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showInkAnnotation="0"/>
  <mc:AlternateContent xmlns:mc="http://schemas.openxmlformats.org/markup-compatibility/2006">
    <mc:Choice Requires="x15">
      <x15ac:absPath xmlns:x15ac="http://schemas.microsoft.com/office/spreadsheetml/2010/11/ac" url="G:\Unidades compartidas\CCLA Chile\En Ejecución\Compass Desarrollo &amp; Rentas II\Antonio Bellet\Modelos\2023\"/>
    </mc:Choice>
  </mc:AlternateContent>
  <xr:revisionPtr revIDLastSave="0" documentId="13_ncr:1_{C21A11C3-4173-4196-A6CB-710C3677A23F}" xr6:coauthVersionLast="47" xr6:coauthVersionMax="47" xr10:uidLastSave="{00000000-0000-0000-0000-000000000000}"/>
  <bookViews>
    <workbookView xWindow="22932" yWindow="-108" windowWidth="23256" windowHeight="12576" tabRatio="949" activeTab="1" xr2:uid="{00000000-000D-0000-FFFF-FFFF00000000}"/>
  </bookViews>
  <sheets>
    <sheet name="Cover" sheetId="51" r:id="rId1"/>
    <sheet name="Inputs" sheetId="2" r:id="rId2"/>
    <sheet name="Monthly USD Model" sheetId="56" r:id="rId3"/>
    <sheet name="Monthly UF Model" sheetId="3" r:id="rId4"/>
    <sheet name="OpEx Budget" sheetId="54" r:id="rId5"/>
    <sheet name="CapEx Budget" sheetId="16" r:id="rId6"/>
    <sheet name="UnitMix" sheetId="53" r:id="rId7"/>
    <sheet name="Project Layout" sheetId="39" r:id="rId8"/>
    <sheet name="Performance" sheetId="68" r:id="rId9"/>
  </sheets>
  <externalReferences>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s>
  <definedNames>
    <definedName name="\" localSheetId="4" hidden="1">{#N/A,#N/A,FALSE,"A";#N/A,#N/A,FALSE,"C"}</definedName>
    <definedName name="\" localSheetId="8" hidden="1">{#N/A,#N/A,FALSE,"A";#N/A,#N/A,FALSE,"C"}</definedName>
    <definedName name="\" localSheetId="6" hidden="1">{#N/A,#N/A,FALSE,"A";#N/A,#N/A,FALSE,"C"}</definedName>
    <definedName name="\" hidden="1">{#N/A,#N/A,FALSE,"A";#N/A,#N/A,FALSE,"C"}</definedName>
    <definedName name="\C" localSheetId="2">#REF!</definedName>
    <definedName name="\C" localSheetId="4">#REF!</definedName>
    <definedName name="\C" localSheetId="8">#REF!</definedName>
    <definedName name="\C" localSheetId="6">#REF!</definedName>
    <definedName name="\C">#REF!</definedName>
    <definedName name="\E" localSheetId="2">#REF!</definedName>
    <definedName name="\E" localSheetId="4">#REF!</definedName>
    <definedName name="\E" localSheetId="8">#REF!</definedName>
    <definedName name="\E" localSheetId="6">#REF!</definedName>
    <definedName name="\E">#REF!</definedName>
    <definedName name="\L" localSheetId="2">#REF!</definedName>
    <definedName name="\L" localSheetId="4">#REF!</definedName>
    <definedName name="\L" localSheetId="8">#REF!</definedName>
    <definedName name="\L" localSheetId="6">#REF!</definedName>
    <definedName name="\L">#REF!</definedName>
    <definedName name="\M" localSheetId="2">#REF!</definedName>
    <definedName name="\M" localSheetId="4">#REF!</definedName>
    <definedName name="\M" localSheetId="8">#REF!</definedName>
    <definedName name="\M" localSheetId="6">#REF!</definedName>
    <definedName name="\M">#REF!</definedName>
    <definedName name="\P" localSheetId="2">#REF!</definedName>
    <definedName name="\P" localSheetId="4">#REF!</definedName>
    <definedName name="\P" localSheetId="8">#REF!</definedName>
    <definedName name="\P" localSheetId="6">#REF!</definedName>
    <definedName name="\P">#REF!</definedName>
    <definedName name="\Q" localSheetId="2">#REF!</definedName>
    <definedName name="\Q" localSheetId="4">#REF!</definedName>
    <definedName name="\Q" localSheetId="8">#REF!</definedName>
    <definedName name="\Q" localSheetId="6">#REF!</definedName>
    <definedName name="\Q">#REF!</definedName>
    <definedName name="\r" localSheetId="2">#REF!</definedName>
    <definedName name="\r" localSheetId="4">#REF!</definedName>
    <definedName name="\r" localSheetId="8">#REF!</definedName>
    <definedName name="\r" localSheetId="6">#REF!</definedName>
    <definedName name="\r">#REF!</definedName>
    <definedName name="\s" localSheetId="2">#REF!</definedName>
    <definedName name="\s" localSheetId="4">#REF!</definedName>
    <definedName name="\s" localSheetId="8">#REF!</definedName>
    <definedName name="\s" localSheetId="6">#REF!</definedName>
    <definedName name="\s">#REF!</definedName>
    <definedName name="\t" localSheetId="2">#REF!</definedName>
    <definedName name="\t" localSheetId="4">#REF!</definedName>
    <definedName name="\t" localSheetId="8">#REF!</definedName>
    <definedName name="\t" localSheetId="6">#REF!</definedName>
    <definedName name="\t">#REF!</definedName>
    <definedName name="_" localSheetId="2" hidden="1">[1]General!#REF!</definedName>
    <definedName name="_" localSheetId="4" hidden="1">[1]General!#REF!</definedName>
    <definedName name="_" localSheetId="8" hidden="1">[1]General!#REF!</definedName>
    <definedName name="_" localSheetId="6" hidden="1">[1]General!#REF!</definedName>
    <definedName name="_" hidden="1">[1]General!#REF!</definedName>
    <definedName name="__" localSheetId="2" hidden="1">'[2]1999 BUDGET'!#REF!</definedName>
    <definedName name="__" localSheetId="4" hidden="1">'[2]1999 BUDGET'!#REF!</definedName>
    <definedName name="__" localSheetId="8" hidden="1">'[2]1999 BUDGET'!#REF!</definedName>
    <definedName name="__" localSheetId="6" hidden="1">'[2]1999 BUDGET'!#REF!</definedName>
    <definedName name="__" hidden="1">'[2]1999 BUDGET'!#REF!</definedName>
    <definedName name="______________________________AS1" localSheetId="8" hidden="1">{"comp1",#N/A,FALSE,"COMPS";"footnotes",#N/A,FALSE,"COMPS"}</definedName>
    <definedName name="______________________________AS1" hidden="1">{"comp1",#N/A,FALSE,"COMPS";"footnotes",#N/A,FALSE,"COMPS"}</definedName>
    <definedName name="_____________________________AS1" localSheetId="8" hidden="1">{"comp1",#N/A,FALSE,"COMPS";"footnotes",#N/A,FALSE,"COMPS"}</definedName>
    <definedName name="_____________________________AS1" hidden="1">{"comp1",#N/A,FALSE,"COMPS";"footnotes",#N/A,FALSE,"COMPS"}</definedName>
    <definedName name="____________________________AS1" localSheetId="8" hidden="1">{"comp1",#N/A,FALSE,"COMPS";"footnotes",#N/A,FALSE,"COMPS"}</definedName>
    <definedName name="____________________________AS1" hidden="1">{"comp1",#N/A,FALSE,"COMPS";"footnotes",#N/A,FALSE,"COMPS"}</definedName>
    <definedName name="___________________________AS1" localSheetId="8" hidden="1">{"comp1",#N/A,FALSE,"COMPS";"footnotes",#N/A,FALSE,"COMPS"}</definedName>
    <definedName name="___________________________AS1" hidden="1">{"comp1",#N/A,FALSE,"COMPS";"footnotes",#N/A,FALSE,"COMPS"}</definedName>
    <definedName name="__________________________AS1" localSheetId="8" hidden="1">{"comp1",#N/A,FALSE,"COMPS";"footnotes",#N/A,FALSE,"COMPS"}</definedName>
    <definedName name="__________________________AS1" hidden="1">{"comp1",#N/A,FALSE,"COMPS";"footnotes",#N/A,FALSE,"COMPS"}</definedName>
    <definedName name="_________________________AS1" localSheetId="8" hidden="1">{"comp1",#N/A,FALSE,"COMPS";"footnotes",#N/A,FALSE,"COMPS"}</definedName>
    <definedName name="_________________________AS1" hidden="1">{"comp1",#N/A,FALSE,"COMPS";"footnotes",#N/A,FALSE,"COMPS"}</definedName>
    <definedName name="________________________AS1" localSheetId="8" hidden="1">{"comp1",#N/A,FALSE,"COMPS";"footnotes",#N/A,FALSE,"COMPS"}</definedName>
    <definedName name="________________________AS1" hidden="1">{"comp1",#N/A,FALSE,"COMPS";"footnotes",#N/A,FALSE,"COMPS"}</definedName>
    <definedName name="_______________________AS1" localSheetId="8" hidden="1">{"comp1",#N/A,FALSE,"COMPS";"footnotes",#N/A,FALSE,"COMPS"}</definedName>
    <definedName name="_______________________AS1" hidden="1">{"comp1",#N/A,FALSE,"COMPS";"footnotes",#N/A,FALSE,"COMPS"}</definedName>
    <definedName name="______________________AS1" localSheetId="8" hidden="1">{"comp1",#N/A,FALSE,"COMPS";"footnotes",#N/A,FALSE,"COMPS"}</definedName>
    <definedName name="______________________AS1" hidden="1">{"comp1",#N/A,FALSE,"COMPS";"footnotes",#N/A,FALSE,"COMPS"}</definedName>
    <definedName name="____________________AS1" localSheetId="8" hidden="1">{"comp1",#N/A,FALSE,"COMPS";"footnotes",#N/A,FALSE,"COMPS"}</definedName>
    <definedName name="____________________AS1" hidden="1">{"comp1",#N/A,FALSE,"COMPS";"footnotes",#N/A,FALSE,"COMPS"}</definedName>
    <definedName name="___________________AS1" localSheetId="8" hidden="1">{"comp1",#N/A,FALSE,"COMPS";"footnotes",#N/A,FALSE,"COMPS"}</definedName>
    <definedName name="___________________AS1" hidden="1">{"comp1",#N/A,FALSE,"COMPS";"footnotes",#N/A,FALSE,"COMPS"}</definedName>
    <definedName name="__________________AS1" localSheetId="8" hidden="1">{"comp1",#N/A,FALSE,"COMPS";"footnotes",#N/A,FALSE,"COMPS"}</definedName>
    <definedName name="__________________AS1" hidden="1">{"comp1",#N/A,FALSE,"COMPS";"footnotes",#N/A,FALSE,"COMPS"}</definedName>
    <definedName name="_________________AS1" localSheetId="8" hidden="1">{"comp1",#N/A,FALSE,"COMPS";"footnotes",#N/A,FALSE,"COMPS"}</definedName>
    <definedName name="_________________AS1" hidden="1">{"comp1",#N/A,FALSE,"COMPS";"footnotes",#N/A,FALSE,"COMPS"}</definedName>
    <definedName name="________________AS1" localSheetId="8" hidden="1">{"comp1",#N/A,FALSE,"COMPS";"footnotes",#N/A,FALSE,"COMPS"}</definedName>
    <definedName name="________________AS1" hidden="1">{"comp1",#N/A,FALSE,"COMPS";"footnotes",#N/A,FALSE,"COMPS"}</definedName>
    <definedName name="_______________AS1" localSheetId="8" hidden="1">{"comp1",#N/A,FALSE,"COMPS";"footnotes",#N/A,FALSE,"COMPS"}</definedName>
    <definedName name="_______________AS1" hidden="1">{"comp1",#N/A,FALSE,"COMPS";"footnotes",#N/A,FALSE,"COMPS"}</definedName>
    <definedName name="______________AS1" localSheetId="8" hidden="1">{"comp1",#N/A,FALSE,"COMPS";"footnotes",#N/A,FALSE,"COMPS"}</definedName>
    <definedName name="______________AS1" hidden="1">{"comp1",#N/A,FALSE,"COMPS";"footnotes",#N/A,FALSE,"COMPS"}</definedName>
    <definedName name="_____________AS1" localSheetId="8" hidden="1">{"comp1",#N/A,FALSE,"COMPS";"footnotes",#N/A,FALSE,"COMPS"}</definedName>
    <definedName name="_____________AS1" hidden="1">{"comp1",#N/A,FALSE,"COMPS";"footnotes",#N/A,FALSE,"COMPS"}</definedName>
    <definedName name="____________AS1" localSheetId="8" hidden="1">{"comp1",#N/A,FALSE,"COMPS";"footnotes",#N/A,FALSE,"COMPS"}</definedName>
    <definedName name="____________AS1" hidden="1">{"comp1",#N/A,FALSE,"COMPS";"footnotes",#N/A,FALSE,"COMPS"}</definedName>
    <definedName name="___________AS1" localSheetId="8" hidden="1">{"comp1",#N/A,FALSE,"COMPS";"footnotes",#N/A,FALSE,"COMPS"}</definedName>
    <definedName name="___________AS1" hidden="1">{"comp1",#N/A,FALSE,"COMPS";"footnotes",#N/A,FALSE,"COMPS"}</definedName>
    <definedName name="___________del1" localSheetId="4" hidden="1">{"Page1",#N/A,FALSE,"7979";"Page2",#N/A,FALSE,"7979";"Page3",#N/A,FALSE,"7979"}</definedName>
    <definedName name="___________del1" localSheetId="6" hidden="1">{"Page1",#N/A,FALSE,"7979";"Page2",#N/A,FALSE,"7979";"Page3",#N/A,FALSE,"7979"}</definedName>
    <definedName name="___________del1" hidden="1">{"Page1",#N/A,FALSE,"7979";"Page2",#N/A,FALSE,"7979";"Page3",#N/A,FALSE,"7979"}</definedName>
    <definedName name="__________AS1" localSheetId="8" hidden="1">{"comp1",#N/A,FALSE,"COMPS";"footnotes",#N/A,FALSE,"COMPS"}</definedName>
    <definedName name="__________AS1" hidden="1">{"comp1",#N/A,FALSE,"COMPS";"footnotes",#N/A,FALSE,"COMPS"}</definedName>
    <definedName name="__________del1" localSheetId="4" hidden="1">{"Page1",#N/A,FALSE,"7979";"Page2",#N/A,FALSE,"7979";"Page3",#N/A,FALSE,"7979"}</definedName>
    <definedName name="__________del1" localSheetId="6" hidden="1">{"Page1",#N/A,FALSE,"7979";"Page2",#N/A,FALSE,"7979";"Page3",#N/A,FALSE,"7979"}</definedName>
    <definedName name="__________del1" hidden="1">{"Page1",#N/A,FALSE,"7979";"Page2",#N/A,FALSE,"7979";"Page3",#N/A,FALSE,"7979"}</definedName>
    <definedName name="_________a1" localSheetId="4" hidden="1">{"Assump",#N/A,TRUE,"Proforma";"first",#N/A,TRUE,"Proforma";"second",#N/A,TRUE,"Proforma";"lease1",#N/A,TRUE,"Proforma";"lease2",#N/A,TRUE,"Proforma"}</definedName>
    <definedName name="_________a1" localSheetId="6" hidden="1">{"Assump",#N/A,TRUE,"Proforma";"first",#N/A,TRUE,"Proforma";"second",#N/A,TRUE,"Proforma";"lease1",#N/A,TRUE,"Proforma";"lease2",#N/A,TRUE,"Proforma"}</definedName>
    <definedName name="_________a1" hidden="1">{"Assump",#N/A,TRUE,"Proforma";"first",#N/A,TRUE,"Proforma";"second",#N/A,TRUE,"Proforma";"lease1",#N/A,TRUE,"Proforma";"lease2",#N/A,TRUE,"Proforma"}</definedName>
    <definedName name="_________AS1" localSheetId="8" hidden="1">{"comp1",#N/A,FALSE,"COMPS";"footnotes",#N/A,FALSE,"COMPS"}</definedName>
    <definedName name="_________AS1" hidden="1">{"comp1",#N/A,FALSE,"COMPS";"footnotes",#N/A,FALSE,"COMPS"}</definedName>
    <definedName name="_________del1" localSheetId="4" hidden="1">{"Page1",#N/A,FALSE,"7979";"Page2",#N/A,FALSE,"7979";"Page3",#N/A,FALSE,"7979"}</definedName>
    <definedName name="_________del1" localSheetId="6" hidden="1">{"Page1",#N/A,FALSE,"7979";"Page2",#N/A,FALSE,"7979";"Page3",#N/A,FALSE,"7979"}</definedName>
    <definedName name="_________del1" hidden="1">{"Page1",#N/A,FALSE,"7979";"Page2",#N/A,FALSE,"7979";"Page3",#N/A,FALSE,"7979"}</definedName>
    <definedName name="________AS1" localSheetId="8" hidden="1">{"comp1",#N/A,FALSE,"COMPS";"footnotes",#N/A,FALSE,"COMPS"}</definedName>
    <definedName name="________AS1" hidden="1">{"comp1",#N/A,FALSE,"COMPS";"footnotes",#N/A,FALSE,"COMPS"}</definedName>
    <definedName name="________del1" localSheetId="4" hidden="1">{"Page1",#N/A,FALSE,"7979";"Page2",#N/A,FALSE,"7979";"Page3",#N/A,FALSE,"7979"}</definedName>
    <definedName name="________del1" localSheetId="6" hidden="1">{"Page1",#N/A,FALSE,"7979";"Page2",#N/A,FALSE,"7979";"Page3",#N/A,FALSE,"7979"}</definedName>
    <definedName name="________del1" hidden="1">{"Page1",#N/A,FALSE,"7979";"Page2",#N/A,FALSE,"7979";"Page3",#N/A,FALSE,"7979"}</definedName>
    <definedName name="_______AS1" localSheetId="8" hidden="1">{"comp1",#N/A,FALSE,"COMPS";"footnotes",#N/A,FALSE,"COMPS"}</definedName>
    <definedName name="_______AS1" hidden="1">{"comp1",#N/A,FALSE,"COMPS";"footnotes",#N/A,FALSE,"COMPS"}</definedName>
    <definedName name="_______r" localSheetId="8" hidden="1">{"ANAR",#N/A,FALSE,"Dist total";"MARGEN",#N/A,FALSE,"Dist total";"COMENTARIO",#N/A,FALSE,"Ficha CODICE";"CONSEJO",#N/A,FALSE,"Dist p0";"uno",#N/A,FALSE,"Dist total"}</definedName>
    <definedName name="_______r" hidden="1">{"ANAR",#N/A,FALSE,"Dist total";"MARGEN",#N/A,FALSE,"Dist total";"COMENTARIO",#N/A,FALSE,"Ficha CODICE";"CONSEJO",#N/A,FALSE,"Dist p0";"uno",#N/A,FALSE,"Dist total"}</definedName>
    <definedName name="______AS1" localSheetId="8" hidden="1">{"comp1",#N/A,FALSE,"COMPS";"footnotes",#N/A,FALSE,"COMPS"}</definedName>
    <definedName name="______AS1" hidden="1">{"comp1",#N/A,FALSE,"COMPS";"footnotes",#N/A,FALSE,"COMPS"}</definedName>
    <definedName name="______del1" localSheetId="4" hidden="1">{"Page1",#N/A,FALSE,"7979";"Page2",#N/A,FALSE,"7979";"Page3",#N/A,FALSE,"7979"}</definedName>
    <definedName name="______del1" localSheetId="6" hidden="1">{"Page1",#N/A,FALSE,"7979";"Page2",#N/A,FALSE,"7979";"Page3",#N/A,FALSE,"7979"}</definedName>
    <definedName name="______del1" hidden="1">{"Page1",#N/A,FALSE,"7979";"Page2",#N/A,FALSE,"7979";"Page3",#N/A,FALSE,"7979"}</definedName>
    <definedName name="_____a1" localSheetId="4" hidden="1">{"Assump",#N/A,TRUE,"Proforma";"first",#N/A,TRUE,"Proforma";"second",#N/A,TRUE,"Proforma";"lease1",#N/A,TRUE,"Proforma";"lease2",#N/A,TRUE,"Proforma"}</definedName>
    <definedName name="_____a1" localSheetId="6" hidden="1">{"Assump",#N/A,TRUE,"Proforma";"first",#N/A,TRUE,"Proforma";"second",#N/A,TRUE,"Proforma";"lease1",#N/A,TRUE,"Proforma";"lease2",#N/A,TRUE,"Proforma"}</definedName>
    <definedName name="_____a1" hidden="1">{"Assump",#N/A,TRUE,"Proforma";"first",#N/A,TRUE,"Proforma";"second",#N/A,TRUE,"Proforma";"lease1",#N/A,TRUE,"Proforma";"lease2",#N/A,TRUE,"Proforma"}</definedName>
    <definedName name="_____al1" localSheetId="4" hidden="1">{"sheet a",#N/A,FALSE,"A";"sheet b 1",#N/A,FALSE,"B";"sheet b 2",#N/A,FALSE,"B"}</definedName>
    <definedName name="_____al1" localSheetId="8" hidden="1">{"sheet a",#N/A,FALSE,"A";"sheet b 1",#N/A,FALSE,"B";"sheet b 2",#N/A,FALSE,"B"}</definedName>
    <definedName name="_____al1" localSheetId="6" hidden="1">{"sheet a",#N/A,FALSE,"A";"sheet b 1",#N/A,FALSE,"B";"sheet b 2",#N/A,FALSE,"B"}</definedName>
    <definedName name="_____al1" hidden="1">{"sheet a",#N/A,FALSE,"A";"sheet b 1",#N/A,FALSE,"B";"sheet b 2",#N/A,FALSE,"B"}</definedName>
    <definedName name="_____AS1" localSheetId="8" hidden="1">{"comp1",#N/A,FALSE,"COMPS";"footnotes",#N/A,FALSE,"COMPS"}</definedName>
    <definedName name="_____AS1" hidden="1">{"comp1",#N/A,FALSE,"COMPS";"footnotes",#N/A,FALSE,"COMPS"}</definedName>
    <definedName name="_____r" localSheetId="8" hidden="1">{"ANAR",#N/A,FALSE,"Dist total";"MARGEN",#N/A,FALSE,"Dist total";"COMENTARIO",#N/A,FALSE,"Ficha CODICE";"CONSEJO",#N/A,FALSE,"Dist p0";"uno",#N/A,FALSE,"Dist total"}</definedName>
    <definedName name="_____r" hidden="1">{"ANAR",#N/A,FALSE,"Dist total";"MARGEN",#N/A,FALSE,"Dist total";"COMENTARIO",#N/A,FALSE,"Ficha CODICE";"CONSEJO",#N/A,FALSE,"Dist p0";"uno",#N/A,FALSE,"Dist total"}</definedName>
    <definedName name="_____t1" hidden="1">[3]Assumptions!$D$77</definedName>
    <definedName name="_____v3" localSheetId="8" hidden="1">{"CONSEJO",#N/A,FALSE,"Dist p0";"CONSEJO",#N/A,FALSE,"Ficha CODICE"}</definedName>
    <definedName name="_____v3" hidden="1">{"CONSEJO",#N/A,FALSE,"Dist p0";"CONSEJO",#N/A,FALSE,"Ficha CODICE"}</definedName>
    <definedName name="____a1" localSheetId="4" hidden="1">{"Assump",#N/A,TRUE,"Proforma";"first",#N/A,TRUE,"Proforma";"second",#N/A,TRUE,"Proforma";"lease1",#N/A,TRUE,"Proforma";"lease2",#N/A,TRUE,"Proforma"}</definedName>
    <definedName name="____a1" localSheetId="6" hidden="1">{"Assump",#N/A,TRUE,"Proforma";"first",#N/A,TRUE,"Proforma";"second",#N/A,TRUE,"Proforma";"lease1",#N/A,TRUE,"Proforma";"lease2",#N/A,TRUE,"Proforma"}</definedName>
    <definedName name="____a1" hidden="1">{"Assump",#N/A,TRUE,"Proforma";"first",#N/A,TRUE,"Proforma";"second",#N/A,TRUE,"Proforma";"lease1",#N/A,TRUE,"Proforma";"lease2",#N/A,TRUE,"Proforma"}</definedName>
    <definedName name="____al1" localSheetId="4" hidden="1">{"sheet a",#N/A,FALSE,"A";"sheet b 1",#N/A,FALSE,"B";"sheet b 2",#N/A,FALSE,"B"}</definedName>
    <definedName name="____al1" localSheetId="8" hidden="1">{"sheet a",#N/A,FALSE,"A";"sheet b 1",#N/A,FALSE,"B";"sheet b 2",#N/A,FALSE,"B"}</definedName>
    <definedName name="____al1" localSheetId="6" hidden="1">{"sheet a",#N/A,FALSE,"A";"sheet b 1",#N/A,FALSE,"B";"sheet b 2",#N/A,FALSE,"B"}</definedName>
    <definedName name="____al1" hidden="1">{"sheet a",#N/A,FALSE,"A";"sheet b 1",#N/A,FALSE,"B";"sheet b 2",#N/A,FALSE,"B"}</definedName>
    <definedName name="____AS1" localSheetId="8" hidden="1">{"comp1",#N/A,FALSE,"COMPS";"footnotes",#N/A,FALSE,"COMPS"}</definedName>
    <definedName name="____AS1" hidden="1">{"comp1",#N/A,FALSE,"COMPS";"footnotes",#N/A,FALSE,"COMPS"}</definedName>
    <definedName name="____del1" localSheetId="4" hidden="1">{"Page1",#N/A,FALSE,"7979";"Page2",#N/A,FALSE,"7979";"Page3",#N/A,FALSE,"7979"}</definedName>
    <definedName name="____del1" localSheetId="6" hidden="1">{"Page1",#N/A,FALSE,"7979";"Page2",#N/A,FALSE,"7979";"Page3",#N/A,FALSE,"7979"}</definedName>
    <definedName name="____del1" hidden="1">{"Page1",#N/A,FALSE,"7979";"Page2",#N/A,FALSE,"7979";"Page3",#N/A,FALSE,"7979"}</definedName>
    <definedName name="____df2" localSheetId="8" hidden="1">{"CONSEJO",#N/A,FALSE,"Dist p0";"CONSEJO",#N/A,FALSE,"Ficha CODICE"}</definedName>
    <definedName name="____df2" hidden="1">{"CONSEJO",#N/A,FALSE,"Dist p0";"CONSEJO",#N/A,FALSE,"Ficha CODICE"}</definedName>
    <definedName name="____R" localSheetId="8" hidden="1">{"ANAR",#N/A,FALSE,"Dist total";"MARGEN",#N/A,FALSE,"Dist total";"COMENTARIO",#N/A,FALSE,"Ficha CODICE";"CONSEJO",#N/A,FALSE,"Dist p0";"uno",#N/A,FALSE,"Dist total"}</definedName>
    <definedName name="____R" hidden="1">{"ANAR",#N/A,FALSE,"Dist total";"MARGEN",#N/A,FALSE,"Dist total";"COMENTARIO",#N/A,FALSE,"Ficha CODICE";"CONSEJO",#N/A,FALSE,"Dist p0";"uno",#N/A,FALSE,"Dist total"}</definedName>
    <definedName name="____t1" hidden="1">[3]Assumptions!$D$77</definedName>
    <definedName name="____v3" localSheetId="8" hidden="1">{"CONSEJO",#N/A,FALSE,"Dist p0";"CONSEJO",#N/A,FALSE,"Ficha CODICE"}</definedName>
    <definedName name="____v3" hidden="1">{"CONSEJO",#N/A,FALSE,"Dist p0";"CONSEJO",#N/A,FALSE,"Ficha CODICE"}</definedName>
    <definedName name="___123Graph_A" localSheetId="2" hidden="1">#REF!</definedName>
    <definedName name="___123Graph_A" localSheetId="4" hidden="1">#REF!</definedName>
    <definedName name="___123Graph_A" localSheetId="8" hidden="1">#REF!</definedName>
    <definedName name="___123Graph_A" localSheetId="6" hidden="1">#REF!</definedName>
    <definedName name="___123Graph_A" hidden="1">#REF!</definedName>
    <definedName name="___a1" localSheetId="4" hidden="1">{"Assump",#N/A,TRUE,"Proforma";"first",#N/A,TRUE,"Proforma";"second",#N/A,TRUE,"Proforma";"lease1",#N/A,TRUE,"Proforma";"lease2",#N/A,TRUE,"Proforma"}</definedName>
    <definedName name="___a1" localSheetId="6" hidden="1">{"Assump",#N/A,TRUE,"Proforma";"first",#N/A,TRUE,"Proforma";"second",#N/A,TRUE,"Proforma";"lease1",#N/A,TRUE,"Proforma";"lease2",#N/A,TRUE,"Proforma"}</definedName>
    <definedName name="___a1" hidden="1">{"Assump",#N/A,TRUE,"Proforma";"first",#N/A,TRUE,"Proforma";"second",#N/A,TRUE,"Proforma";"lease1",#N/A,TRUE,"Proforma";"lease2",#N/A,TRUE,"Proforma"}</definedName>
    <definedName name="___al1" localSheetId="4" hidden="1">{"sheet a",#N/A,FALSE,"A";"sheet b 1",#N/A,FALSE,"B";"sheet b 2",#N/A,FALSE,"B"}</definedName>
    <definedName name="___al1" localSheetId="8" hidden="1">{"sheet a",#N/A,FALSE,"A";"sheet b 1",#N/A,FALSE,"B";"sheet b 2",#N/A,FALSE,"B"}</definedName>
    <definedName name="___al1" localSheetId="6" hidden="1">{"sheet a",#N/A,FALSE,"A";"sheet b 1",#N/A,FALSE,"B";"sheet b 2",#N/A,FALSE,"B"}</definedName>
    <definedName name="___al1" hidden="1">{"sheet a",#N/A,FALSE,"A";"sheet b 1",#N/A,FALSE,"B";"sheet b 2",#N/A,FALSE,"B"}</definedName>
    <definedName name="___AS1" localSheetId="8" hidden="1">{"comp1",#N/A,FALSE,"COMPS";"footnotes",#N/A,FALSE,"COMPS"}</definedName>
    <definedName name="___AS1" hidden="1">{"comp1",#N/A,FALSE,"COMPS";"footnotes",#N/A,FALSE,"COMPS"}</definedName>
    <definedName name="___cp92000" localSheetId="8" hidden="1">{#N/A,#N/A,TRUE,"Caps1-5";#N/A,#N/A,TRUE,"Cap6";#N/A,#N/A,TRUE,"Caps7-8";#N/A,#N/A,TRUE,"Cap9-Resumo";#N/A,#N/A,TRUE,"Cap9-Det-2000";#N/A,#N/A,TRUE,"Cap9-Det-2001";#N/A,#N/A,TRUE,"Caps10-11"}</definedName>
    <definedName name="___cp92000" hidden="1">{#N/A,#N/A,TRUE,"Caps1-5";#N/A,#N/A,TRUE,"Cap6";#N/A,#N/A,TRUE,"Caps7-8";#N/A,#N/A,TRUE,"Cap9-Resumo";#N/A,#N/A,TRUE,"Cap9-Det-2000";#N/A,#N/A,TRUE,"Cap9-Det-2001";#N/A,#N/A,TRUE,"Caps10-11"}</definedName>
    <definedName name="___df2" localSheetId="8" hidden="1">{"CONSEJO",#N/A,FALSE,"Dist p0";"CONSEJO",#N/A,FALSE,"Ficha CODICE"}</definedName>
    <definedName name="___df2" hidden="1">{"CONSEJO",#N/A,FALSE,"Dist p0";"CONSEJO",#N/A,FALSE,"Ficha CODICE"}</definedName>
    <definedName name="___r" localSheetId="8" hidden="1">{"ANAR",#N/A,FALSE,"Dist total";"MARGEN",#N/A,FALSE,"Dist total";"COMENTARIO",#N/A,FALSE,"Ficha CODICE";"CONSEJO",#N/A,FALSE,"Dist p0";"uno",#N/A,FALSE,"Dist total"}</definedName>
    <definedName name="___r" hidden="1">{"ANAR",#N/A,FALSE,"Dist total";"MARGEN",#N/A,FALSE,"Dist total";"COMENTARIO",#N/A,FALSE,"Ficha CODICE";"CONSEJO",#N/A,FALSE,"Dist p0";"uno",#N/A,FALSE,"Dist total"}</definedName>
    <definedName name="___t1" hidden="1">[3]Assumptions!$D$77</definedName>
    <definedName name="___v3" localSheetId="8" hidden="1">{"CONSEJO",#N/A,FALSE,"Dist p0";"CONSEJO",#N/A,FALSE,"Ficha CODICE"}</definedName>
    <definedName name="___v3" hidden="1">{"CONSEJO",#N/A,FALSE,"Dist p0";"CONSEJO",#N/A,FALSE,"Ficha CODICE"}</definedName>
    <definedName name="___wrn4" localSheetId="4" hidden="1">{"data",#N/A,FALSE,"INPUT"}</definedName>
    <definedName name="___wrn4" localSheetId="8" hidden="1">{"data",#N/A,FALSE,"INPUT"}</definedName>
    <definedName name="___wrn4" localSheetId="6" hidden="1">{"data",#N/A,FALSE,"INPUT"}</definedName>
    <definedName name="___wrn4" hidden="1">{"data",#N/A,FALSE,"INPUT"}</definedName>
    <definedName name="__1234Graph_A" localSheetId="2" hidden="1">#REF!</definedName>
    <definedName name="__1234Graph_A" localSheetId="4" hidden="1">#REF!</definedName>
    <definedName name="__1234Graph_A" localSheetId="8" hidden="1">#REF!</definedName>
    <definedName name="__1234Graph_A" localSheetId="6" hidden="1">#REF!</definedName>
    <definedName name="__1234Graph_A" hidden="1">#REF!</definedName>
    <definedName name="__123Graph_A" localSheetId="0" hidden="1">[4]P2000!#REF!</definedName>
    <definedName name="__123Graph_A" localSheetId="2" hidden="1">#REF!</definedName>
    <definedName name="__123Graph_A" localSheetId="4" hidden="1">#REF!</definedName>
    <definedName name="__123Graph_A" localSheetId="8" hidden="1">#REF!</definedName>
    <definedName name="__123Graph_A" localSheetId="6" hidden="1">#REF!</definedName>
    <definedName name="__123Graph_A" hidden="1">#REF!</definedName>
    <definedName name="__123Graph_ACurrent" localSheetId="2" hidden="1">#REF!</definedName>
    <definedName name="__123Graph_ACurrent" localSheetId="4" hidden="1">#REF!</definedName>
    <definedName name="__123Graph_ACurrent" localSheetId="8" hidden="1">#REF!</definedName>
    <definedName name="__123Graph_ACurrent" localSheetId="6" hidden="1">#REF!</definedName>
    <definedName name="__123Graph_ACurrent" hidden="1">#REF!</definedName>
    <definedName name="__123Graph_AGRAPH1" localSheetId="2" hidden="1">'[5]Proforma-Lathrop'!#REF!</definedName>
    <definedName name="__123Graph_AGRAPH1" localSheetId="4" hidden="1">'[5]Proforma-Lathrop'!#REF!</definedName>
    <definedName name="__123Graph_AGRAPH1" localSheetId="8" hidden="1">'[5]Proforma-Lathrop'!#REF!</definedName>
    <definedName name="__123Graph_AGRAPH1" localSheetId="6" hidden="1">'[5]Proforma-Lathrop'!#REF!</definedName>
    <definedName name="__123Graph_AGRAPH1" hidden="1">'[5]Proforma-Lathrop'!#REF!</definedName>
    <definedName name="__123Graph_APREVRCOM" localSheetId="2" hidden="1">#REF!</definedName>
    <definedName name="__123Graph_APREVRCOM" localSheetId="8" hidden="1">#REF!</definedName>
    <definedName name="__123Graph_APREVRCOM" hidden="1">#REF!</definedName>
    <definedName name="__123Graph_APREVREALI" localSheetId="2" hidden="1">#REF!</definedName>
    <definedName name="__123Graph_APREVREALI" localSheetId="8" hidden="1">#REF!</definedName>
    <definedName name="__123Graph_APREVREALI" hidden="1">#REF!</definedName>
    <definedName name="__123Graph_APREVRIND" localSheetId="2" hidden="1">#REF!</definedName>
    <definedName name="__123Graph_APREVRIND" localSheetId="8" hidden="1">#REF!</definedName>
    <definedName name="__123Graph_APREVRIND" hidden="1">#REF!</definedName>
    <definedName name="__123Graph_APREVRRES" localSheetId="2" hidden="1">#REF!</definedName>
    <definedName name="__123Graph_APREVRRES" localSheetId="8" hidden="1">#REF!</definedName>
    <definedName name="__123Graph_APREVRRES" hidden="1">#REF!</definedName>
    <definedName name="__123Graph_APREVRTOT" localSheetId="2" hidden="1">#REF!</definedName>
    <definedName name="__123Graph_APREVRTOT" localSheetId="8" hidden="1">#REF!</definedName>
    <definedName name="__123Graph_APREVRTOT" hidden="1">#REF!</definedName>
    <definedName name="__123Graph_ASE220" localSheetId="2" hidden="1">[6]Max_D._2002!#REF!</definedName>
    <definedName name="__123Graph_ASE220" localSheetId="8" hidden="1">[6]Max_D._2002!#REF!</definedName>
    <definedName name="__123Graph_ASE220" hidden="1">[6]Max_D._2002!#REF!</definedName>
    <definedName name="__123Graph_ASE30" localSheetId="2" hidden="1">[6]Max_D._2002!#REF!</definedName>
    <definedName name="__123Graph_ASE30" localSheetId="8" hidden="1">[6]Max_D._2002!#REF!</definedName>
    <definedName name="__123Graph_ASE30" hidden="1">[6]Max_D._2002!#REF!</definedName>
    <definedName name="__123Graph_B" localSheetId="0" hidden="1">#REF!</definedName>
    <definedName name="__123Graph_B" hidden="1">[7]tables_graphs!$K$12:$K$22</definedName>
    <definedName name="__123Graph_BCOMPARA" localSheetId="2" hidden="1">#REF!</definedName>
    <definedName name="__123Graph_BCOMPARA" localSheetId="8" hidden="1">#REF!</definedName>
    <definedName name="__123Graph_BCOMPARA" hidden="1">#REF!</definedName>
    <definedName name="__123Graph_BCurrent" localSheetId="2" hidden="1">#REF!</definedName>
    <definedName name="__123Graph_BCurrent" localSheetId="4" hidden="1">#REF!</definedName>
    <definedName name="__123Graph_BCurrent" localSheetId="8" hidden="1">#REF!</definedName>
    <definedName name="__123Graph_BCurrent" localSheetId="6" hidden="1">#REF!</definedName>
    <definedName name="__123Graph_BCurrent" hidden="1">#REF!</definedName>
    <definedName name="__123Graph_BPREVREALI" localSheetId="2" hidden="1">#REF!</definedName>
    <definedName name="__123Graph_BPREVREALI" localSheetId="8" hidden="1">#REF!</definedName>
    <definedName name="__123Graph_BPREVREALI" hidden="1">#REF!</definedName>
    <definedName name="__123Graph_BSE220" localSheetId="2" hidden="1">[6]Max_D._2002!#REF!</definedName>
    <definedName name="__123Graph_BSE220" localSheetId="8" hidden="1">[6]Max_D._2002!#REF!</definedName>
    <definedName name="__123Graph_BSE220" hidden="1">[6]Max_D._2002!#REF!</definedName>
    <definedName name="__123Graph_BSE30" localSheetId="2" hidden="1">[8]MAXDEM2002!#REF!</definedName>
    <definedName name="__123Graph_BSE30" localSheetId="8" hidden="1">[8]MAXDEM2002!#REF!</definedName>
    <definedName name="__123Graph_BSE30" hidden="1">[8]MAXDEM2002!#REF!</definedName>
    <definedName name="__123Graph_C" hidden="1">[9]A!$C$4:$C$217</definedName>
    <definedName name="__123Graph_CCurrent" localSheetId="2" hidden="1">#REF!</definedName>
    <definedName name="__123Graph_CCurrent" localSheetId="4" hidden="1">#REF!</definedName>
    <definedName name="__123Graph_CCurrent" localSheetId="8" hidden="1">#REF!</definedName>
    <definedName name="__123Graph_CCurrent" localSheetId="6" hidden="1">#REF!</definedName>
    <definedName name="__123Graph_CCurrent" hidden="1">#REF!</definedName>
    <definedName name="__123Graph_CPREVREALI" localSheetId="2" hidden="1">#REF!</definedName>
    <definedName name="__123Graph_CPREVREALI" localSheetId="8" hidden="1">#REF!</definedName>
    <definedName name="__123Graph_CPREVREALI" hidden="1">#REF!</definedName>
    <definedName name="__123Graph_CSE220" localSheetId="2" hidden="1">[6]Max_D._2002!#REF!</definedName>
    <definedName name="__123Graph_CSE220" localSheetId="8" hidden="1">[6]Max_D._2002!#REF!</definedName>
    <definedName name="__123Graph_CSE220" hidden="1">[6]Max_D._2002!#REF!</definedName>
    <definedName name="__123Graph_CSE30" localSheetId="2" hidden="1">[8]MAXDEM2002!#REF!</definedName>
    <definedName name="__123Graph_CSE30" localSheetId="8" hidden="1">[8]MAXDEM2002!#REF!</definedName>
    <definedName name="__123Graph_CSE30" hidden="1">[8]MAXDEM2002!#REF!</definedName>
    <definedName name="__123Graph_D" localSheetId="0" hidden="1">#REF!</definedName>
    <definedName name="__123Graph_D" localSheetId="2" hidden="1">'[10]Annual Report'!#REF!</definedName>
    <definedName name="__123Graph_D" localSheetId="4" hidden="1">'[10]Annual Report'!#REF!</definedName>
    <definedName name="__123Graph_D" localSheetId="8" hidden="1">'[10]Annual Report'!#REF!</definedName>
    <definedName name="__123Graph_D" localSheetId="6" hidden="1">'[10]Annual Report'!#REF!</definedName>
    <definedName name="__123Graph_D" hidden="1">'[10]Annual Report'!#REF!</definedName>
    <definedName name="__123Graph_DCOMPARA" localSheetId="2" hidden="1">#REF!</definedName>
    <definedName name="__123Graph_DCOMPARA" localSheetId="8" hidden="1">#REF!</definedName>
    <definedName name="__123Graph_DCOMPARA" hidden="1">#REF!</definedName>
    <definedName name="__123Graph_DCurrent" localSheetId="2" hidden="1">#REF!</definedName>
    <definedName name="__123Graph_DCurrent" localSheetId="4" hidden="1">#REF!</definedName>
    <definedName name="__123Graph_DCurrent" localSheetId="8" hidden="1">#REF!</definedName>
    <definedName name="__123Graph_DCurrent" localSheetId="6" hidden="1">#REF!</definedName>
    <definedName name="__123Graph_DCurrent" hidden="1">#REF!</definedName>
    <definedName name="__123Graph_DSE30" localSheetId="2" hidden="1">[6]Max_D._2002!#REF!</definedName>
    <definedName name="__123Graph_DSE30" localSheetId="8" hidden="1">[6]Max_D._2002!#REF!</definedName>
    <definedName name="__123Graph_DSE30" hidden="1">[6]Max_D._2002!#REF!</definedName>
    <definedName name="__123Graph_E" localSheetId="2" hidden="1">'[10]Annual Report'!#REF!</definedName>
    <definedName name="__123Graph_E" localSheetId="4" hidden="1">'[10]Annual Report'!#REF!</definedName>
    <definedName name="__123Graph_E" localSheetId="8" hidden="1">'[10]Annual Report'!#REF!</definedName>
    <definedName name="__123Graph_E" localSheetId="6" hidden="1">'[10]Annual Report'!#REF!</definedName>
    <definedName name="__123Graph_E" hidden="1">'[10]Annual Report'!#REF!</definedName>
    <definedName name="__123Graph_EPREVREALI" localSheetId="2" hidden="1">#REF!</definedName>
    <definedName name="__123Graph_EPREVREALI" localSheetId="8" hidden="1">#REF!</definedName>
    <definedName name="__123Graph_EPREVREALI" hidden="1">#REF!</definedName>
    <definedName name="__123Graph_ESE30" localSheetId="2" hidden="1">[6]Max_D._2002!#REF!</definedName>
    <definedName name="__123Graph_ESE30" localSheetId="8" hidden="1">[6]Max_D._2002!#REF!</definedName>
    <definedName name="__123Graph_ESE30" hidden="1">[6]Max_D._2002!#REF!</definedName>
    <definedName name="__123Graph_F" localSheetId="0" hidden="1">#REF!</definedName>
    <definedName name="__123Graph_F" localSheetId="2" hidden="1">'[10]Annual Report'!#REF!</definedName>
    <definedName name="__123Graph_F" localSheetId="4" hidden="1">'[10]Annual Report'!#REF!</definedName>
    <definedName name="__123Graph_F" localSheetId="8" hidden="1">'[10]Annual Report'!#REF!</definedName>
    <definedName name="__123Graph_F" localSheetId="6" hidden="1">'[10]Annual Report'!#REF!</definedName>
    <definedName name="__123Graph_F" hidden="1">'[10]Annual Report'!#REF!</definedName>
    <definedName name="__123Graph_FCOMPARA" localSheetId="2" hidden="1">#REF!</definedName>
    <definedName name="__123Graph_FCOMPARA" localSheetId="8" hidden="1">#REF!</definedName>
    <definedName name="__123Graph_FCOMPARA" hidden="1">#REF!</definedName>
    <definedName name="__123Graph_FSE30" localSheetId="2" hidden="1">[6]Max_D._2002!#REF!</definedName>
    <definedName name="__123Graph_FSE30" localSheetId="8" hidden="1">[6]Max_D._2002!#REF!</definedName>
    <definedName name="__123Graph_FSE30" hidden="1">[6]Max_D._2002!#REF!</definedName>
    <definedName name="__123Graph_LBL_A" localSheetId="2" hidden="1">'[11]C-C'!#REF!</definedName>
    <definedName name="__123Graph_LBL_A" localSheetId="4" hidden="1">'[11]C-C'!#REF!</definedName>
    <definedName name="__123Graph_LBL_A" localSheetId="8" hidden="1">'[11]C-C'!#REF!</definedName>
    <definedName name="__123Graph_LBL_A" localSheetId="6" hidden="1">'[11]C-C'!#REF!</definedName>
    <definedName name="__123Graph_LBL_A" hidden="1">'[11]C-C'!#REF!</definedName>
    <definedName name="__123Graph_LBL_AMETPLX" localSheetId="2" hidden="1">'[11]C-C'!#REF!</definedName>
    <definedName name="__123Graph_LBL_AMETPLX" localSheetId="4" hidden="1">'[11]C-C'!#REF!</definedName>
    <definedName name="__123Graph_LBL_AMETPLX" localSheetId="8" hidden="1">'[11]C-C'!#REF!</definedName>
    <definedName name="__123Graph_LBL_AMETPLX" localSheetId="6" hidden="1">'[11]C-C'!#REF!</definedName>
    <definedName name="__123Graph_LBL_AMETPLX" hidden="1">'[11]C-C'!#REF!</definedName>
    <definedName name="__123Graph_LBL_ANDALLAS" localSheetId="2" hidden="1">'[11]C-C'!#REF!</definedName>
    <definedName name="__123Graph_LBL_ANDALLAS" localSheetId="4" hidden="1">'[11]C-C'!#REF!</definedName>
    <definedName name="__123Graph_LBL_ANDALLAS" localSheetId="8" hidden="1">'[11]C-C'!#REF!</definedName>
    <definedName name="__123Graph_LBL_ANDALLAS" localSheetId="6" hidden="1">'[11]C-C'!#REF!</definedName>
    <definedName name="__123Graph_LBL_ANDALLAS" hidden="1">'[11]C-C'!#REF!</definedName>
    <definedName name="__123Graph_LBL_B" localSheetId="2" hidden="1">'[11]C-C'!#REF!</definedName>
    <definedName name="__123Graph_LBL_B" localSheetId="4" hidden="1">'[11]C-C'!#REF!</definedName>
    <definedName name="__123Graph_LBL_B" localSheetId="8" hidden="1">'[11]C-C'!#REF!</definedName>
    <definedName name="__123Graph_LBL_B" localSheetId="6" hidden="1">'[11]C-C'!#REF!</definedName>
    <definedName name="__123Graph_LBL_B" hidden="1">'[11]C-C'!#REF!</definedName>
    <definedName name="__123Graph_LBL_BMETPLX" localSheetId="2" hidden="1">'[11]C-C'!#REF!</definedName>
    <definedName name="__123Graph_LBL_BMETPLX" localSheetId="4" hidden="1">'[11]C-C'!#REF!</definedName>
    <definedName name="__123Graph_LBL_BMETPLX" localSheetId="8" hidden="1">'[11]C-C'!#REF!</definedName>
    <definedName name="__123Graph_LBL_BMETPLX" localSheetId="6" hidden="1">'[11]C-C'!#REF!</definedName>
    <definedName name="__123Graph_LBL_BMETPLX" hidden="1">'[11]C-C'!#REF!</definedName>
    <definedName name="__123Graph_LBL_BNDALLAS" localSheetId="2" hidden="1">'[11]C-C'!#REF!</definedName>
    <definedName name="__123Graph_LBL_BNDALLAS" localSheetId="4" hidden="1">'[11]C-C'!#REF!</definedName>
    <definedName name="__123Graph_LBL_BNDALLAS" localSheetId="8" hidden="1">'[11]C-C'!#REF!</definedName>
    <definedName name="__123Graph_LBL_BNDALLAS" localSheetId="6" hidden="1">'[11]C-C'!#REF!</definedName>
    <definedName name="__123Graph_LBL_BNDALLAS" hidden="1">'[11]C-C'!#REF!</definedName>
    <definedName name="__123Graph_LBL_C" localSheetId="2" hidden="1">'[12]C-B'!#REF!</definedName>
    <definedName name="__123Graph_LBL_C" localSheetId="4" hidden="1">'[12]C-B'!#REF!</definedName>
    <definedName name="__123Graph_LBL_C" localSheetId="8" hidden="1">'[12]C-B'!#REF!</definedName>
    <definedName name="__123Graph_LBL_C" localSheetId="6" hidden="1">'[12]C-B'!#REF!</definedName>
    <definedName name="__123Graph_LBL_C" hidden="1">'[12]C-B'!#REF!</definedName>
    <definedName name="__123Graph_LBL_CMETPLX" localSheetId="2" hidden="1">'[12]C-B'!#REF!</definedName>
    <definedName name="__123Graph_LBL_CMETPLX" localSheetId="4" hidden="1">'[12]C-B'!#REF!</definedName>
    <definedName name="__123Graph_LBL_CMETPLX" localSheetId="8" hidden="1">'[12]C-B'!#REF!</definedName>
    <definedName name="__123Graph_LBL_CMETPLX" localSheetId="6" hidden="1">'[12]C-B'!#REF!</definedName>
    <definedName name="__123Graph_LBL_CMETPLX" hidden="1">'[12]C-B'!#REF!</definedName>
    <definedName name="__123Graph_LBL_CNDALLAS" localSheetId="2" hidden="1">'[12]C-B'!#REF!</definedName>
    <definedName name="__123Graph_LBL_CNDALLAS" localSheetId="4" hidden="1">'[12]C-B'!#REF!</definedName>
    <definedName name="__123Graph_LBL_CNDALLAS" localSheetId="8" hidden="1">'[12]C-B'!#REF!</definedName>
    <definedName name="__123Graph_LBL_CNDALLAS" localSheetId="6" hidden="1">'[12]C-B'!#REF!</definedName>
    <definedName name="__123Graph_LBL_CNDALLAS" hidden="1">'[12]C-B'!#REF!</definedName>
    <definedName name="__123Graph_X" localSheetId="2" hidden="1">#REF!</definedName>
    <definedName name="__123Graph_X" localSheetId="4" hidden="1">#REF!</definedName>
    <definedName name="__123Graph_X" localSheetId="8" hidden="1">#REF!</definedName>
    <definedName name="__123Graph_X" localSheetId="6" hidden="1">#REF!</definedName>
    <definedName name="__123Graph_X" hidden="1">#REF!</definedName>
    <definedName name="__123Graph_XCurrent" hidden="1">'[13]Office Space'!$O$9:$AA$9</definedName>
    <definedName name="__123Graph_XGRAPH1" localSheetId="2" hidden="1">'[5]Proforma-Lathrop'!#REF!</definedName>
    <definedName name="__123Graph_XGRAPH1" localSheetId="4" hidden="1">'[5]Proforma-Lathrop'!#REF!</definedName>
    <definedName name="__123Graph_XGRAPH1" localSheetId="8" hidden="1">'[5]Proforma-Lathrop'!#REF!</definedName>
    <definedName name="__123Graph_XGRAPH1" localSheetId="6" hidden="1">'[5]Proforma-Lathrop'!#REF!</definedName>
    <definedName name="__123Graph_XGRAPH1" hidden="1">'[5]Proforma-Lathrop'!#REF!</definedName>
    <definedName name="__a1" localSheetId="4" hidden="1">{"Assump",#N/A,TRUE,"Proforma";"first",#N/A,TRUE,"Proforma";"second",#N/A,TRUE,"Proforma";"lease1",#N/A,TRUE,"Proforma";"lease2",#N/A,TRUE,"Proforma"}</definedName>
    <definedName name="__a1" localSheetId="6" hidden="1">{"Assump",#N/A,TRUE,"Proforma";"first",#N/A,TRUE,"Proforma";"second",#N/A,TRUE,"Proforma";"lease1",#N/A,TRUE,"Proforma";"lease2",#N/A,TRUE,"Proforma"}</definedName>
    <definedName name="__a1" hidden="1">{"Assump",#N/A,TRUE,"Proforma";"first",#N/A,TRUE,"Proforma";"second",#N/A,TRUE,"Proforma";"lease1",#N/A,TRUE,"Proforma";"lease2",#N/A,TRUE,"Proforma"}</definedName>
    <definedName name="__al1" localSheetId="4" hidden="1">{"sheet a",#N/A,FALSE,"A";"sheet b 1",#N/A,FALSE,"B";"sheet b 2",#N/A,FALSE,"B"}</definedName>
    <definedName name="__al1" localSheetId="8" hidden="1">{"sheet a",#N/A,FALSE,"A";"sheet b 1",#N/A,FALSE,"B";"sheet b 2",#N/A,FALSE,"B"}</definedName>
    <definedName name="__al1" localSheetId="6" hidden="1">{"sheet a",#N/A,FALSE,"A";"sheet b 1",#N/A,FALSE,"B";"sheet b 2",#N/A,FALSE,"B"}</definedName>
    <definedName name="__al1" hidden="1">{"sheet a",#N/A,FALSE,"A";"sheet b 1",#N/A,FALSE,"B";"sheet b 2",#N/A,FALSE,"B"}</definedName>
    <definedName name="__AS1" localSheetId="8" hidden="1">{"comp1",#N/A,FALSE,"COMPS";"footnotes",#N/A,FALSE,"COMPS"}</definedName>
    <definedName name="__AS1" hidden="1">{"comp1",#N/A,FALSE,"COMPS";"footnotes",#N/A,FALSE,"COMPS"}</definedName>
    <definedName name="__cp92000" localSheetId="8" hidden="1">{#N/A,#N/A,TRUE,"Caps1-5";#N/A,#N/A,TRUE,"Cap6";#N/A,#N/A,TRUE,"Caps7-8";#N/A,#N/A,TRUE,"Cap9-Resumo";#N/A,#N/A,TRUE,"Cap9-Det-2000";#N/A,#N/A,TRUE,"Cap9-Det-2001";#N/A,#N/A,TRUE,"Caps10-11"}</definedName>
    <definedName name="__cp92000" hidden="1">{#N/A,#N/A,TRUE,"Caps1-5";#N/A,#N/A,TRUE,"Cap6";#N/A,#N/A,TRUE,"Caps7-8";#N/A,#N/A,TRUE,"Cap9-Resumo";#N/A,#N/A,TRUE,"Cap9-Det-2000";#N/A,#N/A,TRUE,"Cap9-Det-2001";#N/A,#N/A,TRUE,"Caps10-11"}</definedName>
    <definedName name="__del1" localSheetId="4" hidden="1">{"Page1",#N/A,FALSE,"7979";"Page2",#N/A,FALSE,"7979";"Page3",#N/A,FALSE,"7979"}</definedName>
    <definedName name="__del1" localSheetId="6" hidden="1">{"Page1",#N/A,FALSE,"7979";"Page2",#N/A,FALSE,"7979";"Page3",#N/A,FALSE,"7979"}</definedName>
    <definedName name="__del1" hidden="1">{"Page1",#N/A,FALSE,"7979";"Page2",#N/A,FALSE,"7979";"Page3",#N/A,FALSE,"7979"}</definedName>
    <definedName name="__df2" localSheetId="8" hidden="1">{"CONSEJO",#N/A,FALSE,"Dist p0";"CONSEJO",#N/A,FALSE,"Ficha CODICE"}</definedName>
    <definedName name="__df2" hidden="1">{"CONSEJO",#N/A,FALSE,"Dist p0";"CONSEJO",#N/A,FALSE,"Ficha CODICE"}</definedName>
    <definedName name="__f" localSheetId="8" hidden="1">{#N/A,#N/A,FALSE,"P o G";#N/A,#N/A,FALSE,"BALANCE";#N/A,#N/A,FALSE,"Indicadores";#N/A,#N/A,FALSE,"Capital Trab. (2)";#N/A,#N/A,FALSE,"Camb. Sit. Financ. (2)";#N/A,#N/A,FALSE,"ROTABCIUD"}</definedName>
    <definedName name="__f" hidden="1">{#N/A,#N/A,FALSE,"P o G";#N/A,#N/A,FALSE,"BALANCE";#N/A,#N/A,FALSE,"Indicadores";#N/A,#N/A,FALSE,"Capital Trab. (2)";#N/A,#N/A,FALSE,"Camb. Sit. Financ. (2)";#N/A,#N/A,FALSE,"ROTABCIUD"}</definedName>
    <definedName name="__FDS_HYPERLINK_TOGGLE_STATE__" hidden="1">"ON"</definedName>
    <definedName name="__FDS_UNIQUE_RANGE_ID_GENERATOR_COUNTER" hidden="1">103</definedName>
    <definedName name="__IntlFixup" hidden="1">TRUE</definedName>
    <definedName name="__IntlFixupTable" localSheetId="2" hidden="1">#REF!</definedName>
    <definedName name="__IntlFixupTable" localSheetId="4" hidden="1">#REF!</definedName>
    <definedName name="__IntlFixupTable" localSheetId="8" hidden="1">#REF!</definedName>
    <definedName name="__IntlFixupTable" localSheetId="6" hidden="1">#REF!</definedName>
    <definedName name="__IntlFixupTable" hidden="1">#REF!</definedName>
    <definedName name="__r" localSheetId="8" hidden="1">{"ANAR",#N/A,FALSE,"Dist total";"MARGEN",#N/A,FALSE,"Dist total";"COMENTARIO",#N/A,FALSE,"Ficha CODICE";"CONSEJO",#N/A,FALSE,"Dist p0";"uno",#N/A,FALSE,"Dist total"}</definedName>
    <definedName name="__r" hidden="1">{"ANAR",#N/A,FALSE,"Dist total";"MARGEN",#N/A,FALSE,"Dist total";"COMENTARIO",#N/A,FALSE,"Ficha CODICE";"CONSEJO",#N/A,FALSE,"Dist p0";"uno",#N/A,FALSE,"Dist total"}</definedName>
    <definedName name="__sal2" localSheetId="8" hidden="1">{"SALARIOS",#N/A,FALSE,"Hoja3";"SUELDOS EMPLEADOS",#N/A,FALSE,"Hoja4";"SUELDOS EJECUTIVOS",#N/A,FALSE,"Hoja5"}</definedName>
    <definedName name="__sal2" hidden="1">{"SALARIOS",#N/A,FALSE,"Hoja3";"SUELDOS EMPLEADOS",#N/A,FALSE,"Hoja4";"SUELDOS EJECUTIVOS",#N/A,FALSE,"Hoja5"}</definedName>
    <definedName name="__t1" hidden="1">[3]Assumptions!$D$77</definedName>
    <definedName name="__v3" localSheetId="8" hidden="1">{"CONSEJO",#N/A,FALSE,"Dist p0";"CONSEJO",#N/A,FALSE,"Ficha CODICE"}</definedName>
    <definedName name="__v3" hidden="1">{"CONSEJO",#N/A,FALSE,"Dist p0";"CONSEJO",#N/A,FALSE,"Ficha CODICE"}</definedName>
    <definedName name="__wrn4" localSheetId="4" hidden="1">{"data",#N/A,FALSE,"INPUT"}</definedName>
    <definedName name="__wrn4" localSheetId="8" hidden="1">{"data",#N/A,FALSE,"INPUT"}</definedName>
    <definedName name="__wrn4" localSheetId="6" hidden="1">{"data",#N/A,FALSE,"INPUT"}</definedName>
    <definedName name="__wrn4" hidden="1">{"data",#N/A,FALSE,"INPUT"}</definedName>
    <definedName name="_1" localSheetId="2" hidden="1">[14]Demand!#REF!</definedName>
    <definedName name="_1" localSheetId="4" hidden="1">[14]Demand!#REF!</definedName>
    <definedName name="_1" localSheetId="8" hidden="1">[14]Demand!#REF!</definedName>
    <definedName name="_1" localSheetId="6" hidden="1">[14]Demand!#REF!</definedName>
    <definedName name="_1" hidden="1">[14]Demand!#REF!</definedName>
    <definedName name="_1____123Graph_ACHART_1" hidden="1">#N/A</definedName>
    <definedName name="_1__123Graph_ACHART_1" hidden="1">'[15]RANDOM 1997'!$B$5:$BA$5</definedName>
    <definedName name="_1__123Graph_ACHART_12" localSheetId="2" hidden="1">[16]Demand!#REF!</definedName>
    <definedName name="_1__123Graph_ACHART_12" localSheetId="4" hidden="1">[16]Demand!#REF!</definedName>
    <definedName name="_1__123Graph_ACHART_12" localSheetId="8" hidden="1">[16]Demand!#REF!</definedName>
    <definedName name="_1__123Graph_ACHART_12" localSheetId="6" hidden="1">[16]Demand!#REF!</definedName>
    <definedName name="_1__123Graph_ACHART_12" hidden="1">[16]Demand!#REF!</definedName>
    <definedName name="_1__123Graph_ACHART_1A" hidden="1">'[17]WATER RATES'!$C$9:$C$31</definedName>
    <definedName name="_1__123Graph_ACHART_2" hidden="1">#N/A</definedName>
    <definedName name="_1__123Graph_ACHART_3" hidden="1">[18]Expiration!$P$6:$P$21</definedName>
    <definedName name="_1__FDSAUDITLINK__" localSheetId="4"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1__FDSAUDITLINK__" localSheetId="8"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1__FDSAUDITLINK__" localSheetId="6"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1__FDSAUDITLINK__"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10__123Graph_ACHART_18" localSheetId="2" hidden="1">[16]Demand!#REF!</definedName>
    <definedName name="_10__123Graph_ACHART_18" localSheetId="4" hidden="1">[16]Demand!#REF!</definedName>
    <definedName name="_10__123Graph_ACHART_18" localSheetId="8" hidden="1">[16]Demand!#REF!</definedName>
    <definedName name="_10__123Graph_ACHART_18" localSheetId="6" hidden="1">[16]Demand!#REF!</definedName>
    <definedName name="_10__123Graph_ACHART_18" hidden="1">[16]Demand!#REF!</definedName>
    <definedName name="_10__123Graph_BCHART_16" localSheetId="2" hidden="1">[16]Occ!#REF!</definedName>
    <definedName name="_10__123Graph_BCHART_16" localSheetId="4" hidden="1">[16]Occ!#REF!</definedName>
    <definedName name="_10__123Graph_BCHART_16" localSheetId="8" hidden="1">[16]Occ!#REF!</definedName>
    <definedName name="_10__123Graph_BCHART_16" localSheetId="6" hidden="1">[16]Occ!#REF!</definedName>
    <definedName name="_10__123Graph_BCHART_16" hidden="1">[16]Occ!#REF!</definedName>
    <definedName name="_10__FDSAUDITLINK__" localSheetId="4"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10__FDSAUDITLINK__" localSheetId="8"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10__FDSAUDITLINK__" localSheetId="6"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10__FDSAUDITLINK__"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100__FDSAUDITLINK__" localSheetId="4"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100__FDSAUDITLINK__" localSheetId="8"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100__FDSAUDITLINK__" localSheetId="6"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100__FDSAUDITLINK__"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101__FDSAUDITLINK__" localSheetId="4"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101__FDSAUDITLINK__" localSheetId="8"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101__FDSAUDITLINK__" localSheetId="6"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101__FDSAUDITLINK__"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102__123Graph_XCHART_19" localSheetId="2" hidden="1">[14]Demand!#REF!</definedName>
    <definedName name="_102__123Graph_XCHART_19" localSheetId="4" hidden="1">[14]Demand!#REF!</definedName>
    <definedName name="_102__123Graph_XCHART_19" localSheetId="8" hidden="1">[14]Demand!#REF!</definedName>
    <definedName name="_102__123Graph_XCHART_19" localSheetId="6" hidden="1">[14]Demand!#REF!</definedName>
    <definedName name="_102__123Graph_XCHART_19" hidden="1">[14]Demand!#REF!</definedName>
    <definedName name="_102__FDSAUDITLINK__" localSheetId="4"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102__FDSAUDITLINK__" localSheetId="8"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102__FDSAUDITLINK__" localSheetId="6"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102__FDSAUDITLINK__"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105__123Graph_XCHART_22" localSheetId="2" hidden="1">[14]Occ!#REF!</definedName>
    <definedName name="_105__123Graph_XCHART_22" localSheetId="4" hidden="1">[14]Occ!#REF!</definedName>
    <definedName name="_105__123Graph_XCHART_22" localSheetId="8" hidden="1">[14]Occ!#REF!</definedName>
    <definedName name="_105__123Graph_XCHART_22" localSheetId="6" hidden="1">[14]Occ!#REF!</definedName>
    <definedName name="_105__123Graph_XCHART_22" hidden="1">[14]Occ!#REF!</definedName>
    <definedName name="_108__123Graph_XSEG_PIE" localSheetId="2" hidden="1">[14]Demand!#REF!</definedName>
    <definedName name="_108__123Graph_XSEG_PIE" localSheetId="4" hidden="1">[14]Demand!#REF!</definedName>
    <definedName name="_108__123Graph_XSEG_PIE" localSheetId="8" hidden="1">[14]Demand!#REF!</definedName>
    <definedName name="_108__123Graph_XSEG_PIE" localSheetId="6" hidden="1">[14]Demand!#REF!</definedName>
    <definedName name="_108__123Graph_XSEG_PIE" hidden="1">[14]Demand!#REF!</definedName>
    <definedName name="_11__123Graph_BCHART_17" localSheetId="2" hidden="1">[16]Occ!#REF!</definedName>
    <definedName name="_11__123Graph_BCHART_17" localSheetId="4" hidden="1">[16]Occ!#REF!</definedName>
    <definedName name="_11__123Graph_BCHART_17" localSheetId="8" hidden="1">[16]Occ!#REF!</definedName>
    <definedName name="_11__123Graph_BCHART_17" localSheetId="6" hidden="1">[16]Occ!#REF!</definedName>
    <definedName name="_11__123Graph_BCHART_17" hidden="1">[16]Occ!#REF!</definedName>
    <definedName name="_11__FDSAUDITLINK__" localSheetId="4"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11__FDSAUDITLINK__" localSheetId="8"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11__FDSAUDITLINK__" localSheetId="6"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11__FDSAUDITLINK__"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12__123Graph_ACHART_17" localSheetId="2" hidden="1">[14]Occ!#REF!</definedName>
    <definedName name="_12__123Graph_ACHART_17" localSheetId="4" hidden="1">[14]Occ!#REF!</definedName>
    <definedName name="_12__123Graph_ACHART_17" localSheetId="8" hidden="1">[14]Occ!#REF!</definedName>
    <definedName name="_12__123Graph_ACHART_17" localSheetId="6" hidden="1">[14]Occ!#REF!</definedName>
    <definedName name="_12__123Graph_ACHART_17" hidden="1">[14]Occ!#REF!</definedName>
    <definedName name="_12__123Graph_ACHART_19" localSheetId="2" hidden="1">[16]Demand!#REF!</definedName>
    <definedName name="_12__123Graph_ACHART_19" localSheetId="4" hidden="1">[16]Demand!#REF!</definedName>
    <definedName name="_12__123Graph_ACHART_19" localSheetId="8" hidden="1">[16]Demand!#REF!</definedName>
    <definedName name="_12__123Graph_ACHART_19" localSheetId="6" hidden="1">[16]Demand!#REF!</definedName>
    <definedName name="_12__123Graph_ACHART_19" hidden="1">[16]Demand!#REF!</definedName>
    <definedName name="_12__123Graph_BCHART_22" localSheetId="2" hidden="1">[16]Occ!#REF!</definedName>
    <definedName name="_12__123Graph_BCHART_22" localSheetId="4" hidden="1">[16]Occ!#REF!</definedName>
    <definedName name="_12__123Graph_BCHART_22" localSheetId="8" hidden="1">[16]Occ!#REF!</definedName>
    <definedName name="_12__123Graph_BCHART_22" localSheetId="6" hidden="1">[16]Occ!#REF!</definedName>
    <definedName name="_12__123Graph_BCHART_22" hidden="1">[16]Occ!#REF!</definedName>
    <definedName name="_12__123Graph_BCHART_2A" hidden="1">'[17]WATER RATES'!$E$9:$E$29</definedName>
    <definedName name="_12__FDSAUDITLINK__" localSheetId="4"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12__FDSAUDITLINK__" localSheetId="8"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12__FDSAUDITLINK__" localSheetId="6"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12__FDSAUDITLINK__"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12_31_06">"SaleMonth"</definedName>
    <definedName name="_122_0_0_S" localSheetId="2" hidden="1">'[19]1999 BUDGET'!#REF!</definedName>
    <definedName name="_122_0_0_S" localSheetId="4" hidden="1">'[19]1999 BUDGET'!#REF!</definedName>
    <definedName name="_122_0_0_S" localSheetId="8" hidden="1">'[19]1999 BUDGET'!#REF!</definedName>
    <definedName name="_122_0_0_S" localSheetId="6" hidden="1">'[19]1999 BUDGET'!#REF!</definedName>
    <definedName name="_122_0_0_S" hidden="1">'[19]1999 BUDGET'!#REF!</definedName>
    <definedName name="_123" localSheetId="2" hidden="1">#REF!</definedName>
    <definedName name="_123" localSheetId="4" hidden="1">#REF!</definedName>
    <definedName name="_123" localSheetId="8" hidden="1">#REF!</definedName>
    <definedName name="_123" localSheetId="6" hidden="1">#REF!</definedName>
    <definedName name="_123" hidden="1">#REF!</definedName>
    <definedName name="_123_0_0_S" localSheetId="2" hidden="1">'[20]1999 BUDGET'!#REF!</definedName>
    <definedName name="_123_0_0_S" localSheetId="4" hidden="1">'[20]1999 BUDGET'!#REF!</definedName>
    <definedName name="_123_0_0_S" localSheetId="8" hidden="1">'[20]1999 BUDGET'!#REF!</definedName>
    <definedName name="_123_0_0_S" localSheetId="6" hidden="1">'[20]1999 BUDGET'!#REF!</definedName>
    <definedName name="_123_0_0_S" hidden="1">'[20]1999 BUDGET'!#REF!</definedName>
    <definedName name="_1234graph_x" localSheetId="2" hidden="1">#REF!</definedName>
    <definedName name="_1234graph_x" localSheetId="4" hidden="1">#REF!</definedName>
    <definedName name="_1234graph_x" localSheetId="8" hidden="1">#REF!</definedName>
    <definedName name="_1234graph_x" localSheetId="6" hidden="1">#REF!</definedName>
    <definedName name="_1234graph_x" hidden="1">#REF!</definedName>
    <definedName name="_123Graph_ACHART15" localSheetId="2" hidden="1">[14]Occ!#REF!</definedName>
    <definedName name="_123Graph_ACHART15" localSheetId="4" hidden="1">[14]Occ!#REF!</definedName>
    <definedName name="_123Graph_ACHART15" localSheetId="8" hidden="1">[14]Occ!#REF!</definedName>
    <definedName name="_123Graph_ACHART15" localSheetId="6" hidden="1">[14]Occ!#REF!</definedName>
    <definedName name="_123Graph_ACHART15" hidden="1">[14]Occ!#REF!</definedName>
    <definedName name="_123graph_F" localSheetId="2" hidden="1">'[10]Annual Report'!#REF!</definedName>
    <definedName name="_123graph_F" localSheetId="4" hidden="1">'[10]Annual Report'!#REF!</definedName>
    <definedName name="_123graph_F" localSheetId="8" hidden="1">'[10]Annual Report'!#REF!</definedName>
    <definedName name="_123graph_F" localSheetId="6" hidden="1">'[10]Annual Report'!#REF!</definedName>
    <definedName name="_123graph_F" hidden="1">'[10]Annual Report'!#REF!</definedName>
    <definedName name="_123graph_fee31" localSheetId="2" hidden="1">[21]Max_D._Set_2002!#REF!</definedName>
    <definedName name="_123graph_fee31" localSheetId="8" hidden="1">[21]Max_D._Set_2002!#REF!</definedName>
    <definedName name="_123graph_fee31" hidden="1">[21]Max_D._Set_2002!#REF!</definedName>
    <definedName name="_12S" localSheetId="2" hidden="1">'[19]1999 BUDGET'!#REF!</definedName>
    <definedName name="_12S" localSheetId="4" hidden="1">'[19]1999 BUDGET'!#REF!</definedName>
    <definedName name="_12S" localSheetId="8" hidden="1">'[19]1999 BUDGET'!#REF!</definedName>
    <definedName name="_12S" localSheetId="6" hidden="1">'[19]1999 BUDGET'!#REF!</definedName>
    <definedName name="_12S" hidden="1">'[19]1999 BUDGET'!#REF!</definedName>
    <definedName name="_13__123Graph_CCHART_15" localSheetId="2" hidden="1">[16]Occ!#REF!</definedName>
    <definedName name="_13__123Graph_CCHART_15" localSheetId="4" hidden="1">[16]Occ!#REF!</definedName>
    <definedName name="_13__123Graph_CCHART_15" localSheetId="8" hidden="1">[16]Occ!#REF!</definedName>
    <definedName name="_13__123Graph_CCHART_15" localSheetId="6" hidden="1">[16]Occ!#REF!</definedName>
    <definedName name="_13__123Graph_CCHART_15" hidden="1">[16]Occ!#REF!</definedName>
    <definedName name="_13__FDSAUDITLINK__" localSheetId="4"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13__FDSAUDITLINK__" localSheetId="8"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13__FDSAUDITLINK__" localSheetId="6"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13__FDSAUDITLINK__"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13_0_S" localSheetId="2" hidden="1">'[22]1999 BUDGET'!#REF!</definedName>
    <definedName name="_13_0_S" localSheetId="4" hidden="1">'[22]1999 BUDGET'!#REF!</definedName>
    <definedName name="_13_0_S" localSheetId="8" hidden="1">'[22]1999 BUDGET'!#REF!</definedName>
    <definedName name="_13_0_S" localSheetId="6" hidden="1">'[22]1999 BUDGET'!#REF!</definedName>
    <definedName name="_13_0_S" hidden="1">'[22]1999 BUDGET'!#REF!</definedName>
    <definedName name="_14____123Graph_BCHART_3" localSheetId="2" hidden="1">#REF!</definedName>
    <definedName name="_14____123Graph_BCHART_3" localSheetId="8" hidden="1">#REF!</definedName>
    <definedName name="_14____123Graph_BCHART_3" hidden="1">#REF!</definedName>
    <definedName name="_14__123Graph_ACHART_21" localSheetId="2" hidden="1">[16]Occ!#REF!</definedName>
    <definedName name="_14__123Graph_ACHART_21" localSheetId="4" hidden="1">[16]Occ!#REF!</definedName>
    <definedName name="_14__123Graph_ACHART_21" localSheetId="8" hidden="1">[16]Occ!#REF!</definedName>
    <definedName name="_14__123Graph_ACHART_21" localSheetId="6" hidden="1">[16]Occ!#REF!</definedName>
    <definedName name="_14__123Graph_ACHART_21" hidden="1">[16]Occ!#REF!</definedName>
    <definedName name="_14__123Graph_CCHART_16" localSheetId="2" hidden="1">[16]Occ!#REF!</definedName>
    <definedName name="_14__123Graph_CCHART_16" localSheetId="4" hidden="1">[16]Occ!#REF!</definedName>
    <definedName name="_14__123Graph_CCHART_16" localSheetId="8" hidden="1">[16]Occ!#REF!</definedName>
    <definedName name="_14__123Graph_CCHART_16" localSheetId="6" hidden="1">[16]Occ!#REF!</definedName>
    <definedName name="_14__123Graph_CCHART_16" hidden="1">[16]Occ!#REF!</definedName>
    <definedName name="_14__FDSAUDITLINK__" localSheetId="4"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14__FDSAUDITLINK__" localSheetId="8"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14__FDSAUDITLINK__" localSheetId="6"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14__FDSAUDITLINK__"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14_0_S" localSheetId="2" hidden="1">'[23]1999 BUDGET'!#REF!</definedName>
    <definedName name="_14_0_S" localSheetId="4" hidden="1">'[23]1999 BUDGET'!#REF!</definedName>
    <definedName name="_14_0_S" localSheetId="8" hidden="1">'[23]1999 BUDGET'!#REF!</definedName>
    <definedName name="_14_0_S" localSheetId="6" hidden="1">'[23]1999 BUDGET'!#REF!</definedName>
    <definedName name="_14_0_S" hidden="1">'[23]1999 BUDGET'!#REF!</definedName>
    <definedName name="_15____123Graph_DCHART_1" hidden="1">#N/A</definedName>
    <definedName name="_15__123Graph_ACHART_18" localSheetId="2" hidden="1">[14]Demand!#REF!</definedName>
    <definedName name="_15__123Graph_ACHART_18" localSheetId="4" hidden="1">[14]Demand!#REF!</definedName>
    <definedName name="_15__123Graph_ACHART_18" localSheetId="8" hidden="1">[14]Demand!#REF!</definedName>
    <definedName name="_15__123Graph_ACHART_18" localSheetId="6" hidden="1">[14]Demand!#REF!</definedName>
    <definedName name="_15__123Graph_ACHART_18" hidden="1">[14]Demand!#REF!</definedName>
    <definedName name="_15__123Graph_CCHART_17" localSheetId="2" hidden="1">[16]Occ!#REF!</definedName>
    <definedName name="_15__123Graph_CCHART_17" localSheetId="4" hidden="1">[16]Occ!#REF!</definedName>
    <definedName name="_15__123Graph_CCHART_17" localSheetId="8" hidden="1">[16]Occ!#REF!</definedName>
    <definedName name="_15__123Graph_CCHART_17" localSheetId="6" hidden="1">[16]Occ!#REF!</definedName>
    <definedName name="_15__123Graph_CCHART_17" hidden="1">[16]Occ!#REF!</definedName>
    <definedName name="_15__123Graph_XCHART_1A" hidden="1">'[17]WATER RATES'!$B$9:$B$31</definedName>
    <definedName name="_15__FDSAUDITLINK__" localSheetId="4"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15__FDSAUDITLINK__" localSheetId="8"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15__FDSAUDITLINK__" localSheetId="6"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15__FDSAUDITLINK__"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15_0_S" localSheetId="2" hidden="1">'[22]1999 BUDGET'!#REF!</definedName>
    <definedName name="_15_0_S" localSheetId="4" hidden="1">'[22]1999 BUDGET'!#REF!</definedName>
    <definedName name="_15_0_S" localSheetId="8" hidden="1">'[22]1999 BUDGET'!#REF!</definedName>
    <definedName name="_15_0_S" localSheetId="6" hidden="1">'[22]1999 BUDGET'!#REF!</definedName>
    <definedName name="_15_0_S" hidden="1">'[22]1999 BUDGET'!#REF!</definedName>
    <definedName name="_16____123Graph_LBL_ACHART_1" hidden="1">#N/A</definedName>
    <definedName name="_16__123Graph_ASEG_PIE" localSheetId="2" hidden="1">[16]Demand!#REF!</definedName>
    <definedName name="_16__123Graph_ASEG_PIE" localSheetId="4" hidden="1">[16]Demand!#REF!</definedName>
    <definedName name="_16__123Graph_ASEG_PIE" localSheetId="8" hidden="1">[16]Demand!#REF!</definedName>
    <definedName name="_16__123Graph_ASEG_PIE" localSheetId="6" hidden="1">[16]Demand!#REF!</definedName>
    <definedName name="_16__123Graph_ASEG_PIE" hidden="1">[16]Demand!#REF!</definedName>
    <definedName name="_16__123Graph_CCHART_22" localSheetId="2" hidden="1">[16]Occ!#REF!</definedName>
    <definedName name="_16__123Graph_CCHART_22" localSheetId="4" hidden="1">[16]Occ!#REF!</definedName>
    <definedName name="_16__123Graph_CCHART_22" localSheetId="8" hidden="1">[16]Occ!#REF!</definedName>
    <definedName name="_16__123Graph_CCHART_22" localSheetId="6" hidden="1">[16]Occ!#REF!</definedName>
    <definedName name="_16__123Graph_CCHART_22" hidden="1">[16]Occ!#REF!</definedName>
    <definedName name="_16__FDSAUDITLINK__" localSheetId="4"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16__FDSAUDITLINK__" localSheetId="8"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16__FDSAUDITLINK__" localSheetId="6"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16__FDSAUDITLINK__"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16_0_S" localSheetId="2" hidden="1">'[23]1999 BUDGET'!#REF!</definedName>
    <definedName name="_16_0_S" localSheetId="4" hidden="1">'[23]1999 BUDGET'!#REF!</definedName>
    <definedName name="_16_0_S" localSheetId="8" hidden="1">'[23]1999 BUDGET'!#REF!</definedName>
    <definedName name="_16_0_S" localSheetId="6" hidden="1">'[23]1999 BUDGET'!#REF!</definedName>
    <definedName name="_16_0_S" hidden="1">'[23]1999 BUDGET'!#REF!</definedName>
    <definedName name="_17__123Graph_CSEG_PIE" localSheetId="2" hidden="1">[16]Demand!#REF!</definedName>
    <definedName name="_17__123Graph_CSEG_PIE" localSheetId="4" hidden="1">[16]Demand!#REF!</definedName>
    <definedName name="_17__123Graph_CSEG_PIE" localSheetId="8" hidden="1">[16]Demand!#REF!</definedName>
    <definedName name="_17__123Graph_CSEG_PIE" localSheetId="6" hidden="1">[16]Demand!#REF!</definedName>
    <definedName name="_17__123Graph_CSEG_PIE" hidden="1">[16]Demand!#REF!</definedName>
    <definedName name="_17__FDSAUDITLINK__" localSheetId="4"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17__FDSAUDITLINK__" localSheetId="8"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17__FDSAUDITLINK__" localSheetId="6"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17__FDSAUDITLINK__"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18__123Graph_ACHART_19" localSheetId="2" hidden="1">[14]Demand!#REF!</definedName>
    <definedName name="_18__123Graph_ACHART_19" localSheetId="4" hidden="1">[14]Demand!#REF!</definedName>
    <definedName name="_18__123Graph_ACHART_19" localSheetId="8" hidden="1">[14]Demand!#REF!</definedName>
    <definedName name="_18__123Graph_ACHART_19" localSheetId="6" hidden="1">[14]Demand!#REF!</definedName>
    <definedName name="_18__123Graph_ACHART_19" hidden="1">[14]Demand!#REF!</definedName>
    <definedName name="_18__123Graph_BCHART_15" localSheetId="2" hidden="1">[16]Occ!#REF!</definedName>
    <definedName name="_18__123Graph_BCHART_15" localSheetId="4" hidden="1">[16]Occ!#REF!</definedName>
    <definedName name="_18__123Graph_BCHART_15" localSheetId="8" hidden="1">[16]Occ!#REF!</definedName>
    <definedName name="_18__123Graph_BCHART_15" localSheetId="6" hidden="1">[16]Occ!#REF!</definedName>
    <definedName name="_18__123Graph_BCHART_15" hidden="1">[16]Occ!#REF!</definedName>
    <definedName name="_18__123Graph_DCHART_15" localSheetId="2" hidden="1">[16]Occ!#REF!</definedName>
    <definedName name="_18__123Graph_DCHART_15" localSheetId="4" hidden="1">[16]Occ!#REF!</definedName>
    <definedName name="_18__123Graph_DCHART_15" localSheetId="8" hidden="1">[16]Occ!#REF!</definedName>
    <definedName name="_18__123Graph_DCHART_15" localSheetId="6" hidden="1">[16]Occ!#REF!</definedName>
    <definedName name="_18__123Graph_DCHART_15" hidden="1">[16]Occ!#REF!</definedName>
    <definedName name="_18__123Graph_XCHART_2A" hidden="1">'[17]WATER RATES'!$A$9:$A$28</definedName>
    <definedName name="_18__FDSAUDITLINK__" localSheetId="4"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18__FDSAUDITLINK__" localSheetId="8"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18__FDSAUDITLINK__" localSheetId="6"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18__FDSAUDITLINK__"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19__123Graph_DCHART_16" localSheetId="2" hidden="1">[16]Occ!#REF!</definedName>
    <definedName name="_19__123Graph_DCHART_16" localSheetId="4" hidden="1">[16]Occ!#REF!</definedName>
    <definedName name="_19__123Graph_DCHART_16" localSheetId="8" hidden="1">[16]Occ!#REF!</definedName>
    <definedName name="_19__123Graph_DCHART_16" localSheetId="6" hidden="1">[16]Occ!#REF!</definedName>
    <definedName name="_19__123Graph_DCHART_16" hidden="1">[16]Occ!#REF!</definedName>
    <definedName name="_19__FDSAUDITLINK__" localSheetId="4"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19__FDSAUDITLINK__" localSheetId="8"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19__FDSAUDITLINK__" localSheetId="6"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19__FDSAUDITLINK__"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1F" localSheetId="2" hidden="1">'[24]1999 BUDGET'!#REF!</definedName>
    <definedName name="_1F" localSheetId="4" hidden="1">'[24]1999 BUDGET'!#REF!</definedName>
    <definedName name="_1F" localSheetId="8" hidden="1">'[24]1999 BUDGET'!#REF!</definedName>
    <definedName name="_1F" localSheetId="6" hidden="1">'[24]1999 BUDGET'!#REF!</definedName>
    <definedName name="_1F" hidden="1">'[24]1999 BUDGET'!#REF!</definedName>
    <definedName name="_1ƒ0ACwvu.Sommai" localSheetId="2" hidden="1">'[25]#REF'!#REF!,'[25]#REF'!#REF!,'[25]#REF'!$G$1:$H$65536,'[25]#REF'!$L$1:$M$65536,'[25]#REF'!$Q$1:$R$65536,'[25]#REF'!$V$1:$W$65536</definedName>
    <definedName name="_1ƒ0ACwvu.Sommai" localSheetId="4" hidden="1">'[25]#REF'!#REF!,'[25]#REF'!#REF!,'[25]#REF'!$G$1:$H$65536,'[25]#REF'!$L$1:$M$65536,'[25]#REF'!$Q$1:$R$65536,'[25]#REF'!$V$1:$W$65536</definedName>
    <definedName name="_1ƒ0ACwvu.Sommai" localSheetId="8" hidden="1">'[25]#REF'!#REF!,'[25]#REF'!#REF!,'[25]#REF'!$G$1:$H$65536,'[25]#REF'!$L$1:$M$65536,'[25]#REF'!$Q$1:$R$65536,'[25]#REF'!$V$1:$W$65536</definedName>
    <definedName name="_1ƒ0ACwvu.Sommai" localSheetId="6" hidden="1">'[25]#REF'!#REF!,'[25]#REF'!#REF!,'[25]#REF'!$G$1:$H$65536,'[25]#REF'!$L$1:$M$65536,'[25]#REF'!$Q$1:$R$65536,'[25]#REF'!$V$1:$W$65536</definedName>
    <definedName name="_1ƒ0ACwvu.Sommai" hidden="1">'[25]#REF'!#REF!,'[25]#REF'!#REF!,'[25]#REF'!$G$1:$H$65536,'[25]#REF'!$L$1:$M$65536,'[25]#REF'!$Q$1:$R$65536,'[25]#REF'!$V$1:$W$65536</definedName>
    <definedName name="_2__123Graph_ACHART_12" localSheetId="2" hidden="1">[16]Demand!#REF!</definedName>
    <definedName name="_2__123Graph_ACHART_12" localSheetId="4" hidden="1">[16]Demand!#REF!</definedName>
    <definedName name="_2__123Graph_ACHART_12" localSheetId="8" hidden="1">[16]Demand!#REF!</definedName>
    <definedName name="_2__123Graph_ACHART_12" localSheetId="6" hidden="1">[16]Demand!#REF!</definedName>
    <definedName name="_2__123Graph_ACHART_12" hidden="1">[16]Demand!#REF!</definedName>
    <definedName name="_2__123Graph_ACHART_15" localSheetId="2" hidden="1">[16]Occ!#REF!</definedName>
    <definedName name="_2__123Graph_ACHART_15" localSheetId="4" hidden="1">[16]Occ!#REF!</definedName>
    <definedName name="_2__123Graph_ACHART_15" localSheetId="8" hidden="1">[16]Occ!#REF!</definedName>
    <definedName name="_2__123Graph_ACHART_15" localSheetId="6" hidden="1">[16]Occ!#REF!</definedName>
    <definedName name="_2__123Graph_ACHART_15" hidden="1">[16]Occ!#REF!</definedName>
    <definedName name="_2__123Graph_ACHART_2" hidden="1">[26]A!$E$171:$E$177</definedName>
    <definedName name="_2__123Graph_ACHART_2A" hidden="1">'[17]WATER RATES'!$C$9:$C$29</definedName>
    <definedName name="_2__123Graph_ACHART_4" hidden="1">[18]Expiration!$X$22:$AG$22</definedName>
    <definedName name="_2__123Graph_BCHART_1" hidden="1">'[15]RANDOM 1997'!$B$58:$BA$58</definedName>
    <definedName name="_2__123Graph_BCHART_2" hidden="1">#N/A</definedName>
    <definedName name="_2__FDSAUDITLINK__" localSheetId="4"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2__FDSAUDITLINK__" localSheetId="8"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2__FDSAUDITLINK__" localSheetId="6"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2__FDSAUDITLINK__"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20__123Graph_BCHART_16" localSheetId="2" hidden="1">[16]Occ!#REF!</definedName>
    <definedName name="_20__123Graph_BCHART_16" localSheetId="4" hidden="1">[16]Occ!#REF!</definedName>
    <definedName name="_20__123Graph_BCHART_16" localSheetId="8" hidden="1">[16]Occ!#REF!</definedName>
    <definedName name="_20__123Graph_BCHART_16" localSheetId="6" hidden="1">[16]Occ!#REF!</definedName>
    <definedName name="_20__123Graph_BCHART_16" hidden="1">[16]Occ!#REF!</definedName>
    <definedName name="_20__123Graph_DCHART_17" localSheetId="2" hidden="1">[16]Occ!#REF!</definedName>
    <definedName name="_20__123Graph_DCHART_17" localSheetId="4" hidden="1">[16]Occ!#REF!</definedName>
    <definedName name="_20__123Graph_DCHART_17" localSheetId="8" hidden="1">[16]Occ!#REF!</definedName>
    <definedName name="_20__123Graph_DCHART_17" localSheetId="6" hidden="1">[16]Occ!#REF!</definedName>
    <definedName name="_20__123Graph_DCHART_17" hidden="1">[16]Occ!#REF!</definedName>
    <definedName name="_20__FDSAUDITLINK__" localSheetId="4"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20__FDSAUDITLINK__" localSheetId="8"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20__FDSAUDITLINK__" localSheetId="6"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20__FDSAUDITLINK__"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21__123Graph_ACHART_21" localSheetId="2" hidden="1">[14]Occ!#REF!</definedName>
    <definedName name="_21__123Graph_ACHART_21" localSheetId="4" hidden="1">[14]Occ!#REF!</definedName>
    <definedName name="_21__123Graph_ACHART_21" localSheetId="8" hidden="1">[14]Occ!#REF!</definedName>
    <definedName name="_21__123Graph_ACHART_21" localSheetId="6" hidden="1">[14]Occ!#REF!</definedName>
    <definedName name="_21__123Graph_ACHART_21" hidden="1">[14]Occ!#REF!</definedName>
    <definedName name="_21__123Graph_DCHART_22" localSheetId="2" hidden="1">[16]Occ!#REF!</definedName>
    <definedName name="_21__123Graph_DCHART_22" localSheetId="4" hidden="1">[16]Occ!#REF!</definedName>
    <definedName name="_21__123Graph_DCHART_22" localSheetId="8" hidden="1">[16]Occ!#REF!</definedName>
    <definedName name="_21__123Graph_DCHART_22" localSheetId="6" hidden="1">[16]Occ!#REF!</definedName>
    <definedName name="_21__123Graph_DCHART_22" hidden="1">[16]Occ!#REF!</definedName>
    <definedName name="_21__FDSAUDITLINK__" localSheetId="4"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21__FDSAUDITLINK__" localSheetId="8"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21__FDSAUDITLINK__" localSheetId="6"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21__FDSAUDITLINK__"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22____123Graph_LBL_ACHART_3" localSheetId="2" hidden="1">#REF!</definedName>
    <definedName name="_22____123Graph_LBL_ACHART_3" localSheetId="8" hidden="1">#REF!</definedName>
    <definedName name="_22____123Graph_LBL_ACHART_3" hidden="1">#REF!</definedName>
    <definedName name="_22__123Graph_BCHART_17" localSheetId="2" hidden="1">[16]Occ!#REF!</definedName>
    <definedName name="_22__123Graph_BCHART_17" localSheetId="4" hidden="1">[16]Occ!#REF!</definedName>
    <definedName name="_22__123Graph_BCHART_17" localSheetId="8" hidden="1">[16]Occ!#REF!</definedName>
    <definedName name="_22__123Graph_BCHART_17" localSheetId="6" hidden="1">[16]Occ!#REF!</definedName>
    <definedName name="_22__123Graph_BCHART_17" hidden="1">[16]Occ!#REF!</definedName>
    <definedName name="_22__123Graph_ECHART_15" localSheetId="2" hidden="1">[16]Occ!#REF!</definedName>
    <definedName name="_22__123Graph_ECHART_15" localSheetId="4" hidden="1">[16]Occ!#REF!</definedName>
    <definedName name="_22__123Graph_ECHART_15" localSheetId="8" hidden="1">[16]Occ!#REF!</definedName>
    <definedName name="_22__123Graph_ECHART_15" localSheetId="6" hidden="1">[16]Occ!#REF!</definedName>
    <definedName name="_22__123Graph_ECHART_15" hidden="1">[16]Occ!#REF!</definedName>
    <definedName name="_22__FDSAUDITLINK__" localSheetId="4"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22__FDSAUDITLINK__" localSheetId="8"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22__FDSAUDITLINK__" localSheetId="6"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22__FDSAUDITLINK__"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23____123Graph_ACHART_1" hidden="1">#N/A</definedName>
    <definedName name="_23____123Graph_LBL_DCHART_1" hidden="1">#N/A</definedName>
    <definedName name="_23__123Graph_ECHART_16" localSheetId="2" hidden="1">[16]Occ!#REF!</definedName>
    <definedName name="_23__123Graph_ECHART_16" localSheetId="4" hidden="1">[16]Occ!#REF!</definedName>
    <definedName name="_23__123Graph_ECHART_16" localSheetId="8" hidden="1">[16]Occ!#REF!</definedName>
    <definedName name="_23__123Graph_ECHART_16" localSheetId="6" hidden="1">[16]Occ!#REF!</definedName>
    <definedName name="_23__123Graph_ECHART_16" hidden="1">[16]Occ!#REF!</definedName>
    <definedName name="_23__FDSAUDITLINK__" localSheetId="4"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23__FDSAUDITLINK__" localSheetId="8"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23__FDSAUDITLINK__" localSheetId="6"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23__FDSAUDITLINK__"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23_0_0_F" localSheetId="2" hidden="1">'[22]1999 BUDGET'!#REF!</definedName>
    <definedName name="_23_0_0_F" localSheetId="4" hidden="1">'[22]1999 BUDGET'!#REF!</definedName>
    <definedName name="_23_0_0_F" localSheetId="8" hidden="1">'[22]1999 BUDGET'!#REF!</definedName>
    <definedName name="_23_0_0_F" localSheetId="6" hidden="1">'[22]1999 BUDGET'!#REF!</definedName>
    <definedName name="_23_0_0_F" hidden="1">'[22]1999 BUDGET'!#REF!</definedName>
    <definedName name="_24____123Graph_ACHART_3" localSheetId="2" hidden="1">#REF!</definedName>
    <definedName name="_24____123Graph_ACHART_3" localSheetId="8" hidden="1">#REF!</definedName>
    <definedName name="_24____123Graph_ACHART_3" hidden="1">#REF!</definedName>
    <definedName name="_24__123Graph_ACHART_1" hidden="1">#N/A</definedName>
    <definedName name="_24__123Graph_ASEG_PIE" localSheetId="2" hidden="1">[14]Demand!#REF!</definedName>
    <definedName name="_24__123Graph_ASEG_PIE" localSheetId="4" hidden="1">[14]Demand!#REF!</definedName>
    <definedName name="_24__123Graph_ASEG_PIE" localSheetId="8" hidden="1">[14]Demand!#REF!</definedName>
    <definedName name="_24__123Graph_ASEG_PIE" localSheetId="6" hidden="1">[14]Demand!#REF!</definedName>
    <definedName name="_24__123Graph_ASEG_PIE" hidden="1">[14]Demand!#REF!</definedName>
    <definedName name="_24__123Graph_BCHART_22" localSheetId="2" hidden="1">[16]Occ!#REF!</definedName>
    <definedName name="_24__123Graph_BCHART_22" localSheetId="4" hidden="1">[16]Occ!#REF!</definedName>
    <definedName name="_24__123Graph_BCHART_22" localSheetId="8" hidden="1">[16]Occ!#REF!</definedName>
    <definedName name="_24__123Graph_BCHART_22" localSheetId="6" hidden="1">[16]Occ!#REF!</definedName>
    <definedName name="_24__123Graph_BCHART_22" hidden="1">[16]Occ!#REF!</definedName>
    <definedName name="_24__123Graph_ECHART_17" localSheetId="2" hidden="1">[16]Occ!#REF!</definedName>
    <definedName name="_24__123Graph_ECHART_17" localSheetId="4" hidden="1">[16]Occ!#REF!</definedName>
    <definedName name="_24__123Graph_ECHART_17" localSheetId="8" hidden="1">[16]Occ!#REF!</definedName>
    <definedName name="_24__123Graph_ECHART_17" localSheetId="6" hidden="1">[16]Occ!#REF!</definedName>
    <definedName name="_24__123Graph_ECHART_17" hidden="1">[16]Occ!#REF!</definedName>
    <definedName name="_24__FDSAUDITLINK__" localSheetId="4"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24__FDSAUDITLINK__" localSheetId="8"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24__FDSAUDITLINK__" localSheetId="6"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24__FDSAUDITLINK__"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25____123Graph_BCHART_1" hidden="1">#N/A</definedName>
    <definedName name="_25__123Graph_ECHART_22" localSheetId="2" hidden="1">[16]Occ!#REF!</definedName>
    <definedName name="_25__123Graph_ECHART_22" localSheetId="4" hidden="1">[16]Occ!#REF!</definedName>
    <definedName name="_25__123Graph_ECHART_22" localSheetId="8" hidden="1">[16]Occ!#REF!</definedName>
    <definedName name="_25__123Graph_ECHART_22" localSheetId="6" hidden="1">[16]Occ!#REF!</definedName>
    <definedName name="_25__123Graph_ECHART_22" hidden="1">[16]Occ!#REF!</definedName>
    <definedName name="_25__FDSAUDITLINK__" localSheetId="4"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25__FDSAUDITLINK__" localSheetId="8"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25__FDSAUDITLINK__" localSheetId="6"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25__FDSAUDITLINK__"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26____123Graph_BCHART_3" localSheetId="2" hidden="1">#REF!</definedName>
    <definedName name="_26____123Graph_BCHART_3" localSheetId="8" hidden="1">#REF!</definedName>
    <definedName name="_26____123Graph_BCHART_3" hidden="1">#REF!</definedName>
    <definedName name="_26__123Graph_CCHART_15" localSheetId="2" hidden="1">[16]Occ!#REF!</definedName>
    <definedName name="_26__123Graph_CCHART_15" localSheetId="4" hidden="1">[16]Occ!#REF!</definedName>
    <definedName name="_26__123Graph_CCHART_15" localSheetId="8" hidden="1">[16]Occ!#REF!</definedName>
    <definedName name="_26__123Graph_CCHART_15" localSheetId="6" hidden="1">[16]Occ!#REF!</definedName>
    <definedName name="_26__123Graph_CCHART_15" hidden="1">[16]Occ!#REF!</definedName>
    <definedName name="_26__123Graph_FCHART_15" localSheetId="2" hidden="1">[16]Occ!#REF!</definedName>
    <definedName name="_26__123Graph_FCHART_15" localSheetId="4" hidden="1">[16]Occ!#REF!</definedName>
    <definedName name="_26__123Graph_FCHART_15" localSheetId="8" hidden="1">[16]Occ!#REF!</definedName>
    <definedName name="_26__123Graph_FCHART_15" localSheetId="6" hidden="1">[16]Occ!#REF!</definedName>
    <definedName name="_26__123Graph_FCHART_15" hidden="1">[16]Occ!#REF!</definedName>
    <definedName name="_26__FDSAUDITLINK__" localSheetId="4"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26__FDSAUDITLINK__" localSheetId="8"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26__FDSAUDITLINK__" localSheetId="6"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26__FDSAUDITLINK__"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27____123Graph_BCHART_1" hidden="1">#N/A</definedName>
    <definedName name="_27____123Graph_DCHART_1" hidden="1">#N/A</definedName>
    <definedName name="_27__123Graph_BCHART_15" localSheetId="2" hidden="1">[14]Occ!#REF!</definedName>
    <definedName name="_27__123Graph_BCHART_15" localSheetId="4" hidden="1">[14]Occ!#REF!</definedName>
    <definedName name="_27__123Graph_BCHART_15" localSheetId="8" hidden="1">[14]Occ!#REF!</definedName>
    <definedName name="_27__123Graph_BCHART_15" localSheetId="6" hidden="1">[14]Occ!#REF!</definedName>
    <definedName name="_27__123Graph_BCHART_15" hidden="1">[14]Occ!#REF!</definedName>
    <definedName name="_27__123Graph_FCHART_16" localSheetId="2" hidden="1">[16]Occ!#REF!</definedName>
    <definedName name="_27__123Graph_FCHART_16" localSheetId="4" hidden="1">[16]Occ!#REF!</definedName>
    <definedName name="_27__123Graph_FCHART_16" localSheetId="8" hidden="1">[16]Occ!#REF!</definedName>
    <definedName name="_27__123Graph_FCHART_16" localSheetId="6" hidden="1">[16]Occ!#REF!</definedName>
    <definedName name="_27__123Graph_FCHART_16" hidden="1">[16]Occ!#REF!</definedName>
    <definedName name="_27__FDSAUDITLINK__" localSheetId="4" hidden="1">{"fdsup://Directions/FactSet Auditing Viewer?action=AUDIT_VALUE&amp;DB=129&amp;ID1=604348&amp;VALUEID=03426&amp;SDATE=2008&amp;PERIODTYPE=ANN_STD&amp;window=popup_no_bar&amp;width=385&amp;height=120&amp;START_MAXIMIZED=FALSE&amp;creator=factset&amp;display_string=Audit"}</definedName>
    <definedName name="_27__FDSAUDITLINK__" localSheetId="8" hidden="1">{"fdsup://Directions/FactSet Auditing Viewer?action=AUDIT_VALUE&amp;DB=129&amp;ID1=604348&amp;VALUEID=03426&amp;SDATE=2008&amp;PERIODTYPE=ANN_STD&amp;window=popup_no_bar&amp;width=385&amp;height=120&amp;START_MAXIMIZED=FALSE&amp;creator=factset&amp;display_string=Audit"}</definedName>
    <definedName name="_27__FDSAUDITLINK__" localSheetId="6" hidden="1">{"fdsup://Directions/FactSet Auditing Viewer?action=AUDIT_VALUE&amp;DB=129&amp;ID1=604348&amp;VALUEID=03426&amp;SDATE=2008&amp;PERIODTYPE=ANN_STD&amp;window=popup_no_bar&amp;width=385&amp;height=120&amp;START_MAXIMIZED=FALSE&amp;creator=factset&amp;display_string=Audit"}</definedName>
    <definedName name="_27__FDSAUDITLINK__" hidden="1">{"fdsup://Directions/FactSet Auditing Viewer?action=AUDIT_VALUE&amp;DB=129&amp;ID1=604348&amp;VALUEID=03426&amp;SDATE=2008&amp;PERIODTYPE=ANN_STD&amp;window=popup_no_bar&amp;width=385&amp;height=120&amp;START_MAXIMIZED=FALSE&amp;creator=factset&amp;display_string=Audit"}</definedName>
    <definedName name="_27_0_0_F" localSheetId="2" hidden="1">'[23]1999 BUDGET'!#REF!</definedName>
    <definedName name="_27_0_0_F" localSheetId="4" hidden="1">'[23]1999 BUDGET'!#REF!</definedName>
    <definedName name="_27_0_0_F" localSheetId="8" hidden="1">'[23]1999 BUDGET'!#REF!</definedName>
    <definedName name="_27_0_0_F" localSheetId="6" hidden="1">'[23]1999 BUDGET'!#REF!</definedName>
    <definedName name="_27_0_0_F" hidden="1">'[23]1999 BUDGET'!#REF!</definedName>
    <definedName name="_28____123Graph_ACHART_1" hidden="1">#N/A</definedName>
    <definedName name="_28____123Graph_LBL_ACHART_1" hidden="1">#N/A</definedName>
    <definedName name="_28__123Graph_CCHART_16" localSheetId="2" hidden="1">[16]Occ!#REF!</definedName>
    <definedName name="_28__123Graph_CCHART_16" localSheetId="4" hidden="1">[16]Occ!#REF!</definedName>
    <definedName name="_28__123Graph_CCHART_16" localSheetId="8" hidden="1">[16]Occ!#REF!</definedName>
    <definedName name="_28__123Graph_CCHART_16" localSheetId="6" hidden="1">[16]Occ!#REF!</definedName>
    <definedName name="_28__123Graph_CCHART_16" hidden="1">[16]Occ!#REF!</definedName>
    <definedName name="_28__123Graph_FCHART_17" localSheetId="2" hidden="1">[16]Occ!#REF!</definedName>
    <definedName name="_28__123Graph_FCHART_17" localSheetId="4" hidden="1">[16]Occ!#REF!</definedName>
    <definedName name="_28__123Graph_FCHART_17" localSheetId="8" hidden="1">[16]Occ!#REF!</definedName>
    <definedName name="_28__123Graph_FCHART_17" localSheetId="6" hidden="1">[16]Occ!#REF!</definedName>
    <definedName name="_28__123Graph_FCHART_17" hidden="1">[16]Occ!#REF!</definedName>
    <definedName name="_28__FDSAUDITLINK__" localSheetId="4"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28__FDSAUDITLINK__" localSheetId="8"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28__FDSAUDITLINK__" localSheetId="6"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28__FDSAUDITLINK__"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28_0_0_F" localSheetId="2" hidden="1">'[22]1999 BUDGET'!#REF!</definedName>
    <definedName name="_28_0_0_F" localSheetId="4" hidden="1">'[22]1999 BUDGET'!#REF!</definedName>
    <definedName name="_28_0_0_F" localSheetId="8" hidden="1">'[22]1999 BUDGET'!#REF!</definedName>
    <definedName name="_28_0_0_F" localSheetId="6" hidden="1">'[22]1999 BUDGET'!#REF!</definedName>
    <definedName name="_28_0_0_F" hidden="1">'[22]1999 BUDGET'!#REF!</definedName>
    <definedName name="_29____123Graph_LBL_ACHART_3" localSheetId="2" hidden="1">#REF!</definedName>
    <definedName name="_29____123Graph_LBL_ACHART_3" localSheetId="8" hidden="1">#REF!</definedName>
    <definedName name="_29____123Graph_LBL_ACHART_3" hidden="1">#REF!</definedName>
    <definedName name="_29__123Graph_FCHART_22" localSheetId="2" hidden="1">[16]Occ!#REF!</definedName>
    <definedName name="_29__123Graph_FCHART_22" localSheetId="4" hidden="1">[16]Occ!#REF!</definedName>
    <definedName name="_29__123Graph_FCHART_22" localSheetId="8" hidden="1">[16]Occ!#REF!</definedName>
    <definedName name="_29__123Graph_FCHART_22" localSheetId="6" hidden="1">[16]Occ!#REF!</definedName>
    <definedName name="_29__123Graph_FCHART_22" hidden="1">[16]Occ!#REF!</definedName>
    <definedName name="_29__FDSAUDITLINK__" localSheetId="4"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29__FDSAUDITLINK__" localSheetId="8"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29__FDSAUDITLINK__" localSheetId="6"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29__FDSAUDITLINK__"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29_0_0_F" localSheetId="2" hidden="1">'[23]1999 BUDGET'!#REF!</definedName>
    <definedName name="_29_0_0_F" localSheetId="4" hidden="1">'[23]1999 BUDGET'!#REF!</definedName>
    <definedName name="_29_0_0_F" localSheetId="8" hidden="1">'[23]1999 BUDGET'!#REF!</definedName>
    <definedName name="_29_0_0_F" localSheetId="6" hidden="1">'[23]1999 BUDGET'!#REF!</definedName>
    <definedName name="_29_0_0_F" hidden="1">'[23]1999 BUDGET'!#REF!</definedName>
    <definedName name="_2ƒ0Swvu.Sommai" localSheetId="2" hidden="1">'[25]#REF'!#REF!,'[25]#REF'!#REF!,'[25]#REF'!#REF!,'[25]#REF'!#REF!,'[25]#REF'!#REF!,'[25]#REF'!$F$1:$G$65536</definedName>
    <definedName name="_2ƒ0Swvu.Sommai" localSheetId="4" hidden="1">'[25]#REF'!#REF!,'[25]#REF'!#REF!,'[25]#REF'!#REF!,'[25]#REF'!#REF!,'[25]#REF'!#REF!,'[25]#REF'!$F$1:$G$65536</definedName>
    <definedName name="_2ƒ0Swvu.Sommai" localSheetId="8" hidden="1">'[25]#REF'!#REF!,'[25]#REF'!#REF!,'[25]#REF'!#REF!,'[25]#REF'!#REF!,'[25]#REF'!#REF!,'[25]#REF'!$F$1:$G$65536</definedName>
    <definedName name="_2ƒ0Swvu.Sommai" localSheetId="6" hidden="1">'[25]#REF'!#REF!,'[25]#REF'!#REF!,'[25]#REF'!#REF!,'[25]#REF'!#REF!,'[25]#REF'!#REF!,'[25]#REF'!$F$1:$G$65536</definedName>
    <definedName name="_2ƒ0Swvu.Sommai" hidden="1">'[25]#REF'!#REF!,'[25]#REF'!#REF!,'[25]#REF'!#REF!,'[25]#REF'!#REF!,'[25]#REF'!#REF!,'[25]#REF'!$F$1:$G$65536</definedName>
    <definedName name="_2S" localSheetId="2" hidden="1">'[24]1999 BUDGET'!#REF!</definedName>
    <definedName name="_2S" localSheetId="4" hidden="1">'[24]1999 BUDGET'!#REF!</definedName>
    <definedName name="_2S" localSheetId="8" hidden="1">'[24]1999 BUDGET'!#REF!</definedName>
    <definedName name="_2S" localSheetId="6" hidden="1">'[24]1999 BUDGET'!#REF!</definedName>
    <definedName name="_2S" hidden="1">'[24]1999 BUDGET'!#REF!</definedName>
    <definedName name="_3__123Graph_ACHART_12" localSheetId="2" hidden="1">[14]Demand!#REF!</definedName>
    <definedName name="_3__123Graph_ACHART_12" localSheetId="4" hidden="1">[14]Demand!#REF!</definedName>
    <definedName name="_3__123Graph_ACHART_12" localSheetId="8" hidden="1">[14]Demand!#REF!</definedName>
    <definedName name="_3__123Graph_ACHART_12" localSheetId="6" hidden="1">[14]Demand!#REF!</definedName>
    <definedName name="_3__123Graph_ACHART_12" hidden="1">[14]Demand!#REF!</definedName>
    <definedName name="_3__123Graph_ACHART_16" localSheetId="2" hidden="1">[16]Occ!#REF!</definedName>
    <definedName name="_3__123Graph_ACHART_16" localSheetId="4" hidden="1">[16]Occ!#REF!</definedName>
    <definedName name="_3__123Graph_ACHART_16" localSheetId="8" hidden="1">[16]Occ!#REF!</definedName>
    <definedName name="_3__123Graph_ACHART_16" localSheetId="6" hidden="1">[16]Occ!#REF!</definedName>
    <definedName name="_3__123Graph_ACHART_16" hidden="1">[16]Occ!#REF!</definedName>
    <definedName name="_3__123Graph_ACHART_1A" hidden="1">'[17]WATER RATES'!$C$9:$C$31</definedName>
    <definedName name="_3__123Graph_ACHART_5" hidden="1">[18]Expiration!$C$139:$C$143</definedName>
    <definedName name="_3__123Graph_BCHART_1" hidden="1">[27]A!$E$135:$E$141</definedName>
    <definedName name="_3__123Graph_BCHART_1A" hidden="1">'[17]WATER RATES'!$E$9:$E$31</definedName>
    <definedName name="_3__123Graph_CCHART_2" hidden="1">#N/A</definedName>
    <definedName name="_3__123Graph_XCHART_1" hidden="1">'[15]RANDOM 1997'!$B$3:$BA$3</definedName>
    <definedName name="_3__FDSAUDITLINK__" localSheetId="4"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3__FDSAUDITLINK__" localSheetId="8"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3__FDSAUDITLINK__" localSheetId="6"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3__FDSAUDITLINK__"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30____123Graph_LBL_DCHART_1" hidden="1">#N/A</definedName>
    <definedName name="_30__123Graph_ACHART_3" localSheetId="2" hidden="1">#REF!</definedName>
    <definedName name="_30__123Graph_ACHART_3" localSheetId="8" hidden="1">#REF!</definedName>
    <definedName name="_30__123Graph_ACHART_3" hidden="1">#REF!</definedName>
    <definedName name="_30__123Graph_BCHART_16" localSheetId="2" hidden="1">[14]Occ!#REF!</definedName>
    <definedName name="_30__123Graph_BCHART_16" localSheetId="4" hidden="1">[14]Occ!#REF!</definedName>
    <definedName name="_30__123Graph_BCHART_16" localSheetId="8" hidden="1">[14]Occ!#REF!</definedName>
    <definedName name="_30__123Graph_BCHART_16" localSheetId="6" hidden="1">[14]Occ!#REF!</definedName>
    <definedName name="_30__123Graph_BCHART_16" hidden="1">[14]Occ!#REF!</definedName>
    <definedName name="_30__123Graph_CCHART_17" localSheetId="2" hidden="1">[16]Occ!#REF!</definedName>
    <definedName name="_30__123Graph_CCHART_17" localSheetId="4" hidden="1">[16]Occ!#REF!</definedName>
    <definedName name="_30__123Graph_CCHART_17" localSheetId="8" hidden="1">[16]Occ!#REF!</definedName>
    <definedName name="_30__123Graph_CCHART_17" localSheetId="6" hidden="1">[16]Occ!#REF!</definedName>
    <definedName name="_30__123Graph_CCHART_17" hidden="1">[16]Occ!#REF!</definedName>
    <definedName name="_30__123Graph_XCHART_15" localSheetId="2" hidden="1">[16]Occ!#REF!</definedName>
    <definedName name="_30__123Graph_XCHART_15" localSheetId="4" hidden="1">[16]Occ!#REF!</definedName>
    <definedName name="_30__123Graph_XCHART_15" localSheetId="8" hidden="1">[16]Occ!#REF!</definedName>
    <definedName name="_30__123Graph_XCHART_15" localSheetId="6" hidden="1">[16]Occ!#REF!</definedName>
    <definedName name="_30__123Graph_XCHART_15" hidden="1">[16]Occ!#REF!</definedName>
    <definedName name="_30__FDSAUDITLINK__" localSheetId="4"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30__FDSAUDITLINK__" localSheetId="8"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30__FDSAUDITLINK__" localSheetId="6"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30__FDSAUDITLINK__"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31____123Graph_BCHART_1" hidden="1">#N/A</definedName>
    <definedName name="_31____123Graph_DCHART_1" hidden="1">#N/A</definedName>
    <definedName name="_31__123Graph_BCHART_1" hidden="1">#N/A</definedName>
    <definedName name="_31__123Graph_XCHART_16" localSheetId="2" hidden="1">[16]Occ!#REF!</definedName>
    <definedName name="_31__123Graph_XCHART_16" localSheetId="4" hidden="1">[16]Occ!#REF!</definedName>
    <definedName name="_31__123Graph_XCHART_16" localSheetId="8" hidden="1">[16]Occ!#REF!</definedName>
    <definedName name="_31__123Graph_XCHART_16" localSheetId="6" hidden="1">[16]Occ!#REF!</definedName>
    <definedName name="_31__123Graph_XCHART_16" hidden="1">[16]Occ!#REF!</definedName>
    <definedName name="_31__FDSAUDITLINK__" localSheetId="4"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31__FDSAUDITLINK__" localSheetId="8"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31__FDSAUDITLINK__" localSheetId="6"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31__FDSAUDITLINK__"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32____123Graph_LBL_ACHART_1" hidden="1">#N/A</definedName>
    <definedName name="_32__123Graph_CCHART_22" localSheetId="2" hidden="1">[16]Occ!#REF!</definedName>
    <definedName name="_32__123Graph_CCHART_22" localSheetId="4" hidden="1">[16]Occ!#REF!</definedName>
    <definedName name="_32__123Graph_CCHART_22" localSheetId="8" hidden="1">[16]Occ!#REF!</definedName>
    <definedName name="_32__123Graph_CCHART_22" localSheetId="6" hidden="1">[16]Occ!#REF!</definedName>
    <definedName name="_32__123Graph_CCHART_22" hidden="1">[16]Occ!#REF!</definedName>
    <definedName name="_32__123Graph_XCHART_17" localSheetId="2" hidden="1">[16]Occ!#REF!</definedName>
    <definedName name="_32__123Graph_XCHART_17" localSheetId="4" hidden="1">[16]Occ!#REF!</definedName>
    <definedName name="_32__123Graph_XCHART_17" localSheetId="8" hidden="1">[16]Occ!#REF!</definedName>
    <definedName name="_32__123Graph_XCHART_17" localSheetId="6" hidden="1">[16]Occ!#REF!</definedName>
    <definedName name="_32__123Graph_XCHART_17" hidden="1">[16]Occ!#REF!</definedName>
    <definedName name="_32__FDSAUDITLINK__" localSheetId="4"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32__FDSAUDITLINK__" localSheetId="8"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32__FDSAUDITLINK__" localSheetId="6"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32__FDSAUDITLINK__"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33__123Graph_BCHART_17" localSheetId="2" hidden="1">[14]Occ!#REF!</definedName>
    <definedName name="_33__123Graph_BCHART_17" localSheetId="4" hidden="1">[14]Occ!#REF!</definedName>
    <definedName name="_33__123Graph_BCHART_17" localSheetId="8" hidden="1">[14]Occ!#REF!</definedName>
    <definedName name="_33__123Graph_BCHART_17" localSheetId="6" hidden="1">[14]Occ!#REF!</definedName>
    <definedName name="_33__123Graph_BCHART_17" hidden="1">[14]Occ!#REF!</definedName>
    <definedName name="_33__123Graph_XCHART_18" localSheetId="2" hidden="1">[16]Demand!#REF!</definedName>
    <definedName name="_33__123Graph_XCHART_18" localSheetId="4" hidden="1">[16]Demand!#REF!</definedName>
    <definedName name="_33__123Graph_XCHART_18" localSheetId="8" hidden="1">[16]Demand!#REF!</definedName>
    <definedName name="_33__123Graph_XCHART_18" localSheetId="6" hidden="1">[16]Demand!#REF!</definedName>
    <definedName name="_33__123Graph_XCHART_18" hidden="1">[16]Demand!#REF!</definedName>
    <definedName name="_33__FDSAUDITLINK__" localSheetId="4"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33__FDSAUDITLINK__" localSheetId="8"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33__FDSAUDITLINK__" localSheetId="6"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33__FDSAUDITLINK__"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33_0_0_S" localSheetId="2" hidden="1">'[20]1999 BUDGET'!#REF!</definedName>
    <definedName name="_33_0_0_S" localSheetId="4" hidden="1">'[20]1999 BUDGET'!#REF!</definedName>
    <definedName name="_33_0_0_S" localSheetId="8" hidden="1">'[20]1999 BUDGET'!#REF!</definedName>
    <definedName name="_33_0_0_S" localSheetId="6" hidden="1">'[20]1999 BUDGET'!#REF!</definedName>
    <definedName name="_33_0_0_S" hidden="1">'[20]1999 BUDGET'!#REF!</definedName>
    <definedName name="_34____123Graph_DCHART_1" hidden="1">#N/A</definedName>
    <definedName name="_34__123Graph_CSEG_PIE" localSheetId="2" hidden="1">[16]Demand!#REF!</definedName>
    <definedName name="_34__123Graph_CSEG_PIE" localSheetId="4" hidden="1">[16]Demand!#REF!</definedName>
    <definedName name="_34__123Graph_CSEG_PIE" localSheetId="8" hidden="1">[16]Demand!#REF!</definedName>
    <definedName name="_34__123Graph_CSEG_PIE" localSheetId="6" hidden="1">[16]Demand!#REF!</definedName>
    <definedName name="_34__123Graph_CSEG_PIE" hidden="1">[16]Demand!#REF!</definedName>
    <definedName name="_34__123Graph_XCHART_19" localSheetId="2" hidden="1">[16]Demand!#REF!</definedName>
    <definedName name="_34__123Graph_XCHART_19" localSheetId="4" hidden="1">[16]Demand!#REF!</definedName>
    <definedName name="_34__123Graph_XCHART_19" localSheetId="8" hidden="1">[16]Demand!#REF!</definedName>
    <definedName name="_34__123Graph_XCHART_19" localSheetId="6" hidden="1">[16]Demand!#REF!</definedName>
    <definedName name="_34__123Graph_XCHART_19" hidden="1">[16]Demand!#REF!</definedName>
    <definedName name="_34__FDSAUDITLINK__" localSheetId="4"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34__FDSAUDITLINK__" localSheetId="8"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34__FDSAUDITLINK__" localSheetId="6"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34__FDSAUDITLINK__"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35____123Graph_LBL_ACHART_1" hidden="1">#N/A</definedName>
    <definedName name="_35__123Graph_XCHART_22" localSheetId="2" hidden="1">[16]Occ!#REF!</definedName>
    <definedName name="_35__123Graph_XCHART_22" localSheetId="4" hidden="1">[16]Occ!#REF!</definedName>
    <definedName name="_35__123Graph_XCHART_22" localSheetId="8" hidden="1">[16]Occ!#REF!</definedName>
    <definedName name="_35__123Graph_XCHART_22" localSheetId="6" hidden="1">[16]Occ!#REF!</definedName>
    <definedName name="_35__123Graph_XCHART_22" hidden="1">[16]Occ!#REF!</definedName>
    <definedName name="_35__FDSAUDITLINK__" localSheetId="4"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35__FDSAUDITLINK__" localSheetId="8"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35__FDSAUDITLINK__" localSheetId="6"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35__FDSAUDITLINK__"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36____123Graph_LBL_DCHART_1" hidden="1">#N/A</definedName>
    <definedName name="_36__123Graph_BCHART_22" localSheetId="2" hidden="1">[14]Occ!#REF!</definedName>
    <definedName name="_36__123Graph_BCHART_22" localSheetId="4" hidden="1">[14]Occ!#REF!</definedName>
    <definedName name="_36__123Graph_BCHART_22" localSheetId="8" hidden="1">[14]Occ!#REF!</definedName>
    <definedName name="_36__123Graph_BCHART_22" localSheetId="6" hidden="1">[14]Occ!#REF!</definedName>
    <definedName name="_36__123Graph_BCHART_22" hidden="1">[14]Occ!#REF!</definedName>
    <definedName name="_36__123Graph_DCHART_15" localSheetId="2" hidden="1">[16]Occ!#REF!</definedName>
    <definedName name="_36__123Graph_DCHART_15" localSheetId="4" hidden="1">[16]Occ!#REF!</definedName>
    <definedName name="_36__123Graph_DCHART_15" localSheetId="8" hidden="1">[16]Occ!#REF!</definedName>
    <definedName name="_36__123Graph_DCHART_15" localSheetId="6" hidden="1">[16]Occ!#REF!</definedName>
    <definedName name="_36__123Graph_DCHART_15" hidden="1">[16]Occ!#REF!</definedName>
    <definedName name="_36__123Graph_XSEG_PIE" localSheetId="2" hidden="1">[16]Demand!#REF!</definedName>
    <definedName name="_36__123Graph_XSEG_PIE" localSheetId="4" hidden="1">[16]Demand!#REF!</definedName>
    <definedName name="_36__123Graph_XSEG_PIE" localSheetId="8" hidden="1">[16]Demand!#REF!</definedName>
    <definedName name="_36__123Graph_XSEG_PIE" localSheetId="6" hidden="1">[16]Demand!#REF!</definedName>
    <definedName name="_36__123Graph_XSEG_PIE" hidden="1">[16]Demand!#REF!</definedName>
    <definedName name="_36__FDSAUDITLINK__" localSheetId="4"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36__FDSAUDITLINK__" localSheetId="8"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36__FDSAUDITLINK__" localSheetId="6"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36__FDSAUDITLINK__"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37__123Graph_BCHART_3" localSheetId="2" hidden="1">#REF!</definedName>
    <definedName name="_37__123Graph_BCHART_3" localSheetId="8" hidden="1">#REF!</definedName>
    <definedName name="_37__123Graph_BCHART_3" hidden="1">#REF!</definedName>
    <definedName name="_37__FDSAUDITLINK__" localSheetId="4"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37__FDSAUDITLINK__" localSheetId="8"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37__FDSAUDITLINK__" localSheetId="6"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37__FDSAUDITLINK__"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38____123Graph_LBL_DCHART_1" hidden="1">#N/A</definedName>
    <definedName name="_38__123Graph_DCHART_1" hidden="1">#N/A</definedName>
    <definedName name="_38__123Graph_DCHART_16" localSheetId="2" hidden="1">[16]Occ!#REF!</definedName>
    <definedName name="_38__123Graph_DCHART_16" localSheetId="4" hidden="1">[16]Occ!#REF!</definedName>
    <definedName name="_38__123Graph_DCHART_16" localSheetId="8" hidden="1">[16]Occ!#REF!</definedName>
    <definedName name="_38__123Graph_DCHART_16" localSheetId="6" hidden="1">[16]Occ!#REF!</definedName>
    <definedName name="_38__123Graph_DCHART_16" hidden="1">[16]Occ!#REF!</definedName>
    <definedName name="_38__FDSAUDITLINK__" localSheetId="4"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38__FDSAUDITLINK__" localSheetId="8"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38__FDSAUDITLINK__" localSheetId="6"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38__FDSAUDITLINK__"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39__123Graph_CCHART_15" localSheetId="2" hidden="1">[14]Occ!#REF!</definedName>
    <definedName name="_39__123Graph_CCHART_15" localSheetId="4" hidden="1">[14]Occ!#REF!</definedName>
    <definedName name="_39__123Graph_CCHART_15" localSheetId="8" hidden="1">[14]Occ!#REF!</definedName>
    <definedName name="_39__123Graph_CCHART_15" localSheetId="6" hidden="1">[14]Occ!#REF!</definedName>
    <definedName name="_39__123Graph_CCHART_15" hidden="1">[14]Occ!#REF!</definedName>
    <definedName name="_39__123Graph_LBL_ACHART_1" hidden="1">#N/A</definedName>
    <definedName name="_39__FDSAUDITLINK__" localSheetId="4" hidden="1">{"fdsup://Directions/FactSet Auditing Viewer?action=AUDIT_VALUE&amp;DB=129&amp;ID1=604348&amp;VALUEID=02001&amp;SDATE=2008&amp;PERIODTYPE=ANN_STD&amp;window=popup_no_bar&amp;width=385&amp;height=120&amp;START_MAXIMIZED=FALSE&amp;creator=factset&amp;display_string=Audit"}</definedName>
    <definedName name="_39__FDSAUDITLINK__" localSheetId="8" hidden="1">{"fdsup://Directions/FactSet Auditing Viewer?action=AUDIT_VALUE&amp;DB=129&amp;ID1=604348&amp;VALUEID=02001&amp;SDATE=2008&amp;PERIODTYPE=ANN_STD&amp;window=popup_no_bar&amp;width=385&amp;height=120&amp;START_MAXIMIZED=FALSE&amp;creator=factset&amp;display_string=Audit"}</definedName>
    <definedName name="_39__FDSAUDITLINK__" localSheetId="6" hidden="1">{"fdsup://Directions/FactSet Auditing Viewer?action=AUDIT_VALUE&amp;DB=129&amp;ID1=604348&amp;VALUEID=02001&amp;SDATE=2008&amp;PERIODTYPE=ANN_STD&amp;window=popup_no_bar&amp;width=385&amp;height=120&amp;START_MAXIMIZED=FALSE&amp;creator=factset&amp;display_string=Audit"}</definedName>
    <definedName name="_39__FDSAUDITLINK__" hidden="1">{"fdsup://Directions/FactSet Auditing Viewer?action=AUDIT_VALUE&amp;DB=129&amp;ID1=604348&amp;VALUEID=02001&amp;SDATE=2008&amp;PERIODTYPE=ANN_STD&amp;window=popup_no_bar&amp;width=385&amp;height=120&amp;START_MAXIMIZED=FALSE&amp;creator=factset&amp;display_string=Audit"}</definedName>
    <definedName name="_3p0Rwvu.Sommai" localSheetId="2" hidden="1">'[25]#REF'!#REF!,'[25]#REF'!#REF!,'[25]#REF'!#REF!,'[25]#REF'!#REF!,'[25]#REF'!$F$1:$G$65536</definedName>
    <definedName name="_3p0Rwvu.Sommai" localSheetId="4" hidden="1">'[25]#REF'!#REF!,'[25]#REF'!#REF!,'[25]#REF'!#REF!,'[25]#REF'!#REF!,'[25]#REF'!$F$1:$G$65536</definedName>
    <definedName name="_3p0Rwvu.Sommai" localSheetId="8" hidden="1">'[25]#REF'!#REF!,'[25]#REF'!#REF!,'[25]#REF'!#REF!,'[25]#REF'!#REF!,'[25]#REF'!$F$1:$G$65536</definedName>
    <definedName name="_3p0Rwvu.Sommai" localSheetId="6" hidden="1">'[25]#REF'!#REF!,'[25]#REF'!#REF!,'[25]#REF'!#REF!,'[25]#REF'!#REF!,'[25]#REF'!$F$1:$G$65536</definedName>
    <definedName name="_3p0Rwvu.Sommai" hidden="1">'[25]#REF'!#REF!,'[25]#REF'!#REF!,'[25]#REF'!#REF!,'[25]#REF'!#REF!,'[25]#REF'!$F$1:$G$65536</definedName>
    <definedName name="_3S" localSheetId="2" hidden="1">'[19]1999 BUDGET'!#REF!</definedName>
    <definedName name="_3S" localSheetId="4" hidden="1">'[19]1999 BUDGET'!#REF!</definedName>
    <definedName name="_3S" localSheetId="8" hidden="1">'[19]1999 BUDGET'!#REF!</definedName>
    <definedName name="_3S" localSheetId="6" hidden="1">'[19]1999 BUDGET'!#REF!</definedName>
    <definedName name="_3S" hidden="1">'[19]1999 BUDGET'!#REF!</definedName>
    <definedName name="_4__123Graph_ACHART_15" localSheetId="2" hidden="1">[16]Occ!#REF!</definedName>
    <definedName name="_4__123Graph_ACHART_15" localSheetId="4" hidden="1">[16]Occ!#REF!</definedName>
    <definedName name="_4__123Graph_ACHART_15" localSheetId="8" hidden="1">[16]Occ!#REF!</definedName>
    <definedName name="_4__123Graph_ACHART_15" localSheetId="6" hidden="1">[16]Occ!#REF!</definedName>
    <definedName name="_4__123Graph_ACHART_15" hidden="1">[16]Occ!#REF!</definedName>
    <definedName name="_4__123Graph_ACHART_17" localSheetId="2" hidden="1">[16]Occ!#REF!</definedName>
    <definedName name="_4__123Graph_ACHART_17" localSheetId="4" hidden="1">[16]Occ!#REF!</definedName>
    <definedName name="_4__123Graph_ACHART_17" localSheetId="8" hidden="1">[16]Occ!#REF!</definedName>
    <definedName name="_4__123Graph_ACHART_17" localSheetId="6" hidden="1">[16]Occ!#REF!</definedName>
    <definedName name="_4__123Graph_ACHART_17" hidden="1">[16]Occ!#REF!</definedName>
    <definedName name="_4__123Graph_ACHART_6" hidden="1">[18]Expiration!$F$139:$F$143</definedName>
    <definedName name="_4__123Graph_BCHART_2A" hidden="1">'[17]WATER RATES'!$E$9:$E$29</definedName>
    <definedName name="_4__123Graph_XCHART_1" hidden="1">'[28]REITs &amp; S&amp;P'!$D$11:$D$31</definedName>
    <definedName name="_4__123Graph_XCHART_2" hidden="1">#N/A</definedName>
    <definedName name="_4__FDSAUDITLINK__" localSheetId="4"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4__FDSAUDITLINK__" localSheetId="8"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4__FDSAUDITLINK__" localSheetId="6"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4__FDSAUDITLINK__"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4_0_S" localSheetId="2" hidden="1">'[24]1999 BUDGET'!#REF!</definedName>
    <definedName name="_4_0_S" localSheetId="4" hidden="1">'[24]1999 BUDGET'!#REF!</definedName>
    <definedName name="_4_0_S" localSheetId="8" hidden="1">'[24]1999 BUDGET'!#REF!</definedName>
    <definedName name="_4_0_S" localSheetId="6" hidden="1">'[24]1999 BUDGET'!#REF!</definedName>
    <definedName name="_4_0_S" hidden="1">'[24]1999 BUDGET'!#REF!</definedName>
    <definedName name="_40__123Graph_DCHART_17" localSheetId="2" hidden="1">[16]Occ!#REF!</definedName>
    <definedName name="_40__123Graph_DCHART_17" localSheetId="4" hidden="1">[16]Occ!#REF!</definedName>
    <definedName name="_40__123Graph_DCHART_17" localSheetId="8" hidden="1">[16]Occ!#REF!</definedName>
    <definedName name="_40__123Graph_DCHART_17" localSheetId="6" hidden="1">[16]Occ!#REF!</definedName>
    <definedName name="_40__123Graph_DCHART_17" hidden="1">[16]Occ!#REF!</definedName>
    <definedName name="_40__FDSAUDITLINK__" localSheetId="4"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40__FDSAUDITLINK__" localSheetId="8"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40__FDSAUDITLINK__" localSheetId="6"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40__FDSAUDITLINK__"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40_0_0_S" localSheetId="2" hidden="1">'[2]1999 BUDGET'!#REF!</definedName>
    <definedName name="_40_0_0_S" localSheetId="4" hidden="1">'[2]1999 BUDGET'!#REF!</definedName>
    <definedName name="_40_0_0_S" localSheetId="8" hidden="1">'[2]1999 BUDGET'!#REF!</definedName>
    <definedName name="_40_0_0_S" localSheetId="6" hidden="1">'[2]1999 BUDGET'!#REF!</definedName>
    <definedName name="_40_0_0_S" hidden="1">'[2]1999 BUDGET'!#REF!</definedName>
    <definedName name="_41__FDSAUDITLINK__" localSheetId="4"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41__FDSAUDITLINK__" localSheetId="8"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41__FDSAUDITLINK__" localSheetId="6"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41__FDSAUDITLINK__"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41_0_0_S" localSheetId="2" hidden="1">'[20]1999 BUDGET'!#REF!</definedName>
    <definedName name="_41_0_0_S" localSheetId="4" hidden="1">'[20]1999 BUDGET'!#REF!</definedName>
    <definedName name="_41_0_0_S" localSheetId="8" hidden="1">'[20]1999 BUDGET'!#REF!</definedName>
    <definedName name="_41_0_0_S" localSheetId="6" hidden="1">'[20]1999 BUDGET'!#REF!</definedName>
    <definedName name="_41_0_0_S" hidden="1">'[20]1999 BUDGET'!#REF!</definedName>
    <definedName name="_42__123Graph_CCHART_16" localSheetId="2" hidden="1">[14]Occ!#REF!</definedName>
    <definedName name="_42__123Graph_CCHART_16" localSheetId="4" hidden="1">[14]Occ!#REF!</definedName>
    <definedName name="_42__123Graph_CCHART_16" localSheetId="8" hidden="1">[14]Occ!#REF!</definedName>
    <definedName name="_42__123Graph_CCHART_16" localSheetId="6" hidden="1">[14]Occ!#REF!</definedName>
    <definedName name="_42__123Graph_CCHART_16" hidden="1">[14]Occ!#REF!</definedName>
    <definedName name="_42__123Graph_DCHART_22" localSheetId="2" hidden="1">[16]Occ!#REF!</definedName>
    <definedName name="_42__123Graph_DCHART_22" localSheetId="4" hidden="1">[16]Occ!#REF!</definedName>
    <definedName name="_42__123Graph_DCHART_22" localSheetId="8" hidden="1">[16]Occ!#REF!</definedName>
    <definedName name="_42__123Graph_DCHART_22" localSheetId="6" hidden="1">[16]Occ!#REF!</definedName>
    <definedName name="_42__123Graph_DCHART_22" hidden="1">[16]Occ!#REF!</definedName>
    <definedName name="_42__FDSAUDITLINK__" localSheetId="4"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42__FDSAUDITLINK__" localSheetId="8"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42__FDSAUDITLINK__" localSheetId="6"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42__FDSAUDITLINK__"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42_0_0_S" localSheetId="2" hidden="1">'[2]1999 BUDGET'!#REF!</definedName>
    <definedName name="_42_0_0_S" localSheetId="4" hidden="1">'[2]1999 BUDGET'!#REF!</definedName>
    <definedName name="_42_0_0_S" localSheetId="8" hidden="1">'[2]1999 BUDGET'!#REF!</definedName>
    <definedName name="_42_0_0_S" localSheetId="6" hidden="1">'[2]1999 BUDGET'!#REF!</definedName>
    <definedName name="_42_0_0_S" hidden="1">'[2]1999 BUDGET'!#REF!</definedName>
    <definedName name="_43__FDSAUDITLINK__" localSheetId="4"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43__FDSAUDITLINK__" localSheetId="8"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43__FDSAUDITLINK__" localSheetId="6"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43__FDSAUDITLINK__"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44__123Graph_ECHART_15" localSheetId="2" hidden="1">[16]Occ!#REF!</definedName>
    <definedName name="_44__123Graph_ECHART_15" localSheetId="4" hidden="1">[16]Occ!#REF!</definedName>
    <definedName name="_44__123Graph_ECHART_15" localSheetId="8" hidden="1">[16]Occ!#REF!</definedName>
    <definedName name="_44__123Graph_ECHART_15" localSheetId="6" hidden="1">[16]Occ!#REF!</definedName>
    <definedName name="_44__123Graph_ECHART_15" hidden="1">[16]Occ!#REF!</definedName>
    <definedName name="_44__FDSAUDITLINK__" localSheetId="4"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44__FDSAUDITLINK__" localSheetId="8"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44__FDSAUDITLINK__" localSheetId="6"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44__FDSAUDITLINK__"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45__123Graph_CCHART_17" localSheetId="2" hidden="1">[14]Occ!#REF!</definedName>
    <definedName name="_45__123Graph_CCHART_17" localSheetId="4" hidden="1">[14]Occ!#REF!</definedName>
    <definedName name="_45__123Graph_CCHART_17" localSheetId="8" hidden="1">[14]Occ!#REF!</definedName>
    <definedName name="_45__123Graph_CCHART_17" localSheetId="6" hidden="1">[14]Occ!#REF!</definedName>
    <definedName name="_45__123Graph_CCHART_17" hidden="1">[14]Occ!#REF!</definedName>
    <definedName name="_45__123Graph_LBL_ACHART_3" localSheetId="2" hidden="1">#REF!</definedName>
    <definedName name="_45__123Graph_LBL_ACHART_3" localSheetId="8" hidden="1">#REF!</definedName>
    <definedName name="_45__123Graph_LBL_ACHART_3" hidden="1">#REF!</definedName>
    <definedName name="_45__FDSAUDITLINK__" localSheetId="4"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45__FDSAUDITLINK__" localSheetId="8"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45__FDSAUDITLINK__" localSheetId="6"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45__FDSAUDITLINK__"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46__123Graph_ECHART_16" localSheetId="2" hidden="1">[16]Occ!#REF!</definedName>
    <definedName name="_46__123Graph_ECHART_16" localSheetId="4" hidden="1">[16]Occ!#REF!</definedName>
    <definedName name="_46__123Graph_ECHART_16" localSheetId="8" hidden="1">[16]Occ!#REF!</definedName>
    <definedName name="_46__123Graph_ECHART_16" localSheetId="6" hidden="1">[16]Occ!#REF!</definedName>
    <definedName name="_46__123Graph_ECHART_16" hidden="1">[16]Occ!#REF!</definedName>
    <definedName name="_46__123Graph_LBL_DCHART_1" hidden="1">#N/A</definedName>
    <definedName name="_46__FDSAUDITLINK__" localSheetId="4"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46__FDSAUDITLINK__" localSheetId="8"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46__FDSAUDITLINK__" localSheetId="6"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46__FDSAUDITLINK__"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47__FDSAUDITLINK__" localSheetId="4"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47__FDSAUDITLINK__" localSheetId="8"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47__FDSAUDITLINK__" localSheetId="6"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47__FDSAUDITLINK__"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48__123Graph_CCHART_22" localSheetId="2" hidden="1">[14]Occ!#REF!</definedName>
    <definedName name="_48__123Graph_CCHART_22" localSheetId="4" hidden="1">[14]Occ!#REF!</definedName>
    <definedName name="_48__123Graph_CCHART_22" localSheetId="8" hidden="1">[14]Occ!#REF!</definedName>
    <definedName name="_48__123Graph_CCHART_22" localSheetId="6" hidden="1">[14]Occ!#REF!</definedName>
    <definedName name="_48__123Graph_CCHART_22" hidden="1">[14]Occ!#REF!</definedName>
    <definedName name="_48__123Graph_ECHART_17" localSheetId="2" hidden="1">[16]Occ!#REF!</definedName>
    <definedName name="_48__123Graph_ECHART_17" localSheetId="4" hidden="1">[16]Occ!#REF!</definedName>
    <definedName name="_48__123Graph_ECHART_17" localSheetId="8" hidden="1">[16]Occ!#REF!</definedName>
    <definedName name="_48__123Graph_ECHART_17" localSheetId="6" hidden="1">[16]Occ!#REF!</definedName>
    <definedName name="_48__123Graph_ECHART_17" hidden="1">[16]Occ!#REF!</definedName>
    <definedName name="_48__FDSAUDITLINK__" localSheetId="4"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48__FDSAUDITLINK__" localSheetId="8"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48__FDSAUDITLINK__" localSheetId="6"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48__FDSAUDITLINK__"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48_0_S" localSheetId="2" hidden="1">'[24]1999 BUDGET'!#REF!</definedName>
    <definedName name="_48_0_S" localSheetId="4" hidden="1">'[24]1999 BUDGET'!#REF!</definedName>
    <definedName name="_48_0_S" localSheetId="8" hidden="1">'[24]1999 BUDGET'!#REF!</definedName>
    <definedName name="_48_0_S" localSheetId="6" hidden="1">'[24]1999 BUDGET'!#REF!</definedName>
    <definedName name="_48_0_S" hidden="1">'[24]1999 BUDGET'!#REF!</definedName>
    <definedName name="_49__123Graph_ACHART_1" hidden="1">#N/A</definedName>
    <definedName name="_49__FDSAUDITLINK__" localSheetId="4"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49__FDSAUDITLINK__" localSheetId="8"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49__FDSAUDITLINK__" localSheetId="6"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49__FDSAUDITLINK__" hidden="1">{"fdsup://directions/FAT Viewer?action=UPDATE&amp;creator=factset&amp;DYN_ARGS=TRUE&amp;DOC_NAME=FAT:FQL_AUDITING_CLIENT_TEMPLATE.FAT&amp;display_string=Audit&amp;VAR:KEY=MFMZMXUPCP&amp;VAR:QUERY=RkZfRUJJVERBX0lCKCdDQUwnLDIwMDksLCwsJ1VTRCcp&amp;WINDOW=FIRST_POPUP&amp;HEIGHT=450&amp;WIDTH=450&amp;","START_MAXIMIZED=FALSE&amp;VAR:CALENDAR=US&amp;VAR:SYMBOL=332770&amp;VAR:INDEX=0"}</definedName>
    <definedName name="_49_0_S" localSheetId="2" hidden="1">'[22]1999 BUDGET'!#REF!</definedName>
    <definedName name="_49_0_S" localSheetId="4" hidden="1">'[22]1999 BUDGET'!#REF!</definedName>
    <definedName name="_49_0_S" localSheetId="8" hidden="1">'[22]1999 BUDGET'!#REF!</definedName>
    <definedName name="_49_0_S" localSheetId="6" hidden="1">'[22]1999 BUDGET'!#REF!</definedName>
    <definedName name="_49_0_S" hidden="1">'[22]1999 BUDGET'!#REF!</definedName>
    <definedName name="_4F" localSheetId="2" hidden="1">'[24]1999 BUDGET'!#REF!</definedName>
    <definedName name="_4F" localSheetId="4" hidden="1">'[24]1999 BUDGET'!#REF!</definedName>
    <definedName name="_4F" localSheetId="8" hidden="1">'[24]1999 BUDGET'!#REF!</definedName>
    <definedName name="_4F" localSheetId="6" hidden="1">'[24]1999 BUDGET'!#REF!</definedName>
    <definedName name="_4F" hidden="1">'[24]1999 BUDGET'!#REF!</definedName>
    <definedName name="_5__123Graph_ACHART_18" localSheetId="2" hidden="1">[16]Demand!#REF!</definedName>
    <definedName name="_5__123Graph_ACHART_18" localSheetId="4" hidden="1">[16]Demand!#REF!</definedName>
    <definedName name="_5__123Graph_ACHART_18" localSheetId="8" hidden="1">[16]Demand!#REF!</definedName>
    <definedName name="_5__123Graph_ACHART_18" localSheetId="6" hidden="1">[16]Demand!#REF!</definedName>
    <definedName name="_5__123Graph_ACHART_18" hidden="1">[16]Demand!#REF!</definedName>
    <definedName name="_5__123Graph_BCHART_3" hidden="1">[18]Expiration!$Q$6:$Q$21</definedName>
    <definedName name="_5__123Graph_XCHART_1A" hidden="1">'[17]WATER RATES'!$B$9:$B$31</definedName>
    <definedName name="_5__123Graph_XCHART_2" hidden="1">[26]A!$D$171:$D$177</definedName>
    <definedName name="_5__FDSAUDITLINK__" localSheetId="4"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__FDSAUDITLINK__" localSheetId="8"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__FDSAUDITLINK__" localSheetId="6"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__FDSAUDITLINK__"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_0_0_F" localSheetId="2" hidden="1">'[24]1999 BUDGET'!#REF!</definedName>
    <definedName name="_5_0_0_F" localSheetId="4" hidden="1">'[24]1999 BUDGET'!#REF!</definedName>
    <definedName name="_5_0_0_F" localSheetId="8" hidden="1">'[24]1999 BUDGET'!#REF!</definedName>
    <definedName name="_5_0_0_F" localSheetId="6" hidden="1">'[24]1999 BUDGET'!#REF!</definedName>
    <definedName name="_5_0_0_F" hidden="1">'[24]1999 BUDGET'!#REF!</definedName>
    <definedName name="_50__123Graph_ACHART_3" localSheetId="2" hidden="1">#REF!</definedName>
    <definedName name="_50__123Graph_ACHART_3" localSheetId="8" hidden="1">#REF!</definedName>
    <definedName name="_50__123Graph_ACHART_3" hidden="1">#REF!</definedName>
    <definedName name="_50__123Graph_ECHART_22" localSheetId="2" hidden="1">[16]Occ!#REF!</definedName>
    <definedName name="_50__123Graph_ECHART_22" localSheetId="4" hidden="1">[16]Occ!#REF!</definedName>
    <definedName name="_50__123Graph_ECHART_22" localSheetId="8" hidden="1">[16]Occ!#REF!</definedName>
    <definedName name="_50__123Graph_ECHART_22" localSheetId="6" hidden="1">[16]Occ!#REF!</definedName>
    <definedName name="_50__123Graph_ECHART_22" hidden="1">[16]Occ!#REF!</definedName>
    <definedName name="_50__FDSAUDITLINK__" localSheetId="4"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50__FDSAUDITLINK__" localSheetId="8"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50__FDSAUDITLINK__" localSheetId="6"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50__FDSAUDITLINK__" hidden="1">{"fdsup://directions/FAT Viewer?action=UPDATE&amp;creator=factset&amp;DYN_ARGS=TRUE&amp;DOC_NAME=FAT:FQL_AUDITING_CLIENT_TEMPLATE.FAT&amp;display_string=Audit&amp;VAR:KEY=CXEHCRWFAB&amp;VAR:QUERY=RkZfRU5UUlBSX1ZBTF9EQUlMWSg0MDI0MiwsLCwnVVNEJywnRElMJyk=&amp;WINDOW=FIRST_POPUP&amp;HEIGHT=45","0&amp;WIDTH=450&amp;START_MAXIMIZED=FALSE&amp;VAR:CALENDAR=US&amp;VAR:SYMBOL=332770&amp;VAR:INDEX=0"}</definedName>
    <definedName name="_51__123Graph_BCHART_1" hidden="1">#N/A</definedName>
    <definedName name="_51__123Graph_CSEG_PIE" localSheetId="2" hidden="1">[14]Demand!#REF!</definedName>
    <definedName name="_51__123Graph_CSEG_PIE" localSheetId="4" hidden="1">[14]Demand!#REF!</definedName>
    <definedName name="_51__123Graph_CSEG_PIE" localSheetId="8" hidden="1">[14]Demand!#REF!</definedName>
    <definedName name="_51__123Graph_CSEG_PIE" localSheetId="6" hidden="1">[14]Demand!#REF!</definedName>
    <definedName name="_51__123Graph_CSEG_PIE" hidden="1">[14]Demand!#REF!</definedName>
    <definedName name="_51__FDSAUDITLINK__" localSheetId="4"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51__FDSAUDITLINK__" localSheetId="8"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51__FDSAUDITLINK__" localSheetId="6"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51__FDSAUDITLINK__" hidden="1">{"fdsup://directions/FAT Viewer?action=UPDATE&amp;creator=factset&amp;DYN_ARGS=TRUE&amp;DOC_NAME=FAT:FQL_AUDITING_CLIENT_TEMPLATE.FAT&amp;display_string=Audit&amp;VAR:KEY=SVGBOBYLCP&amp;VAR:QUERY=RkZfRUJJVERBX0lCKCdDQUwnLDIwMDksLCwsJ1VTRCcp&amp;WINDOW=FIRST_POPUP&amp;HEIGHT=450&amp;WIDTH=450&amp;","START_MAXIMIZED=FALSE&amp;VAR:CALENDAR=US&amp;VAR:SYMBOL=70454910&amp;VAR:INDEX=0"}</definedName>
    <definedName name="_52__123Graph_BCHART_3" localSheetId="2" hidden="1">#REF!</definedName>
    <definedName name="_52__123Graph_BCHART_3" localSheetId="8" hidden="1">#REF!</definedName>
    <definedName name="_52__123Graph_BCHART_3" hidden="1">#REF!</definedName>
    <definedName name="_52__123Graph_FCHART_15" localSheetId="2" hidden="1">[16]Occ!#REF!</definedName>
    <definedName name="_52__123Graph_FCHART_15" localSheetId="4" hidden="1">[16]Occ!#REF!</definedName>
    <definedName name="_52__123Graph_FCHART_15" localSheetId="8" hidden="1">[16]Occ!#REF!</definedName>
    <definedName name="_52__123Graph_FCHART_15" localSheetId="6" hidden="1">[16]Occ!#REF!</definedName>
    <definedName name="_52__123Graph_FCHART_15" hidden="1">[16]Occ!#REF!</definedName>
    <definedName name="_52__FDSAUDITLINK__" localSheetId="4"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52__FDSAUDITLINK__" localSheetId="8"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52__FDSAUDITLINK__" localSheetId="6"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52__FDSAUDITLINK__" hidden="1">{"fdsup://directions/FAT Viewer?action=UPDATE&amp;creator=factset&amp;DYN_ARGS=TRUE&amp;DOC_NAME=FAT:FQL_AUDITING_CLIENT_TEMPLATE.FAT&amp;display_string=Audit&amp;VAR:KEY=ETCDEBGVWV&amp;VAR:QUERY=RkZfRU5UUlBSX1ZBTF9EQUlMWSg0MDI0MiwsLCwnVVNEJywnRElMJyk=&amp;WINDOW=FIRST_POPUP&amp;HEIGHT=45","0&amp;WIDTH=450&amp;START_MAXIMIZED=FALSE&amp;VAR:CALENDAR=US&amp;VAR:SYMBOL=B0ZSH5&amp;VAR:INDEX=0"}</definedName>
    <definedName name="_53__123Graph_DCHART_1" hidden="1">#N/A</definedName>
    <definedName name="_53__FDSAUDITLINK__" localSheetId="4"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53__FDSAUDITLINK__" localSheetId="8"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53__FDSAUDITLINK__" localSheetId="6"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53__FDSAUDITLINK__" hidden="1">{"fdsup://directions/FAT Viewer?action=UPDATE&amp;creator=factset&amp;DYN_ARGS=TRUE&amp;DOC_NAME=FAT:FQL_AUDITING_CLIENT_TEMPLATE.FAT&amp;display_string=Audit&amp;VAR:KEY=CTADCFEBYL&amp;VAR:QUERY=RkZfRUJJVERBX0lCKCdDQUwnLDIwMDksLCwsJ1VTRCcp&amp;WINDOW=FIRST_POPUP&amp;HEIGHT=450&amp;WIDTH=450&amp;","START_MAXIMIZED=FALSE&amp;VAR:CALENDAR=US&amp;VAR:SYMBOL=678305&amp;VAR:INDEX=0"}</definedName>
    <definedName name="_54__123Graph_DCHART_15" localSheetId="2" hidden="1">[14]Occ!#REF!</definedName>
    <definedName name="_54__123Graph_DCHART_15" localSheetId="4" hidden="1">[14]Occ!#REF!</definedName>
    <definedName name="_54__123Graph_DCHART_15" localSheetId="8" hidden="1">[14]Occ!#REF!</definedName>
    <definedName name="_54__123Graph_DCHART_15" localSheetId="6" hidden="1">[14]Occ!#REF!</definedName>
    <definedName name="_54__123Graph_DCHART_15" hidden="1">[14]Occ!#REF!</definedName>
    <definedName name="_54__123Graph_FCHART_16" localSheetId="2" hidden="1">[16]Occ!#REF!</definedName>
    <definedName name="_54__123Graph_FCHART_16" localSheetId="4" hidden="1">[16]Occ!#REF!</definedName>
    <definedName name="_54__123Graph_FCHART_16" localSheetId="8" hidden="1">[16]Occ!#REF!</definedName>
    <definedName name="_54__123Graph_FCHART_16" localSheetId="6" hidden="1">[16]Occ!#REF!</definedName>
    <definedName name="_54__123Graph_FCHART_16" hidden="1">[16]Occ!#REF!</definedName>
    <definedName name="_54__123Graph_LBL_ACHART_1" hidden="1">#N/A</definedName>
    <definedName name="_54__FDSAUDITLINK__" localSheetId="4"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54__FDSAUDITLINK__" localSheetId="8"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54__FDSAUDITLINK__" localSheetId="6"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54__FDSAUDITLINK__" hidden="1">{"fdsup://directions/FAT Viewer?action=UPDATE&amp;creator=factset&amp;DYN_ARGS=TRUE&amp;DOC_NAME=FAT:FQL_AUDITING_CLIENT_TEMPLATE.FAT&amp;display_string=Audit&amp;VAR:KEY=YFOVQTWLIJ&amp;VAR:QUERY=RkZfRU5UUlBSX1ZBTF9EQUlMWSg0MDI0MiwsLCwnVVNEJywnRElMJyk=&amp;WINDOW=FIRST_POPUP&amp;HEIGHT=45","0&amp;WIDTH=450&amp;START_MAXIMIZED=FALSE&amp;VAR:CALENDAR=US&amp;VAR:SYMBOL=678305&amp;VAR:INDEX=0"}</definedName>
    <definedName name="_55__123Graph_ACHART_1" hidden="1">#N/A</definedName>
    <definedName name="_55__123Graph_LBL_ACHART_3" localSheetId="2" hidden="1">#REF!</definedName>
    <definedName name="_55__123Graph_LBL_ACHART_3" localSheetId="8" hidden="1">#REF!</definedName>
    <definedName name="_55__123Graph_LBL_ACHART_3" hidden="1">#REF!</definedName>
    <definedName name="_55__FDSAUDITLINK__" localSheetId="4"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55__FDSAUDITLINK__" localSheetId="8"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55__FDSAUDITLINK__" localSheetId="6"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55__FDSAUDITLINK__" hidden="1">{"fdsup://directions/FAT Viewer?action=UPDATE&amp;creator=factset&amp;DYN_ARGS=TRUE&amp;DOC_NAME=FAT:FQL_AUDITING_CLIENT_TEMPLATE.FAT&amp;display_string=Audit&amp;VAR:KEY=YDSHWDYLUB&amp;VAR:QUERY=RkZfRUJJVERBX0lCKCdDQUwnLDIwMDksLCwsJ1VTRCcp&amp;WINDOW=FIRST_POPUP&amp;HEIGHT=450&amp;WIDTH=450&amp;","START_MAXIMIZED=FALSE&amp;VAR:CALENDAR=US&amp;VAR:SYMBOL=650432&amp;VAR:INDEX=0"}</definedName>
    <definedName name="_56__123Graph_FCHART_17" localSheetId="2" hidden="1">[16]Occ!#REF!</definedName>
    <definedName name="_56__123Graph_FCHART_17" localSheetId="4" hidden="1">[16]Occ!#REF!</definedName>
    <definedName name="_56__123Graph_FCHART_17" localSheetId="8" hidden="1">[16]Occ!#REF!</definedName>
    <definedName name="_56__123Graph_FCHART_17" localSheetId="6" hidden="1">[16]Occ!#REF!</definedName>
    <definedName name="_56__123Graph_FCHART_17" hidden="1">[16]Occ!#REF!</definedName>
    <definedName name="_56__123Graph_LBL_DCHART_1" hidden="1">#N/A</definedName>
    <definedName name="_56__FDSAUDITLINK__" localSheetId="4"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6__FDSAUDITLINK__" localSheetId="8"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6__FDSAUDITLINK__" localSheetId="6"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6__FDSAUDITLINK__" hidden="1">{"fdsup://directions/FAT Viewer?action=UPDATE&amp;creator=factset&amp;DYN_ARGS=TRUE&amp;DOC_NAME=FAT:FQL_AUDITING_CLIENT_TEMPLATE.FAT&amp;display_string=Audit&amp;VAR:KEY=WVMRQVONSP&amp;VAR:QUERY=RkZfRU5UUlBSX1ZBTF9EQUlMWSg0MDI0MiwsLCwnVVNEJywnRElMJyk=&amp;WINDOW=FIRST_POPUP&amp;HEIGHT=45","0&amp;WIDTH=450&amp;START_MAXIMIZED=FALSE&amp;VAR:CALENDAR=US&amp;VAR:SYMBOL=650432&amp;VAR:INDEX=0"}</definedName>
    <definedName name="_57__123Graph_ACHART_1" hidden="1">#N/A</definedName>
    <definedName name="_57__123Graph_DCHART_16" localSheetId="2" hidden="1">[14]Occ!#REF!</definedName>
    <definedName name="_57__123Graph_DCHART_16" localSheetId="4" hidden="1">[14]Occ!#REF!</definedName>
    <definedName name="_57__123Graph_DCHART_16" localSheetId="8" hidden="1">[14]Occ!#REF!</definedName>
    <definedName name="_57__123Graph_DCHART_16" localSheetId="6" hidden="1">[14]Occ!#REF!</definedName>
    <definedName name="_57__123Graph_DCHART_16" hidden="1">[14]Occ!#REF!</definedName>
    <definedName name="_57__FDSAUDITLINK__" localSheetId="4"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57__FDSAUDITLINK__" localSheetId="8"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57__FDSAUDITLINK__" localSheetId="6"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57__FDSAUDITLINK__"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58__123Graph_BCHART_1" hidden="1">#N/A</definedName>
    <definedName name="_58__123Graph_FCHART_22" localSheetId="2" hidden="1">[16]Occ!#REF!</definedName>
    <definedName name="_58__123Graph_FCHART_22" localSheetId="4" hidden="1">[16]Occ!#REF!</definedName>
    <definedName name="_58__123Graph_FCHART_22" localSheetId="8" hidden="1">[16]Occ!#REF!</definedName>
    <definedName name="_58__123Graph_FCHART_22" localSheetId="6" hidden="1">[16]Occ!#REF!</definedName>
    <definedName name="_58__123Graph_FCHART_22" hidden="1">[16]Occ!#REF!</definedName>
    <definedName name="_58__FDSAUDITLINK__" localSheetId="4"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58__FDSAUDITLINK__" localSheetId="8"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58__FDSAUDITLINK__" localSheetId="6"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58__FDSAUDITLINK__"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59__123Graph_ACHART_3" localSheetId="2" hidden="1">#REF!</definedName>
    <definedName name="_59__123Graph_ACHART_3" localSheetId="8" hidden="1">#REF!</definedName>
    <definedName name="_59__123Graph_ACHART_3" hidden="1">#REF!</definedName>
    <definedName name="_59__FDSAUDITLINK__" localSheetId="4"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59__FDSAUDITLINK__" localSheetId="8"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59__FDSAUDITLINK__" localSheetId="6"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59__FDSAUDITLINK__"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6__123Graph_ACHART_15" localSheetId="2" hidden="1">[14]Occ!#REF!</definedName>
    <definedName name="_6__123Graph_ACHART_15" localSheetId="4" hidden="1">[14]Occ!#REF!</definedName>
    <definedName name="_6__123Graph_ACHART_15" localSheetId="8" hidden="1">[14]Occ!#REF!</definedName>
    <definedName name="_6__123Graph_ACHART_15" localSheetId="6" hidden="1">[14]Occ!#REF!</definedName>
    <definedName name="_6__123Graph_ACHART_15" hidden="1">[14]Occ!#REF!</definedName>
    <definedName name="_6__123Graph_ACHART_16" localSheetId="2" hidden="1">[16]Occ!#REF!</definedName>
    <definedName name="_6__123Graph_ACHART_16" localSheetId="4" hidden="1">[16]Occ!#REF!</definedName>
    <definedName name="_6__123Graph_ACHART_16" localSheetId="8" hidden="1">[16]Occ!#REF!</definedName>
    <definedName name="_6__123Graph_ACHART_16" localSheetId="6" hidden="1">[16]Occ!#REF!</definedName>
    <definedName name="_6__123Graph_ACHART_16" hidden="1">[16]Occ!#REF!</definedName>
    <definedName name="_6__123Graph_ACHART_19" localSheetId="2" hidden="1">[16]Demand!#REF!</definedName>
    <definedName name="_6__123Graph_ACHART_19" localSheetId="4" hidden="1">[16]Demand!#REF!</definedName>
    <definedName name="_6__123Graph_ACHART_19" localSheetId="8" hidden="1">[16]Demand!#REF!</definedName>
    <definedName name="_6__123Graph_ACHART_19" localSheetId="6" hidden="1">[16]Demand!#REF!</definedName>
    <definedName name="_6__123Graph_ACHART_19" hidden="1">[16]Demand!#REF!</definedName>
    <definedName name="_6__123Graph_ACHART_2A" hidden="1">'[17]WATER RATES'!$C$9:$C$29</definedName>
    <definedName name="_6__123Graph_XCHART_2A" hidden="1">'[17]WATER RATES'!$A$9:$A$28</definedName>
    <definedName name="_6__123Graph_XCHART_4" hidden="1">[18]Expiration!$X$5:$AG$5</definedName>
    <definedName name="_6__FDSAUDITLINK__" localSheetId="4"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6__FDSAUDITLINK__" localSheetId="8"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6__FDSAUDITLINK__" localSheetId="6"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6__FDSAUDITLINK__" hidden="1">{"fdsup://directions/FAT Viewer?action=UPDATE&amp;creator=factset&amp;DYN_ARGS=TRUE&amp;DOC_NAME=FAT:FQL_AUDITING_CLIENT_TEMPLATE.FAT&amp;display_string=Audit&amp;VAR:KEY=IDMNGFAXQB&amp;VAR:QUERY=RkZfRUJJVERBX0lCKCdDQUwnLDIwMDksLCwsJ1VTRCcp&amp;WINDOW=FIRST_POPUP&amp;HEIGHT=450&amp;WIDTH=450&amp;","START_MAXIMIZED=FALSE&amp;VAR:CALENDAR=US&amp;VAR:SYMBOL=610579&amp;VAR:INDEX=0"}</definedName>
    <definedName name="_6_0_0_S" localSheetId="2" hidden="1">'[19]1999 BUDGET'!#REF!</definedName>
    <definedName name="_6_0_0_S" localSheetId="4" hidden="1">'[19]1999 BUDGET'!#REF!</definedName>
    <definedName name="_6_0_0_S" localSheetId="8" hidden="1">'[19]1999 BUDGET'!#REF!</definedName>
    <definedName name="_6_0_0_S" localSheetId="6" hidden="1">'[19]1999 BUDGET'!#REF!</definedName>
    <definedName name="_6_0_0_S" hidden="1">'[19]1999 BUDGET'!#REF!</definedName>
    <definedName name="_60__123Graph_BCHART_1" hidden="1">#N/A</definedName>
    <definedName name="_60__123Graph_DCHART_17" localSheetId="2" hidden="1">[14]Occ!#REF!</definedName>
    <definedName name="_60__123Graph_DCHART_17" localSheetId="4" hidden="1">[14]Occ!#REF!</definedName>
    <definedName name="_60__123Graph_DCHART_17" localSheetId="8" hidden="1">[14]Occ!#REF!</definedName>
    <definedName name="_60__123Graph_DCHART_17" localSheetId="6" hidden="1">[14]Occ!#REF!</definedName>
    <definedName name="_60__123Graph_DCHART_17" hidden="1">[14]Occ!#REF!</definedName>
    <definedName name="_60__123Graph_XCHART_15" localSheetId="2" hidden="1">[16]Occ!#REF!</definedName>
    <definedName name="_60__123Graph_XCHART_15" localSheetId="4" hidden="1">[16]Occ!#REF!</definedName>
    <definedName name="_60__123Graph_XCHART_15" localSheetId="8" hidden="1">[16]Occ!#REF!</definedName>
    <definedName name="_60__123Graph_XCHART_15" localSheetId="6" hidden="1">[16]Occ!#REF!</definedName>
    <definedName name="_60__123Graph_XCHART_15" hidden="1">[16]Occ!#REF!</definedName>
    <definedName name="_60__FDSAUDITLINK__" localSheetId="4"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60__FDSAUDITLINK__" localSheetId="8"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60__FDSAUDITLINK__" localSheetId="6"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60__FDSAUDITLINK__"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61__123Graph_DCHART_1" hidden="1">#N/A</definedName>
    <definedName name="_61__FDSAUDITLINK__" localSheetId="4"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61__FDSAUDITLINK__" localSheetId="8"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61__FDSAUDITLINK__" localSheetId="6"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61__FDSAUDITLINK__" hidden="1">{"fdsup://directions/FAT Viewer?action=UPDATE&amp;creator=factset&amp;DYN_ARGS=TRUE&amp;DOC_NAME=FAT:FQL_AUDITING_CLIENT_TEMPLATE.FAT&amp;display_string=Audit&amp;VAR:KEY=QVOTMVOFAN&amp;VAR:QUERY=RkZfRU5UUlBSX1ZBTF9EQUlMWSg0MDI0MiwsLCwnVVNEJywnRElMJyk=&amp;WINDOW=FIRST_POPUP&amp;HEIGHT=45","0&amp;WIDTH=450&amp;START_MAXIMIZED=FALSE&amp;VAR:CALENDAR=US&amp;VAR:SYMBOL=B1H508&amp;VAR:INDEX=0"}</definedName>
    <definedName name="_62__123Graph_LBL_ACHART_1" hidden="1">#N/A</definedName>
    <definedName name="_62__123Graph_XCHART_16" localSheetId="2" hidden="1">[16]Occ!#REF!</definedName>
    <definedName name="_62__123Graph_XCHART_16" localSheetId="4" hidden="1">[16]Occ!#REF!</definedName>
    <definedName name="_62__123Graph_XCHART_16" localSheetId="8" hidden="1">[16]Occ!#REF!</definedName>
    <definedName name="_62__123Graph_XCHART_16" localSheetId="6" hidden="1">[16]Occ!#REF!</definedName>
    <definedName name="_62__123Graph_XCHART_16" hidden="1">[16]Occ!#REF!</definedName>
    <definedName name="_62__FDSAUDITLINK__" localSheetId="4"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62__FDSAUDITLINK__" localSheetId="8"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62__FDSAUDITLINK__" localSheetId="6"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62__FDSAUDITLINK__" hidden="1">{"fdsup://directions/FAT Viewer?action=UPDATE&amp;creator=factset&amp;DYN_ARGS=TRUE&amp;DOC_NAME=FAT:FQL_AUDITING_CLIENT_TEMPLATE.FAT&amp;display_string=Audit&amp;VAR:KEY=OXKBUPEVWZ&amp;VAR:QUERY=RkZfRUJJVERBX0lCKCdDQUwnLDIwMDksLCwsJ1VTRCcp&amp;WINDOW=FIRST_POPUP&amp;HEIGHT=450&amp;WIDTH=450&amp;","START_MAXIMIZED=FALSE&amp;VAR:CALENDAR=US&amp;VAR:SYMBOL=B0ZSH5&amp;VAR:INDEX=0"}</definedName>
    <definedName name="_63__123Graph_DCHART_1" hidden="1">#N/A</definedName>
    <definedName name="_63__123Graph_DCHART_22" localSheetId="2" hidden="1">[14]Occ!#REF!</definedName>
    <definedName name="_63__123Graph_DCHART_22" localSheetId="4" hidden="1">[14]Occ!#REF!</definedName>
    <definedName name="_63__123Graph_DCHART_22" localSheetId="8" hidden="1">[14]Occ!#REF!</definedName>
    <definedName name="_63__123Graph_DCHART_22" localSheetId="6" hidden="1">[14]Occ!#REF!</definedName>
    <definedName name="_63__123Graph_DCHART_22" hidden="1">[14]Occ!#REF!</definedName>
    <definedName name="_63__FDSAUDITLINK__" localSheetId="4"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63__FDSAUDITLINK__" localSheetId="8"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63__FDSAUDITLINK__" localSheetId="6"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63__FDSAUDITLINK__" hidden="1">{"fdsup://directions/FAT Viewer?action=UPDATE&amp;creator=factset&amp;DYN_ARGS=TRUE&amp;DOC_NAME=FAT:FQL_AUDITING_CLIENT_TEMPLATE.FAT&amp;display_string=Audit&amp;VAR:KEY=EHMBMXQHMZ&amp;VAR:QUERY=RkZfRUJJVERBX0lCKCdDQUwnLDIwMDksLCwsJ1VTRCcp&amp;WINDOW=FIRST_POPUP&amp;HEIGHT=450&amp;WIDTH=450&amp;","START_MAXIMIZED=FALSE&amp;VAR:CALENDAR=US&amp;VAR:SYMBOL=B1H508&amp;VAR:INDEX=0"}</definedName>
    <definedName name="_64__123Graph_LBL_ACHART_1" hidden="1">#N/A</definedName>
    <definedName name="_64__123Graph_XCHART_17" localSheetId="2" hidden="1">[16]Occ!#REF!</definedName>
    <definedName name="_64__123Graph_XCHART_17" localSheetId="4" hidden="1">[16]Occ!#REF!</definedName>
    <definedName name="_64__123Graph_XCHART_17" localSheetId="8" hidden="1">[16]Occ!#REF!</definedName>
    <definedName name="_64__123Graph_XCHART_17" localSheetId="6" hidden="1">[16]Occ!#REF!</definedName>
    <definedName name="_64__123Graph_XCHART_17" hidden="1">[16]Occ!#REF!</definedName>
    <definedName name="_64__FDSAUDITLINK__" localSheetId="4"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64__FDSAUDITLINK__" localSheetId="8"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64__FDSAUDITLINK__" localSheetId="6"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64__FDSAUDITLINK__" hidden="1">{"fdsup://directions/FAT Viewer?action=UPDATE&amp;creator=factset&amp;DYN_ARGS=TRUE&amp;DOC_NAME=FAT:FQL_AUDITING_CLIENT_TEMPLATE.FAT&amp;display_string=Audit&amp;VAR:KEY=ONSFQDEZIB&amp;VAR:QUERY=RkZfRUJJVERBX0lCKCdDQUwnLDIwMDksLCwsJ1VTRCcp&amp;WINDOW=FIRST_POPUP&amp;HEIGHT=450&amp;WIDTH=450&amp;","START_MAXIMIZED=FALSE&amp;VAR:CALENDAR=US&amp;VAR:SYMBOL=B1VRCG&amp;VAR:INDEX=0"}</definedName>
    <definedName name="_65__123Graph_LBL_DCHART_1" hidden="1">#N/A</definedName>
    <definedName name="_65__FDSAUDITLINK__" localSheetId="4"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65__FDSAUDITLINK__" localSheetId="8"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65__FDSAUDITLINK__" localSheetId="6"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65__FDSAUDITLINK__" hidden="1">{"fdsup://directions/FAT Viewer?action=UPDATE&amp;creator=factset&amp;DYN_ARGS=TRUE&amp;DOC_NAME=FAT:FQL_AUDITING_CLIENT_TEMPLATE.FAT&amp;display_string=Audit&amp;VAR:KEY=KVODGPMXKV&amp;VAR:QUERY=RkZfRU5UUlBSX1ZBTF9EQUlMWSg0MDI0MiwsLCwnVVNEJywnRElMJyk=&amp;WINDOW=FIRST_POPUP&amp;HEIGHT=45","0&amp;WIDTH=450&amp;START_MAXIMIZED=FALSE&amp;VAR:CALENDAR=US&amp;VAR:SYMBOL=B1VRCG&amp;VAR:INDEX=0"}</definedName>
    <definedName name="_66__123Graph_ECHART_15" localSheetId="2" hidden="1">[14]Occ!#REF!</definedName>
    <definedName name="_66__123Graph_ECHART_15" localSheetId="4" hidden="1">[14]Occ!#REF!</definedName>
    <definedName name="_66__123Graph_ECHART_15" localSheetId="8" hidden="1">[14]Occ!#REF!</definedName>
    <definedName name="_66__123Graph_ECHART_15" localSheetId="6" hidden="1">[14]Occ!#REF!</definedName>
    <definedName name="_66__123Graph_ECHART_15" hidden="1">[14]Occ!#REF!</definedName>
    <definedName name="_66__123Graph_XCHART_18" localSheetId="2" hidden="1">[16]Demand!#REF!</definedName>
    <definedName name="_66__123Graph_XCHART_18" localSheetId="4" hidden="1">[16]Demand!#REF!</definedName>
    <definedName name="_66__123Graph_XCHART_18" localSheetId="8" hidden="1">[16]Demand!#REF!</definedName>
    <definedName name="_66__123Graph_XCHART_18" localSheetId="6" hidden="1">[16]Demand!#REF!</definedName>
    <definedName name="_66__123Graph_XCHART_18" hidden="1">[16]Demand!#REF!</definedName>
    <definedName name="_66__FDSAUDITLINK__" localSheetId="4"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66__FDSAUDITLINK__" localSheetId="8"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66__FDSAUDITLINK__" localSheetId="6"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66__FDSAUDITLINK__" hidden="1">{"fdsup://directions/FAT Viewer?action=UPDATE&amp;creator=factset&amp;DYN_ARGS=TRUE&amp;DOC_NAME=FAT:FQL_AUDITING_CLIENT_TEMPLATE.FAT&amp;display_string=Audit&amp;VAR:KEY=QJARQRUDEH&amp;VAR:QUERY=RkZfRUJJVERBX0lCKCdDQUwnLDIwMDksLCwsJ1VTRCcp&amp;WINDOW=FIRST_POPUP&amp;HEIGHT=450&amp;WIDTH=450&amp;","START_MAXIMIZED=FALSE&amp;VAR:CALENDAR=US&amp;VAR:SYMBOL=600030&amp;VAR:INDEX=0"}</definedName>
    <definedName name="_67__123Graph_LBL_DCHART_1" hidden="1">#N/A</definedName>
    <definedName name="_67__FDSAUDITLINK__" localSheetId="4"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67__FDSAUDITLINK__" localSheetId="8"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67__FDSAUDITLINK__" localSheetId="6"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67__FDSAUDITLINK__" hidden="1">{"fdsup://directions/FAT Viewer?action=UPDATE&amp;creator=factset&amp;DYN_ARGS=TRUE&amp;DOC_NAME=FAT:FQL_AUDITING_CLIENT_TEMPLATE.FAT&amp;display_string=Audit&amp;VAR:KEY=SHKZGPYRAD&amp;VAR:QUERY=RkZfRU5UUlBSX1ZBTF9EQUlMWSg0MDI0MiwsLCwnVVNEJywnRElMJyk=&amp;WINDOW=FIRST_POPUP&amp;HEIGHT=45","0&amp;WIDTH=450&amp;START_MAXIMIZED=FALSE&amp;VAR:CALENDAR=US&amp;VAR:SYMBOL=600030&amp;VAR:INDEX=0"}</definedName>
    <definedName name="_68__123Graph_XCHART_19" localSheetId="2" hidden="1">[16]Demand!#REF!</definedName>
    <definedName name="_68__123Graph_XCHART_19" localSheetId="4" hidden="1">[16]Demand!#REF!</definedName>
    <definedName name="_68__123Graph_XCHART_19" localSheetId="8" hidden="1">[16]Demand!#REF!</definedName>
    <definedName name="_68__123Graph_XCHART_19" localSheetId="6" hidden="1">[16]Demand!#REF!</definedName>
    <definedName name="_68__123Graph_XCHART_19" hidden="1">[16]Demand!#REF!</definedName>
    <definedName name="_68__FDSAUDITLINK__" localSheetId="4"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68__FDSAUDITLINK__" localSheetId="8"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68__FDSAUDITLINK__" localSheetId="6"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68__FDSAUDITLINK__" hidden="1">{"fdsup://directions/FAT Viewer?action=UPDATE&amp;creator=factset&amp;DYN_ARGS=TRUE&amp;DOC_NAME=FAT:FQL_AUDITING_CLIENT_TEMPLATE.FAT&amp;display_string=Audit&amp;VAR:KEY=WDEJKFYBMT&amp;VAR:QUERY=RkZfRUJJVERBX0lCKCdDQUwnLDIwMDksLCwsJ1VTRCcp&amp;WINDOW=FIRST_POPUP&amp;HEIGHT=450&amp;WIDTH=450&amp;","START_MAXIMIZED=FALSE&amp;VAR:CALENDAR=US&amp;VAR:SYMBOL=610989&amp;VAR:INDEX=0"}</definedName>
    <definedName name="_69__123Graph_ECHART_16" localSheetId="2" hidden="1">[14]Occ!#REF!</definedName>
    <definedName name="_69__123Graph_ECHART_16" localSheetId="4" hidden="1">[14]Occ!#REF!</definedName>
    <definedName name="_69__123Graph_ECHART_16" localSheetId="8" hidden="1">[14]Occ!#REF!</definedName>
    <definedName name="_69__123Graph_ECHART_16" localSheetId="6" hidden="1">[14]Occ!#REF!</definedName>
    <definedName name="_69__123Graph_ECHART_16" hidden="1">[14]Occ!#REF!</definedName>
    <definedName name="_69__FDSAUDITLINK__" localSheetId="4"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69__FDSAUDITLINK__" localSheetId="8"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69__FDSAUDITLINK__" localSheetId="6"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69__FDSAUDITLINK__" hidden="1">{"fdsup://directions/FAT Viewer?action=UPDATE&amp;creator=factset&amp;DYN_ARGS=TRUE&amp;DOC_NAME=FAT:FQL_AUDITING_CLIENT_TEMPLATE.FAT&amp;display_string=Audit&amp;VAR:KEY=SJEHMVUTUJ&amp;VAR:QUERY=RkZfRU5UUlBSX1ZBTF9EQUlMWSg0MDI0MiwsLCwnVVNEJywnRElMJyk=&amp;WINDOW=FIRST_POPUP&amp;HEIGHT=45","0&amp;WIDTH=450&amp;START_MAXIMIZED=FALSE&amp;VAR:CALENDAR=US&amp;VAR:SYMBOL=610989&amp;VAR:INDEX=0"}</definedName>
    <definedName name="_7____123Graph_ACHART_3" localSheetId="2" hidden="1">#REF!</definedName>
    <definedName name="_7____123Graph_ACHART_3" localSheetId="8" hidden="1">#REF!</definedName>
    <definedName name="_7____123Graph_ACHART_3" hidden="1">#REF!</definedName>
    <definedName name="_7__123Graph_ACHART_21" localSheetId="2" hidden="1">[16]Occ!#REF!</definedName>
    <definedName name="_7__123Graph_ACHART_21" localSheetId="4" hidden="1">[16]Occ!#REF!</definedName>
    <definedName name="_7__123Graph_ACHART_21" localSheetId="8" hidden="1">[16]Occ!#REF!</definedName>
    <definedName name="_7__123Graph_ACHART_21" localSheetId="6" hidden="1">[16]Occ!#REF!</definedName>
    <definedName name="_7__123Graph_ACHART_21" hidden="1">[16]Occ!#REF!</definedName>
    <definedName name="_7__123Graph_XCHART_5" hidden="1">[18]Expiration!$B$139:$B$143</definedName>
    <definedName name="_7__FDSAUDITLINK__" localSheetId="4"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7__FDSAUDITLINK__" localSheetId="8"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7__FDSAUDITLINK__" localSheetId="6"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7__FDSAUDITLINK__" hidden="1">{"fdsup://directions/FAT Viewer?action=UPDATE&amp;creator=factset&amp;DYN_ARGS=TRUE&amp;DOC_NAME=FAT:FQL_AUDITING_CLIENT_TEMPLATE.FAT&amp;display_string=Audit&amp;VAR:KEY=CXATOXCJOV&amp;VAR:QUERY=RkZfRU5UUlBSX1ZBTF9EQUlMWSg0MDI0MiwsLCwnVVNEJywnRElMJyk=&amp;WINDOW=FIRST_POPUP&amp;HEIGHT=45","0&amp;WIDTH=450&amp;START_MAXIMIZED=FALSE&amp;VAR:CALENDAR=US&amp;VAR:SYMBOL=610579&amp;VAR:INDEX=0"}</definedName>
    <definedName name="_70__123Graph_XCHART_22" localSheetId="2" hidden="1">[16]Occ!#REF!</definedName>
    <definedName name="_70__123Graph_XCHART_22" localSheetId="4" hidden="1">[16]Occ!#REF!</definedName>
    <definedName name="_70__123Graph_XCHART_22" localSheetId="8" hidden="1">[16]Occ!#REF!</definedName>
    <definedName name="_70__123Graph_XCHART_22" localSheetId="6" hidden="1">[16]Occ!#REF!</definedName>
    <definedName name="_70__123Graph_XCHART_22" hidden="1">[16]Occ!#REF!</definedName>
    <definedName name="_70__FDSAUDITLINK__" localSheetId="4"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70__FDSAUDITLINK__" localSheetId="8"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70__FDSAUDITLINK__" localSheetId="6"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70__FDSAUDITLINK__" hidden="1">{"fdsup://directions/FAT Viewer?action=UPDATE&amp;creator=factset&amp;DYN_ARGS=TRUE&amp;DOC_NAME=FAT:FQL_AUDITING_CLIENT_TEMPLATE.FAT&amp;display_string=Audit&amp;VAR:KEY=UJSFKRAFAX&amp;VAR:QUERY=RkZfRUJJVERBX0lCKCdDQUwnLDIwMDksLCwsJ1VTRCcp&amp;WINDOW=FIRST_POPUP&amp;HEIGHT=450&amp;WIDTH=450&amp;","START_MAXIMIZED=FALSE&amp;VAR:CALENDAR=US&amp;VAR:SYMBOL=672529&amp;VAR:INDEX=0"}</definedName>
    <definedName name="_71__FDSAUDITLINK__" localSheetId="4"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71__FDSAUDITLINK__" localSheetId="8"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71__FDSAUDITLINK__" localSheetId="6"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71__FDSAUDITLINK__" hidden="1">{"fdsup://directions/FAT Viewer?action=UPDATE&amp;creator=factset&amp;DYN_ARGS=TRUE&amp;DOC_NAME=FAT:FQL_AUDITING_CLIENT_TEMPLATE.FAT&amp;display_string=Audit&amp;VAR:KEY=UZSZCXIVQZ&amp;VAR:QUERY=RkZfRU5UUlBSX1ZBTF9EQUlMWSg0MDI0MiwsLCwnVVNEJywnRElMJyk=&amp;WINDOW=FIRST_POPUP&amp;HEIGHT=45","0&amp;WIDTH=450&amp;START_MAXIMIZED=FALSE&amp;VAR:CALENDAR=US&amp;VAR:SYMBOL=672529&amp;VAR:INDEX=0"}</definedName>
    <definedName name="_72__123Graph_ECHART_17" localSheetId="2" hidden="1">[14]Occ!#REF!</definedName>
    <definedName name="_72__123Graph_ECHART_17" localSheetId="4" hidden="1">[14]Occ!#REF!</definedName>
    <definedName name="_72__123Graph_ECHART_17" localSheetId="8" hidden="1">[14]Occ!#REF!</definedName>
    <definedName name="_72__123Graph_ECHART_17" localSheetId="6" hidden="1">[14]Occ!#REF!</definedName>
    <definedName name="_72__123Graph_ECHART_17" hidden="1">[14]Occ!#REF!</definedName>
    <definedName name="_72__123Graph_XSEG_PIE" localSheetId="2" hidden="1">[16]Demand!#REF!</definedName>
    <definedName name="_72__123Graph_XSEG_PIE" localSheetId="4" hidden="1">[16]Demand!#REF!</definedName>
    <definedName name="_72__123Graph_XSEG_PIE" localSheetId="8" hidden="1">[16]Demand!#REF!</definedName>
    <definedName name="_72__123Graph_XSEG_PIE" localSheetId="6" hidden="1">[16]Demand!#REF!</definedName>
    <definedName name="_72__123Graph_XSEG_PIE" hidden="1">[16]Demand!#REF!</definedName>
    <definedName name="_72__FDSAUDITLINK__" localSheetId="4"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72__FDSAUDITLINK__" localSheetId="8"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72__FDSAUDITLINK__" localSheetId="6"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72__FDSAUDITLINK__" hidden="1">{"fdsup://directions/FAT Viewer?action=UPDATE&amp;creator=factset&amp;DYN_ARGS=TRUE&amp;DOC_NAME=FAT:FQL_AUDITING_CLIENT_TEMPLATE.FAT&amp;display_string=Audit&amp;VAR:KEY=MXYZWTSLEL&amp;VAR:QUERY=RkZfRUJJVERBX0lCKCdDQUwnLDIwMDksLCwsJ1VTRCcp&amp;WINDOW=FIRST_POPUP&amp;HEIGHT=450&amp;WIDTH=450&amp;","START_MAXIMIZED=FALSE&amp;VAR:CALENDAR=US&amp;VAR:SYMBOL=642539&amp;VAR:INDEX=0"}</definedName>
    <definedName name="_73__FDSAUDITLINK__" localSheetId="4"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73__FDSAUDITLINK__" localSheetId="8"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73__FDSAUDITLINK__" localSheetId="6"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73__FDSAUDITLINK__" hidden="1">{"fdsup://directions/FAT Viewer?action=UPDATE&amp;creator=factset&amp;DYN_ARGS=TRUE&amp;DOC_NAME=FAT:FQL_AUDITING_CLIENT_TEMPLATE.FAT&amp;display_string=Audit&amp;VAR:KEY=MXSHIJCBUD&amp;VAR:QUERY=RkZfRU5UUlBSX1ZBTF9EQUlMWSg0MDI0MiwsLCwnVVNEJywnRElMJyk=&amp;WINDOW=FIRST_POPUP&amp;HEIGHT=45","0&amp;WIDTH=450&amp;START_MAXIMIZED=FALSE&amp;VAR:CALENDAR=US&amp;VAR:SYMBOL=642539&amp;VAR:INDEX=0"}</definedName>
    <definedName name="_74__FDSAUDITLINK__" localSheetId="4"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74__FDSAUDITLINK__" localSheetId="8"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74__FDSAUDITLINK__" localSheetId="6"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74__FDSAUDITLINK__" hidden="1">{"fdsup://directions/FAT Viewer?action=UPDATE&amp;creator=factset&amp;DYN_ARGS=TRUE&amp;DOC_NAME=FAT:FQL_AUDITING_CLIENT_TEMPLATE.FAT&amp;display_string=Audit&amp;VAR:KEY=CXYHEJMREF&amp;VAR:QUERY=RkZfRUJJVERBX0lCKCdDQUwnLDIwMDksLCwsJ1VTRCcp&amp;WINDOW=FIRST_POPUP&amp;HEIGHT=450&amp;WIDTH=450&amp;","START_MAXIMIZED=FALSE&amp;VAR:CALENDAR=US&amp;VAR:SYMBOL=B1JNK8&amp;VAR:INDEX=0"}</definedName>
    <definedName name="_75__123Graph_ECHART_22" localSheetId="2" hidden="1">[14]Occ!#REF!</definedName>
    <definedName name="_75__123Graph_ECHART_22" localSheetId="4" hidden="1">[14]Occ!#REF!</definedName>
    <definedName name="_75__123Graph_ECHART_22" localSheetId="8" hidden="1">[14]Occ!#REF!</definedName>
    <definedName name="_75__123Graph_ECHART_22" localSheetId="6" hidden="1">[14]Occ!#REF!</definedName>
    <definedName name="_75__123Graph_ECHART_22" hidden="1">[14]Occ!#REF!</definedName>
    <definedName name="_75__FDSAUDITLINK__" localSheetId="4"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75__FDSAUDITLINK__" localSheetId="8"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75__FDSAUDITLINK__" localSheetId="6"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75__FDSAUDITLINK__" hidden="1">{"fdsup://directions/FAT Viewer?action=UPDATE&amp;creator=factset&amp;DYN_ARGS=TRUE&amp;DOC_NAME=FAT:FQL_AUDITING_CLIENT_TEMPLATE.FAT&amp;display_string=Audit&amp;VAR:KEY=EHIVMZAFGB&amp;VAR:QUERY=RkZfRU5UUlBSX1ZBTF9EQUlMWSg0MDI0MiwsLCwnVVNEJywnRElMJyk=&amp;WINDOW=FIRST_POPUP&amp;HEIGHT=45","0&amp;WIDTH=450&amp;START_MAXIMIZED=FALSE&amp;VAR:CALENDAR=US&amp;VAR:SYMBOL=B1JNK8&amp;VAR:INDEX=0"}</definedName>
    <definedName name="_76__FDSAUDITLINK__" localSheetId="4"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76__FDSAUDITLINK__" localSheetId="8"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76__FDSAUDITLINK__" localSheetId="6"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76__FDSAUDITLINK__" hidden="1">{"fdsup://directions/FAT Viewer?action=UPDATE&amp;creator=factset&amp;DYN_ARGS=TRUE&amp;DOC_NAME=FAT:FQL_AUDITING_CLIENT_TEMPLATE.FAT&amp;display_string=Audit&amp;VAR:KEY=OVIVMZOVCP&amp;VAR:QUERY=RkZfRUJJVERBX0lCKCdDQUwnLDIwMDksLCwsJ1VTRCcp&amp;WINDOW=FIRST_POPUP&amp;HEIGHT=450&amp;WIDTH=450&amp;","START_MAXIMIZED=FALSE&amp;VAR:CALENDAR=US&amp;VAR:SYMBOL=B09N7M&amp;VAR:INDEX=0"}</definedName>
    <definedName name="_77__FDSAUDITLINK__" localSheetId="4"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77__FDSAUDITLINK__" localSheetId="8"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77__FDSAUDITLINK__" localSheetId="6"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77__FDSAUDITLINK__" hidden="1">{"fdsup://directions/FAT Viewer?action=UPDATE&amp;creator=factset&amp;DYN_ARGS=TRUE&amp;DOC_NAME=FAT:FQL_AUDITING_CLIENT_TEMPLATE.FAT&amp;display_string=Audit&amp;VAR:KEY=MLSVYZWRCH&amp;VAR:QUERY=RkZfRU5UUlBSX1ZBTF9EQUlMWSg0MDI0MiwsLCwnVVNEJywnRElMJyk=&amp;WINDOW=FIRST_POPUP&amp;HEIGHT=45","0&amp;WIDTH=450&amp;START_MAXIMIZED=FALSE&amp;VAR:CALENDAR=US&amp;VAR:SYMBOL=B09N7M&amp;VAR:INDEX=0"}</definedName>
    <definedName name="_78__123Graph_FCHART_15" localSheetId="2" hidden="1">[14]Occ!#REF!</definedName>
    <definedName name="_78__123Graph_FCHART_15" localSheetId="4" hidden="1">[14]Occ!#REF!</definedName>
    <definedName name="_78__123Graph_FCHART_15" localSheetId="8" hidden="1">[14]Occ!#REF!</definedName>
    <definedName name="_78__123Graph_FCHART_15" localSheetId="6" hidden="1">[14]Occ!#REF!</definedName>
    <definedName name="_78__123Graph_FCHART_15" hidden="1">[14]Occ!#REF!</definedName>
    <definedName name="_78__FDSAUDITLINK__" localSheetId="4" hidden="1">{"fdsup://Directions/FactSet Auditing Viewer?action=AUDIT_VALUE&amp;DB=129&amp;ID1=604348&amp;VALUEID=03426&amp;SDATE=2008&amp;PERIODTYPE=ANN_STD&amp;window=popup_no_bar&amp;width=385&amp;height=120&amp;START_MAXIMIZED=FALSE&amp;creator=factset&amp;display_string=Audit"}</definedName>
    <definedName name="_78__FDSAUDITLINK__" localSheetId="8" hidden="1">{"fdsup://Directions/FactSet Auditing Viewer?action=AUDIT_VALUE&amp;DB=129&amp;ID1=604348&amp;VALUEID=03426&amp;SDATE=2008&amp;PERIODTYPE=ANN_STD&amp;window=popup_no_bar&amp;width=385&amp;height=120&amp;START_MAXIMIZED=FALSE&amp;creator=factset&amp;display_string=Audit"}</definedName>
    <definedName name="_78__FDSAUDITLINK__" localSheetId="6" hidden="1">{"fdsup://Directions/FactSet Auditing Viewer?action=AUDIT_VALUE&amp;DB=129&amp;ID1=604348&amp;VALUEID=03426&amp;SDATE=2008&amp;PERIODTYPE=ANN_STD&amp;window=popup_no_bar&amp;width=385&amp;height=120&amp;START_MAXIMIZED=FALSE&amp;creator=factset&amp;display_string=Audit"}</definedName>
    <definedName name="_78__FDSAUDITLINK__" hidden="1">{"fdsup://Directions/FactSet Auditing Viewer?action=AUDIT_VALUE&amp;DB=129&amp;ID1=604348&amp;VALUEID=03426&amp;SDATE=2008&amp;PERIODTYPE=ANN_STD&amp;window=popup_no_bar&amp;width=385&amp;height=120&amp;START_MAXIMIZED=FALSE&amp;creator=factset&amp;display_string=Audit"}</definedName>
    <definedName name="_79__FDSAUDITLINK__" localSheetId="4"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79__FDSAUDITLINK__" localSheetId="8"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79__FDSAUDITLINK__" localSheetId="6"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79__FDSAUDITLINK__" hidden="1">{"fdsup://directions/FAT Viewer?action=UPDATE&amp;creator=factset&amp;DYN_ARGS=TRUE&amp;DOC_NAME=FAT:FQL_AUDITING_CLIENT_TEMPLATE.FAT&amp;display_string=Audit&amp;VAR:KEY=ALIZMZKVMP&amp;VAR:QUERY=RkZfRU5UUlBSX1ZBTF9EQUlMWSg0MDI0MiwsLCwnVVNEJywnRElMJyk=&amp;WINDOW=FIRST_POPUP&amp;HEIGHT=45","0&amp;WIDTH=450&amp;START_MAXIMIZED=FALSE&amp;VAR:CALENDAR=US&amp;VAR:SYMBOL=70454910&amp;VAR:INDEX=0"}</definedName>
    <definedName name="_8____123Graph_BCHART_1" hidden="1">#N/A</definedName>
    <definedName name="_8__123Graph_ACHART_17" localSheetId="2" hidden="1">[16]Occ!#REF!</definedName>
    <definedName name="_8__123Graph_ACHART_17" localSheetId="4" hidden="1">[16]Occ!#REF!</definedName>
    <definedName name="_8__123Graph_ACHART_17" localSheetId="8" hidden="1">[16]Occ!#REF!</definedName>
    <definedName name="_8__123Graph_ACHART_17" localSheetId="6" hidden="1">[16]Occ!#REF!</definedName>
    <definedName name="_8__123Graph_ACHART_17" hidden="1">[16]Occ!#REF!</definedName>
    <definedName name="_8__123Graph_ASEG_PIE" localSheetId="2" hidden="1">[16]Demand!#REF!</definedName>
    <definedName name="_8__123Graph_ASEG_PIE" localSheetId="4" hidden="1">[16]Demand!#REF!</definedName>
    <definedName name="_8__123Graph_ASEG_PIE" localSheetId="8" hidden="1">[16]Demand!#REF!</definedName>
    <definedName name="_8__123Graph_ASEG_PIE" localSheetId="6" hidden="1">[16]Demand!#REF!</definedName>
    <definedName name="_8__123Graph_ASEG_PIE" hidden="1">[16]Demand!#REF!</definedName>
    <definedName name="_8__123Graph_XCHART_6" hidden="1">[18]Expiration!$E$139:$E$143</definedName>
    <definedName name="_8__FDSAUDITLINK__" localSheetId="4"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8__FDSAUDITLINK__" localSheetId="8"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8__FDSAUDITLINK__" localSheetId="6"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8__FDSAUDITLINK__" hidden="1">{"fdsup://directions/FAT Viewer?action=UPDATE&amp;creator=factset&amp;DYN_ARGS=TRUE&amp;DOC_NAME=FAT:FQL_AUDITING_CLIENT_TEMPLATE.FAT&amp;display_string=Audit&amp;VAR:KEY=EZUHWRCBOF&amp;VAR:QUERY=RkZfRUJJVERBX0lCKCdDQUwnLDIwMDksLCwsJ1VTRCcp&amp;WINDOW=FIRST_POPUP&amp;HEIGHT=450&amp;WIDTH=450&amp;","START_MAXIMIZED=FALSE&amp;VAR:CALENDAR=US&amp;VAR:SYMBOL=620337&amp;VAR:INDEX=0"}</definedName>
    <definedName name="_80__FDSAUDITLINK__" localSheetId="4"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80__FDSAUDITLINK__" localSheetId="8"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80__FDSAUDITLINK__" localSheetId="6"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80__FDSAUDITLINK__" hidden="1">{"fdsup://directions/FAT Viewer?action=UPDATE&amp;creator=factset&amp;DYN_ARGS=TRUE&amp;DOC_NAME=FAT:FQL_AUDITING_CLIENT_TEMPLATE.FAT&amp;display_string=Audit&amp;VAR:KEY=KVIZONYBQL&amp;VAR:QUERY=RkZfRUJJVERBX0lCKCdDQUwnLDIwMDksLCwsJ1VTRCcp&amp;WINDOW=FIRST_POPUP&amp;HEIGHT=450&amp;WIDTH=450&amp;","START_MAXIMIZED=FALSE&amp;VAR:CALENDAR=US&amp;VAR:SYMBOL=01381710&amp;VAR:INDEX=0"}</definedName>
    <definedName name="_81__123Graph_FCHART_16" localSheetId="2" hidden="1">[14]Occ!#REF!</definedName>
    <definedName name="_81__123Graph_FCHART_16" localSheetId="4" hidden="1">[14]Occ!#REF!</definedName>
    <definedName name="_81__123Graph_FCHART_16" localSheetId="8" hidden="1">[14]Occ!#REF!</definedName>
    <definedName name="_81__123Graph_FCHART_16" localSheetId="6" hidden="1">[14]Occ!#REF!</definedName>
    <definedName name="_81__123Graph_FCHART_16" hidden="1">[14]Occ!#REF!</definedName>
    <definedName name="_81__FDSAUDITLINK__" localSheetId="4"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81__FDSAUDITLINK__" localSheetId="8"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81__FDSAUDITLINK__" localSheetId="6"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81__FDSAUDITLINK__" hidden="1">{"fdsup://directions/FAT Viewer?action=UPDATE&amp;creator=factset&amp;DYN_ARGS=TRUE&amp;DOC_NAME=FAT:FQL_AUDITING_CLIENT_TEMPLATE.FAT&amp;display_string=Audit&amp;VAR:KEY=WDIPMPONKN&amp;VAR:QUERY=RkZfRU5UUlBSX1ZBTF9EQUlMWSg0MDI0MiwsLCwnVVNEJywnRElMJyk=&amp;WINDOW=FIRST_POPUP&amp;HEIGHT=45","0&amp;WIDTH=450&amp;START_MAXIMIZED=FALSE&amp;VAR:CALENDAR=US&amp;VAR:SYMBOL=01381710&amp;VAR:INDEX=0"}</definedName>
    <definedName name="_82__FDSAUDITLINK__" localSheetId="4"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82__FDSAUDITLINK__" localSheetId="8"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82__FDSAUDITLINK__" localSheetId="6"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82__FDSAUDITLINK__" hidden="1">{"fdsup://directions/FAT Viewer?action=UPDATE&amp;creator=factset&amp;DYN_ARGS=TRUE&amp;DOC_NAME=FAT:FQL_AUDITING_CLIENT_TEMPLATE.FAT&amp;display_string=Audit&amp;VAR:KEY=SFSDQLCZQV&amp;VAR:QUERY=RkZfRUJJVERBX0lCKCdDQUwnLDIwMDksLCwsJ1VTRCcp&amp;WINDOW=FIRST_POPUP&amp;HEIGHT=450&amp;WIDTH=450&amp;","START_MAXIMIZED=FALSE&amp;VAR:CALENDAR=US&amp;VAR:SYMBOL=B1G426&amp;VAR:INDEX=0"}</definedName>
    <definedName name="_83__FDSAUDITLINK__" localSheetId="4"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83__FDSAUDITLINK__" localSheetId="8"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83__FDSAUDITLINK__" localSheetId="6"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83__FDSAUDITLINK__" hidden="1">{"fdsup://directions/FAT Viewer?action=UPDATE&amp;creator=factset&amp;DYN_ARGS=TRUE&amp;DOC_NAME=FAT:FQL_AUDITING_CLIENT_TEMPLATE.FAT&amp;display_string=Audit&amp;VAR:KEY=MZYVMTAFUT&amp;VAR:QUERY=RkZfRU5UUlBSX1ZBTF9EQUlMWSg0MDI0MiwsLCwnVVNEJywnRElMJyk=&amp;WINDOW=FIRST_POPUP&amp;HEIGHT=45","0&amp;WIDTH=450&amp;START_MAXIMIZED=FALSE&amp;VAR:CALENDAR=US&amp;VAR:SYMBOL=B1G426&amp;VAR:INDEX=0"}</definedName>
    <definedName name="_84__123Graph_FCHART_17" localSheetId="2" hidden="1">[14]Occ!#REF!</definedName>
    <definedName name="_84__123Graph_FCHART_17" localSheetId="4" hidden="1">[14]Occ!#REF!</definedName>
    <definedName name="_84__123Graph_FCHART_17" localSheetId="8" hidden="1">[14]Occ!#REF!</definedName>
    <definedName name="_84__123Graph_FCHART_17" localSheetId="6" hidden="1">[14]Occ!#REF!</definedName>
    <definedName name="_84__123Graph_FCHART_17" hidden="1">[14]Occ!#REF!</definedName>
    <definedName name="_84__FDSAUDITLINK__" localSheetId="4"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84__FDSAUDITLINK__" localSheetId="8"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84__FDSAUDITLINK__" localSheetId="6"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84__FDSAUDITLINK__" hidden="1">{"fdsup://directions/FAT Viewer?action=UPDATE&amp;creator=factset&amp;DYN_ARGS=TRUE&amp;DOC_NAME=FAT:FQL_AUDITING_CLIENT_TEMPLATE.FAT&amp;display_string=Audit&amp;VAR:KEY=CLMPGRAFIV&amp;VAR:QUERY=RkZfRUJJVERBX0lCKCdDQUwnLDIwMDksLCwsJ1VTRCcp&amp;WINDOW=FIRST_POPUP&amp;HEIGHT=450&amp;WIDTH=450&amp;","START_MAXIMIZED=FALSE&amp;VAR:CALENDAR=US&amp;VAR:SYMBOL=B29BCK&amp;VAR:INDEX=0"}</definedName>
    <definedName name="_85__FDSAUDITLINK__" localSheetId="4"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85__FDSAUDITLINK__" localSheetId="8"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85__FDSAUDITLINK__" localSheetId="6"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85__FDSAUDITLINK__" hidden="1">{"fdsup://directions/FAT Viewer?action=UPDATE&amp;creator=factset&amp;DYN_ARGS=TRUE&amp;DOC_NAME=FAT:FQL_AUDITING_CLIENT_TEMPLATE.FAT&amp;display_string=Audit&amp;VAR:KEY=ONCXUBIDAL&amp;VAR:QUERY=RkZfRU5UUlBSX1ZBTF9EQUlMWSg0MDI0MiwsLCwnVVNEJywnRElMJyk=&amp;WINDOW=FIRST_POPUP&amp;HEIGHT=45","0&amp;WIDTH=450&amp;START_MAXIMIZED=FALSE&amp;VAR:CALENDAR=US&amp;VAR:SYMBOL=B29BCK&amp;VAR:INDEX=0"}</definedName>
    <definedName name="_85_0_0_F" localSheetId="2" hidden="1">'[24]1999 BUDGET'!#REF!</definedName>
    <definedName name="_85_0_0_F" localSheetId="4" hidden="1">'[24]1999 BUDGET'!#REF!</definedName>
    <definedName name="_85_0_0_F" localSheetId="8" hidden="1">'[24]1999 BUDGET'!#REF!</definedName>
    <definedName name="_85_0_0_F" localSheetId="6" hidden="1">'[24]1999 BUDGET'!#REF!</definedName>
    <definedName name="_85_0_0_F" hidden="1">'[24]1999 BUDGET'!#REF!</definedName>
    <definedName name="_86__FDSAUDITLINK__" localSheetId="4"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86__FDSAUDITLINK__" localSheetId="8"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86__FDSAUDITLINK__" localSheetId="6"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86__FDSAUDITLINK__" hidden="1">{"fdsup://directions/FAT Viewer?action=UPDATE&amp;creator=factset&amp;DYN_ARGS=TRUE&amp;DOC_NAME=FAT:FQL_AUDITING_CLIENT_TEMPLATE.FAT&amp;display_string=Audit&amp;VAR:KEY=CPINQXQDOF&amp;VAR:QUERY=RkZfRUJJVERBX0lCKCdDQUwnLDIwMDksLCwsJ1VTRCcp&amp;WINDOW=FIRST_POPUP&amp;HEIGHT=450&amp;WIDTH=450&amp;","START_MAXIMIZED=FALSE&amp;VAR:CALENDAR=US&amp;VAR:SYMBOL=B019KX&amp;VAR:INDEX=0"}</definedName>
    <definedName name="_86_0_0_F" localSheetId="2" hidden="1">'[22]1999 BUDGET'!#REF!</definedName>
    <definedName name="_86_0_0_F" localSheetId="4" hidden="1">'[22]1999 BUDGET'!#REF!</definedName>
    <definedName name="_86_0_0_F" localSheetId="8" hidden="1">'[22]1999 BUDGET'!#REF!</definedName>
    <definedName name="_86_0_0_F" localSheetId="6" hidden="1">'[22]1999 BUDGET'!#REF!</definedName>
    <definedName name="_86_0_0_F" hidden="1">'[22]1999 BUDGET'!#REF!</definedName>
    <definedName name="_87__123Graph_FCHART_22" localSheetId="2" hidden="1">[14]Occ!#REF!</definedName>
    <definedName name="_87__123Graph_FCHART_22" localSheetId="4" hidden="1">[14]Occ!#REF!</definedName>
    <definedName name="_87__123Graph_FCHART_22" localSheetId="8" hidden="1">[14]Occ!#REF!</definedName>
    <definedName name="_87__123Graph_FCHART_22" localSheetId="6" hidden="1">[14]Occ!#REF!</definedName>
    <definedName name="_87__123Graph_FCHART_22" hidden="1">[14]Occ!#REF!</definedName>
    <definedName name="_87__FDSAUDITLINK__" localSheetId="4"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87__FDSAUDITLINK__" localSheetId="8"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87__FDSAUDITLINK__" localSheetId="6"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87__FDSAUDITLINK__" hidden="1">{"fdsup://directions/FAT Viewer?action=UPDATE&amp;creator=factset&amp;DYN_ARGS=TRUE&amp;DOC_NAME=FAT:FQL_AUDITING_CLIENT_TEMPLATE.FAT&amp;display_string=Audit&amp;VAR:KEY=GBWNGBUNCZ&amp;VAR:QUERY=RkZfRUJJVERBX0lCKCdDQUwnLDIwMDksLCwsJ1VTRCcp&amp;WINDOW=FIRST_POPUP&amp;HEIGHT=450&amp;WIDTH=450&amp;","START_MAXIMIZED=FALSE&amp;VAR:CALENDAR=US&amp;VAR:SYMBOL=84265V10&amp;VAR:INDEX=0"}</definedName>
    <definedName name="_88__FDSAUDITLINK__" localSheetId="4"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88__FDSAUDITLINK__" localSheetId="8"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88__FDSAUDITLINK__" localSheetId="6"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88__FDSAUDITLINK__" hidden="1">{"fdsup://directions/FAT Viewer?action=UPDATE&amp;creator=factset&amp;DYN_ARGS=TRUE&amp;DOC_NAME=FAT:FQL_AUDITING_CLIENT_TEMPLATE.FAT&amp;display_string=Audit&amp;VAR:KEY=QTEFEBGPSL&amp;VAR:QUERY=RkZfRUJJVERBX0lCKCdDQUwnLDIwMDksLCwsJ1VTRCcp&amp;WINDOW=FIRST_POPUP&amp;HEIGHT=450&amp;WIDTH=450&amp;","START_MAXIMIZED=FALSE&amp;VAR:CALENDAR=US&amp;VAR:SYMBOL=35671D85&amp;VAR:INDEX=0"}</definedName>
    <definedName name="_89__FDSAUDITLINK__" localSheetId="4"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89__FDSAUDITLINK__" localSheetId="8"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89__FDSAUDITLINK__" localSheetId="6"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89__FDSAUDITLINK__" hidden="1">{"fdsup://directions/FAT Viewer?action=UPDATE&amp;creator=factset&amp;DYN_ARGS=TRUE&amp;DOC_NAME=FAT:FQL_AUDITING_CLIENT_TEMPLATE.FAT&amp;display_string=Audit&amp;VAR:KEY=SDCXMZYZYB&amp;VAR:QUERY=RkZfRUJJVERBX0lCKCdDQUwnLDIwMDksLCwsJ1VTRCcp&amp;WINDOW=FIRST_POPUP&amp;HEIGHT=450&amp;WIDTH=450&amp;","START_MAXIMIZED=FALSE&amp;VAR:CALENDAR=US&amp;VAR:SYMBOL=604348&amp;VAR:INDEX=0"}</definedName>
    <definedName name="_8S" localSheetId="2" hidden="1">'[24]1999 BUDGET'!#REF!</definedName>
    <definedName name="_8S" localSheetId="4" hidden="1">'[24]1999 BUDGET'!#REF!</definedName>
    <definedName name="_8S" localSheetId="8" hidden="1">'[24]1999 BUDGET'!#REF!</definedName>
    <definedName name="_8S" localSheetId="6" hidden="1">'[24]1999 BUDGET'!#REF!</definedName>
    <definedName name="_8S" hidden="1">'[24]1999 BUDGET'!#REF!</definedName>
    <definedName name="_9__123Graph_ACHART_16" localSheetId="2" hidden="1">[14]Occ!#REF!</definedName>
    <definedName name="_9__123Graph_ACHART_16" localSheetId="4" hidden="1">[14]Occ!#REF!</definedName>
    <definedName name="_9__123Graph_ACHART_16" localSheetId="8" hidden="1">[14]Occ!#REF!</definedName>
    <definedName name="_9__123Graph_ACHART_16" localSheetId="6" hidden="1">[14]Occ!#REF!</definedName>
    <definedName name="_9__123Graph_ACHART_16" hidden="1">[14]Occ!#REF!</definedName>
    <definedName name="_9__123Graph_BCHART_15" localSheetId="2" hidden="1">[16]Occ!#REF!</definedName>
    <definedName name="_9__123Graph_BCHART_15" localSheetId="4" hidden="1">[16]Occ!#REF!</definedName>
    <definedName name="_9__123Graph_BCHART_15" localSheetId="8" hidden="1">[16]Occ!#REF!</definedName>
    <definedName name="_9__123Graph_BCHART_15" localSheetId="6" hidden="1">[16]Occ!#REF!</definedName>
    <definedName name="_9__123Graph_BCHART_15" hidden="1">[16]Occ!#REF!</definedName>
    <definedName name="_9__123Graph_BCHART_1A" hidden="1">'[17]WATER RATES'!$E$9:$E$31</definedName>
    <definedName name="_9__FDSAUDITLINK__" localSheetId="4"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9__FDSAUDITLINK__" localSheetId="8"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9__FDSAUDITLINK__" localSheetId="6"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9__FDSAUDITLINK__" hidden="1">{"fdsup://directions/FAT Viewer?action=UPDATE&amp;creator=factset&amp;DYN_ARGS=TRUE&amp;DOC_NAME=FAT:FQL_AUDITING_CLIENT_TEMPLATE.FAT&amp;display_string=Audit&amp;VAR:KEY=EDQJQJKLIF&amp;VAR:QUERY=RkZfRU5UUlBSX1ZBTF9EQUlMWSg0MDI0MiwsLCwnVVNEJywnRElMJyk=&amp;WINDOW=FIRST_POPUP&amp;HEIGHT=45","0&amp;WIDTH=450&amp;START_MAXIMIZED=FALSE&amp;VAR:CALENDAR=US&amp;VAR:SYMBOL=620337&amp;VAR:INDEX=0"}</definedName>
    <definedName name="_90__123Graph_XCHART_15" localSheetId="2" hidden="1">[14]Occ!#REF!</definedName>
    <definedName name="_90__123Graph_XCHART_15" localSheetId="4" hidden="1">[14]Occ!#REF!</definedName>
    <definedName name="_90__123Graph_XCHART_15" localSheetId="8" hidden="1">[14]Occ!#REF!</definedName>
    <definedName name="_90__123Graph_XCHART_15" localSheetId="6" hidden="1">[14]Occ!#REF!</definedName>
    <definedName name="_90__123Graph_XCHART_15" hidden="1">[14]Occ!#REF!</definedName>
    <definedName name="_90__FDSAUDITLINK__" localSheetId="4" hidden="1">{"fdsup://Directions/FactSet Auditing Viewer?action=AUDIT_VALUE&amp;DB=129&amp;ID1=604348&amp;VALUEID=02001&amp;SDATE=2008&amp;PERIODTYPE=ANN_STD&amp;window=popup_no_bar&amp;width=385&amp;height=120&amp;START_MAXIMIZED=FALSE&amp;creator=factset&amp;display_string=Audit"}</definedName>
    <definedName name="_90__FDSAUDITLINK__" localSheetId="8" hidden="1">{"fdsup://Directions/FactSet Auditing Viewer?action=AUDIT_VALUE&amp;DB=129&amp;ID1=604348&amp;VALUEID=02001&amp;SDATE=2008&amp;PERIODTYPE=ANN_STD&amp;window=popup_no_bar&amp;width=385&amp;height=120&amp;START_MAXIMIZED=FALSE&amp;creator=factset&amp;display_string=Audit"}</definedName>
    <definedName name="_90__FDSAUDITLINK__" localSheetId="6" hidden="1">{"fdsup://Directions/FactSet Auditing Viewer?action=AUDIT_VALUE&amp;DB=129&amp;ID1=604348&amp;VALUEID=02001&amp;SDATE=2008&amp;PERIODTYPE=ANN_STD&amp;window=popup_no_bar&amp;width=385&amp;height=120&amp;START_MAXIMIZED=FALSE&amp;creator=factset&amp;display_string=Audit"}</definedName>
    <definedName name="_90__FDSAUDITLINK__" hidden="1">{"fdsup://Directions/FactSet Auditing Viewer?action=AUDIT_VALUE&amp;DB=129&amp;ID1=604348&amp;VALUEID=02001&amp;SDATE=2008&amp;PERIODTYPE=ANN_STD&amp;window=popup_no_bar&amp;width=385&amp;height=120&amp;START_MAXIMIZED=FALSE&amp;creator=factset&amp;display_string=Audit"}</definedName>
    <definedName name="_91__FDSAUDITLINK__" localSheetId="4"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91__FDSAUDITLINK__" localSheetId="8"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91__FDSAUDITLINK__" localSheetId="6"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91__FDSAUDITLINK__" hidden="1">{"fdsup://directions/FAT Viewer?action=UPDATE&amp;creator=factset&amp;DYN_ARGS=TRUE&amp;DOC_NAME=FAT:FQL_AUDITING_CLIENT_TEMPLATE.FAT&amp;display_string=Audit&amp;VAR:KEY=IBUXKJGJCN&amp;VAR:QUERY=RkZfRU5UUlBSX1ZBTF9EQUlMWSg0MDI0MiwsLCwnVVNEJywnRElMJyk=&amp;WINDOW=FIRST_POPUP&amp;HEIGHT=45","0&amp;WIDTH=450&amp;START_MAXIMIZED=FALSE&amp;VAR:CALENDAR=US&amp;VAR:SYMBOL=604348&amp;VAR:INDEX=0"}</definedName>
    <definedName name="_92__FDSAUDITLINK__" localSheetId="4"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92__FDSAUDITLINK__" localSheetId="8"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92__FDSAUDITLINK__" localSheetId="6"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92__FDSAUDITLINK__" hidden="1">{"fdsup://directions/FAT Viewer?action=UPDATE&amp;creator=factset&amp;DYN_ARGS=TRUE&amp;DOC_NAME=FAT:FQL_AUDITING_CLIENT_TEMPLATE.FAT&amp;display_string=Audit&amp;VAR:KEY=ORCHORYFWP&amp;VAR:QUERY=RkZfRUJJVERBX0lCKCdDQUwnLDIwMDksLCwsJ1VTRCcp&amp;WINDOW=FIRST_POPUP&amp;HEIGHT=450&amp;WIDTH=450&amp;","START_MAXIMIZED=FALSE&amp;VAR:CALENDAR=US&amp;VAR:SYMBOL=613944&amp;VAR:INDEX=0"}</definedName>
    <definedName name="_93__123Graph_XCHART_16" localSheetId="2" hidden="1">[14]Occ!#REF!</definedName>
    <definedName name="_93__123Graph_XCHART_16" localSheetId="4" hidden="1">[14]Occ!#REF!</definedName>
    <definedName name="_93__123Graph_XCHART_16" localSheetId="8" hidden="1">[14]Occ!#REF!</definedName>
    <definedName name="_93__123Graph_XCHART_16" localSheetId="6" hidden="1">[14]Occ!#REF!</definedName>
    <definedName name="_93__123Graph_XCHART_16" hidden="1">[14]Occ!#REF!</definedName>
    <definedName name="_93__FDSAUDITLINK__" localSheetId="4"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93__FDSAUDITLINK__" localSheetId="8"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93__FDSAUDITLINK__" localSheetId="6"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93__FDSAUDITLINK__" hidden="1">{"fdsup://directions/FAT Viewer?action=UPDATE&amp;creator=factset&amp;DYN_ARGS=TRUE&amp;DOC_NAME=FAT:FQL_AUDITING_CLIENT_TEMPLATE.FAT&amp;display_string=Audit&amp;VAR:KEY=MPCJKXEHKN&amp;VAR:QUERY=RkZfRU5UUlBSX1ZBTF9EQUlMWSg0MDI0MiwsLCwnVVNEJywnRElMJyk=&amp;WINDOW=FIRST_POPUP&amp;HEIGHT=45","0&amp;WIDTH=450&amp;START_MAXIMIZED=FALSE&amp;VAR:CALENDAR=US&amp;VAR:SYMBOL=613944&amp;VAR:INDEX=0"}</definedName>
    <definedName name="_94__FDSAUDITLINK__" localSheetId="4"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94__FDSAUDITLINK__" localSheetId="8"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94__FDSAUDITLINK__" localSheetId="6"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94__FDSAUDITLINK__" hidden="1">{"fdsup://directions/FAT Viewer?action=UPDATE&amp;creator=factset&amp;DYN_ARGS=TRUE&amp;DOC_NAME=FAT:FQL_AUDITING_CLIENT_TEMPLATE.FAT&amp;display_string=Audit&amp;VAR:KEY=MZMPOVYPOT&amp;VAR:QUERY=RkZfRUJJVERBX0lCKCdDQUwnLDIwMDksLCwsJ1VTRCcp&amp;WINDOW=FIRST_POPUP&amp;HEIGHT=450&amp;WIDTH=450&amp;","START_MAXIMIZED=FALSE&amp;VAR:CALENDAR=US&amp;VAR:SYMBOL=B0GWF4&amp;VAR:INDEX=0"}</definedName>
    <definedName name="_95__FDSAUDITLINK__" localSheetId="4"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95__FDSAUDITLINK__" localSheetId="8"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95__FDSAUDITLINK__" localSheetId="6"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95__FDSAUDITLINK__" hidden="1">{"fdsup://directions/FAT Viewer?action=UPDATE&amp;creator=factset&amp;DYN_ARGS=TRUE&amp;DOC_NAME=FAT:FQL_AUDITING_CLIENT_TEMPLATE.FAT&amp;display_string=Audit&amp;VAR:KEY=OTIPUXQVWX&amp;VAR:QUERY=RkZfRU5UUlBSX1ZBTF9EQUlMWSg0MDI0MiwsLCwnVVNEJywnRElMJyk=&amp;WINDOW=FIRST_POPUP&amp;HEIGHT=45","0&amp;WIDTH=450&amp;START_MAXIMIZED=FALSE&amp;VAR:CALENDAR=US&amp;VAR:SYMBOL=B0GWF4&amp;VAR:INDEX=0"}</definedName>
    <definedName name="_96__123Graph_XCHART_17" localSheetId="2" hidden="1">[14]Occ!#REF!</definedName>
    <definedName name="_96__123Graph_XCHART_17" localSheetId="4" hidden="1">[14]Occ!#REF!</definedName>
    <definedName name="_96__123Graph_XCHART_17" localSheetId="8" hidden="1">[14]Occ!#REF!</definedName>
    <definedName name="_96__123Graph_XCHART_17" localSheetId="6" hidden="1">[14]Occ!#REF!</definedName>
    <definedName name="_96__123Graph_XCHART_17" hidden="1">[14]Occ!#REF!</definedName>
    <definedName name="_96__FDSAUDITLINK__" localSheetId="4"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96__FDSAUDITLINK__" localSheetId="8"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96__FDSAUDITLINK__" localSheetId="6"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96__FDSAUDITLINK__" hidden="1">{"fdsup://directions/FAT Viewer?action=UPDATE&amp;creator=factset&amp;DYN_ARGS=TRUE&amp;DOC_NAME=FAT:FQL_AUDITING_CLIENT_TEMPLATE.FAT&amp;display_string=Audit&amp;VAR:KEY=OFSDYBCHEJ&amp;VAR:QUERY=RkZfRUJJVERBX0lCKCdDQUwnLDIwMDksLCwsJ1VTRCcp&amp;WINDOW=FIRST_POPUP&amp;HEIGHT=450&amp;WIDTH=450&amp;","START_MAXIMIZED=FALSE&amp;VAR:CALENDAR=US&amp;VAR:SYMBOL=B11HK3&amp;VAR:INDEX=0"}</definedName>
    <definedName name="_97__FDSAUDITLINK__" localSheetId="4"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97__FDSAUDITLINK__" localSheetId="8"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97__FDSAUDITLINK__" localSheetId="6"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97__FDSAUDITLINK__" hidden="1">{"fdsup://directions/FAT Viewer?action=UPDATE&amp;creator=factset&amp;DYN_ARGS=TRUE&amp;DOC_NAME=FAT:FQL_AUDITING_CLIENT_TEMPLATE.FAT&amp;display_string=Audit&amp;VAR:KEY=MDELEFOVAR&amp;VAR:QUERY=RkZfRU5UUlBSX1ZBTF9EQUlMWSg0MDI0MiwsLCwnVVNEJywnRElMJyk=&amp;WINDOW=FIRST_POPUP&amp;HEIGHT=45","0&amp;WIDTH=450&amp;START_MAXIMIZED=FALSE&amp;VAR:CALENDAR=US&amp;VAR:SYMBOL=B11HK3&amp;VAR:INDEX=0"}</definedName>
    <definedName name="_98__FDSAUDITLINK__" localSheetId="4"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98__FDSAUDITLINK__" localSheetId="8"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98__FDSAUDITLINK__" localSheetId="6"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98__FDSAUDITLINK__" hidden="1">{"fdsup://directions/FAT Viewer?action=UPDATE&amp;creator=factset&amp;DYN_ARGS=TRUE&amp;DOC_NAME=FAT:FQL_AUDITING_CLIENT_TEMPLATE.FAT&amp;display_string=Audit&amp;VAR:KEY=UXMFINCVAN&amp;VAR:QUERY=RkZfRUJJVERBX0lCKCdDQUwnLDIwMDksLCwsJ1VTRCcp&amp;WINDOW=FIRST_POPUP&amp;HEIGHT=450&amp;WIDTH=450&amp;","START_MAXIMIZED=FALSE&amp;VAR:CALENDAR=US&amp;VAR:SYMBOL=20854P10&amp;VAR:INDEX=0"}</definedName>
    <definedName name="_99__123Graph_XCHART_18" localSheetId="2" hidden="1">[14]Demand!#REF!</definedName>
    <definedName name="_99__123Graph_XCHART_18" localSheetId="4" hidden="1">[14]Demand!#REF!</definedName>
    <definedName name="_99__123Graph_XCHART_18" localSheetId="8" hidden="1">[14]Demand!#REF!</definedName>
    <definedName name="_99__123Graph_XCHART_18" localSheetId="6" hidden="1">[14]Demand!#REF!</definedName>
    <definedName name="_99__123Graph_XCHART_18" hidden="1">[14]Demand!#REF!</definedName>
    <definedName name="_99__FDSAUDITLINK__" localSheetId="4"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99__FDSAUDITLINK__" localSheetId="8"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99__FDSAUDITLINK__" localSheetId="6"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99__FDSAUDITLINK__" hidden="1">{"fdsup://directions/FAT Viewer?action=UPDATE&amp;creator=factset&amp;DYN_ARGS=TRUE&amp;DOC_NAME=FAT:FQL_AUDITING_CLIENT_TEMPLATE.FAT&amp;display_string=Audit&amp;VAR:KEY=YZUDINQFMN&amp;VAR:QUERY=RkZfRU5UUlBSX1ZBTF9EQUlMWSg0MDI0MiwsLCwnVVNEJywnRElMJyk=&amp;WINDOW=FIRST_POPUP&amp;HEIGHT=45","0&amp;WIDTH=450&amp;START_MAXIMIZED=FALSE&amp;VAR:CALENDAR=US&amp;VAR:SYMBOL=20854P10&amp;VAR:INDEX=0"}</definedName>
    <definedName name="_a1" localSheetId="4" hidden="1">{"Assump",#N/A,TRUE,"Proforma";"first",#N/A,TRUE,"Proforma";"second",#N/A,TRUE,"Proforma";"lease1",#N/A,TRUE,"Proforma";"lease2",#N/A,TRUE,"Proforma"}</definedName>
    <definedName name="_a1" localSheetId="8" hidden="1">{"Assump",#N/A,TRUE,"Proforma";"first",#N/A,TRUE,"Proforma";"second",#N/A,TRUE,"Proforma";"lease1",#N/A,TRUE,"Proforma";"lease2",#N/A,TRUE,"Proforma"}</definedName>
    <definedName name="_a1" localSheetId="6" hidden="1">{"Assump",#N/A,TRUE,"Proforma";"first",#N/A,TRUE,"Proforma";"second",#N/A,TRUE,"Proforma";"lease1",#N/A,TRUE,"Proforma";"lease2",#N/A,TRUE,"Proforma"}</definedName>
    <definedName name="_a1" hidden="1">{"Assump",#N/A,TRUE,"Proforma";"first",#N/A,TRUE,"Proforma";"second",#N/A,TRUE,"Proforma";"lease1",#N/A,TRUE,"Proforma";"lease2",#N/A,TRUE,"Proforma"}</definedName>
    <definedName name="_al1" localSheetId="4" hidden="1">{"sheet a",#N/A,FALSE,"A";"sheet b 1",#N/A,FALSE,"B";"sheet b 2",#N/A,FALSE,"B"}</definedName>
    <definedName name="_al1" localSheetId="8" hidden="1">{"sheet a",#N/A,FALSE,"A";"sheet b 1",#N/A,FALSE,"B";"sheet b 2",#N/A,FALSE,"B"}</definedName>
    <definedName name="_al1" localSheetId="6" hidden="1">{"sheet a",#N/A,FALSE,"A";"sheet b 1",#N/A,FALSE,"B";"sheet b 2",#N/A,FALSE,"B"}</definedName>
    <definedName name="_al1" hidden="1">{"sheet a",#N/A,FALSE,"A";"sheet b 1",#N/A,FALSE,"B";"sheet b 2",#N/A,FALSE,"B"}</definedName>
    <definedName name="_AS1" localSheetId="8" hidden="1">{"comp1",#N/A,FALSE,"COMPS";"footnotes",#N/A,FALSE,"COMPS"}</definedName>
    <definedName name="_AS1" hidden="1">{"comp1",#N/A,FALSE,"COMPS";"footnotes",#N/A,FALSE,"COMPS"}</definedName>
    <definedName name="_asdfasd" localSheetId="2" hidden="1">[4]P2000!#REF!</definedName>
    <definedName name="_asdfasd" localSheetId="8" hidden="1">[4]P2000!#REF!</definedName>
    <definedName name="_asdfasd" hidden="1">[4]P2000!#REF!</definedName>
    <definedName name="_AtRisk_SimSetting_AutomaticallyGenerateReports" hidden="1">FALSE</definedName>
    <definedName name="_AtRisk_SimSetting_AutomaticResultsDisplayMode" hidden="1">1</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1C4F474830BC4014A2F798030CC7D9C8.edm" localSheetId="2" hidden="1">#REF!</definedName>
    <definedName name="_bdm.1C4F474830BC4014A2F798030CC7D9C8.edm" localSheetId="4" hidden="1">#REF!</definedName>
    <definedName name="_bdm.1C4F474830BC4014A2F798030CC7D9C8.edm" localSheetId="8" hidden="1">#REF!</definedName>
    <definedName name="_bdm.1C4F474830BC4014A2F798030CC7D9C8.edm" hidden="1">#REF!</definedName>
    <definedName name="_bdm.681E27B1A6144096B1CED1F2C82073BA.edm" localSheetId="2" hidden="1">#REF!</definedName>
    <definedName name="_bdm.681E27B1A6144096B1CED1F2C82073BA.edm" localSheetId="4" hidden="1">#REF!</definedName>
    <definedName name="_bdm.681E27B1A6144096B1CED1F2C82073BA.edm" localSheetId="8" hidden="1">#REF!</definedName>
    <definedName name="_bdm.681E27B1A6144096B1CED1F2C82073BA.edm" hidden="1">#REF!</definedName>
    <definedName name="_bdm.A124FC9248C8486F8F2F5C4C6D6BEE9F.edm" localSheetId="2" hidden="1">#REF!</definedName>
    <definedName name="_bdm.A124FC9248C8486F8F2F5C4C6D6BEE9F.edm" localSheetId="4" hidden="1">#REF!</definedName>
    <definedName name="_bdm.A124FC9248C8486F8F2F5C4C6D6BEE9F.edm" localSheetId="8" hidden="1">#REF!</definedName>
    <definedName name="_bdm.A124FC9248C8486F8F2F5C4C6D6BEE9F.edm" hidden="1">#REF!</definedName>
    <definedName name="_cp92000" localSheetId="8" hidden="1">{#N/A,#N/A,TRUE,"Caps1-5";#N/A,#N/A,TRUE,"Cap6";#N/A,#N/A,TRUE,"Caps7-8";#N/A,#N/A,TRUE,"Cap9-Resumo";#N/A,#N/A,TRUE,"Cap9-Det-2000";#N/A,#N/A,TRUE,"Cap9-Det-2001";#N/A,#N/A,TRUE,"Caps10-11"}</definedName>
    <definedName name="_cp92000" hidden="1">{#N/A,#N/A,TRUE,"Caps1-5";#N/A,#N/A,TRUE,"Cap6";#N/A,#N/A,TRUE,"Caps7-8";#N/A,#N/A,TRUE,"Cap9-Resumo";#N/A,#N/A,TRUE,"Cap9-Det-2000";#N/A,#N/A,TRUE,"Cap9-Det-2001";#N/A,#N/A,TRUE,"Caps10-11"}</definedName>
    <definedName name="_df2" localSheetId="8" hidden="1">{"CONSEJO",#N/A,FALSE,"Dist p0";"CONSEJO",#N/A,FALSE,"Ficha CODICE"}</definedName>
    <definedName name="_df2" hidden="1">{"CONSEJO",#N/A,FALSE,"Dist p0";"CONSEJO",#N/A,FALSE,"Ficha CODICE"}</definedName>
    <definedName name="_F" localSheetId="8" hidden="1">{"CONSEJO",#N/A,FALSE,"Dist p0";"CONSEJO",#N/A,FALSE,"Ficha CODICE"}</definedName>
    <definedName name="_F" hidden="1">{"CONSEJO",#N/A,FALSE,"Dist p0";"CONSEJO",#N/A,FALSE,"Ficha CODICE"}</definedName>
    <definedName name="_Fil1" localSheetId="2" hidden="1">#REF!</definedName>
    <definedName name="_Fil1" localSheetId="4" hidden="1">#REF!</definedName>
    <definedName name="_Fil1" localSheetId="8" hidden="1">#REF!</definedName>
    <definedName name="_Fil1" hidden="1">#REF!</definedName>
    <definedName name="_Fill" localSheetId="0" hidden="1">#REF!</definedName>
    <definedName name="_Fill" localSheetId="2" hidden="1">[29]SUMMARY!#REF!</definedName>
    <definedName name="_Fill" localSheetId="4" hidden="1">[29]SUMMARY!#REF!</definedName>
    <definedName name="_Fill" localSheetId="8" hidden="1">[29]SUMMARY!#REF!</definedName>
    <definedName name="_Fill" localSheetId="6" hidden="1">[29]SUMMARY!#REF!</definedName>
    <definedName name="_Fill" hidden="1">[29]SUMMARY!#REF!</definedName>
    <definedName name="_Fill_HO" localSheetId="2" hidden="1">#REF!</definedName>
    <definedName name="_Fill_HO" localSheetId="4" hidden="1">#REF!</definedName>
    <definedName name="_Fill_HO" localSheetId="8" hidden="1">#REF!</definedName>
    <definedName name="_Fill_HO" hidden="1">#REF!</definedName>
    <definedName name="_Fill1" localSheetId="2" hidden="1">#REF!</definedName>
    <definedName name="_Fill1" localSheetId="4" hidden="1">#REF!</definedName>
    <definedName name="_Fill1" localSheetId="8" hidden="1">#REF!</definedName>
    <definedName name="_Fill1" hidden="1">#REF!</definedName>
    <definedName name="_Fill2" localSheetId="2" hidden="1">#REF!</definedName>
    <definedName name="_Fill2" localSheetId="4" hidden="1">#REF!</definedName>
    <definedName name="_Fill2" localSheetId="8" hidden="1">#REF!</definedName>
    <definedName name="_Fill2" hidden="1">#REF!</definedName>
    <definedName name="_FillB" hidden="1">'[9]Estados Financieros Estándards'!$A$91:$A$132</definedName>
    <definedName name="_xlnm._FilterDatabase" localSheetId="0" hidden="1">#REF!</definedName>
    <definedName name="_xlnm._FilterDatabase" hidden="1">'[30]Rent Roll Analysis'!$A$8:$AC$251</definedName>
    <definedName name="_FL" localSheetId="2" hidden="1">#REF!</definedName>
    <definedName name="_FL" localSheetId="4" hidden="1">#REF!</definedName>
    <definedName name="_FL" localSheetId="8" hidden="1">#REF!</definedName>
    <definedName name="_FL" hidden="1">#REF!</definedName>
    <definedName name="_fx2" hidden="1">[31]Sheet2!$A$8</definedName>
    <definedName name="_jc1" localSheetId="4" hidden="1">{"'Cash Requirements 5F '!$A$1:$AC$48"}</definedName>
    <definedName name="_jc1" localSheetId="8" hidden="1">{"'Cash Requirements 5F '!$A$1:$AC$48"}</definedName>
    <definedName name="_jc1" localSheetId="6" hidden="1">{"'Cash Requirements 5F '!$A$1:$AC$48"}</definedName>
    <definedName name="_jc1" hidden="1">{"'Cash Requirements 5F '!$A$1:$AC$48"}</definedName>
    <definedName name="_jc2" localSheetId="4"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_jc2" localSheetId="8"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_jc2" localSheetId="6"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_jc2"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_jc3" localSheetId="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jc3"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jc3" localSheetId="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jc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jc4" localSheetId="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jc4"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jc4"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jc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Key1" localSheetId="0" hidden="1">#REF!</definedName>
    <definedName name="_Key1" localSheetId="2" hidden="1">#REF!</definedName>
    <definedName name="_Key1" localSheetId="4" hidden="1">#REF!</definedName>
    <definedName name="_Key1" localSheetId="8" hidden="1">#REF!</definedName>
    <definedName name="_Key1" hidden="1">#REF!</definedName>
    <definedName name="_Key2" localSheetId="0" hidden="1">#REF!</definedName>
    <definedName name="_Key2" localSheetId="2" hidden="1">#REF!</definedName>
    <definedName name="_Key2" localSheetId="4" hidden="1">#REF!</definedName>
    <definedName name="_Key2" localSheetId="8" hidden="1">#REF!</definedName>
    <definedName name="_Key2" hidden="1">#REF!</definedName>
    <definedName name="_Key5" localSheetId="2" hidden="1">#REF!</definedName>
    <definedName name="_Key5" localSheetId="4" hidden="1">#REF!</definedName>
    <definedName name="_Key5" localSheetId="8" hidden="1">#REF!</definedName>
    <definedName name="_Key5" hidden="1">#REF!</definedName>
    <definedName name="_Key6" localSheetId="2" hidden="1">#REF!</definedName>
    <definedName name="_Key6" localSheetId="4" hidden="1">#REF!</definedName>
    <definedName name="_Key6" localSheetId="8" hidden="1">#REF!</definedName>
    <definedName name="_Key6" hidden="1">#REF!</definedName>
    <definedName name="_Key8" localSheetId="2" hidden="1">#REF!</definedName>
    <definedName name="_Key8" localSheetId="4" hidden="1">#REF!</definedName>
    <definedName name="_Key8" localSheetId="8" hidden="1">#REF!</definedName>
    <definedName name="_Key8" hidden="1">#REF!</definedName>
    <definedName name="_Key9" localSheetId="2" hidden="1">#REF!</definedName>
    <definedName name="_Key9" localSheetId="4" hidden="1">#REF!</definedName>
    <definedName name="_Key9" localSheetId="8" hidden="1">#REF!</definedName>
    <definedName name="_Key9" hidden="1">#REF!</definedName>
    <definedName name="_mg3" localSheetId="4" hidden="1">{"Main",#N/A,FALSE,"Wacker";"Main2",#N/A,FALSE,"Wacker";"Value",#N/A,FALSE,"Wacker";"Sensitivity",#N/A,FALSE,"Wacker";"Paine",#N/A,FALSE,"Wacker";"Quaker",#N/A,FALSE,"Wacker";"Wacker",#N/A,FALSE,"Wacker";"1900",#N/A,FALSE,"Wacker";"1901",#N/A,FALSE,"Wacker"}</definedName>
    <definedName name="_mg3" localSheetId="6" hidden="1">{"Main",#N/A,FALSE,"Wacker";"Main2",#N/A,FALSE,"Wacker";"Value",#N/A,FALSE,"Wacker";"Sensitivity",#N/A,FALSE,"Wacker";"Paine",#N/A,FALSE,"Wacker";"Quaker",#N/A,FALSE,"Wacker";"Wacker",#N/A,FALSE,"Wacker";"1900",#N/A,FALSE,"Wacker";"1901",#N/A,FALSE,"Wacker"}</definedName>
    <definedName name="_mg3" hidden="1">{"Main",#N/A,FALSE,"Wacker";"Main2",#N/A,FALSE,"Wacker";"Value",#N/A,FALSE,"Wacker";"Sensitivity",#N/A,FALSE,"Wacker";"Paine",#N/A,FALSE,"Wacker";"Quaker",#N/A,FALSE,"Wacker";"Wacker",#N/A,FALSE,"Wacker";"1900",#N/A,FALSE,"Wacker";"1901",#N/A,FALSE,"Wacker"}</definedName>
    <definedName name="_old2" localSheetId="4" hidden="1">{#N/A,#N/A,FALSE,"Chart 2 by Prop Type"}</definedName>
    <definedName name="_old2" localSheetId="8" hidden="1">{#N/A,#N/A,FALSE,"Chart 2 by Prop Type"}</definedName>
    <definedName name="_old2" localSheetId="6" hidden="1">{#N/A,#N/A,FALSE,"Chart 2 by Prop Type"}</definedName>
    <definedName name="_old2" hidden="1">{#N/A,#N/A,FALSE,"Chart 2 by Prop Type"}</definedName>
    <definedName name="_Order1" localSheetId="0" hidden="1">255</definedName>
    <definedName name="_Order1" hidden="1">0</definedName>
    <definedName name="_Order2" localSheetId="0" hidden="1">0</definedName>
    <definedName name="_Order2" hidden="1">255</definedName>
    <definedName name="_Ppm2" localSheetId="4" hidden="1">{"data",#N/A,FALSE,"INPUT"}</definedName>
    <definedName name="_Ppm2" localSheetId="8" hidden="1">{"data",#N/A,FALSE,"INPUT"}</definedName>
    <definedName name="_Ppm2" localSheetId="6" hidden="1">{"data",#N/A,FALSE,"INPUT"}</definedName>
    <definedName name="_Ppm2" hidden="1">{"data",#N/A,FALSE,"INPUT"}</definedName>
    <definedName name="_R" localSheetId="8" hidden="1">{"ANAR",#N/A,FALSE,"Dist total";"MARGEN",#N/A,FALSE,"Dist total";"COMENTARIO",#N/A,FALSE,"Ficha CODICE";"CONSEJO",#N/A,FALSE,"Dist p0";"uno",#N/A,FALSE,"Dist total"}</definedName>
    <definedName name="_R" hidden="1">{"ANAR",#N/A,FALSE,"Dist total";"MARGEN",#N/A,FALSE,"Dist total";"COMENTARIO",#N/A,FALSE,"Ficha CODICE";"CONSEJO",#N/A,FALSE,"Dist p0";"uno",#N/A,FALSE,"Dist total"}</definedName>
    <definedName name="_Regression_Int" hidden="1">1</definedName>
    <definedName name="_Regression_Out" localSheetId="2" hidden="1">#REF!</definedName>
    <definedName name="_Regression_Out" localSheetId="4" hidden="1">#REF!</definedName>
    <definedName name="_Regression_Out" localSheetId="8" hidden="1">#REF!</definedName>
    <definedName name="_Regression_Out" hidden="1">#REF!</definedName>
    <definedName name="_Regression_X" localSheetId="2" hidden="1">#REF!</definedName>
    <definedName name="_Regression_X" localSheetId="4" hidden="1">#REF!</definedName>
    <definedName name="_Regression_X" localSheetId="8" hidden="1">#REF!</definedName>
    <definedName name="_Regression_X" hidden="1">#REF!</definedName>
    <definedName name="_Regression_Y" localSheetId="2" hidden="1">#REF!</definedName>
    <definedName name="_Regression_Y" localSheetId="4" hidden="1">#REF!</definedName>
    <definedName name="_Regression_Y" localSheetId="8" hidden="1">#REF!</definedName>
    <definedName name="_Regression_Y" hidden="1">#REF!</definedName>
    <definedName name="_Sort" localSheetId="0" hidden="1">#REF!</definedName>
    <definedName name="_Sort" localSheetId="2" hidden="1">#REF!</definedName>
    <definedName name="_Sort" localSheetId="4" hidden="1">#REF!</definedName>
    <definedName name="_Sort" localSheetId="8" hidden="1">#REF!</definedName>
    <definedName name="_Sort" hidden="1">#REF!</definedName>
    <definedName name="_T" localSheetId="2" hidden="1">#REF!</definedName>
    <definedName name="_T" localSheetId="4" hidden="1">#REF!</definedName>
    <definedName name="_T" localSheetId="8" hidden="1">#REF!</definedName>
    <definedName name="_T" hidden="1">#REF!</definedName>
    <definedName name="_t1" hidden="1">[3]Assumptions!$D$77</definedName>
    <definedName name="_Tab2_In2" localSheetId="2" hidden="1">#REF!</definedName>
    <definedName name="_Tab2_In2" localSheetId="4" hidden="1">#REF!</definedName>
    <definedName name="_Tab2_In2" localSheetId="8" hidden="1">#REF!</definedName>
    <definedName name="_Tab2_In2" hidden="1">#REF!</definedName>
    <definedName name="_Table1_In1" localSheetId="0" hidden="1">#REF!</definedName>
    <definedName name="_Table1_In1" hidden="1">#N/A</definedName>
    <definedName name="_Table1_Out" localSheetId="0" hidden="1">#REF!</definedName>
    <definedName name="_Table1_Out" hidden="1">#N/A</definedName>
    <definedName name="_Table2" localSheetId="2" hidden="1">#REF!</definedName>
    <definedName name="_Table2" localSheetId="4" hidden="1">#REF!</definedName>
    <definedName name="_Table2" localSheetId="8" hidden="1">#REF!</definedName>
    <definedName name="_Table2" hidden="1">#REF!</definedName>
    <definedName name="_Table2_In1" localSheetId="0" hidden="1">#REF!</definedName>
    <definedName name="_Table2_In1" hidden="1">#N/A</definedName>
    <definedName name="_Table2_In2" localSheetId="0" hidden="1">#REF!</definedName>
    <definedName name="_Table2_In2" hidden="1">#N/A</definedName>
    <definedName name="_Table2_Out" localSheetId="0" hidden="1">#REF!</definedName>
    <definedName name="_Table2_Out" hidden="1">#N/A</definedName>
    <definedName name="_Table3_In2" localSheetId="2" hidden="1">#REF!</definedName>
    <definedName name="_Table3_In2" localSheetId="8" hidden="1">#REF!</definedName>
    <definedName name="_Table3_In2" hidden="1">#REF!</definedName>
    <definedName name="_TL" localSheetId="2" hidden="1">#REF!</definedName>
    <definedName name="_TL" localSheetId="4" hidden="1">#REF!</definedName>
    <definedName name="_TL" localSheetId="8" hidden="1">#REF!</definedName>
    <definedName name="_TL" hidden="1">#REF!</definedName>
    <definedName name="_v3" localSheetId="8" hidden="1">{"CONSEJO",#N/A,FALSE,"Dist p0";"CONSEJO",#N/A,FALSE,"Ficha CODICE"}</definedName>
    <definedName name="_v3" hidden="1">{"CONSEJO",#N/A,FALSE,"Dist p0";"CONSEJO",#N/A,FALSE,"Ficha CODICE"}</definedName>
    <definedName name="_wrn2" localSheetId="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wrn2"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wrn2" localSheetId="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wrn2"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_wrn3" localSheetId="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wrn3"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wrn3"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wrn3"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_wrn4" localSheetId="4" hidden="1">{"data",#N/A,FALSE,"INPUT"}</definedName>
    <definedName name="_wrn4" localSheetId="8" hidden="1">{"data",#N/A,FALSE,"INPUT"}</definedName>
    <definedName name="_wrn4" localSheetId="6" hidden="1">{"data",#N/A,FALSE,"INPUT"}</definedName>
    <definedName name="_wrn4" hidden="1">{"data",#N/A,FALSE,"INPUT"}</definedName>
    <definedName name="a" localSheetId="0" hidden="1">#REF!</definedName>
    <definedName name="a" localSheetId="2" hidden="1">#REF!</definedName>
    <definedName name="a" localSheetId="4" hidden="1">#REF!</definedName>
    <definedName name="A" localSheetId="8">#REF!</definedName>
    <definedName name="a" hidden="1">#REF!</definedName>
    <definedName name="aa" localSheetId="0" hidden="1">{#N/A,#N/A,TRUE,"Pro Forma";#N/A,#N/A,TRUE,"PF_Bal";#N/A,#N/A,TRUE,"PF_INC";#N/A,#N/A,TRUE,"CBE";#N/A,#N/A,TRUE,"SWK"}</definedName>
    <definedName name="aa" localSheetId="4" hidden="1">{"Zone1",#N/A,FALSE,"Parameters";"Zone2",#N/A,FALSE,"Parameters"}</definedName>
    <definedName name="aa" localSheetId="6" hidden="1">{"Zone1",#N/A,FALSE,"Parameters";"Zone2",#N/A,FALSE,"Parameters"}</definedName>
    <definedName name="aa" hidden="1">{"Zone1",#N/A,FALSE,"Parameters";"Zone2",#N/A,FALSE,"Parameters"}</definedName>
    <definedName name="aaa" localSheetId="0" hidden="1">{#N/A,#N/A,TRUE,"financial";#N/A,#N/A,TRUE,"plants"}</definedName>
    <definedName name="aaa" localSheetId="2" hidden="1">#REF!</definedName>
    <definedName name="aaa" localSheetId="4" hidden="1">#REF!</definedName>
    <definedName name="aaa" localSheetId="8" hidden="1">#REF!</definedName>
    <definedName name="aaa" hidden="1">#REF!</definedName>
    <definedName name="AAA_DOCTOPS" hidden="1">"AAA_SET"</definedName>
    <definedName name="AAA_duser" hidden="1">"OFF"</definedName>
    <definedName name="aaaa" localSheetId="4" hidden="1">{TRUE,TRUE,-1.25,-15.5,484.5,270,FALSE,TRUE,TRUE,TRUE,0,1,2,2,1,3,1.93333333333333,4,TRUE,TRUE,3,TRUE,1,FALSE,75,"Swvu.quarterly.","ACwvu.quarterly.",#N/A,FALSE,FALSE,0.25,0.25,0.5,0.5,2,"","&amp;L&amp;10&amp;F   &amp;A&amp;C&amp;10Page &amp;P&amp;R&amp;10&amp;D   &amp;T",FALSE,FALSE,FALSE,FALSE,2,71,#N/A,#N/A,"=R1C1:R153C72","=C1:C4,R1:R3","Rwvu.quarterly.",#N/A,FALSE,FALSE,TRUE,1,65532,65532,FALSE,FALSE,TRUE,TRUE,TRUE}</definedName>
    <definedName name="aaaa" localSheetId="6" hidden="1">{TRUE,TRUE,-1.25,-15.5,484.5,270,FALSE,TRUE,TRUE,TRUE,0,1,2,2,1,3,1.93333333333333,4,TRUE,TRUE,3,TRUE,1,FALSE,75,"Swvu.quarterly.","ACwvu.quarterly.",#N/A,FALSE,FALSE,0.25,0.25,0.5,0.5,2,"","&amp;L&amp;10&amp;F   &amp;A&amp;C&amp;10Page &amp;P&amp;R&amp;10&amp;D   &amp;T",FALSE,FALSE,FALSE,FALSE,2,71,#N/A,#N/A,"=R1C1:R153C72","=C1:C4,R1:R3","Rwvu.quarterly.",#N/A,FALSE,FALSE,TRUE,1,65532,65532,FALSE,FALSE,TRUE,TRUE,TRUE}</definedName>
    <definedName name="aaaa" hidden="1">{TRUE,TRUE,-1.25,-15.5,484.5,270,FALSE,TRUE,TRUE,TRUE,0,1,2,2,1,3,1.93333333333333,4,TRUE,TRUE,3,TRUE,1,FALSE,75,"Swvu.quarterly.","ACwvu.quarterly.",#N/A,FALSE,FALSE,0.25,0.25,0.5,0.5,2,"","&amp;L&amp;10&amp;F   &amp;A&amp;C&amp;10Page &amp;P&amp;R&amp;10&amp;D   &amp;T",FALSE,FALSE,FALSE,FALSE,2,71,#N/A,#N/A,"=R1C1:R153C72","=C1:C4,R1:R3","Rwvu.quarterly.",#N/A,FALSE,FALSE,TRUE,1,65532,65532,FALSE,FALSE,TRUE,TRUE,TRUE}</definedName>
    <definedName name="aaaaa" localSheetId="0" hidden="1">{"'Feuil1'!$A$1:$Y$50"}</definedName>
    <definedName name="aaaaa" localSheetId="2" hidden="1">#REF!</definedName>
    <definedName name="aaaaa" localSheetId="4" hidden="1">#REF!</definedName>
    <definedName name="aaaaa" localSheetId="8" hidden="1">#REF!</definedName>
    <definedName name="aaaaa" hidden="1">#REF!</definedName>
    <definedName name="AAAAAAA" localSheetId="8" hidden="1">{"ANAR",#N/A,FALSE,"Dist total";"MARGEN",#N/A,FALSE,"Dist total";"COMENTARIO",#N/A,FALSE,"Ficha CODICE";"CONSEJO",#N/A,FALSE,"Dist p0";"uno",#N/A,FALSE,"Dist total"}</definedName>
    <definedName name="AAAAAAA" hidden="1">{"ANAR",#N/A,FALSE,"Dist total";"MARGEN",#N/A,FALSE,"Dist total";"COMENTARIO",#N/A,FALSE,"Ficha CODICE";"CONSEJO",#N/A,FALSE,"Dist p0";"uno",#N/A,FALSE,"Dist total"}</definedName>
    <definedName name="AAAAAAAAA" localSheetId="8" hidden="1">{"CONSEJO",#N/A,FALSE,"Dist p0";"CONSEJO",#N/A,FALSE,"Ficha CODICE"}</definedName>
    <definedName name="AAAAAAAAA" hidden="1">{"CONSEJO",#N/A,FALSE,"Dist p0";"CONSEJO",#N/A,FALSE,"Ficha CODICE"}</definedName>
    <definedName name="AAB_Addin5" hidden="1">"AAB_Description for addin 5,Description for addin 5,Description for addin 5,Description for addin 5,Description for addin 5,Description for addin 5"</definedName>
    <definedName name="AACT" localSheetId="2">#REF!</definedName>
    <definedName name="AACT" localSheetId="4">#REF!</definedName>
    <definedName name="AACT" localSheetId="8">#REF!</definedName>
    <definedName name="AACT">#REF!</definedName>
    <definedName name="AACTYTD" localSheetId="2">#REF!</definedName>
    <definedName name="AACTYTD" localSheetId="4">#REF!</definedName>
    <definedName name="AACTYTD" localSheetId="8">#REF!</definedName>
    <definedName name="AACTYTD">#REF!</definedName>
    <definedName name="ab" localSheetId="0" hidden="1">{#N/A,#N/A,TRUE,"Pro Forma";#N/A,#N/A,TRUE,"PF_Bal";#N/A,#N/A,TRUE,"PF_INC";#N/A,#N/A,TRUE,"CBE";#N/A,#N/A,TRUE,"SWK"}</definedName>
    <definedName name="ab" localSheetId="4" hidden="1">{#N/A,#N/A,TRUE,"Ericsson Stadium PCD ";#N/A,#N/A,TRUE,"Ericsson Stadium IOR"}</definedName>
    <definedName name="ab" localSheetId="6" hidden="1">{#N/A,#N/A,TRUE,"Ericsson Stadium PCD ";#N/A,#N/A,TRUE,"Ericsson Stadium IOR"}</definedName>
    <definedName name="ab" hidden="1">{#N/A,#N/A,TRUE,"Ericsson Stadium PCD ";#N/A,#N/A,TRUE,"Ericsson Stadium IOR"}</definedName>
    <definedName name="ab_condo" localSheetId="4" hidden="1">{#N/A,#N/A,TRUE,"Ericsson Stadium PCD ";#N/A,#N/A,TRUE,"Ericsson Stadium IOR"}</definedName>
    <definedName name="ab_condo" localSheetId="8" hidden="1">{#N/A,#N/A,TRUE,"Ericsson Stadium PCD ";#N/A,#N/A,TRUE,"Ericsson Stadium IOR"}</definedName>
    <definedName name="ab_condo" localSheetId="6" hidden="1">{#N/A,#N/A,TRUE,"Ericsson Stadium PCD ";#N/A,#N/A,TRUE,"Ericsson Stadium IOR"}</definedName>
    <definedName name="ab_condo" hidden="1">{#N/A,#N/A,TRUE,"Ericsson Stadium PCD ";#N/A,#N/A,TRUE,"Ericsson Stadium IOR"}</definedName>
    <definedName name="abc" localSheetId="4" hidden="1">{"Construction_Short",#N/A,FALSE,"Construction"}</definedName>
    <definedName name="abc" localSheetId="8" hidden="1">{"Construction_Short",#N/A,FALSE,"Construction"}</definedName>
    <definedName name="abc" localSheetId="6" hidden="1">{"Construction_Short",#N/A,FALSE,"Construction"}</definedName>
    <definedName name="abc" hidden="1">{"Construction_Short",#N/A,FALSE,"Construction"}</definedName>
    <definedName name="ABRACADABRA" localSheetId="2" hidden="1">#REF!</definedName>
    <definedName name="ABRACADABRA" localSheetId="8" hidden="1">#REF!</definedName>
    <definedName name="ABRACADABRA" hidden="1">#REF!</definedName>
    <definedName name="ABUD" localSheetId="2">#REF!</definedName>
    <definedName name="ABUD" localSheetId="4">#REF!</definedName>
    <definedName name="ABUD" localSheetId="8">#REF!</definedName>
    <definedName name="ABUD">#REF!</definedName>
    <definedName name="ABUDYTD" localSheetId="2">#REF!</definedName>
    <definedName name="ABUDYTD" localSheetId="4">#REF!</definedName>
    <definedName name="ABUDYTD" localSheetId="8">#REF!</definedName>
    <definedName name="ABUDYTD">#REF!</definedName>
    <definedName name="ac" localSheetId="8" hidden="1">{#N/A,#N/A,TRUE,"Pro Forma";#N/A,#N/A,TRUE,"PF_Bal";#N/A,#N/A,TRUE,"PF_INC";#N/A,#N/A,TRUE,"CBE";#N/A,#N/A,TRUE,"SWK"}</definedName>
    <definedName name="ac" hidden="1">{#N/A,#N/A,TRUE,"Pro Forma";#N/A,#N/A,TRUE,"PF_Bal";#N/A,#N/A,TRUE,"PF_INC";#N/A,#N/A,TRUE,"CBE";#N/A,#N/A,TRUE,"SWK"}</definedName>
    <definedName name="Access_Button" hidden="1">"Loan_Front_End_Input_List"</definedName>
    <definedName name="AccessDatabase" localSheetId="0" hidden="1">"R:\Common\Mandates\Projeto Global\Valuation\Valuation Model_17082005 final.mdb"</definedName>
    <definedName name="AccessDatabase" hidden="1">"C:\My Documents\DAVE\MODELS\Cash at Risk\Loan Front End.mdb"</definedName>
    <definedName name="Actual">"Actual"</definedName>
    <definedName name="ACwvu.allocations." localSheetId="2" hidden="1">#REF!</definedName>
    <definedName name="ACwvu.allocations." localSheetId="4" hidden="1">#REF!</definedName>
    <definedName name="ACwvu.allocations." localSheetId="8" hidden="1">#REF!</definedName>
    <definedName name="ACwvu.allocations." hidden="1">#REF!</definedName>
    <definedName name="ACwvu.annual._.hotel." hidden="1">[32]development!$C$5</definedName>
    <definedName name="ACwvu.bottom._.line." localSheetId="2" hidden="1">[32]development!#REF!</definedName>
    <definedName name="ACwvu.bottom._.line." localSheetId="4" hidden="1">[32]development!#REF!</definedName>
    <definedName name="ACwvu.bottom._.line." localSheetId="8" hidden="1">[32]development!#REF!</definedName>
    <definedName name="ACwvu.bottom._.line." localSheetId="6" hidden="1">[32]development!#REF!</definedName>
    <definedName name="ACwvu.bottom._.line." hidden="1">[32]development!#REF!</definedName>
    <definedName name="ACwvu.cash._.flow." localSheetId="2" hidden="1">#REF!</definedName>
    <definedName name="ACwvu.cash._.flow." localSheetId="4" hidden="1">#REF!</definedName>
    <definedName name="ACwvu.cash._.flow." localSheetId="8" hidden="1">#REF!</definedName>
    <definedName name="ACwvu.cash._.flow." hidden="1">#REF!</definedName>
    <definedName name="ACwvu.combo." hidden="1">[32]development!$B$89</definedName>
    <definedName name="ACwvu.full." localSheetId="2" hidden="1">#REF!</definedName>
    <definedName name="ACwvu.full." localSheetId="4" hidden="1">#REF!</definedName>
    <definedName name="ACwvu.full." localSheetId="8" hidden="1">#REF!</definedName>
    <definedName name="ACwvu.full." hidden="1">#REF!</definedName>
    <definedName name="ACwvu.inputs._.raw._.data." localSheetId="2" hidden="1">#REF!</definedName>
    <definedName name="ACwvu.inputs._.raw._.data." localSheetId="8" hidden="1">#REF!</definedName>
    <definedName name="ACwvu.inputs._.raw._.data." hidden="1">#REF!</definedName>
    <definedName name="ACwvu.offsite." localSheetId="2" hidden="1">#REF!</definedName>
    <definedName name="ACwvu.offsite." localSheetId="4" hidden="1">#REF!</definedName>
    <definedName name="ACwvu.offsite." localSheetId="8" hidden="1">#REF!</definedName>
    <definedName name="ACwvu.offsite." hidden="1">#REF!</definedName>
    <definedName name="ACwvu.onsite." localSheetId="2" hidden="1">#REF!</definedName>
    <definedName name="ACwvu.onsite." localSheetId="4" hidden="1">#REF!</definedName>
    <definedName name="ACwvu.onsite." localSheetId="8" hidden="1">#REF!</definedName>
    <definedName name="ACwvu.onsite." hidden="1">#REF!</definedName>
    <definedName name="ACwvu.Sommaire." localSheetId="2" hidden="1">'[25]#REF'!#REF!,'[25]#REF'!#REF!,'[25]#REF'!#REF!,'[25]#REF'!$C$1:$C$65536,'[25]#REF'!$D$1:$D$65536,'[25]#REF'!#REF!</definedName>
    <definedName name="ACwvu.Sommaire." localSheetId="4" hidden="1">'[25]#REF'!#REF!,'[25]#REF'!#REF!,'[25]#REF'!#REF!,'[25]#REF'!$C$1:$C$65536,'[25]#REF'!$D$1:$D$65536,'[25]#REF'!#REF!</definedName>
    <definedName name="ACwvu.Sommaire." localSheetId="8" hidden="1">'[25]#REF'!#REF!,'[25]#REF'!#REF!,'[25]#REF'!#REF!,'[25]#REF'!$C$1:$C$65536,'[25]#REF'!$D$1:$D$65536,'[25]#REF'!#REF!</definedName>
    <definedName name="ACwvu.Sommaire." localSheetId="6" hidden="1">'[25]#REF'!#REF!,'[25]#REF'!#REF!,'[25]#REF'!#REF!,'[25]#REF'!$C$1:$C$65536,'[25]#REF'!$D$1:$D$65536,'[25]#REF'!#REF!</definedName>
    <definedName name="ACwvu.Sommaire." hidden="1">'[25]#REF'!#REF!,'[25]#REF'!#REF!,'[25]#REF'!#REF!,'[25]#REF'!$C$1:$C$65536,'[25]#REF'!$D$1:$D$65536,'[25]#REF'!#REF!</definedName>
    <definedName name="ACwvu.STANDARD." localSheetId="2" hidden="1">[33]Caja!#REF!</definedName>
    <definedName name="ACwvu.STANDARD." localSheetId="8" hidden="1">[33]Caja!#REF!</definedName>
    <definedName name="ACwvu.STANDARD." hidden="1">[33]Caja!#REF!</definedName>
    <definedName name="ACwvu.summary1." localSheetId="2" hidden="1">#REF!</definedName>
    <definedName name="ACwvu.summary1." localSheetId="8" hidden="1">#REF!</definedName>
    <definedName name="ACwvu.summary1." hidden="1">#REF!</definedName>
    <definedName name="ACwvu.summary2." localSheetId="2" hidden="1">#REF!</definedName>
    <definedName name="ACwvu.summary2." localSheetId="8" hidden="1">#REF!</definedName>
    <definedName name="ACwvu.summary2." hidden="1">#REF!</definedName>
    <definedName name="ACwvu.summary3." localSheetId="2" hidden="1">#REF!</definedName>
    <definedName name="ACwvu.summary3." localSheetId="8" hidden="1">#REF!</definedName>
    <definedName name="ACwvu.summary3." hidden="1">#REF!</definedName>
    <definedName name="ad" localSheetId="4" hidden="1">{"FORMULAS",#N/A,FALSE,"ESTIMATE"}</definedName>
    <definedName name="ad" localSheetId="8" hidden="1">{"FORMULAS",#N/A,FALSE,"ESTIMATE"}</definedName>
    <definedName name="ad" localSheetId="6" hidden="1">{"FORMULAS",#N/A,FALSE,"ESTIMATE"}</definedName>
    <definedName name="ad" hidden="1">{"FORMULAS",#N/A,FALSE,"ESTIMATE"}</definedName>
    <definedName name="addg" localSheetId="8" hidden="1">{#N/A,#N/A,FALSE,"CBE";#N/A,#N/A,FALSE,"SWK"}</definedName>
    <definedName name="addg" hidden="1">{#N/A,#N/A,FALSE,"CBE";#N/A,#N/A,FALSE,"SWK"}</definedName>
    <definedName name="adf" localSheetId="4" hidden="1">{#N/A,#N/A,FALSE,"SCHEDULE G"}</definedName>
    <definedName name="adf" localSheetId="6" hidden="1">{#N/A,#N/A,FALSE,"SCHEDULE G"}</definedName>
    <definedName name="adf" hidden="1">{#N/A,#N/A,FALSE,"SCHEDULE G"}</definedName>
    <definedName name="adsfdsf" localSheetId="4">COLUMN()-COL1STYR</definedName>
    <definedName name="adsfdsf" localSheetId="6">COLUMN()-COL1STYR</definedName>
    <definedName name="adsfdsf">COLUMN()-COL1STYR</definedName>
    <definedName name="aes" localSheetId="8" hidden="1">{"CONSEJO",#N/A,FALSE,"Dist p0";"CONSEJO",#N/A,FALSE,"Ficha CODICE"}</definedName>
    <definedName name="aes" hidden="1">{"CONSEJO",#N/A,FALSE,"Dist p0";"CONSEJO",#N/A,FALSE,"Ficha CODICE"}</definedName>
    <definedName name="aesreport2" localSheetId="8" hidden="1">{#N/A,#N/A,FALSE,"Table of content";#N/A,#N/A,FALSE,"Assumptions";#N/A,#N/A,FALSE,"Economy";#N/A,#N/A,FALSE,"Revenue Detail";#N/A,#N/A,FALSE,"Energy fee";#N/A,#N/A,FALSE,"Capacity fee";#N/A,#N/A,FALSE,"Production Income";#N/A,#N/A,FALSE,"Fuel Costs";#N/A,#N/A,FALSE,"O&amp;M Cost";#N/A,#N/A,FALSE,"Profit Loss";#N/A,#N/A,FALSE,"Financing";#N/A,#N/A,FALSE,"Cash Flow";#N/A,#N/A,FALSE,"Sources&amp;Uses";#N/A,#N/A,FALSE,"Balance";#N/A,#N/A,FALSE,"Investment";#N/A,#N/A,FALSE,"Investment Cost";#N/A,#N/A,FALSE,"Investment Financing";#N/A,#N/A,FALSE,"Assets";#N/A,#N/A,FALSE,"IRR"}</definedName>
    <definedName name="aesreport2" hidden="1">{#N/A,#N/A,FALSE,"Table of content";#N/A,#N/A,FALSE,"Assumptions";#N/A,#N/A,FALSE,"Economy";#N/A,#N/A,FALSE,"Revenue Detail";#N/A,#N/A,FALSE,"Energy fee";#N/A,#N/A,FALSE,"Capacity fee";#N/A,#N/A,FALSE,"Production Income";#N/A,#N/A,FALSE,"Fuel Costs";#N/A,#N/A,FALSE,"O&amp;M Cost";#N/A,#N/A,FALSE,"Profit Loss";#N/A,#N/A,FALSE,"Financing";#N/A,#N/A,FALSE,"Cash Flow";#N/A,#N/A,FALSE,"Sources&amp;Uses";#N/A,#N/A,FALSE,"Balance";#N/A,#N/A,FALSE,"Investment";#N/A,#N/A,FALSE,"Investment Cost";#N/A,#N/A,FALSE,"Investment Financing";#N/A,#N/A,FALSE,"Assets";#N/A,#N/A,FALSE,"IRR"}</definedName>
    <definedName name="afsdasdf" localSheetId="2" hidden="1">'[34]#REF'!#REF!,'[34]#REF'!#REF!,'[34]#REF'!#REF!,'[34]#REF'!$C$1:$C$65536,'[34]#REF'!$D$1:$D$65536,'[34]#REF'!#REF!</definedName>
    <definedName name="afsdasdf" localSheetId="4" hidden="1">'[34]#REF'!#REF!,'[34]#REF'!#REF!,'[34]#REF'!#REF!,'[34]#REF'!$C$1:$C$65536,'[34]#REF'!$D$1:$D$65536,'[34]#REF'!#REF!</definedName>
    <definedName name="afsdasdf" localSheetId="8" hidden="1">'[34]#REF'!#REF!,'[34]#REF'!#REF!,'[34]#REF'!#REF!,'[34]#REF'!$C$1:$C$65536,'[34]#REF'!$D$1:$D$65536,'[34]#REF'!#REF!</definedName>
    <definedName name="afsdasdf" localSheetId="6" hidden="1">'[34]#REF'!#REF!,'[34]#REF'!#REF!,'[34]#REF'!#REF!,'[34]#REF'!$C$1:$C$65536,'[34]#REF'!$D$1:$D$65536,'[34]#REF'!#REF!</definedName>
    <definedName name="afsdasdf" hidden="1">'[34]#REF'!#REF!,'[34]#REF'!#REF!,'[34]#REF'!#REF!,'[34]#REF'!$C$1:$C$65536,'[34]#REF'!$D$1:$D$65536,'[34]#REF'!#REF!</definedName>
    <definedName name="agf" localSheetId="4" hidden="1">{#N/A,#N/A,FALSE,"ExecSum";#N/A,#N/A,FALSE,"total summary";#N/A,#N/A,FALSE,"Budget";#N/A,#N/A,FALSE,"CashFlow"}</definedName>
    <definedName name="agf" localSheetId="6" hidden="1">{#N/A,#N/A,FALSE,"ExecSum";#N/A,#N/A,FALSE,"total summary";#N/A,#N/A,FALSE,"Budget";#N/A,#N/A,FALSE,"CashFlow"}</definedName>
    <definedName name="agf" hidden="1">{#N/A,#N/A,FALSE,"ExecSum";#N/A,#N/A,FALSE,"total summary";#N/A,#N/A,FALSE,"Budget";#N/A,#N/A,FALSE,"CashFlow"}</definedName>
    <definedName name="Al" localSheetId="4" hidden="1">{"sheet a",#N/A,FALSE,"A";"2 9 casflow",#N/A,FALSE,"B"}</definedName>
    <definedName name="Al" localSheetId="8" hidden="1">{"sheet a",#N/A,FALSE,"A";"2 9 casflow",#N/A,FALSE,"B"}</definedName>
    <definedName name="Al" localSheetId="6" hidden="1">{"sheet a",#N/A,FALSE,"A";"2 9 casflow",#N/A,FALSE,"B"}</definedName>
    <definedName name="Al" hidden="1">{"sheet a",#N/A,FALSE,"A";"2 9 casflow",#N/A,FALSE,"B"}</definedName>
    <definedName name="all" localSheetId="4" hidden="1">{#N/A,#N/A,FALSE,"CF Consolidated 2";#N/A,#N/A,FALSE,"Retail Assump";#N/A,#N/A,FALSE,"CF Retail";#N/A,#N/A,FALSE,"Garage Assumpt 1";#N/A,#N/A,FALSE,"Garage Op Proj";#N/A,#N/A,FALSE,"Hist I&amp;E";#N/A,#N/A,FALSE,"Rent Roll";#N/A,#N/A,FALSE,"RE Taxes";#N/A,#N/A,FALSE,"CAM - BH";#N/A,#N/A,FALSE,"Comm.Condo CAM"}</definedName>
    <definedName name="all" localSheetId="6" hidden="1">{#N/A,#N/A,FALSE,"CF Consolidated 2";#N/A,#N/A,FALSE,"Retail Assump";#N/A,#N/A,FALSE,"CF Retail";#N/A,#N/A,FALSE,"Garage Assumpt 1";#N/A,#N/A,FALSE,"Garage Op Proj";#N/A,#N/A,FALSE,"Hist I&amp;E";#N/A,#N/A,FALSE,"Rent Roll";#N/A,#N/A,FALSE,"RE Taxes";#N/A,#N/A,FALSE,"CAM - BH";#N/A,#N/A,FALSE,"Comm.Condo CAM"}</definedName>
    <definedName name="all" hidden="1">{#N/A,#N/A,FALSE,"CF Consolidated 2";#N/A,#N/A,FALSE,"Retail Assump";#N/A,#N/A,FALSE,"CF Retail";#N/A,#N/A,FALSE,"Garage Assumpt 1";#N/A,#N/A,FALSE,"Garage Op Proj";#N/A,#N/A,FALSE,"Hist I&amp;E";#N/A,#N/A,FALSE,"Rent Roll";#N/A,#N/A,FALSE,"RE Taxes";#N/A,#N/A,FALSE,"CAM - BH";#N/A,#N/A,FALSE,"Comm.Condo CAM"}</definedName>
    <definedName name="AllTables" localSheetId="4">{8}</definedName>
    <definedName name="AllTables" localSheetId="6">{8}</definedName>
    <definedName name="AllTables">{8}</definedName>
    <definedName name="Alltables1" localSheetId="4">{8}</definedName>
    <definedName name="Alltables1" localSheetId="6">{8}</definedName>
    <definedName name="Alltables1">{8}</definedName>
    <definedName name="ANALIS" localSheetId="8" hidden="1">{"ANAR",#N/A,FALSE,"Dist total";"MARGEN",#N/A,FALSE,"Dist total";"COMENTARIO",#N/A,FALSE,"Ficha CODICE";"CONSEJO",#N/A,FALSE,"Dist p0";"uno",#N/A,FALSE,"Dist total"}</definedName>
    <definedName name="ANALIS" hidden="1">{"ANAR",#N/A,FALSE,"Dist total";"MARGEN",#N/A,FALSE,"Dist total";"COMENTARIO",#N/A,FALSE,"Ficha CODICE";"CONSEJO",#N/A,FALSE,"Dist p0";"uno",#N/A,FALSE,"Dist total"}</definedName>
    <definedName name="andrew" localSheetId="4" hidden="1">{"eca",#N/A,TRUE,"E-C1 (R)";"ecb",#N/A,TRUE,"E-C1 (R)"}</definedName>
    <definedName name="andrew" localSheetId="8" hidden="1">{"eca",#N/A,TRUE,"E-C1 (R)";"ecb",#N/A,TRUE,"E-C1 (R)"}</definedName>
    <definedName name="andrew" localSheetId="6" hidden="1">{"eca",#N/A,TRUE,"E-C1 (R)";"ecb",#N/A,TRUE,"E-C1 (R)"}</definedName>
    <definedName name="andrew" hidden="1">{"eca",#N/A,TRUE,"E-C1 (R)";"ecb",#N/A,TRUE,"E-C1 (R)"}</definedName>
    <definedName name="annual_report2" localSheetId="8" hidden="1">{"ARPandL",#N/A,FALSE,"Report Annual";"ARCashflow",#N/A,FALSE,"Report Annual";"ARBalanceSheet",#N/A,FALSE,"Report Annual";"ARRatios",#N/A,FALSE,"Report Annual"}</definedName>
    <definedName name="annual_report2" hidden="1">{"ARPandL",#N/A,FALSE,"Report Annual";"ARCashflow",#N/A,FALSE,"Report Annual";"ARBalanceSheet",#N/A,FALSE,"Report Annual";"ARRatios",#N/A,FALSE,"Report Annual"}</definedName>
    <definedName name="anscount" localSheetId="0" hidden="1">3</definedName>
    <definedName name="anscount" hidden="1">1</definedName>
    <definedName name="_xlnm.Print_Area" localSheetId="0">Cover!$B$2:$U$36</definedName>
    <definedName name="_xlnm.Print_Area" localSheetId="1">Inputs!$B$2:$M$175</definedName>
    <definedName name="_xlnm.Print_Area" localSheetId="2">#REF!</definedName>
    <definedName name="_xlnm.Print_Area" localSheetId="4">#REF!</definedName>
    <definedName name="_xlnm.Print_Area" localSheetId="8">#REF!</definedName>
    <definedName name="_xlnm.Print_Area">#REF!</definedName>
    <definedName name="as" localSheetId="8" hidden="1">{"comp1",#N/A,FALSE,"COMPS";"footnotes",#N/A,FALSE,"COMPS"}</definedName>
    <definedName name="as" hidden="1">{"comp1",#N/A,FALSE,"COMPS";"footnotes",#N/A,FALSE,"COMPS"}</definedName>
    <definedName name="AS2DocOpenMode" hidden="1">"AS2DocumentEdit"</definedName>
    <definedName name="AS2HasNoAutoHeaderFooter" hidden="1">" "</definedName>
    <definedName name="AS2NamedRange" localSheetId="0" hidden="1">19</definedName>
    <definedName name="AS2NamedRange" hidden="1">3</definedName>
    <definedName name="asd" localSheetId="0" hidden="1">{"CONSEJO",#N/A,FALSE,"Dist p0";"CONSEJO",#N/A,FALSE,"Ficha CODICE"}</definedName>
    <definedName name="asd" localSheetId="4" hidden="1">{#N/A,#N/A,FALSE,"Chart 2 by Prop Type"}</definedName>
    <definedName name="asd" localSheetId="8" hidden="1">{#N/A,#N/A,FALSE,"Chart 2 by Prop Type"}</definedName>
    <definedName name="asd" localSheetId="6" hidden="1">{#N/A,#N/A,FALSE,"Chart 2 by Prop Type"}</definedName>
    <definedName name="asd" hidden="1">{#N/A,#N/A,FALSE,"Chart 2 by Prop Type"}</definedName>
    <definedName name="asdaf" localSheetId="8" hidden="1">{"uno",#N/A,FALSE,"Dist total";"COMENTARIO",#N/A,FALSE,"Ficha CODICE"}</definedName>
    <definedName name="asdaf" hidden="1">{"uno",#N/A,FALSE,"Dist total";"COMENTARIO",#N/A,FALSE,"Ficha CODICE"}</definedName>
    <definedName name="asdf" localSheetId="0" hidden="1">{#N/A,#N/A,FALSE,"Calc";#N/A,#N/A,FALSE,"Sensitivity";#N/A,#N/A,FALSE,"LT Earn.Dil.";#N/A,#N/A,FALSE,"Dil. AVP"}</definedName>
    <definedName name="asdf" localSheetId="4" hidden="1">{"sheet a",#N/A,FALSE,"A";"2 9 casflow",#N/A,FALSE,"B"}</definedName>
    <definedName name="asdf" localSheetId="8" hidden="1">{"sheet a",#N/A,FALSE,"A";"2 9 casflow",#N/A,FALSE,"B"}</definedName>
    <definedName name="asdf" localSheetId="6" hidden="1">{"sheet a",#N/A,FALSE,"A";"2 9 casflow",#N/A,FALSE,"B"}</definedName>
    <definedName name="asdf" hidden="1">{"sheet a",#N/A,FALSE,"A";"2 9 casflow",#N/A,FALSE,"B"}</definedName>
    <definedName name="asdfa" hidden="1">#N/A</definedName>
    <definedName name="asdfadsf" localSheetId="4" hidden="1">{#N/A,#N/A,FALSE,"Summary";#N/A,#N/A,FALSE,"Program Scheme";#N/A,#N/A,FALSE,"Assumptions";#N/A,#N/A,FALSE,"Development Budget";#N/A,#N/A,FALSE,"Timing";#N/A,#N/A,FALSE,"Development Costs &amp; Revenues";#N/A,#N/A,FALSE,"Cash Flow to Debt &amp; Equity";#N/A,#N/A,FALSE,"Cash Flow to Athena LP"}</definedName>
    <definedName name="asdfadsf" localSheetId="6" hidden="1">{#N/A,#N/A,FALSE,"Summary";#N/A,#N/A,FALSE,"Program Scheme";#N/A,#N/A,FALSE,"Assumptions";#N/A,#N/A,FALSE,"Development Budget";#N/A,#N/A,FALSE,"Timing";#N/A,#N/A,FALSE,"Development Costs &amp; Revenues";#N/A,#N/A,FALSE,"Cash Flow to Debt &amp; Equity";#N/A,#N/A,FALSE,"Cash Flow to Athena LP"}</definedName>
    <definedName name="asdfadsf" hidden="1">{#N/A,#N/A,FALSE,"Summary";#N/A,#N/A,FALSE,"Program Scheme";#N/A,#N/A,FALSE,"Assumptions";#N/A,#N/A,FALSE,"Development Budget";#N/A,#N/A,FALSE,"Timing";#N/A,#N/A,FALSE,"Development Costs &amp; Revenues";#N/A,#N/A,FALSE,"Cash Flow to Debt &amp; Equity";#N/A,#N/A,FALSE,"Cash Flow to Athena LP"}</definedName>
    <definedName name="asdfas" localSheetId="8" hidden="1">{"comp1",#N/A,FALSE,"COMPS";"footnotes",#N/A,FALSE,"COMPS"}</definedName>
    <definedName name="asdfas" hidden="1">{"comp1",#N/A,FALSE,"COMPS";"footnotes",#N/A,FALSE,"COMPS"}</definedName>
    <definedName name="asdfasdfs" localSheetId="4" hidden="1">{#N/A,#N/A,FALSE,"Matrix";#N/A,#N/A,FALSE,"Cash Flow";#N/A,#N/A,FALSE,"10 Year Cost Analysis"}</definedName>
    <definedName name="asdfasdfs" localSheetId="6" hidden="1">{#N/A,#N/A,FALSE,"Matrix";#N/A,#N/A,FALSE,"Cash Flow";#N/A,#N/A,FALSE,"10 Year Cost Analysis"}</definedName>
    <definedName name="asdfasdfs" hidden="1">{#N/A,#N/A,FALSE,"Matrix";#N/A,#N/A,FALSE,"Cash Flow";#N/A,#N/A,FALSE,"10 Year Cost Analysis"}</definedName>
    <definedName name="asf" localSheetId="4" hidden="1">{"sheet a",#N/A,FALSE,"A";"sheet b 1",#N/A,FALSE,"B";"sheet b 2",#N/A,FALSE,"B"}</definedName>
    <definedName name="asf" localSheetId="8" hidden="1">{"sheet a",#N/A,FALSE,"A";"sheet b 1",#N/A,FALSE,"B";"sheet b 2",#N/A,FALSE,"B"}</definedName>
    <definedName name="asf" localSheetId="6" hidden="1">{"sheet a",#N/A,FALSE,"A";"sheet b 1",#N/A,FALSE,"B";"sheet b 2",#N/A,FALSE,"B"}</definedName>
    <definedName name="asf" hidden="1">{"sheet a",#N/A,FALSE,"A";"sheet b 1",#N/A,FALSE,"B";"sheet b 2",#N/A,FALSE,"B"}</definedName>
    <definedName name="asfget" localSheetId="4" hidden="1">{"Page1",#N/A,FALSE,"7979";"Page2",#N/A,FALSE,"7979";"Page3",#N/A,FALSE,"7979"}</definedName>
    <definedName name="asfget" localSheetId="6" hidden="1">{"Page1",#N/A,FALSE,"7979";"Page2",#N/A,FALSE,"7979";"Page3",#N/A,FALSE,"7979"}</definedName>
    <definedName name="asfget" hidden="1">{"Page1",#N/A,FALSE,"7979";"Page2",#N/A,FALSE,"7979";"Page3",#N/A,FALSE,"7979"}</definedName>
    <definedName name="ashish" localSheetId="4" hidden="1">{"'Assump'!$F$6:$J$6"}</definedName>
    <definedName name="ashish" localSheetId="8" hidden="1">{"'Assump'!$F$6:$J$6"}</definedName>
    <definedName name="ashish" localSheetId="6" hidden="1">{"'Assump'!$F$6:$J$6"}</definedName>
    <definedName name="ashish" hidden="1">{"'Assump'!$F$6:$J$6"}</definedName>
    <definedName name="Assumptions">[35]Assumptions!$D$6:$CO$56</definedName>
    <definedName name="AssumptionsA" localSheetId="4" hidden="1">{#N/A,#N/A,FALSE,"CF Consolidated 2";#N/A,#N/A,FALSE,"Retail Assump";#N/A,#N/A,FALSE,"CF Retail";#N/A,#N/A,FALSE,"Garage Assumpt 1";#N/A,#N/A,FALSE,"Garage Op Proj";#N/A,#N/A,FALSE,"Hist I&amp;E";#N/A,#N/A,FALSE,"Rent Roll";#N/A,#N/A,FALSE,"RE Taxes";#N/A,#N/A,FALSE,"CAM - BH";#N/A,#N/A,FALSE,"Comm.Condo CAM"}</definedName>
    <definedName name="AssumptionsA" localSheetId="6" hidden="1">{#N/A,#N/A,FALSE,"CF Consolidated 2";#N/A,#N/A,FALSE,"Retail Assump";#N/A,#N/A,FALSE,"CF Retail";#N/A,#N/A,FALSE,"Garage Assumpt 1";#N/A,#N/A,FALSE,"Garage Op Proj";#N/A,#N/A,FALSE,"Hist I&amp;E";#N/A,#N/A,FALSE,"Rent Roll";#N/A,#N/A,FALSE,"RE Taxes";#N/A,#N/A,FALSE,"CAM - BH";#N/A,#N/A,FALSE,"Comm.Condo CAM"}</definedName>
    <definedName name="AssumptionsA" hidden="1">{#N/A,#N/A,FALSE,"CF Consolidated 2";#N/A,#N/A,FALSE,"Retail Assump";#N/A,#N/A,FALSE,"CF Retail";#N/A,#N/A,FALSE,"Garage Assumpt 1";#N/A,#N/A,FALSE,"Garage Op Proj";#N/A,#N/A,FALSE,"Hist I&amp;E";#N/A,#N/A,FALSE,"Rent Roll";#N/A,#N/A,FALSE,"RE Taxes";#N/A,#N/A,FALSE,"CAM - BH";#N/A,#N/A,FALSE,"Comm.Condo CAM"}</definedName>
    <definedName name="ATITLE" localSheetId="2">#REF!</definedName>
    <definedName name="ATITLE" localSheetId="4">#REF!</definedName>
    <definedName name="ATITLE" localSheetId="8">#REF!</definedName>
    <definedName name="ATITLE">#REF!</definedName>
    <definedName name="avdd" localSheetId="8" hidden="1">{#N/A,#N/A,FALSE,"Calc";#N/A,#N/A,FALSE,"Sensitivity";#N/A,#N/A,FALSE,"LT Earn.Dil.";#N/A,#N/A,FALSE,"Dil. AVP"}</definedName>
    <definedName name="avdd" hidden="1">{#N/A,#N/A,FALSE,"Calc";#N/A,#N/A,FALSE,"Sensitivity";#N/A,#N/A,FALSE,"LT Earn.Dil.";#N/A,#N/A,FALSE,"Dil. AVP"}</definedName>
    <definedName name="aveparkcopy" localSheetId="4" hidden="1">{"View1",#N/A,FALSE,"Sheet1";"View2",#N/A,FALSE,"Sheet1"}</definedName>
    <definedName name="aveparkcopy" localSheetId="6" hidden="1">{"View1",#N/A,FALSE,"Sheet1";"View2",#N/A,FALSE,"Sheet1"}</definedName>
    <definedName name="aveparkcopy" hidden="1">{"View1",#N/A,FALSE,"Sheet1";"View2",#N/A,FALSE,"Sheet1"}</definedName>
    <definedName name="b" localSheetId="4" hidden="1">{"Assump",#N/A,TRUE,"Proforma";"first",#N/A,TRUE,"Proforma";"second",#N/A,TRUE,"Proforma";"lease1",#N/A,TRUE,"Proforma";"lease2",#N/A,TRUE,"Proforma"}</definedName>
    <definedName name="b" localSheetId="6" hidden="1">{"Assump",#N/A,TRUE,"Proforma";"first",#N/A,TRUE,"Proforma";"second",#N/A,TRUE,"Proforma";"lease1",#N/A,TRUE,"Proforma";"lease2",#N/A,TRUE,"Proforma"}</definedName>
    <definedName name="b" hidden="1">{"Assump",#N/A,TRUE,"Proforma";"first",#N/A,TRUE,"Proforma";"second",#N/A,TRUE,"Proforma";"lease1",#N/A,TRUE,"Proforma";"lease2",#N/A,TRUE,"Proforma"}</definedName>
    <definedName name="BadLink" hidden="1">#N/A</definedName>
    <definedName name="BAL" localSheetId="8" hidden="1">{"CONSEJO",#N/A,FALSE,"Dist p0";"CONSEJO",#N/A,FALSE,"Ficha CODICE"}</definedName>
    <definedName name="BAL" hidden="1">{"CONSEJO",#N/A,FALSE,"Dist p0";"CONSEJO",#N/A,FALSE,"Ficha CODICE"}</definedName>
    <definedName name="balcony" localSheetId="2">#REF!</definedName>
    <definedName name="balcony" localSheetId="8">#REF!</definedName>
    <definedName name="balcony" localSheetId="6">UnitMix!#REF!</definedName>
    <definedName name="balcony">#REF!</definedName>
    <definedName name="bb" localSheetId="8" hidden="1">{"uno",#N/A,FALSE,"Dist total";"COMENTARIO",#N/A,FALSE,"Ficha CODICE"}</definedName>
    <definedName name="bb" hidden="1">{"uno",#N/A,FALSE,"Dist total";"COMENTARIO",#N/A,FALSE,"Ficha CODICE"}</definedName>
    <definedName name="bbb" localSheetId="0" hidden="1">{"'Feuil1'!$A$1:$Y$50"}</definedName>
    <definedName name="bbb" localSheetId="2" hidden="1">#REF!</definedName>
    <definedName name="bbb" localSheetId="4" hidden="1">#REF!</definedName>
    <definedName name="bbb" localSheetId="8" hidden="1">#REF!</definedName>
    <definedName name="bbb" hidden="1">#REF!</definedName>
    <definedName name="BBBBB" localSheetId="8" hidden="1">{"ANAR",#N/A,FALSE,"Dist total";"MARGEN",#N/A,FALSE,"Dist total";"COMENTARIO",#N/A,FALSE,"Ficha CODICE";"CONSEJO",#N/A,FALSE,"Dist p0";"uno",#N/A,FALSE,"Dist total"}</definedName>
    <definedName name="BBBBB" hidden="1">{"ANAR",#N/A,FALSE,"Dist total";"MARGEN",#N/A,FALSE,"Dist total";"COMENTARIO",#N/A,FALSE,"Ficha CODICE";"CONSEJO",#N/A,FALSE,"Dist p0";"uno",#N/A,FALSE,"Dist total"}</definedName>
    <definedName name="BBBBBBB" localSheetId="8" hidden="1">{"CONSEJO",#N/A,FALSE,"Dist p0";"CONSEJO",#N/A,FALSE,"Ficha CODICE"}</definedName>
    <definedName name="BBBBBBB" hidden="1">{"CONSEJO",#N/A,FALSE,"Dist p0";"CONSEJO",#N/A,FALSE,"Ficha CODICE"}</definedName>
    <definedName name="BBBBBBBB" localSheetId="8" hidden="1">{"uno",#N/A,FALSE,"Dist total";"COMENTARIO",#N/A,FALSE,"Ficha CODICE"}</definedName>
    <definedName name="BBBBBBBB" hidden="1">{"uno",#N/A,FALSE,"Dist total";"COMENTARIO",#N/A,FALSE,"Ficha CODICE"}</definedName>
    <definedName name="bdcopy" localSheetId="4" hidden="1">{"Main",#N/A,FALSE,"Wacker";"Main2",#N/A,FALSE,"Wacker";"Value",#N/A,FALSE,"Wacker";"Sensitivity",#N/A,FALSE,"Wacker";"Paine",#N/A,FALSE,"Wacker";"Quaker",#N/A,FALSE,"Wacker";"Wacker",#N/A,FALSE,"Wacker";"1900",#N/A,FALSE,"Wacker";"1901",#N/A,FALSE,"Wacker"}</definedName>
    <definedName name="bdcopy" localSheetId="6" hidden="1">{"Main",#N/A,FALSE,"Wacker";"Main2",#N/A,FALSE,"Wacker";"Value",#N/A,FALSE,"Wacker";"Sensitivity",#N/A,FALSE,"Wacker";"Paine",#N/A,FALSE,"Wacker";"Quaker",#N/A,FALSE,"Wacker";"Wacker",#N/A,FALSE,"Wacker";"1900",#N/A,FALSE,"Wacker";"1901",#N/A,FALSE,"Wacker"}</definedName>
    <definedName name="bdcopy" hidden="1">{"Main",#N/A,FALSE,"Wacker";"Main2",#N/A,FALSE,"Wacker";"Value",#N/A,FALSE,"Wacker";"Sensitivity",#N/A,FALSE,"Wacker";"Paine",#N/A,FALSE,"Wacker";"Quaker",#N/A,FALSE,"Wacker";"Wacker",#N/A,FALSE,"Wacker";"1900",#N/A,FALSE,"Wacker";"1901",#N/A,FALSE,"Wacker"}</definedName>
    <definedName name="bdinvestor" localSheetId="4" hidden="1">{"View1",#N/A,FALSE,"Sheet1";"View2",#N/A,FALSE,"Sheet1"}</definedName>
    <definedName name="bdinvestor" localSheetId="6" hidden="1">{"View1",#N/A,FALSE,"Sheet1";"View2",#N/A,FALSE,"Sheet1"}</definedName>
    <definedName name="bdinvestor" hidden="1">{"View1",#N/A,FALSE,"Sheet1";"View2",#N/A,FALSE,"Sheet1"}</definedName>
    <definedName name="Beginning_Balance" localSheetId="2">-FV([0]!Interest_Rate/12,'Monthly USD Model'!Payment_Number-1,-'Monthly USD Model'!Monthly_Payment,[0]!Loan_Amount)</definedName>
    <definedName name="Beginning_Balance" localSheetId="4">-FV([0]!Interest_Rate/12,'OpEx Budget'!Payment_Number-1,-'OpEx Budget'!Monthly_Payment,[0]!Loan_Amount)</definedName>
    <definedName name="Beginning_Balance" localSheetId="8">-FV([0]!Interest_Rate/12,Performance!Payment_Number-1,-Performance!Monthly_Payment,[0]!Loan_Amount)</definedName>
    <definedName name="Beginning_Balance" localSheetId="6">-FV([0]!Interest_Rate/12,UnitMix!Payment_Number-1,-UnitMix!Monthly_Payment,[0]!Loan_Amount)</definedName>
    <definedName name="Beginning_Balance">-FV([0]!Interest_Rate/12,[0]!Payment_Number-1,-[0]!Monthly_Payment,[0]!Loan_Amount)</definedName>
    <definedName name="bf" localSheetId="8" hidden="1">{"CONSEJO",#N/A,FALSE,"Dist p0";"CONSEJO",#N/A,FALSE,"Ficha CODICE"}</definedName>
    <definedName name="bf" hidden="1">{"CONSEJO",#N/A,FALSE,"Dist p0";"CONSEJO",#N/A,FALSE,"Ficha CODICE"}</definedName>
    <definedName name="bgbg" localSheetId="8" hidden="1">{"comps2_1",#N/A,FALSE,"Comps2";"comps2_2",#N/A,FALSE,"Comps2";"comps2_3",#N/A,FALSE,"Comps2";"comps2_4",#N/A,FALSE,"Comps2";"comps2_5",#N/A,FALSE,"Comps2"}</definedName>
    <definedName name="bgbg" hidden="1">{"comps2_1",#N/A,FALSE,"Comps2";"comps2_2",#N/A,FALSE,"Comps2";"comps2_3",#N/A,FALSE,"Comps2";"comps2_4",#N/A,FALSE,"Comps2";"comps2_5",#N/A,FALSE,"Comps2"}</definedName>
    <definedName name="bgbgf" localSheetId="8" hidden="1">{"DCF",#N/A,FALSE,"DCF"}</definedName>
    <definedName name="bgbgf" hidden="1">{"DCF",#N/A,FALSE,"DCF"}</definedName>
    <definedName name="bi" localSheetId="8" hidden="1">{#N/A,#N/A,FALSE,"F-01";#N/A,#N/A,FALSE,"F-01";#N/A,#N/A,FALSE,"F-01"}</definedName>
    <definedName name="bi" hidden="1">{#N/A,#N/A,FALSE,"F-01";#N/A,#N/A,FALSE,"F-01";#N/A,#N/A,FALSE,"F-01"}</definedName>
    <definedName name="Bilans" localSheetId="8" hidden="1">{#N/A,#N/A,FALSE,"F-01";#N/A,#N/A,FALSE,"F-01";#N/A,#N/A,FALSE,"F-01"}</definedName>
    <definedName name="Bilans" hidden="1">{#N/A,#N/A,FALSE,"F-01";#N/A,#N/A,FALSE,"F-01";#N/A,#N/A,FALSE,"F-01"}</definedName>
    <definedName name="BILANS30.07.2002" localSheetId="8" hidden="1">{#N/A,#N/A,FALSE,"F-01";#N/A,#N/A,FALSE,"F-01";#N/A,#N/A,FALSE,"F-01"}</definedName>
    <definedName name="BILANS30.07.2002" hidden="1">{#N/A,#N/A,FALSE,"F-01";#N/A,#N/A,FALSE,"F-01";#N/A,#N/A,FALSE,"F-01"}</definedName>
    <definedName name="BLPB10" localSheetId="2" hidden="1">#REF!</definedName>
    <definedName name="BLPB10" localSheetId="8" hidden="1">#REF!</definedName>
    <definedName name="BLPB10" hidden="1">#REF!</definedName>
    <definedName name="BLPB11" localSheetId="2" hidden="1">#REF!</definedName>
    <definedName name="BLPB11" localSheetId="8" hidden="1">#REF!</definedName>
    <definedName name="BLPB11" hidden="1">#REF!</definedName>
    <definedName name="BLPB12" localSheetId="2" hidden="1">#REF!</definedName>
    <definedName name="BLPB12" localSheetId="8" hidden="1">#REF!</definedName>
    <definedName name="BLPB12" hidden="1">#REF!</definedName>
    <definedName name="BLPB13" localSheetId="2" hidden="1">#REF!</definedName>
    <definedName name="BLPB13" localSheetId="8" hidden="1">#REF!</definedName>
    <definedName name="BLPB13" hidden="1">#REF!</definedName>
    <definedName name="BLPB14" localSheetId="2" hidden="1">#REF!</definedName>
    <definedName name="BLPB14" localSheetId="8" hidden="1">#REF!</definedName>
    <definedName name="BLPB14" hidden="1">#REF!</definedName>
    <definedName name="BLPB15" localSheetId="2" hidden="1">#REF!</definedName>
    <definedName name="BLPB15" localSheetId="8" hidden="1">#REF!</definedName>
    <definedName name="BLPB15" hidden="1">#REF!</definedName>
    <definedName name="BLPB16" localSheetId="2" hidden="1">#REF!</definedName>
    <definedName name="BLPB16" localSheetId="8" hidden="1">#REF!</definedName>
    <definedName name="BLPB16" hidden="1">#REF!</definedName>
    <definedName name="BLPB17" localSheetId="2" hidden="1">#REF!</definedName>
    <definedName name="BLPB17" localSheetId="8" hidden="1">#REF!</definedName>
    <definedName name="BLPB17" hidden="1">#REF!</definedName>
    <definedName name="BLPB18" localSheetId="2" hidden="1">#REF!</definedName>
    <definedName name="BLPB18" localSheetId="8" hidden="1">#REF!</definedName>
    <definedName name="BLPB18" hidden="1">#REF!</definedName>
    <definedName name="BLPB19" localSheetId="2" hidden="1">#REF!</definedName>
    <definedName name="BLPB19" localSheetId="8" hidden="1">#REF!</definedName>
    <definedName name="BLPB19" hidden="1">#REF!</definedName>
    <definedName name="BLPB20" localSheetId="2" hidden="1">#REF!</definedName>
    <definedName name="BLPB20" localSheetId="8" hidden="1">#REF!</definedName>
    <definedName name="BLPB20" hidden="1">#REF!</definedName>
    <definedName name="BLPB21" localSheetId="2" hidden="1">#REF!</definedName>
    <definedName name="BLPB21" localSheetId="8" hidden="1">#REF!</definedName>
    <definedName name="BLPB21" hidden="1">#REF!</definedName>
    <definedName name="BLPB22" localSheetId="2" hidden="1">#REF!</definedName>
    <definedName name="BLPB22" localSheetId="8" hidden="1">#REF!</definedName>
    <definedName name="BLPB22" hidden="1">#REF!</definedName>
    <definedName name="BLPB23" localSheetId="2" hidden="1">#REF!</definedName>
    <definedName name="BLPB23" localSheetId="8" hidden="1">#REF!</definedName>
    <definedName name="BLPB23" hidden="1">#REF!</definedName>
    <definedName name="BLPB24" localSheetId="2" hidden="1">#REF!</definedName>
    <definedName name="BLPB24" localSheetId="8" hidden="1">#REF!</definedName>
    <definedName name="BLPB24" hidden="1">#REF!</definedName>
    <definedName name="BLPB25" localSheetId="2" hidden="1">#REF!</definedName>
    <definedName name="BLPB25" localSheetId="8" hidden="1">#REF!</definedName>
    <definedName name="BLPB25" hidden="1">#REF!</definedName>
    <definedName name="BLPB26" localSheetId="2" hidden="1">#REF!</definedName>
    <definedName name="BLPB26" localSheetId="8" hidden="1">#REF!</definedName>
    <definedName name="BLPB26" hidden="1">#REF!</definedName>
    <definedName name="BLPB27" localSheetId="2" hidden="1">#REF!</definedName>
    <definedName name="BLPB27" localSheetId="8" hidden="1">#REF!</definedName>
    <definedName name="BLPB27" hidden="1">#REF!</definedName>
    <definedName name="BLPB28" localSheetId="2" hidden="1">#REF!</definedName>
    <definedName name="BLPB28" localSheetId="8" hidden="1">#REF!</definedName>
    <definedName name="BLPB28" hidden="1">#REF!</definedName>
    <definedName name="BLPB29" localSheetId="2" hidden="1">#REF!</definedName>
    <definedName name="BLPB29" localSheetId="8" hidden="1">#REF!</definedName>
    <definedName name="BLPB29" hidden="1">#REF!</definedName>
    <definedName name="BLPB3" localSheetId="2" hidden="1">#REF!</definedName>
    <definedName name="BLPB3" localSheetId="8" hidden="1">#REF!</definedName>
    <definedName name="BLPB3" hidden="1">#REF!</definedName>
    <definedName name="BLPB30" localSheetId="2" hidden="1">#REF!</definedName>
    <definedName name="BLPB30" localSheetId="8" hidden="1">#REF!</definedName>
    <definedName name="BLPB30" hidden="1">#REF!</definedName>
    <definedName name="BLPB31" localSheetId="2" hidden="1">#REF!</definedName>
    <definedName name="BLPB31" localSheetId="8" hidden="1">#REF!</definedName>
    <definedName name="BLPB31" hidden="1">#REF!</definedName>
    <definedName name="BLPB32" localSheetId="2" hidden="1">#REF!</definedName>
    <definedName name="BLPB32" localSheetId="8" hidden="1">#REF!</definedName>
    <definedName name="BLPB32" hidden="1">#REF!</definedName>
    <definedName name="BLPB33" localSheetId="2" hidden="1">#REF!</definedName>
    <definedName name="BLPB33" localSheetId="8" hidden="1">#REF!</definedName>
    <definedName name="BLPB33" hidden="1">#REF!</definedName>
    <definedName name="BLPB34" localSheetId="2" hidden="1">#REF!</definedName>
    <definedName name="BLPB34" localSheetId="8" hidden="1">#REF!</definedName>
    <definedName name="BLPB34" hidden="1">#REF!</definedName>
    <definedName name="BLPB35" localSheetId="2" hidden="1">#REF!</definedName>
    <definedName name="BLPB35" localSheetId="8" hidden="1">#REF!</definedName>
    <definedName name="BLPB35" hidden="1">#REF!</definedName>
    <definedName name="BLPB36" localSheetId="2" hidden="1">#REF!</definedName>
    <definedName name="BLPB36" localSheetId="8" hidden="1">#REF!</definedName>
    <definedName name="BLPB36" hidden="1">#REF!</definedName>
    <definedName name="BLPB37" localSheetId="2" hidden="1">#REF!</definedName>
    <definedName name="BLPB37" localSheetId="8" hidden="1">#REF!</definedName>
    <definedName name="BLPB37" hidden="1">#REF!</definedName>
    <definedName name="BLPB38" localSheetId="2" hidden="1">#REF!</definedName>
    <definedName name="BLPB38" localSheetId="8" hidden="1">#REF!</definedName>
    <definedName name="BLPB38" hidden="1">#REF!</definedName>
    <definedName name="BLPB39" localSheetId="2" hidden="1">#REF!</definedName>
    <definedName name="BLPB39" localSheetId="8" hidden="1">#REF!</definedName>
    <definedName name="BLPB39" hidden="1">#REF!</definedName>
    <definedName name="BLPB4" localSheetId="2" hidden="1">#REF!</definedName>
    <definedName name="BLPB4" localSheetId="8" hidden="1">#REF!</definedName>
    <definedName name="BLPB4" hidden="1">#REF!</definedName>
    <definedName name="BLPB40" localSheetId="2" hidden="1">#REF!</definedName>
    <definedName name="BLPB40" localSheetId="8" hidden="1">#REF!</definedName>
    <definedName name="BLPB40" hidden="1">#REF!</definedName>
    <definedName name="BLPB41" localSheetId="2" hidden="1">#REF!</definedName>
    <definedName name="BLPB41" localSheetId="8" hidden="1">#REF!</definedName>
    <definedName name="BLPB41" hidden="1">#REF!</definedName>
    <definedName name="BLPB42" localSheetId="2" hidden="1">#REF!</definedName>
    <definedName name="BLPB42" localSheetId="8" hidden="1">#REF!</definedName>
    <definedName name="BLPB42" hidden="1">#REF!</definedName>
    <definedName name="BLPB43" localSheetId="2" hidden="1">#REF!</definedName>
    <definedName name="BLPB43" localSheetId="8" hidden="1">#REF!</definedName>
    <definedName name="BLPB43" hidden="1">#REF!</definedName>
    <definedName name="BLPB44" localSheetId="2" hidden="1">#REF!</definedName>
    <definedName name="BLPB44" localSheetId="8" hidden="1">#REF!</definedName>
    <definedName name="BLPB44" hidden="1">#REF!</definedName>
    <definedName name="BLPB45" localSheetId="2" hidden="1">#REF!</definedName>
    <definedName name="BLPB45" localSheetId="8" hidden="1">#REF!</definedName>
    <definedName name="BLPB45" hidden="1">#REF!</definedName>
    <definedName name="BLPB46" localSheetId="2" hidden="1">#REF!</definedName>
    <definedName name="BLPB46" localSheetId="8" hidden="1">#REF!</definedName>
    <definedName name="BLPB46" hidden="1">#REF!</definedName>
    <definedName name="BLPB47" localSheetId="2" hidden="1">#REF!</definedName>
    <definedName name="BLPB47" localSheetId="8" hidden="1">#REF!</definedName>
    <definedName name="BLPB47" hidden="1">#REF!</definedName>
    <definedName name="BLPB48" localSheetId="2" hidden="1">#REF!</definedName>
    <definedName name="BLPB48" localSheetId="8" hidden="1">#REF!</definedName>
    <definedName name="BLPB48" hidden="1">#REF!</definedName>
    <definedName name="BLPB49" localSheetId="2" hidden="1">#REF!</definedName>
    <definedName name="BLPB49" localSheetId="8" hidden="1">#REF!</definedName>
    <definedName name="BLPB49" hidden="1">#REF!</definedName>
    <definedName name="BLPB5" localSheetId="2" hidden="1">#REF!</definedName>
    <definedName name="BLPB5" localSheetId="8" hidden="1">#REF!</definedName>
    <definedName name="BLPB5" hidden="1">#REF!</definedName>
    <definedName name="BLPB50" localSheetId="2" hidden="1">#REF!</definedName>
    <definedName name="BLPB50" localSheetId="8" hidden="1">#REF!</definedName>
    <definedName name="BLPB50" hidden="1">#REF!</definedName>
    <definedName name="BLPB51" localSheetId="2" hidden="1">#REF!</definedName>
    <definedName name="BLPB51" localSheetId="8" hidden="1">#REF!</definedName>
    <definedName name="BLPB51" hidden="1">#REF!</definedName>
    <definedName name="BLPB52" localSheetId="2" hidden="1">#REF!</definedName>
    <definedName name="BLPB52" localSheetId="8" hidden="1">#REF!</definedName>
    <definedName name="BLPB52" hidden="1">#REF!</definedName>
    <definedName name="BLPB53" localSheetId="2" hidden="1">#REF!</definedName>
    <definedName name="BLPB53" localSheetId="8" hidden="1">#REF!</definedName>
    <definedName name="BLPB53" hidden="1">#REF!</definedName>
    <definedName name="BLPB54" localSheetId="2" hidden="1">#REF!</definedName>
    <definedName name="BLPB54" localSheetId="8" hidden="1">#REF!</definedName>
    <definedName name="BLPB54" hidden="1">#REF!</definedName>
    <definedName name="BLPB55" localSheetId="2" hidden="1">#REF!</definedName>
    <definedName name="BLPB55" localSheetId="8" hidden="1">#REF!</definedName>
    <definedName name="BLPB55" hidden="1">#REF!</definedName>
    <definedName name="BLPB56" localSheetId="2" hidden="1">#REF!</definedName>
    <definedName name="BLPB56" localSheetId="8" hidden="1">#REF!</definedName>
    <definedName name="BLPB56" hidden="1">#REF!</definedName>
    <definedName name="BLPB6" localSheetId="2" hidden="1">#REF!</definedName>
    <definedName name="BLPB6" localSheetId="8" hidden="1">#REF!</definedName>
    <definedName name="BLPB6" hidden="1">#REF!</definedName>
    <definedName name="BLPB7" localSheetId="2" hidden="1">#REF!</definedName>
    <definedName name="BLPB7" localSheetId="8" hidden="1">#REF!</definedName>
    <definedName name="BLPB7" hidden="1">#REF!</definedName>
    <definedName name="BLPB8" localSheetId="2" hidden="1">#REF!</definedName>
    <definedName name="BLPB8" localSheetId="8" hidden="1">#REF!</definedName>
    <definedName name="BLPB8" hidden="1">#REF!</definedName>
    <definedName name="BLPB9" localSheetId="2" hidden="1">#REF!</definedName>
    <definedName name="BLPB9" localSheetId="8" hidden="1">#REF!</definedName>
    <definedName name="BLPB9" hidden="1">#REF!</definedName>
    <definedName name="BLPH1" localSheetId="0" hidden="1">#REF!</definedName>
    <definedName name="BLPH1" hidden="1">'[36]Mthly Data'!$A$3</definedName>
    <definedName name="BLPH10" localSheetId="2" hidden="1">#REF!</definedName>
    <definedName name="BLPH10" localSheetId="8" hidden="1">#REF!</definedName>
    <definedName name="BLPH10" hidden="1">#REF!</definedName>
    <definedName name="BLPH11" localSheetId="2" hidden="1">#REF!</definedName>
    <definedName name="BLPH11" localSheetId="8" hidden="1">#REF!</definedName>
    <definedName name="BLPH11" hidden="1">#REF!</definedName>
    <definedName name="BLPH12" localSheetId="2" hidden="1">#REF!</definedName>
    <definedName name="BLPH12" localSheetId="8" hidden="1">#REF!</definedName>
    <definedName name="BLPH12" hidden="1">#REF!</definedName>
    <definedName name="BLPH13" localSheetId="2" hidden="1">#REF!</definedName>
    <definedName name="BLPH13" localSheetId="8" hidden="1">#REF!</definedName>
    <definedName name="BLPH13" hidden="1">#REF!</definedName>
    <definedName name="BLPH14" localSheetId="2" hidden="1">#REF!</definedName>
    <definedName name="BLPH14" localSheetId="8" hidden="1">#REF!</definedName>
    <definedName name="BLPH14" hidden="1">#REF!</definedName>
    <definedName name="BLPH15" localSheetId="2" hidden="1">#REF!</definedName>
    <definedName name="BLPH15" localSheetId="8" hidden="1">#REF!</definedName>
    <definedName name="BLPH15" hidden="1">#REF!</definedName>
    <definedName name="BLPH16" localSheetId="2" hidden="1">#REF!</definedName>
    <definedName name="BLPH16" localSheetId="8" hidden="1">#REF!</definedName>
    <definedName name="BLPH16" hidden="1">#REF!</definedName>
    <definedName name="BLPH17" localSheetId="2" hidden="1">#REF!</definedName>
    <definedName name="BLPH17" localSheetId="8" hidden="1">#REF!</definedName>
    <definedName name="BLPH17" hidden="1">#REF!</definedName>
    <definedName name="BLPH18" localSheetId="2" hidden="1">#REF!</definedName>
    <definedName name="BLPH18" localSheetId="8" hidden="1">#REF!</definedName>
    <definedName name="BLPH18" hidden="1">#REF!</definedName>
    <definedName name="BLPH19" localSheetId="2" hidden="1">#REF!</definedName>
    <definedName name="BLPH19" localSheetId="8" hidden="1">#REF!</definedName>
    <definedName name="BLPH19" hidden="1">#REF!</definedName>
    <definedName name="BLPH2" localSheetId="0" hidden="1">#REF!</definedName>
    <definedName name="BLPH2" localSheetId="2" hidden="1">'[37]Mthly Data'!#REF!</definedName>
    <definedName name="BLPH2" localSheetId="4" hidden="1">'[37]Mthly Data'!#REF!</definedName>
    <definedName name="BLPH2" localSheetId="8" hidden="1">'[37]Mthly Data'!#REF!</definedName>
    <definedName name="BLPH2" localSheetId="6" hidden="1">'[37]Mthly Data'!#REF!</definedName>
    <definedName name="BLPH2" hidden="1">'[37]Mthly Data'!#REF!</definedName>
    <definedName name="BLPH20" localSheetId="2" hidden="1">#REF!</definedName>
    <definedName name="BLPH20" localSheetId="8" hidden="1">#REF!</definedName>
    <definedName name="BLPH20" hidden="1">#REF!</definedName>
    <definedName name="BLPH21" localSheetId="2" hidden="1">#REF!</definedName>
    <definedName name="BLPH21" localSheetId="8" hidden="1">#REF!</definedName>
    <definedName name="BLPH21" hidden="1">#REF!</definedName>
    <definedName name="BLPH22" localSheetId="2" hidden="1">#REF!</definedName>
    <definedName name="BLPH22" localSheetId="8" hidden="1">#REF!</definedName>
    <definedName name="BLPH22" hidden="1">#REF!</definedName>
    <definedName name="BLPH23" localSheetId="2" hidden="1">#REF!</definedName>
    <definedName name="BLPH23" localSheetId="8" hidden="1">#REF!</definedName>
    <definedName name="BLPH23" hidden="1">#REF!</definedName>
    <definedName name="BLPH24" localSheetId="2" hidden="1">#REF!</definedName>
    <definedName name="BLPH24" localSheetId="8" hidden="1">#REF!</definedName>
    <definedName name="BLPH24" hidden="1">#REF!</definedName>
    <definedName name="BLPH25" localSheetId="2" hidden="1">#REF!</definedName>
    <definedName name="BLPH25" localSheetId="8" hidden="1">#REF!</definedName>
    <definedName name="BLPH25" hidden="1">#REF!</definedName>
    <definedName name="BLPH26" localSheetId="2" hidden="1">#REF!</definedName>
    <definedName name="BLPH26" localSheetId="8" hidden="1">#REF!</definedName>
    <definedName name="BLPH26" hidden="1">#REF!</definedName>
    <definedName name="BLPH27" localSheetId="2" hidden="1">#REF!</definedName>
    <definedName name="BLPH27" localSheetId="8" hidden="1">#REF!</definedName>
    <definedName name="BLPH27" hidden="1">#REF!</definedName>
    <definedName name="BLPH28" localSheetId="2" hidden="1">#REF!</definedName>
    <definedName name="BLPH28" localSheetId="8" hidden="1">#REF!</definedName>
    <definedName name="BLPH28" hidden="1">#REF!</definedName>
    <definedName name="BLPH3" localSheetId="0" hidden="1">#REF!</definedName>
    <definedName name="BLPH3" localSheetId="2" hidden="1">'[37]Mthly Data'!#REF!</definedName>
    <definedName name="BLPH3" localSheetId="4" hidden="1">'[37]Mthly Data'!#REF!</definedName>
    <definedName name="BLPH3" localSheetId="8" hidden="1">'[37]Mthly Data'!#REF!</definedName>
    <definedName name="BLPH3" localSheetId="6" hidden="1">'[37]Mthly Data'!#REF!</definedName>
    <definedName name="BLPH3" hidden="1">'[37]Mthly Data'!#REF!</definedName>
    <definedName name="BLPH4" localSheetId="0" hidden="1">#REF!</definedName>
    <definedName name="blph4" localSheetId="2" hidden="1">'[37]Mthly Data'!#REF!</definedName>
    <definedName name="blph4" localSheetId="4" hidden="1">'[37]Mthly Data'!#REF!</definedName>
    <definedName name="blph4" localSheetId="8" hidden="1">'[37]Mthly Data'!#REF!</definedName>
    <definedName name="blph4" localSheetId="6" hidden="1">'[37]Mthly Data'!#REF!</definedName>
    <definedName name="blph4" hidden="1">'[37]Mthly Data'!#REF!</definedName>
    <definedName name="BLPH45" localSheetId="2" hidden="1">#REF!</definedName>
    <definedName name="BLPH45" localSheetId="8" hidden="1">#REF!</definedName>
    <definedName name="BLPH45" hidden="1">#REF!</definedName>
    <definedName name="BLPH46" localSheetId="2" hidden="1">#REF!</definedName>
    <definedName name="BLPH46" localSheetId="8" hidden="1">#REF!</definedName>
    <definedName name="BLPH46" hidden="1">#REF!</definedName>
    <definedName name="BLPH47" localSheetId="2" hidden="1">#REF!</definedName>
    <definedName name="BLPH47" localSheetId="8" hidden="1">#REF!</definedName>
    <definedName name="BLPH47" hidden="1">#REF!</definedName>
    <definedName name="BLPH48" localSheetId="2" hidden="1">#REF!</definedName>
    <definedName name="BLPH48" localSheetId="8" hidden="1">#REF!</definedName>
    <definedName name="BLPH48" hidden="1">#REF!</definedName>
    <definedName name="BLPH49" localSheetId="2" hidden="1">#REF!</definedName>
    <definedName name="BLPH49" localSheetId="8" hidden="1">#REF!</definedName>
    <definedName name="BLPH49" hidden="1">#REF!</definedName>
    <definedName name="BLPH5" localSheetId="2" hidden="1">#REF!</definedName>
    <definedName name="BLPH5" localSheetId="8" hidden="1">#REF!</definedName>
    <definedName name="BLPH5" hidden="1">#REF!</definedName>
    <definedName name="BLPH50" localSheetId="2" hidden="1">#REF!</definedName>
    <definedName name="BLPH50" localSheetId="8" hidden="1">#REF!</definedName>
    <definedName name="BLPH50" hidden="1">#REF!</definedName>
    <definedName name="BLPH51" localSheetId="2" hidden="1">#REF!</definedName>
    <definedName name="BLPH51" localSheetId="8" hidden="1">#REF!</definedName>
    <definedName name="BLPH51" hidden="1">#REF!</definedName>
    <definedName name="BLPH52" localSheetId="2" hidden="1">#REF!</definedName>
    <definedName name="BLPH52" localSheetId="8" hidden="1">#REF!</definedName>
    <definedName name="BLPH52" hidden="1">#REF!</definedName>
    <definedName name="BLPH53" localSheetId="2" hidden="1">#REF!</definedName>
    <definedName name="BLPH53" localSheetId="8" hidden="1">#REF!</definedName>
    <definedName name="BLPH53" hidden="1">#REF!</definedName>
    <definedName name="BLPH54" localSheetId="2" hidden="1">#REF!</definedName>
    <definedName name="BLPH54" localSheetId="8" hidden="1">#REF!</definedName>
    <definedName name="BLPH54" hidden="1">#REF!</definedName>
    <definedName name="BLPH55" localSheetId="2" hidden="1">#REF!</definedName>
    <definedName name="BLPH55" localSheetId="8" hidden="1">#REF!</definedName>
    <definedName name="BLPH55" hidden="1">#REF!</definedName>
    <definedName name="BLPH56" localSheetId="2" hidden="1">#REF!</definedName>
    <definedName name="BLPH56" localSheetId="8" hidden="1">#REF!</definedName>
    <definedName name="BLPH56" hidden="1">#REF!</definedName>
    <definedName name="BLPH57" localSheetId="2" hidden="1">#REF!</definedName>
    <definedName name="BLPH57" localSheetId="8" hidden="1">#REF!</definedName>
    <definedName name="BLPH57" hidden="1">#REF!</definedName>
    <definedName name="BLPH58" localSheetId="2" hidden="1">#REF!</definedName>
    <definedName name="BLPH58" localSheetId="8" hidden="1">#REF!</definedName>
    <definedName name="BLPH58" hidden="1">#REF!</definedName>
    <definedName name="BLPH59" localSheetId="2" hidden="1">#REF!</definedName>
    <definedName name="BLPH59" localSheetId="8" hidden="1">#REF!</definedName>
    <definedName name="BLPH59" hidden="1">#REF!</definedName>
    <definedName name="BLPH6" localSheetId="2" hidden="1">#REF!</definedName>
    <definedName name="BLPH6" localSheetId="8" hidden="1">#REF!</definedName>
    <definedName name="BLPH6" hidden="1">#REF!</definedName>
    <definedName name="BLPH60" localSheetId="2" hidden="1">#REF!</definedName>
    <definedName name="BLPH60" localSheetId="8" hidden="1">#REF!</definedName>
    <definedName name="BLPH60" hidden="1">#REF!</definedName>
    <definedName name="BLPH61" localSheetId="2" hidden="1">#REF!</definedName>
    <definedName name="BLPH61" localSheetId="8" hidden="1">#REF!</definedName>
    <definedName name="BLPH61" hidden="1">#REF!</definedName>
    <definedName name="BLPH62" localSheetId="2" hidden="1">#REF!</definedName>
    <definedName name="BLPH62" localSheetId="8" hidden="1">#REF!</definedName>
    <definedName name="BLPH62" hidden="1">#REF!</definedName>
    <definedName name="BLPH63" localSheetId="2" hidden="1">#REF!</definedName>
    <definedName name="BLPH63" localSheetId="8" hidden="1">#REF!</definedName>
    <definedName name="BLPH63" hidden="1">#REF!</definedName>
    <definedName name="BLPH64" localSheetId="2" hidden="1">#REF!</definedName>
    <definedName name="BLPH64" localSheetId="8" hidden="1">#REF!</definedName>
    <definedName name="BLPH64" hidden="1">#REF!</definedName>
    <definedName name="BLPH65" localSheetId="2" hidden="1">#REF!</definedName>
    <definedName name="BLPH65" localSheetId="8" hidden="1">#REF!</definedName>
    <definedName name="BLPH65" hidden="1">#REF!</definedName>
    <definedName name="BLPH66" localSheetId="2" hidden="1">#REF!</definedName>
    <definedName name="BLPH66" localSheetId="8" hidden="1">#REF!</definedName>
    <definedName name="BLPH66" hidden="1">#REF!</definedName>
    <definedName name="BLPH7" localSheetId="2" hidden="1">#REF!</definedName>
    <definedName name="BLPH7" localSheetId="8" hidden="1">#REF!</definedName>
    <definedName name="BLPH7" hidden="1">#REF!</definedName>
    <definedName name="BLPH78" localSheetId="2" hidden="1">#REF!</definedName>
    <definedName name="BLPH78" localSheetId="8" hidden="1">#REF!</definedName>
    <definedName name="BLPH78" hidden="1">#REF!</definedName>
    <definedName name="BLPH79" localSheetId="2" hidden="1">#REF!</definedName>
    <definedName name="BLPH79" localSheetId="8" hidden="1">#REF!</definedName>
    <definedName name="BLPH79" hidden="1">#REF!</definedName>
    <definedName name="BLPH8" localSheetId="2" hidden="1">#REF!</definedName>
    <definedName name="BLPH8" localSheetId="8" hidden="1">#REF!</definedName>
    <definedName name="BLPH8" hidden="1">#REF!</definedName>
    <definedName name="BLPH80" localSheetId="2" hidden="1">#REF!</definedName>
    <definedName name="BLPH80" localSheetId="8" hidden="1">#REF!</definedName>
    <definedName name="BLPH80" hidden="1">#REF!</definedName>
    <definedName name="BLPH81" localSheetId="2" hidden="1">#REF!</definedName>
    <definedName name="BLPH81" localSheetId="8" hidden="1">#REF!</definedName>
    <definedName name="BLPH81" hidden="1">#REF!</definedName>
    <definedName name="BLPH9" localSheetId="2" hidden="1">#REF!</definedName>
    <definedName name="BLPH9" localSheetId="8" hidden="1">#REF!</definedName>
    <definedName name="BLPH9" hidden="1">#REF!</definedName>
    <definedName name="bnmb" localSheetId="4" hidden="1">{#N/A,#N/A,FALSE,"Summary";#N/A,#N/A,FALSE,"Program Scheme";#N/A,#N/A,FALSE,"Assumptions";#N/A,#N/A,FALSE,"Development Budget";#N/A,#N/A,FALSE,"Timing";#N/A,#N/A,FALSE,"Development Costs &amp; Revenues";#N/A,#N/A,FALSE,"Cash Flow to Debt &amp; Equity";#N/A,#N/A,FALSE,"Cash Flow to Athena LP"}</definedName>
    <definedName name="bnmb" localSheetId="8" hidden="1">{#N/A,#N/A,FALSE,"Summary";#N/A,#N/A,FALSE,"Program Scheme";#N/A,#N/A,FALSE,"Assumptions";#N/A,#N/A,FALSE,"Development Budget";#N/A,#N/A,FALSE,"Timing";#N/A,#N/A,FALSE,"Development Costs &amp; Revenues";#N/A,#N/A,FALSE,"Cash Flow to Debt &amp; Equity";#N/A,#N/A,FALSE,"Cash Flow to Athena LP"}</definedName>
    <definedName name="bnmb" localSheetId="6" hidden="1">{#N/A,#N/A,FALSE,"Summary";#N/A,#N/A,FALSE,"Program Scheme";#N/A,#N/A,FALSE,"Assumptions";#N/A,#N/A,FALSE,"Development Budget";#N/A,#N/A,FALSE,"Timing";#N/A,#N/A,FALSE,"Development Costs &amp; Revenues";#N/A,#N/A,FALSE,"Cash Flow to Debt &amp; Equity";#N/A,#N/A,FALSE,"Cash Flow to Athena LP"}</definedName>
    <definedName name="bnmb" hidden="1">{#N/A,#N/A,FALSE,"Summary";#N/A,#N/A,FALSE,"Program Scheme";#N/A,#N/A,FALSE,"Assumptions";#N/A,#N/A,FALSE,"Development Budget";#N/A,#N/A,FALSE,"Timing";#N/A,#N/A,FALSE,"Development Costs &amp; Revenues";#N/A,#N/A,FALSE,"Cash Flow to Debt &amp; Equity";#N/A,#N/A,FALSE,"Cash Flow to Athena LP"}</definedName>
    <definedName name="bogus" localSheetId="4" hidden="1">{"CF",#N/A,FALSE,"Cash Flow";"RET",#N/A,FALSE,"Returns";"NPV",#N/A,FALSE,"Values";"ASMPT",#N/A,FALSE,"Assumptions"}</definedName>
    <definedName name="bogus" localSheetId="6" hidden="1">{"CF",#N/A,FALSE,"Cash Flow";"RET",#N/A,FALSE,"Returns";"NPV",#N/A,FALSE,"Values";"ASMPT",#N/A,FALSE,"Assumptions"}</definedName>
    <definedName name="bogus" hidden="1">{"CF",#N/A,FALSE,"Cash Flow";"RET",#N/A,FALSE,"Returns";"NPV",#N/A,FALSE,"Values";"ASMPT",#N/A,FALSE,"Assumptions"}</definedName>
    <definedName name="bogus2" localSheetId="4" hidden="1">{"CF",#N/A,FALSE,"Cash Flow";"RET",#N/A,FALSE,"Returns";"NPV",#N/A,FALSE,"Values";"ASMPT",#N/A,FALSE,"Assumptions"}</definedName>
    <definedName name="bogus2" localSheetId="6" hidden="1">{"CF",#N/A,FALSE,"Cash Flow";"RET",#N/A,FALSE,"Returns";"NPV",#N/A,FALSE,"Values";"ASMPT",#N/A,FALSE,"Assumptions"}</definedName>
    <definedName name="bogus2" hidden="1">{"CF",#N/A,FALSE,"Cash Flow";"RET",#N/A,FALSE,"Returns";"NPV",#N/A,FALSE,"Values";"ASMPT",#N/A,FALSE,"Assumptions"}</definedName>
    <definedName name="BT" localSheetId="8"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BT"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BUDAPR" localSheetId="2">#REF!</definedName>
    <definedName name="BUDAPR" localSheetId="4">#REF!</definedName>
    <definedName name="BUDAPR" localSheetId="8">#REF!</definedName>
    <definedName name="BUDAPR">#REF!</definedName>
    <definedName name="BUDAUG" localSheetId="2">#REF!</definedName>
    <definedName name="BUDAUG" localSheetId="4">#REF!</definedName>
    <definedName name="BUDAUG" localSheetId="8">#REF!</definedName>
    <definedName name="BUDAUG">#REF!</definedName>
    <definedName name="BUDDEC" localSheetId="2">#REF!</definedName>
    <definedName name="BUDDEC" localSheetId="4">#REF!</definedName>
    <definedName name="BUDDEC" localSheetId="8">#REF!</definedName>
    <definedName name="BUDDEC">#REF!</definedName>
    <definedName name="BUDFEB" localSheetId="2">#REF!</definedName>
    <definedName name="BUDFEB" localSheetId="4">#REF!</definedName>
    <definedName name="BUDFEB" localSheetId="8">#REF!</definedName>
    <definedName name="BUDFEB">#REF!</definedName>
    <definedName name="BUDGET" localSheetId="2">#REF!</definedName>
    <definedName name="BUDGET" localSheetId="4">#REF!</definedName>
    <definedName name="BUDGET" localSheetId="8">#REF!</definedName>
    <definedName name="BUDGET">#REF!</definedName>
    <definedName name="BUDJAN" localSheetId="2">#REF!</definedName>
    <definedName name="BUDJAN" localSheetId="4">#REF!</definedName>
    <definedName name="BUDJAN" localSheetId="8">#REF!</definedName>
    <definedName name="BUDJAN">#REF!</definedName>
    <definedName name="BUDJUL" localSheetId="2">#REF!</definedName>
    <definedName name="BUDJUL" localSheetId="4">#REF!</definedName>
    <definedName name="BUDJUL" localSheetId="8">#REF!</definedName>
    <definedName name="BUDJUL">#REF!</definedName>
    <definedName name="BUDJUN" localSheetId="2">#REF!</definedName>
    <definedName name="BUDJUN" localSheetId="4">#REF!</definedName>
    <definedName name="BUDJUN" localSheetId="8">#REF!</definedName>
    <definedName name="BUDJUN">#REF!</definedName>
    <definedName name="BUDMAR" localSheetId="2">#REF!</definedName>
    <definedName name="BUDMAR" localSheetId="4">#REF!</definedName>
    <definedName name="BUDMAR" localSheetId="8">#REF!</definedName>
    <definedName name="BUDMAR">#REF!</definedName>
    <definedName name="BUDMAY" localSheetId="2">#REF!</definedName>
    <definedName name="BUDMAY" localSheetId="4">#REF!</definedName>
    <definedName name="BUDMAY" localSheetId="8">#REF!</definedName>
    <definedName name="BUDMAY">#REF!</definedName>
    <definedName name="BUDMTDAPR" localSheetId="2">#REF!</definedName>
    <definedName name="BUDMTDAPR" localSheetId="4">#REF!</definedName>
    <definedName name="BUDMTDAPR" localSheetId="8">#REF!</definedName>
    <definedName name="BUDMTDAPR">#REF!</definedName>
    <definedName name="BUDMTDAUG" localSheetId="2">#REF!</definedName>
    <definedName name="BUDMTDAUG" localSheetId="4">#REF!</definedName>
    <definedName name="BUDMTDAUG" localSheetId="8">#REF!</definedName>
    <definedName name="BUDMTDAUG">#REF!</definedName>
    <definedName name="BUDMTDDEC" localSheetId="2">#REF!</definedName>
    <definedName name="BUDMTDDEC" localSheetId="4">#REF!</definedName>
    <definedName name="BUDMTDDEC" localSheetId="8">#REF!</definedName>
    <definedName name="BUDMTDDEC">#REF!</definedName>
    <definedName name="BUDMTDFEB" localSheetId="2">#REF!</definedName>
    <definedName name="BUDMTDFEB" localSheetId="4">#REF!</definedName>
    <definedName name="BUDMTDFEB" localSheetId="8">#REF!</definedName>
    <definedName name="BUDMTDFEB">#REF!</definedName>
    <definedName name="BUDMTDJAN" localSheetId="2">#REF!</definedName>
    <definedName name="BUDMTDJAN" localSheetId="4">#REF!</definedName>
    <definedName name="BUDMTDJAN" localSheetId="8">#REF!</definedName>
    <definedName name="BUDMTDJAN">#REF!</definedName>
    <definedName name="BUDMTDJUL" localSheetId="2">#REF!</definedName>
    <definedName name="BUDMTDJUL" localSheetId="4">#REF!</definedName>
    <definedName name="BUDMTDJUL" localSheetId="8">#REF!</definedName>
    <definedName name="BUDMTDJUL">#REF!</definedName>
    <definedName name="BUDMTDJUN" localSheetId="2">#REF!</definedName>
    <definedName name="BUDMTDJUN" localSheetId="4">#REF!</definedName>
    <definedName name="BUDMTDJUN" localSheetId="8">#REF!</definedName>
    <definedName name="BUDMTDJUN">#REF!</definedName>
    <definedName name="BUDMTDMAR" localSheetId="2">#REF!</definedName>
    <definedName name="BUDMTDMAR" localSheetId="4">#REF!</definedName>
    <definedName name="BUDMTDMAR" localSheetId="8">#REF!</definedName>
    <definedName name="BUDMTDMAR">#REF!</definedName>
    <definedName name="BUDMTDMAY" localSheetId="2">#REF!</definedName>
    <definedName name="BUDMTDMAY" localSheetId="4">#REF!</definedName>
    <definedName name="BUDMTDMAY" localSheetId="8">#REF!</definedName>
    <definedName name="BUDMTDMAY">#REF!</definedName>
    <definedName name="BUDMTDNOV" localSheetId="2">#REF!</definedName>
    <definedName name="BUDMTDNOV" localSheetId="4">#REF!</definedName>
    <definedName name="BUDMTDNOV" localSheetId="8">#REF!</definedName>
    <definedName name="BUDMTDNOV">#REF!</definedName>
    <definedName name="BUDMTDOCT" localSheetId="2">#REF!</definedName>
    <definedName name="BUDMTDOCT" localSheetId="4">#REF!</definedName>
    <definedName name="BUDMTDOCT" localSheetId="8">#REF!</definedName>
    <definedName name="BUDMTDOCT">#REF!</definedName>
    <definedName name="BUDMTDSEP" localSheetId="2">#REF!</definedName>
    <definedName name="BUDMTDSEP" localSheetId="4">#REF!</definedName>
    <definedName name="BUDMTDSEP" localSheetId="8">#REF!</definedName>
    <definedName name="BUDMTDSEP">#REF!</definedName>
    <definedName name="BUDNOV" localSheetId="2">#REF!</definedName>
    <definedName name="BUDNOV" localSheetId="4">#REF!</definedName>
    <definedName name="BUDNOV" localSheetId="8">#REF!</definedName>
    <definedName name="BUDNOV">#REF!</definedName>
    <definedName name="BUDOCT" localSheetId="2">#REF!</definedName>
    <definedName name="BUDOCT" localSheetId="4">#REF!</definedName>
    <definedName name="BUDOCT" localSheetId="8">#REF!</definedName>
    <definedName name="BUDOCT">#REF!</definedName>
    <definedName name="BUDSEP" localSheetId="2">#REF!</definedName>
    <definedName name="BUDSEP" localSheetId="4">#REF!</definedName>
    <definedName name="BUDSEP" localSheetId="8">#REF!</definedName>
    <definedName name="BUDSEP">#REF!</definedName>
    <definedName name="BX" localSheetId="8" hidden="1">{"ANAR",#N/A,FALSE,"Dist total";"MARGEN",#N/A,FALSE,"Dist total";"COMENTARIO",#N/A,FALSE,"Ficha CODICE";"CONSEJO",#N/A,FALSE,"Dist p0";"uno",#N/A,FALSE,"Dist total"}</definedName>
    <definedName name="BX" hidden="1">{"ANAR",#N/A,FALSE,"Dist total";"MARGEN",#N/A,FALSE,"Dist total";"COMENTARIO",#N/A,FALSE,"Ficha CODICE";"CONSEJO",#N/A,FALSE,"Dist p0";"uno",#N/A,FALSE,"Dist total"}</definedName>
    <definedName name="Cable" localSheetId="8" hidden="1">{#N/A,#N/A,FALSE,"Operations";#N/A,#N/A,FALSE,"Financials"}</definedName>
    <definedName name="Cable" hidden="1">{#N/A,#N/A,FALSE,"Operations";#N/A,#N/A,FALSE,"Financials"}</definedName>
    <definedName name="Cable2" localSheetId="8" hidden="1">{#N/A,#N/A,FALSE,"Operations";#N/A,#N/A,FALSE,"Financials"}</definedName>
    <definedName name="Cable2" hidden="1">{#N/A,#N/A,FALSE,"Operations";#N/A,#N/A,FALSE,"Financials"}</definedName>
    <definedName name="calculations2" localSheetId="8" hidden="1">{"Calc 1",#N/A,FALSE,"CAL";"Calc 2",#N/A,FALSE,"CAL";"Calc 3",#N/A,FALSE,"CAL";"Calc 4",#N/A,FALSE,"CAL";"Calc 5",#N/A,FALSE,"CAL";"Calc 6",#N/A,FALSE,"CAL";"Calc 7",#N/A,FALSE,"CAL";"Calc 8",#N/A,FALSE,"CAL";"Calc 9",#N/A,FALSE,"CAL";"Calc 10",#N/A,FALSE,"CAL";"Calc 11",#N/A,FALSE,"CAL";"Calc 12",#N/A,FALSE,"CAL";"Calc 13",#N/A,FALSE,"CAL";"Calc 14",#N/A,FALSE,"CAL";"Calc 15",#N/A,FALSE,"CAL";"Calc 16",#N/A,FALSE,"CAL";"Calc 17",#N/A,FALSE,"CAL";"Calc 18",#N/A,FALSE,"CAL"}</definedName>
    <definedName name="calculations2" hidden="1">{"Calc 1",#N/A,FALSE,"CAL";"Calc 2",#N/A,FALSE,"CAL";"Calc 3",#N/A,FALSE,"CAL";"Calc 4",#N/A,FALSE,"CAL";"Calc 5",#N/A,FALSE,"CAL";"Calc 6",#N/A,FALSE,"CAL";"Calc 7",#N/A,FALSE,"CAL";"Calc 8",#N/A,FALSE,"CAL";"Calc 9",#N/A,FALSE,"CAL";"Calc 10",#N/A,FALSE,"CAL";"Calc 11",#N/A,FALSE,"CAL";"Calc 12",#N/A,FALSE,"CAL";"Calc 13",#N/A,FALSE,"CAL";"Calc 14",#N/A,FALSE,"CAL";"Calc 15",#N/A,FALSE,"CAL";"Calc 16",#N/A,FALSE,"CAL";"Calc 17",#N/A,FALSE,"CAL";"Calc 18",#N/A,FALSE,"CAL"}</definedName>
    <definedName name="capex" localSheetId="2">#REF!</definedName>
    <definedName name="capex" localSheetId="4">#REF!</definedName>
    <definedName name="capex" localSheetId="8">#REF!</definedName>
    <definedName name="capex">#REF!</definedName>
    <definedName name="Capital" localSheetId="4" hidden="1">{#N/A,#N/A,FALSE,"CF Consolidated 2";#N/A,#N/A,FALSE,"Retail Assump";#N/A,#N/A,FALSE,"CF Retail";#N/A,#N/A,FALSE,"Garage Assumpt 1";#N/A,#N/A,FALSE,"Garage Op Proj";#N/A,#N/A,FALSE,"Hist I&amp;E";#N/A,#N/A,FALSE,"Rent Roll";#N/A,#N/A,FALSE,"RE Taxes";#N/A,#N/A,FALSE,"CAM - BH";#N/A,#N/A,FALSE,"Comm.Condo CAM"}</definedName>
    <definedName name="Capital" localSheetId="6" hidden="1">{#N/A,#N/A,FALSE,"CF Consolidated 2";#N/A,#N/A,FALSE,"Retail Assump";#N/A,#N/A,FALSE,"CF Retail";#N/A,#N/A,FALSE,"Garage Assumpt 1";#N/A,#N/A,FALSE,"Garage Op Proj";#N/A,#N/A,FALSE,"Hist I&amp;E";#N/A,#N/A,FALSE,"Rent Roll";#N/A,#N/A,FALSE,"RE Taxes";#N/A,#N/A,FALSE,"CAM - BH";#N/A,#N/A,FALSE,"Comm.Condo CAM"}</definedName>
    <definedName name="Capital" hidden="1">{#N/A,#N/A,FALSE,"CF Consolidated 2";#N/A,#N/A,FALSE,"Retail Assump";#N/A,#N/A,FALSE,"CF Retail";#N/A,#N/A,FALSE,"Garage Assumpt 1";#N/A,#N/A,FALSE,"Garage Op Proj";#N/A,#N/A,FALSE,"Hist I&amp;E";#N/A,#N/A,FALSE,"Rent Roll";#N/A,#N/A,FALSE,"RE Taxes";#N/A,#N/A,FALSE,"CAM - BH";#N/A,#N/A,FALSE,"Comm.Condo CAM"}</definedName>
    <definedName name="cas" localSheetId="8" hidden="1">{"ANAR",#N/A,FALSE,"Dist total";"MARGEN",#N/A,FALSE,"Dist total";"COMENTARIO",#N/A,FALSE,"Ficha CODICE";"CONSEJO",#N/A,FALSE,"Dist p0";"uno",#N/A,FALSE,"Dist total"}</definedName>
    <definedName name="cas" hidden="1">{"ANAR",#N/A,FALSE,"Dist total";"MARGEN",#N/A,FALSE,"Dist total";"COMENTARIO",#N/A,FALSE,"Ficha CODICE";"CONSEJO",#N/A,FALSE,"Dist p0";"uno",#N/A,FALSE,"Dist total"}</definedName>
    <definedName name="cash" localSheetId="4" hidden="1">{#N/A,#N/A,FALSE,"Assumptions";#N/A,#N/A,FALSE,"Consol CF";#N/A,#N/A,FALSE,"Hacienda CF";#N/A,#N/A,FALSE,"Chabot CF";#N/A,#N/A,FALSE,"Diablo CF"}</definedName>
    <definedName name="cash" localSheetId="8" hidden="1">{#N/A,#N/A,FALSE,"Assumptions";#N/A,#N/A,FALSE,"Consol CF";#N/A,#N/A,FALSE,"Hacienda CF";#N/A,#N/A,FALSE,"Chabot CF";#N/A,#N/A,FALSE,"Diablo CF"}</definedName>
    <definedName name="cash" localSheetId="6" hidden="1">{#N/A,#N/A,FALSE,"Assumptions";#N/A,#N/A,FALSE,"Consol CF";#N/A,#N/A,FALSE,"Hacienda CF";#N/A,#N/A,FALSE,"Chabot CF";#N/A,#N/A,FALSE,"Diablo CF"}</definedName>
    <definedName name="cash" hidden="1">{#N/A,#N/A,FALSE,"Assumptions";#N/A,#N/A,FALSE,"Consol CF";#N/A,#N/A,FALSE,"Hacienda CF";#N/A,#N/A,FALSE,"Chabot CF";#N/A,#N/A,FALSE,"Diablo CF"}</definedName>
    <definedName name="cc" localSheetId="8" hidden="1">{#N/A,#N/A,FALSE,"CBE";#N/A,#N/A,FALSE,"SWK"}</definedName>
    <definedName name="cc" hidden="1">{#N/A,#N/A,FALSE,"CBE";#N/A,#N/A,FALSE,"SWK"}</definedName>
    <definedName name="cc." localSheetId="4" hidden="1">{"CD1",#N/A,TRUE,"C-D (R)";"CD2",#N/A,TRUE,"C-D (R)"}</definedName>
    <definedName name="cc." localSheetId="8" hidden="1">{"CD1",#N/A,TRUE,"C-D (R)";"CD2",#N/A,TRUE,"C-D (R)"}</definedName>
    <definedName name="cc." localSheetId="6" hidden="1">{"CD1",#N/A,TRUE,"C-D (R)";"CD2",#N/A,TRUE,"C-D (R)"}</definedName>
    <definedName name="cc." hidden="1">{"CD1",#N/A,TRUE,"C-D (R)";"CD2",#N/A,TRUE,"C-D (R)"}</definedName>
    <definedName name="ccc" localSheetId="8" hidden="1">{"'Feuil1'!$A$1:$Y$50"}</definedName>
    <definedName name="ccc" hidden="1">{"'Feuil1'!$A$1:$Y$50"}</definedName>
    <definedName name="CCCCCCCCC" localSheetId="4" hidden="1">{FALSE,FALSE,1.75,1,600,351,FALSE,FALSE,TRUE,TRUE,0,30,#N/A,41,#N/A,9.57777777777778,18.9166666666667,1,FALSE,FALSE,1,TRUE,1,FALSE,100,"Swvu.As._.Is._.Value.","ACwvu.As._.Is._.Value.",1,FALSE,FALSE,1,1,1,1,1,"","",FALSE,FALSE,FALSE,FALSE,1,#N/A,1,1,FALSE,FALSE,FALSE,FALSE,FALSE,FALSE}</definedName>
    <definedName name="CCCCCCCCC" localSheetId="8" hidden="1">{FALSE,FALSE,1.75,1,600,351,FALSE,FALSE,TRUE,TRUE,0,30,#N/A,41,#N/A,9.57777777777778,18.9166666666667,1,FALSE,FALSE,1,TRUE,1,FALSE,100,"Swvu.As._.Is._.Value.","ACwvu.As._.Is._.Value.",1,FALSE,FALSE,1,1,1,1,1,"","",FALSE,FALSE,FALSE,FALSE,1,#N/A,1,1,FALSE,FALSE,FALSE,FALSE,FALSE,FALSE}</definedName>
    <definedName name="CCCCCCCCC" localSheetId="6" hidden="1">{FALSE,FALSE,1.75,1,600,351,FALSE,FALSE,TRUE,TRUE,0,30,#N/A,41,#N/A,9.57777777777778,18.9166666666667,1,FALSE,FALSE,1,TRUE,1,FALSE,100,"Swvu.As._.Is._.Value.","ACwvu.As._.Is._.Value.",1,FALSE,FALSE,1,1,1,1,1,"","",FALSE,FALSE,FALSE,FALSE,1,#N/A,1,1,FALSE,FALSE,FALSE,FALSE,FALSE,FALSE}</definedName>
    <definedName name="CCCCCCCCC" hidden="1">{FALSE,FALSE,1.75,1,600,351,FALSE,FALSE,TRUE,TRUE,0,30,#N/A,41,#N/A,9.57777777777778,18.9166666666667,1,FALSE,FALSE,1,TRUE,1,FALSE,100,"Swvu.As._.Is._.Value.","ACwvu.As._.Is._.Value.",1,FALSE,FALSE,1,1,1,1,1,"","",FALSE,FALSE,FALSE,FALSE,1,#N/A,1,1,FALSE,FALSE,FALSE,FALSE,FALSE,FALSE}</definedName>
    <definedName name="ccs" localSheetId="4" hidden="1">{#N/A,#N/A,FALSE,"Chart 2 by Prop Type"}</definedName>
    <definedName name="ccs" localSheetId="8" hidden="1">{#N/A,#N/A,FALSE,"Chart 2 by Prop Type"}</definedName>
    <definedName name="ccs" localSheetId="6" hidden="1">{#N/A,#N/A,FALSE,"Chart 2 by Prop Type"}</definedName>
    <definedName name="ccs" hidden="1">{#N/A,#N/A,FALSE,"Chart 2 by Prop Type"}</definedName>
    <definedName name="celda" localSheetId="8">#REF!</definedName>
    <definedName name="celda">#REF!</definedName>
    <definedName name="CF_Out_USD" localSheetId="2">#REF!</definedName>
    <definedName name="CF_Out_USD" localSheetId="4">#REF!</definedName>
    <definedName name="CF_Out_USD" localSheetId="8">#REF!</definedName>
    <definedName name="CF_Out_USD">#REF!</definedName>
    <definedName name="cfgcfg" localSheetId="4" hidden="1">{#N/A,#N/A,FALSE,"CCC Variance";#N/A,#N/A,FALSE,"CCC Notes"}</definedName>
    <definedName name="cfgcfg" localSheetId="8" hidden="1">{#N/A,#N/A,FALSE,"CCC Variance";#N/A,#N/A,FALSE,"CCC Notes"}</definedName>
    <definedName name="cfgcfg" localSheetId="6" hidden="1">{#N/A,#N/A,FALSE,"CCC Variance";#N/A,#N/A,FALSE,"CCC Notes"}</definedName>
    <definedName name="cfgcfg" hidden="1">{#N/A,#N/A,FALSE,"CCC Variance";#N/A,#N/A,FALSE,"CCC Notes"}</definedName>
    <definedName name="cfgjcfgh" localSheetId="4" hidden="1">{#N/A,#N/A,FALSE,"Common Area Accrual";#N/A,#N/A,FALSE,"Unit One LaSalle";#N/A,#N/A,FALSE,"Unit One CW";#N/A,#N/A,FALSE,"Unit One LaSalle + C &amp; W";#N/A,#N/A,FALSE,"Consolidated Accrual"}</definedName>
    <definedName name="cfgjcfgh" localSheetId="8" hidden="1">{#N/A,#N/A,FALSE,"Common Area Accrual";#N/A,#N/A,FALSE,"Unit One LaSalle";#N/A,#N/A,FALSE,"Unit One CW";#N/A,#N/A,FALSE,"Unit One LaSalle + C &amp; W";#N/A,#N/A,FALSE,"Consolidated Accrual"}</definedName>
    <definedName name="cfgjcfgh" localSheetId="6" hidden="1">{#N/A,#N/A,FALSE,"Common Area Accrual";#N/A,#N/A,FALSE,"Unit One LaSalle";#N/A,#N/A,FALSE,"Unit One CW";#N/A,#N/A,FALSE,"Unit One LaSalle + C &amp; W";#N/A,#N/A,FALSE,"Consolidated Accrual"}</definedName>
    <definedName name="cfgjcfgh" hidden="1">{#N/A,#N/A,FALSE,"Common Area Accrual";#N/A,#N/A,FALSE,"Unit One LaSalle";#N/A,#N/A,FALSE,"Unit One CW";#N/A,#N/A,FALSE,"Unit One LaSalle + C &amp; W";#N/A,#N/A,FALSE,"Consolidated Accrual"}</definedName>
    <definedName name="ChangeRange" localSheetId="2" hidden="1">[38]!ChangeRange</definedName>
    <definedName name="ChangeRange" localSheetId="8" hidden="1">[38]!ChangeRange</definedName>
    <definedName name="ChangeRange" hidden="1">[38]!ChangeRange</definedName>
    <definedName name="chart">"Chart 1"</definedName>
    <definedName name="CIQWBGuid" localSheetId="0" hidden="1">"3bbb74f9-2f79-4bdf-b600-5d6c8584aefc"</definedName>
    <definedName name="CIQWBGuid" hidden="1">"6fde976b-0d26-4a4f-ac87-027622f618ba"</definedName>
    <definedName name="circ" localSheetId="4">[39]GenAss!$E$13</definedName>
    <definedName name="circ" localSheetId="8">[40]Coinv_Waterfall!$F$5</definedName>
    <definedName name="circ" localSheetId="6">[41]GenAss!$E$13</definedName>
    <definedName name="circ">#REF!</definedName>
    <definedName name="coin" localSheetId="2">#REF!</definedName>
    <definedName name="coin" localSheetId="4">#REF!</definedName>
    <definedName name="coin" localSheetId="8">'[42]CIV Waterfall'!$D$10</definedName>
    <definedName name="coin">#REF!</definedName>
    <definedName name="COL1STYR">7</definedName>
    <definedName name="ColDiff" localSheetId="4">COLUMN()-COL1STYR</definedName>
    <definedName name="ColDiff" localSheetId="6">COLUMN()-COL1STYR</definedName>
    <definedName name="ColDiff">COLUMN()-COL1STYR</definedName>
    <definedName name="ComCode">"025"</definedName>
    <definedName name="Comp1Seg1">"Check Box 1"</definedName>
    <definedName name="Comparable" localSheetId="8" hidden="1">{"First Page",#N/A,FALSE,"Surfactants LBO";"Second Page",#N/A,FALSE,"Surfactants LBO"}</definedName>
    <definedName name="Comparable" hidden="1">{"First Page",#N/A,FALSE,"Surfactants LBO";"Second Page",#N/A,FALSE,"Surfactants LBO"}</definedName>
    <definedName name="COMPARISON" localSheetId="2">#REF!</definedName>
    <definedName name="COMPARISON" localSheetId="4">#REF!</definedName>
    <definedName name="COMPARISON" localSheetId="8">#REF!</definedName>
    <definedName name="COMPARISON">#REF!</definedName>
    <definedName name="Construction_Delay">[43]Sensitivities!$Q$11</definedName>
    <definedName name="consultoria" localSheetId="8" hidden="1">{#N/A,#N/A,FALSE,"Calc";#N/A,#N/A,FALSE,"Sensitivity";#N/A,#N/A,FALSE,"LT Earn.Dil.";#N/A,#N/A,FALSE,"Dil. AVP"}</definedName>
    <definedName name="consultoria" hidden="1">{#N/A,#N/A,FALSE,"Calc";#N/A,#N/A,FALSE,"Sensitivity";#N/A,#N/A,FALSE,"LT Earn.Dil.";#N/A,#N/A,FALSE,"Dil. AVP"}</definedName>
    <definedName name="COO" localSheetId="4" hidden="1">{#N/A,#N/A,FALSE,"Matrix";#N/A,#N/A,FALSE,"Cash Flow";#N/A,#N/A,FALSE,"10 Year Cost Analysis"}</definedName>
    <definedName name="COO" localSheetId="6" hidden="1">{#N/A,#N/A,FALSE,"Matrix";#N/A,#N/A,FALSE,"Cash Flow";#N/A,#N/A,FALSE,"10 Year Cost Analysis"}</definedName>
    <definedName name="COO" hidden="1">{#N/A,#N/A,FALSE,"Matrix";#N/A,#N/A,FALSE,"Cash Flow";#N/A,#N/A,FALSE,"10 Year Cost Analysis"}</definedName>
    <definedName name="cooper2" localSheetId="8" hidden="1">{#N/A,#N/A,TRUE,"Pro Forma";#N/A,#N/A,TRUE,"PF_Bal";#N/A,#N/A,TRUE,"PF_INC";#N/A,#N/A,TRUE,"CBE";#N/A,#N/A,TRUE,"SWK"}</definedName>
    <definedName name="cooper2" hidden="1">{#N/A,#N/A,TRUE,"Pro Forma";#N/A,#N/A,TRUE,"PF_Bal";#N/A,#N/A,TRUE,"PF_INC";#N/A,#N/A,TRUE,"CBE";#N/A,#N/A,TRUE,"SWK"}</definedName>
    <definedName name="copia" localSheetId="8" hidden="1">{"CONSEJO",#N/A,FALSE,"Dist p0";"CONSEJO",#N/A,FALSE,"Ficha CODICE"}</definedName>
    <definedName name="copia" hidden="1">{"CONSEJO",#N/A,FALSE,"Dist p0";"CONSEJO",#N/A,FALSE,"Ficha CODICE"}</definedName>
    <definedName name="copyall" localSheetId="4" hidden="1">{"Main",#N/A,FALSE,"Wacker";"Main2",#N/A,FALSE,"Wacker";"Value",#N/A,FALSE,"Wacker";"Sensitivity",#N/A,FALSE,"Wacker";"Paine",#N/A,FALSE,"Wacker";"Quaker",#N/A,FALSE,"Wacker";"Wacker",#N/A,FALSE,"Wacker";"1900",#N/A,FALSE,"Wacker";"1901",#N/A,FALSE,"Wacker"}</definedName>
    <definedName name="copyall" localSheetId="6" hidden="1">{"Main",#N/A,FALSE,"Wacker";"Main2",#N/A,FALSE,"Wacker";"Value",#N/A,FALSE,"Wacker";"Sensitivity",#N/A,FALSE,"Wacker";"Paine",#N/A,FALSE,"Wacker";"Quaker",#N/A,FALSE,"Wacker";"Wacker",#N/A,FALSE,"Wacker";"1900",#N/A,FALSE,"Wacker";"1901",#N/A,FALSE,"Wacker"}</definedName>
    <definedName name="copyall" hidden="1">{"Main",#N/A,FALSE,"Wacker";"Main2",#N/A,FALSE,"Wacker";"Value",#N/A,FALSE,"Wacker";"Sensitivity",#N/A,FALSE,"Wacker";"Paine",#N/A,FALSE,"Wacker";"Quaker",#N/A,FALSE,"Wacker";"Wacker",#N/A,FALSE,"Wacker";"1900",#N/A,FALSE,"Wacker";"1901",#N/A,FALSE,"Wacker"}</definedName>
    <definedName name="copymondayjv" localSheetId="4" hidden="1">{"View1",#N/A,FALSE,"Sheet1";"View2",#N/A,FALSE,"Sheet1"}</definedName>
    <definedName name="copymondayjv" localSheetId="6" hidden="1">{"View1",#N/A,FALSE,"Sheet1";"View2",#N/A,FALSE,"Sheet1"}</definedName>
    <definedName name="copymondayjv" hidden="1">{"View1",#N/A,FALSE,"Sheet1";"View2",#N/A,FALSE,"Sheet1"}</definedName>
    <definedName name="Cost_Overruns">[43]Sensitivities!$Q$9</definedName>
    <definedName name="Costa" localSheetId="8" hidden="1">{"ANAR",#N/A,FALSE,"Dist total";"MARGEN",#N/A,FALSE,"Dist total";"COMENTARIO",#N/A,FALSE,"Ficha CODICE";"CONSEJO",#N/A,FALSE,"Dist p0";"uno",#N/A,FALSE,"Dist total"}</definedName>
    <definedName name="Costa" hidden="1">{"ANAR",#N/A,FALSE,"Dist total";"MARGEN",#N/A,FALSE,"Dist total";"COMENTARIO",#N/A,FALSE,"Ficha CODICE";"CONSEJO",#N/A,FALSE,"Dist p0";"uno",#N/A,FALSE,"Dist total"}</definedName>
    <definedName name="Costanera" localSheetId="8" hidden="1">{"ANAR",#N/A,FALSE,"Dist total";"MARGEN",#N/A,FALSE,"Dist total";"COMENTARIO",#N/A,FALSE,"Ficha CODICE";"CONSEJO",#N/A,FALSE,"Dist p0";"uno",#N/A,FALSE,"Dist total"}</definedName>
    <definedName name="Costanera" hidden="1">{"ANAR",#N/A,FALSE,"Dist total";"MARGEN",#N/A,FALSE,"Dist total";"COMENTARIO",#N/A,FALSE,"Ficha CODICE";"CONSEJO",#N/A,FALSE,"Dist p0";"uno",#N/A,FALSE,"Dist total"}</definedName>
    <definedName name="CostDetail" localSheetId="4" hidden="1">{"CF",#N/A,FALSE,"Cash Flow";"RET",#N/A,FALSE,"Returns";"NPV",#N/A,FALSE,"Values";"ASMPT",#N/A,FALSE,"Assumptions"}</definedName>
    <definedName name="CostDetail" localSheetId="6" hidden="1">{"CF",#N/A,FALSE,"Cash Flow";"RET",#N/A,FALSE,"Returns";"NPV",#N/A,FALSE,"Values";"ASMPT",#N/A,FALSE,"Assumptions"}</definedName>
    <definedName name="CostDetail" hidden="1">{"CF",#N/A,FALSE,"Cash Flow";"RET",#N/A,FALSE,"Returns";"NPV",#N/A,FALSE,"Values";"ASMPT",#N/A,FALSE,"Assumptions"}</definedName>
    <definedName name="CostsDetail" localSheetId="4" hidden="1">{"CF",#N/A,FALSE,"Cash Flow";"RET",#N/A,FALSE,"Returns";"NPV",#N/A,FALSE,"Values";"ASMPT",#N/A,FALSE,"Assumptions"}</definedName>
    <definedName name="CostsDetail" localSheetId="6" hidden="1">{"CF",#N/A,FALSE,"Cash Flow";"RET",#N/A,FALSE,"Returns";"NPV",#N/A,FALSE,"Values";"ASMPT",#N/A,FALSE,"Assumptions"}</definedName>
    <definedName name="CostsDetail" hidden="1">{"CF",#N/A,FALSE,"Cash Flow";"RET",#N/A,FALSE,"Returns";"NPV",#N/A,FALSE,"Values";"ASMPT",#N/A,FALSE,"Assumptions"}</definedName>
    <definedName name="CPIMAyo1" localSheetId="4" hidden="1">{"Zone1",#N/A,FALSE,"Parameters";"Zone2",#N/A,FALSE,"Parameters"}</definedName>
    <definedName name="CPIMAyo1" localSheetId="8" hidden="1">{"Zone1",#N/A,FALSE,"Parameters";"Zone2",#N/A,FALSE,"Parameters"}</definedName>
    <definedName name="CPIMAyo1" localSheetId="6" hidden="1">{"Zone1",#N/A,FALSE,"Parameters";"Zone2",#N/A,FALSE,"Parameters"}</definedName>
    <definedName name="CPIMAyo1" hidden="1">{"Zone1",#N/A,FALSE,"Parameters";"Zone2",#N/A,FALSE,"Parameters"}</definedName>
    <definedName name="crap" localSheetId="4" hidden="1">{"CF",#N/A,FALSE,"Cash Flow";"RET",#N/A,FALSE,"Returns";"NPV",#N/A,FALSE,"Values";"ASMPT",#N/A,FALSE,"Assumptions"}</definedName>
    <definedName name="crap" localSheetId="6" hidden="1">{"CF",#N/A,FALSE,"Cash Flow";"RET",#N/A,FALSE,"Returns";"NPV",#N/A,FALSE,"Values";"ASMPT",#N/A,FALSE,"Assumptions"}</definedName>
    <definedName name="crap" hidden="1">{"CF",#N/A,FALSE,"Cash Flow";"RET",#N/A,FALSE,"Returns";"NPV",#N/A,FALSE,"Values";"ASMPT",#N/A,FALSE,"Assumptions"}</definedName>
    <definedName name="csDesignMode">1</definedName>
    <definedName name="cSum">9</definedName>
    <definedName name="cualquiera" localSheetId="8" hidden="1">{"uno",#N/A,FALSE,"Dist total";"COMENTARIO",#N/A,FALSE,"Ficha CODICE"}</definedName>
    <definedName name="cualquiera" hidden="1">{"uno",#N/A,FALSE,"Dist total";"COMENTARIO",#N/A,FALSE,"Ficha CODICE"}</definedName>
    <definedName name="cuenta" localSheetId="8" hidden="1">{"CONSEJO",#N/A,FALSE,"Dist p0";"CONSEJO",#N/A,FALSE,"Ficha CODICE"}</definedName>
    <definedName name="cuenta" hidden="1">{"CONSEJO",#N/A,FALSE,"Dist p0";"CONSEJO",#N/A,FALSE,"Ficha CODICE"}</definedName>
    <definedName name="CURRENT" localSheetId="2">#REF!</definedName>
    <definedName name="CURRENT" localSheetId="4">#REF!</definedName>
    <definedName name="CURRENT" localSheetId="8">#REF!</definedName>
    <definedName name="CURRENT">#REF!</definedName>
    <definedName name="cv" localSheetId="2" hidden="1">[21]Max_D._Set_2002!#REF!</definedName>
    <definedName name="cv" localSheetId="8" hidden="1">[21]Max_D._Set_2002!#REF!</definedName>
    <definedName name="cv" hidden="1">[21]Max_D._Set_2002!#REF!</definedName>
    <definedName name="cv_05073" localSheetId="2" hidden="1">[21]Max_D._Set_2002!#REF!</definedName>
    <definedName name="cv_05073" localSheetId="8" hidden="1">[21]Max_D._Set_2002!#REF!</definedName>
    <definedName name="cv_05073" hidden="1">[21]Max_D._Set_2002!#REF!</definedName>
    <definedName name="Cwvu.annual." localSheetId="2" hidden="1">#REF!,#REF!,#REF!,#REF!,#REF!,#REF!,#REF!,#REF!,#REF!,#REF!,#REF!,#REF!,#REF!,#REF!,#REF!,#REF!,#REF!,#REF!,#REF!,#REF!,#REF!,#REF!,#REF!,#REF!</definedName>
    <definedName name="Cwvu.annual." localSheetId="4" hidden="1">#REF!,#REF!,#REF!,#REF!,#REF!,#REF!,#REF!,#REF!,#REF!,#REF!,#REF!,#REF!,#REF!,#REF!,#REF!,#REF!,#REF!,#REF!,#REF!,#REF!,#REF!,#REF!,#REF!,#REF!</definedName>
    <definedName name="Cwvu.annual." localSheetId="8" hidden="1">#REF!,#REF!,#REF!,#REF!,#REF!,#REF!,#REF!,#REF!,#REF!,#REF!,#REF!,#REF!,#REF!,#REF!,#REF!,#REF!,#REF!,#REF!,#REF!,#REF!,#REF!,#REF!,#REF!,#REF!</definedName>
    <definedName name="Cwvu.annual." localSheetId="6" hidden="1">#REF!,#REF!,#REF!,#REF!,#REF!,#REF!,#REF!,#REF!,#REF!,#REF!,#REF!,#REF!,#REF!,#REF!,#REF!,#REF!,#REF!,#REF!,#REF!,#REF!,#REF!,#REF!,#REF!,#REF!</definedName>
    <definedName name="Cwvu.annual." hidden="1">#REF!,#REF!,#REF!,#REF!,#REF!,#REF!,#REF!,#REF!,#REF!,#REF!,#REF!,#REF!,#REF!,#REF!,#REF!,#REF!,#REF!,#REF!,#REF!,#REF!,#REF!,#REF!,#REF!,#REF!</definedName>
    <definedName name="Cwvu.annual._.hotel." localSheetId="2"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definedName>
    <definedName name="Cwvu.annual._.hotel." localSheetId="4"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definedName>
    <definedName name="Cwvu.annual._.hotel." localSheetId="8"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definedName>
    <definedName name="Cwvu.annual._.hotel." localSheetId="6"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definedName>
    <definedName name="Cwvu.annual._.hotel."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definedName>
    <definedName name="Cwvu.bottom._.line." localSheetId="2"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[32]development!#REF!,[32]development!#REF!,[32]development!#REF!</definedName>
    <definedName name="Cwvu.bottom._.line." localSheetId="4"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[32]development!#REF!,[32]development!#REF!,[32]development!#REF!</definedName>
    <definedName name="Cwvu.bottom._.line." localSheetId="8"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[32]development!#REF!,[32]development!#REF!,[32]development!#REF!</definedName>
    <definedName name="Cwvu.bottom._.line." localSheetId="6"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[32]development!#REF!,[32]development!#REF!,[32]development!#REF!</definedName>
    <definedName name="Cwvu.bottom._.line." hidden="1">[32]development!$16:$16,[32]development!$21:$21,[32]development!#REF!,[32]development!#REF!,[32]development!$36:$36,[32]development!$46:$46,[32]development!#REF!,[32]development!#REF!,[32]development!#REF!,[32]development!#REF!,[32]development!#REF!,[32]development!#REF!,[32]development!#REF!,[32]development!#REF!,[32]development!#REF!,[32]development!$89:$89,[32]development!#REF!,[32]development!#REF!,[32]development!#REF!,[32]development!#REF!,[32]development!#REF!,[32]development!#REF!</definedName>
    <definedName name="Cwvu.cash._.flow." localSheetId="2" hidden="1">#REF!,#REF!,#REF!,#REF!,#REF!,#REF!,#REF!,#REF!,#REF!,#REF!,#REF!,#REF!,#REF!,#REF!,#REF!,#REF!,#REF!,#REF!,#REF!,#REF!,#REF!,#REF!,#REF!,#REF!,#REF!,#REF!,#REF!,#REF!,#REF!,#REF!,#REF!,#REF!,#REF!,#REF!,#REF!,#REF!,#REF!,#REF!,#REF!,#REF!,#REF!</definedName>
    <definedName name="Cwvu.cash._.flow." localSheetId="4" hidden="1">#REF!,#REF!,#REF!,#REF!,#REF!,#REF!,#REF!,#REF!,#REF!,#REF!,#REF!,#REF!,#REF!,#REF!,#REF!,#REF!,#REF!,#REF!,#REF!,#REF!,#REF!,#REF!,#REF!,#REF!,#REF!,#REF!,#REF!,#REF!,#REF!,#REF!,#REF!,#REF!,#REF!,#REF!,#REF!,#REF!,#REF!,#REF!,#REF!,#REF!,#REF!</definedName>
    <definedName name="Cwvu.cash._.flow." localSheetId="8" hidden="1">#REF!,#REF!,#REF!,#REF!,#REF!,#REF!,#REF!,#REF!,#REF!,#REF!,#REF!,#REF!,#REF!,#REF!,#REF!,#REF!,#REF!,#REF!,#REF!,#REF!,#REF!,#REF!,#REF!,#REF!,#REF!,#REF!,#REF!,#REF!,#REF!,#REF!,#REF!,#REF!,#REF!,#REF!,#REF!,#REF!,#REF!,#REF!,#REF!,#REF!,#REF!</definedName>
    <definedName name="Cwvu.cash._.flow." localSheetId="6" hidden="1">#REF!,#REF!,#REF!,#REF!,#REF!,#REF!,#REF!,#REF!,#REF!,#REF!,#REF!,#REF!,#REF!,#REF!,#REF!,#REF!,#REF!,#REF!,#REF!,#REF!,#REF!,#REF!,#REF!,#REF!,#REF!,#REF!,#REF!,#REF!,#REF!,#REF!,#REF!,#REF!,#REF!,#REF!,#REF!,#REF!,#REF!,#REF!,#REF!,#REF!,#REF!</definedName>
    <definedName name="Cwvu.cash._.flow." hidden="1">#REF!,#REF!,#REF!,#REF!,#REF!,#REF!,#REF!,#REF!,#REF!,#REF!,#REF!,#REF!,#REF!,#REF!,#REF!,#REF!,#REF!,#REF!,#REF!,#REF!,#REF!,#REF!,#REF!,#REF!,#REF!,#REF!,#REF!,#REF!,#REF!,#REF!,#REF!,#REF!,#REF!,#REF!,#REF!,#REF!,#REF!,#REF!,#REF!,#REF!,#REF!</definedName>
    <definedName name="Cwvu.combo." localSheetId="2" hidden="1">[32]development!$16:$16,[32]development!$21:$21,[32]development!#REF!,[32]development!#REF!,[32]development!$36:$36,[32]development!$46:$46,[32]development!#REF!,[32]development!#REF!,[32]development!#REF!,[32]development!#REF!,[32]development!#REF!,[32]development!#REF!,[32]development!#REF!,[32]development!#REF!,[32]development!#REF!,[32]development!$85:$85,[32]development!$89:$89,[32]development!$91:$91,[32]development!#REF!,[32]development!#REF!,[32]development!#REF!,[32]development!#REF!</definedName>
    <definedName name="Cwvu.combo." localSheetId="4" hidden="1">[32]development!$16:$16,[32]development!$21:$21,[32]development!#REF!,[32]development!#REF!,[32]development!$36:$36,[32]development!$46:$46,[32]development!#REF!,[32]development!#REF!,[32]development!#REF!,[32]development!#REF!,[32]development!#REF!,[32]development!#REF!,[32]development!#REF!,[32]development!#REF!,[32]development!#REF!,[32]development!$85:$85,[32]development!$89:$89,[32]development!$91:$91,[32]development!#REF!,[32]development!#REF!,[32]development!#REF!,[32]development!#REF!</definedName>
    <definedName name="Cwvu.combo." localSheetId="8" hidden="1">[32]development!$16:$16,[32]development!$21:$21,[32]development!#REF!,[32]development!#REF!,[32]development!$36:$36,[32]development!$46:$46,[32]development!#REF!,[32]development!#REF!,[32]development!#REF!,[32]development!#REF!,[32]development!#REF!,[32]development!#REF!,[32]development!#REF!,[32]development!#REF!,[32]development!#REF!,[32]development!$85:$85,[32]development!$89:$89,[32]development!$91:$91,[32]development!#REF!,[32]development!#REF!,[32]development!#REF!,[32]development!#REF!</definedName>
    <definedName name="Cwvu.combo." localSheetId="6" hidden="1">[32]development!$16:$16,[32]development!$21:$21,[32]development!#REF!,[32]development!#REF!,[32]development!$36:$36,[32]development!$46:$46,[32]development!#REF!,[32]development!#REF!,[32]development!#REF!,[32]development!#REF!,[32]development!#REF!,[32]development!#REF!,[32]development!#REF!,[32]development!#REF!,[32]development!#REF!,[32]development!$85:$85,[32]development!$89:$89,[32]development!$91:$91,[32]development!#REF!,[32]development!#REF!,[32]development!#REF!,[32]development!#REF!</definedName>
    <definedName name="Cwvu.combo." hidden="1">[32]development!$16:$16,[32]development!$21:$21,[32]development!#REF!,[32]development!#REF!,[32]development!$36:$36,[32]development!$46:$46,[32]development!#REF!,[32]development!#REF!,[32]development!#REF!,[32]development!#REF!,[32]development!#REF!,[32]development!#REF!,[32]development!#REF!,[32]development!#REF!,[32]development!#REF!,[32]development!$85:$85,[32]development!$89:$89,[32]development!$91:$91,[32]development!#REF!,[32]development!#REF!,[32]development!#REF!,[32]development!#REF!</definedName>
    <definedName name="Cwvu.COMPRIMIDA." hidden="1">[44]P99!$A$39:$IV$82,[44]P99!$A$84:$IV$91</definedName>
    <definedName name="Cwvu.GREY_ALL." localSheetId="2" hidden="1">#REF!</definedName>
    <definedName name="Cwvu.GREY_ALL." localSheetId="8" hidden="1">#REF!</definedName>
    <definedName name="Cwvu.GREY_ALL." hidden="1">#REF!</definedName>
    <definedName name="Cwvu.STANDARD." hidden="1">[44]P99!$A$47:$IV$48,[44]P99!$A$57:$IV$58,[44]P99!$A$91:$IV$96</definedName>
    <definedName name="d" localSheetId="0" hidden="1">{"test2",#N/A,TRUE,"Prices"}</definedName>
    <definedName name="d" localSheetId="4" hidden="1">{#N/A,#N/A,FALSE,"Bennington";#N/A,#N/A,FALSE,"Castle Court";#N/A,#N/A,FALSE,"Century Hills";#N/A,#N/A,FALSE,"Edgewater Hills";#N/A,#N/A,FALSE,"Edgewater Terrace";#N/A,#N/A,FALSE,"Edgewater Village";#N/A,#N/A,FALSE,"Fairfax";#N/A,#N/A,FALSE,"Gen. Wash.";#N/A,#N/A,FALSE,"Huntington-Unfurnished";#N/A,#N/A,FALSE,"Huntington-Furnished";#N/A,#N/A,FALSE,"Iris Court";#N/A,#N/A,FALSE,"North Park";#N/A,#N/A,FALSE,"Talbot Woods";#N/A,#N/A,FALSE,"Parkview";#N/A,#N/A,FALSE,"Westgate"}</definedName>
    <definedName name="d" localSheetId="8" hidden="1">{#N/A,#N/A,FALSE,"Bennington";#N/A,#N/A,FALSE,"Castle Court";#N/A,#N/A,FALSE,"Century Hills";#N/A,#N/A,FALSE,"Edgewater Hills";#N/A,#N/A,FALSE,"Edgewater Terrace";#N/A,#N/A,FALSE,"Edgewater Village";#N/A,#N/A,FALSE,"Fairfax";#N/A,#N/A,FALSE,"Gen. Wash.";#N/A,#N/A,FALSE,"Huntington-Unfurnished";#N/A,#N/A,FALSE,"Huntington-Furnished";#N/A,#N/A,FALSE,"Iris Court";#N/A,#N/A,FALSE,"North Park";#N/A,#N/A,FALSE,"Talbot Woods";#N/A,#N/A,FALSE,"Parkview";#N/A,#N/A,FALSE,"Westgate"}</definedName>
    <definedName name="d" localSheetId="6" hidden="1">{#N/A,#N/A,FALSE,"Bennington";#N/A,#N/A,FALSE,"Castle Court";#N/A,#N/A,FALSE,"Century Hills";#N/A,#N/A,FALSE,"Edgewater Hills";#N/A,#N/A,FALSE,"Edgewater Terrace";#N/A,#N/A,FALSE,"Edgewater Village";#N/A,#N/A,FALSE,"Fairfax";#N/A,#N/A,FALSE,"Gen. Wash.";#N/A,#N/A,FALSE,"Huntington-Unfurnished";#N/A,#N/A,FALSE,"Huntington-Furnished";#N/A,#N/A,FALSE,"Iris Court";#N/A,#N/A,FALSE,"North Park";#N/A,#N/A,FALSE,"Talbot Woods";#N/A,#N/A,FALSE,"Parkview";#N/A,#N/A,FALSE,"Westgate"}</definedName>
    <definedName name="d" hidden="1">{#N/A,#N/A,FALSE,"Bennington";#N/A,#N/A,FALSE,"Castle Court";#N/A,#N/A,FALSE,"Century Hills";#N/A,#N/A,FALSE,"Edgewater Hills";#N/A,#N/A,FALSE,"Edgewater Terrace";#N/A,#N/A,FALSE,"Edgewater Village";#N/A,#N/A,FALSE,"Fairfax";#N/A,#N/A,FALSE,"Gen. Wash.";#N/A,#N/A,FALSE,"Huntington-Unfurnished";#N/A,#N/A,FALSE,"Huntington-Furnished";#N/A,#N/A,FALSE,"Iris Court";#N/A,#N/A,FALSE,"North Park";#N/A,#N/A,FALSE,"Talbot Woods";#N/A,#N/A,FALSE,"Parkview";#N/A,#N/A,FALSE,"Westgate"}</definedName>
    <definedName name="dat" localSheetId="4" hidden="1">{"data",#N/A,FALSE,"INPUT"}</definedName>
    <definedName name="dat" localSheetId="8" hidden="1">{"data",#N/A,FALSE,"INPUT"}</definedName>
    <definedName name="dat" localSheetId="6" hidden="1">{"data",#N/A,FALSE,"INPUT"}</definedName>
    <definedName name="dat" hidden="1">{"data",#N/A,FALSE,"INPUT"}</definedName>
    <definedName name="data" localSheetId="4" hidden="1">{"data",#N/A,FALSE,"INPUT"}</definedName>
    <definedName name="data" localSheetId="8" hidden="1">{"data",#N/A,FALSE,"INPUT"}</definedName>
    <definedName name="data" localSheetId="6" hidden="1">{"data",#N/A,FALSE,"INPUT"}</definedName>
    <definedName name="data" hidden="1">{"data",#N/A,FALSE,"INPUT"}</definedName>
    <definedName name="DATA_01" localSheetId="2" hidden="1">#REF!</definedName>
    <definedName name="DATA_01" localSheetId="4" hidden="1">#REF!</definedName>
    <definedName name="DATA_01" localSheetId="8" hidden="1">#REF!</definedName>
    <definedName name="DATA_01" hidden="1">#REF!</definedName>
    <definedName name="DATA_01_a" localSheetId="2" hidden="1">#REF!</definedName>
    <definedName name="DATA_01_a" localSheetId="4" hidden="1">#REF!</definedName>
    <definedName name="DATA_01_a" localSheetId="8" hidden="1">#REF!</definedName>
    <definedName name="DATA_01_a" hidden="1">#REF!</definedName>
    <definedName name="data1" localSheetId="4" hidden="1">{"data",#N/A,FALSE,"INPUT"}</definedName>
    <definedName name="data1" localSheetId="8" hidden="1">{"data",#N/A,FALSE,"INPUT"}</definedName>
    <definedName name="data1" localSheetId="6" hidden="1">{"data",#N/A,FALSE,"INPUT"}</definedName>
    <definedName name="data1" hidden="1">{"data",#N/A,FALSE,"INPUT"}</definedName>
    <definedName name="data14" localSheetId="4" hidden="1">{"data",#N/A,FALSE,"INPUT"}</definedName>
    <definedName name="data14" localSheetId="8" hidden="1">{"data",#N/A,FALSE,"INPUT"}</definedName>
    <definedName name="data14" localSheetId="6" hidden="1">{"data",#N/A,FALSE,"INPUT"}</definedName>
    <definedName name="data14" hidden="1">{"data",#N/A,FALSE,"INPUT"}</definedName>
    <definedName name="data2" localSheetId="4" hidden="1">{"data",#N/A,FALSE,"INPUT"}</definedName>
    <definedName name="data2" localSheetId="8" hidden="1">{"data",#N/A,FALSE,"INPUT"}</definedName>
    <definedName name="data2" localSheetId="6" hidden="1">{"data",#N/A,FALSE,"INPUT"}</definedName>
    <definedName name="data2" hidden="1">{"data",#N/A,FALSE,"INPUT"}</definedName>
    <definedName name="data3" localSheetId="4" hidden="1">{"data",#N/A,FALSE,"INPUT"}</definedName>
    <definedName name="data3" localSheetId="8" hidden="1">{"data",#N/A,FALSE,"INPUT"}</definedName>
    <definedName name="data3" localSheetId="6" hidden="1">{"data",#N/A,FALSE,"INPUT"}</definedName>
    <definedName name="data3" hidden="1">{"data",#N/A,FALSE,"INPUT"}</definedName>
    <definedName name="dataerror" localSheetId="4" hidden="1">{"data",#N/A,FALSE,"INPUT"}</definedName>
    <definedName name="dataerror" localSheetId="8" hidden="1">{"data",#N/A,FALSE,"INPUT"}</definedName>
    <definedName name="dataerror" localSheetId="6" hidden="1">{"data",#N/A,FALSE,"INPUT"}</definedName>
    <definedName name="dataerror" hidden="1">{"data",#N/A,FALSE,"INPUT"}</definedName>
    <definedName name="dc" localSheetId="2" hidden="1">#REF!</definedName>
    <definedName name="dc" localSheetId="4" hidden="1">#REF!</definedName>
    <definedName name="dc" localSheetId="8" hidden="1">#REF!</definedName>
    <definedName name="dc" hidden="1">#REF!</definedName>
    <definedName name="dd" localSheetId="4" hidden="1">{"CF",#N/A,FALSE,"Cash Flow";"RET",#N/A,FALSE,"Returns";"NPV",#N/A,FALSE,"Values";"ASMPT",#N/A,FALSE,"Assumptions"}</definedName>
    <definedName name="dd" localSheetId="6" hidden="1">{"CF",#N/A,FALSE,"Cash Flow";"RET",#N/A,FALSE,"Returns";"NPV",#N/A,FALSE,"Values";"ASMPT",#N/A,FALSE,"Assumptions"}</definedName>
    <definedName name="dd" hidden="1">{"CF",#N/A,FALSE,"Cash Flow";"RET",#N/A,FALSE,"Returns";"NPV",#N/A,FALSE,"Values";"ASMPT",#N/A,FALSE,"Assumptions"}</definedName>
    <definedName name="ddd" localSheetId="0" hidden="1">{#N/A,#N/A,FALSE,"Calc";#N/A,#N/A,FALSE,"Sensitivity";#N/A,#N/A,FALSE,"LT Earn.Dil.";#N/A,#N/A,FALSE,"Dil. AVP"}</definedName>
    <definedName name="ddd" localSheetId="4" hidden="1">{#N/A,#N/A,FALSE,"ACQ";#N/A,#N/A,FALSE,"ASSUMP";#N/A,#N/A,FALSE,"CASH FLOW";#N/A,#N/A,FALSE,"SALE";#N/A,#N/A,FALSE,"TIS";#N/A,#N/A,FALSE,"RENT ROLL"}</definedName>
    <definedName name="ddd" localSheetId="8" hidden="1">{#N/A,#N/A,FALSE,"ACQ";#N/A,#N/A,FALSE,"ASSUMP";#N/A,#N/A,FALSE,"CASH FLOW";#N/A,#N/A,FALSE,"SALE";#N/A,#N/A,FALSE,"TIS";#N/A,#N/A,FALSE,"RENT ROLL"}</definedName>
    <definedName name="ddd" localSheetId="6" hidden="1">{#N/A,#N/A,FALSE,"ACQ";#N/A,#N/A,FALSE,"ASSUMP";#N/A,#N/A,FALSE,"CASH FLOW";#N/A,#N/A,FALSE,"SALE";#N/A,#N/A,FALSE,"TIS";#N/A,#N/A,FALSE,"RENT ROLL"}</definedName>
    <definedName name="ddd" hidden="1">{#N/A,#N/A,FALSE,"ACQ";#N/A,#N/A,FALSE,"ASSUMP";#N/A,#N/A,FALSE,"CASH FLOW";#N/A,#N/A,FALSE,"SALE";#N/A,#N/A,FALSE,"TIS";#N/A,#N/A,FALSE,"RENT ROLL"}</definedName>
    <definedName name="dddd" localSheetId="8" hidden="1">{"ANAR",#N/A,FALSE,"Dist total";"MARGEN",#N/A,FALSE,"Dist total";"COMENTARIO",#N/A,FALSE,"Ficha CODICE";"CONSEJO",#N/A,FALSE,"Dist p0";"uno",#N/A,FALSE,"Dist total"}</definedName>
    <definedName name="dddd" hidden="1">{"ANAR",#N/A,FALSE,"Dist total";"MARGEN",#N/A,FALSE,"Dist total";"COMENTARIO",#N/A,FALSE,"Ficha CODICE";"CONSEJO",#N/A,FALSE,"Dist p0";"uno",#N/A,FALSE,"Dist total"}</definedName>
    <definedName name="dddddd" localSheetId="4" hidden="1">{#N/A,#N/A,FALSE,"CAPREIT"}</definedName>
    <definedName name="dddddd" localSheetId="8" hidden="1">{#N/A,#N/A,FALSE,"CAPREIT"}</definedName>
    <definedName name="dddddd" localSheetId="6" hidden="1">{#N/A,#N/A,FALSE,"CAPREIT"}</definedName>
    <definedName name="dddddd" hidden="1">{#N/A,#N/A,FALSE,"CAPREIT"}</definedName>
    <definedName name="dddddd2" localSheetId="4" hidden="1">{#N/A,#N/A,FALSE,"CAPREIT"}</definedName>
    <definedName name="dddddd2" localSheetId="6" hidden="1">{#N/A,#N/A,FALSE,"CAPREIT"}</definedName>
    <definedName name="dddddd2" hidden="1">{#N/A,#N/A,FALSE,"CAPREIT"}</definedName>
    <definedName name="ddddddd" localSheetId="0" hidden="1">{"ANAR",#N/A,FALSE,"Dist total";"MARGEN",#N/A,FALSE,"Dist total";"COMENTARIO",#N/A,FALSE,"Ficha CODICE";"CONSEJO",#N/A,FALSE,"Dist p0";"uno",#N/A,FALSE,"Dist total"}</definedName>
    <definedName name="ddddddd" localSheetId="4" hidden="1">{#N/A,#N/A,FALSE,"CAPREIT"}</definedName>
    <definedName name="ddddddd" localSheetId="8" hidden="1">{#N/A,#N/A,FALSE,"CAPREIT"}</definedName>
    <definedName name="ddddddd" localSheetId="6" hidden="1">{#N/A,#N/A,FALSE,"CAPREIT"}</definedName>
    <definedName name="ddddddd" hidden="1">{#N/A,#N/A,FALSE,"CAPREIT"}</definedName>
    <definedName name="ddddddd2" localSheetId="4" hidden="1">{#N/A,#N/A,FALSE,"CAPREIT"}</definedName>
    <definedName name="ddddddd2" localSheetId="6" hidden="1">{#N/A,#N/A,FALSE,"CAPREIT"}</definedName>
    <definedName name="ddddddd2" hidden="1">{#N/A,#N/A,FALSE,"CAPREIT"}</definedName>
    <definedName name="dddddddddddddddddddddddddddd" localSheetId="4" hidden="1">{#N/A,#N/A,FALSE,"A";#N/A,#N/A,FALSE,"C"}</definedName>
    <definedName name="dddddddddddddddddddddddddddd" localSheetId="8" hidden="1">{#N/A,#N/A,FALSE,"A";#N/A,#N/A,FALSE,"C"}</definedName>
    <definedName name="dddddddddddddddddddddddddddd" localSheetId="6" hidden="1">{#N/A,#N/A,FALSE,"A";#N/A,#N/A,FALSE,"C"}</definedName>
    <definedName name="dddddddddddddddddddddddddddd" hidden="1">{#N/A,#N/A,FALSE,"A";#N/A,#N/A,FALSE,"C"}</definedName>
    <definedName name="de" localSheetId="8" hidden="1">{"comp1",#N/A,FALSE,"COMPS";"footnotes",#N/A,FALSE,"COMPS"}</definedName>
    <definedName name="de" hidden="1">{"comp1",#N/A,FALSE,"COMPS";"footnotes",#N/A,FALSE,"COMPS"}</definedName>
    <definedName name="dede" localSheetId="8" hidden="1">{"comp1",#N/A,FALSE,"COMPS";"footnotes",#N/A,FALSE,"COMPS"}</definedName>
    <definedName name="dede" hidden="1">{"comp1",#N/A,FALSE,"COMPS";"footnotes",#N/A,FALSE,"COMPS"}</definedName>
    <definedName name="del" localSheetId="4" hidden="1">{"Page1",#N/A,FALSE,"7979";"Page2",#N/A,FALSE,"7979";"Page3",#N/A,FALSE,"7979"}</definedName>
    <definedName name="del" localSheetId="8" hidden="1">{"Page1",#N/A,FALSE,"7979";"Page2",#N/A,FALSE,"7979";"Page3",#N/A,FALSE,"7979"}</definedName>
    <definedName name="del" localSheetId="6" hidden="1">{"Page1",#N/A,FALSE,"7979";"Page2",#N/A,FALSE,"7979";"Page3",#N/A,FALSE,"7979"}</definedName>
    <definedName name="del" hidden="1">{"Page1",#N/A,FALSE,"7979";"Page2",#N/A,FALSE,"7979";"Page3",#N/A,FALSE,"7979"}</definedName>
    <definedName name="DELME" localSheetId="4" hidden="1">{#N/A,#N/A,FALSE,"A";#N/A,#N/A,FALSE,"C"}</definedName>
    <definedName name="DELME" localSheetId="8" hidden="1">{#N/A,#N/A,FALSE,"A";#N/A,#N/A,FALSE,"C"}</definedName>
    <definedName name="DELME" localSheetId="6" hidden="1">{#N/A,#N/A,FALSE,"A";#N/A,#N/A,FALSE,"C"}</definedName>
    <definedName name="DELME" hidden="1">{#N/A,#N/A,FALSE,"A";#N/A,#N/A,FALSE,"C"}</definedName>
    <definedName name="DELME_condo" localSheetId="4" hidden="1">{#N/A,#N/A,FALSE,"A";#N/A,#N/A,FALSE,"C"}</definedName>
    <definedName name="DELME_condo" localSheetId="8" hidden="1">{#N/A,#N/A,FALSE,"A";#N/A,#N/A,FALSE,"C"}</definedName>
    <definedName name="DELME_condo" localSheetId="6" hidden="1">{#N/A,#N/A,FALSE,"A";#N/A,#N/A,FALSE,"C"}</definedName>
    <definedName name="DELME_condo" hidden="1">{#N/A,#N/A,FALSE,"A";#N/A,#N/A,FALSE,"C"}</definedName>
    <definedName name="DELME2" localSheetId="4"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 localSheetId="8"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 localSheetId="6"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_Condo" localSheetId="4"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_Condo" localSheetId="8"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_Condo" localSheetId="6"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2_Condo"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DELME3" localSheetId="4" hidden="1">{#N/A,#N/A,FALSE,"Common Area Accrual";#N/A,#N/A,FALSE,"Unit One LaSalle";#N/A,#N/A,FALSE,"Unit One CW";#N/A,#N/A,FALSE,"Unit One LaSallle + C &amp; W";#N/A,#N/A,FALSE,"Consolidated Accrual"}</definedName>
    <definedName name="DELME3" localSheetId="8" hidden="1">{#N/A,#N/A,FALSE,"Common Area Accrual";#N/A,#N/A,FALSE,"Unit One LaSalle";#N/A,#N/A,FALSE,"Unit One CW";#N/A,#N/A,FALSE,"Unit One LaSallle + C &amp; W";#N/A,#N/A,FALSE,"Consolidated Accrual"}</definedName>
    <definedName name="DELME3" localSheetId="6" hidden="1">{#N/A,#N/A,FALSE,"Common Area Accrual";#N/A,#N/A,FALSE,"Unit One LaSalle";#N/A,#N/A,FALSE,"Unit One CW";#N/A,#N/A,FALSE,"Unit One LaSallle + C &amp; W";#N/A,#N/A,FALSE,"Consolidated Accrual"}</definedName>
    <definedName name="DELME3" hidden="1">{#N/A,#N/A,FALSE,"Common Area Accrual";#N/A,#N/A,FALSE,"Unit One LaSalle";#N/A,#N/A,FALSE,"Unit One CW";#N/A,#N/A,FALSE,"Unit One LaSallle + C &amp; W";#N/A,#N/A,FALSE,"Consolidated Accrual"}</definedName>
    <definedName name="DELME3_Condo" localSheetId="4" hidden="1">{#N/A,#N/A,FALSE,"Common Area Accrual";#N/A,#N/A,FALSE,"Unit One LaSalle";#N/A,#N/A,FALSE,"Unit One CW";#N/A,#N/A,FALSE,"Unit One LaSallle + C &amp; W";#N/A,#N/A,FALSE,"Consolidated Accrual"}</definedName>
    <definedName name="DELME3_Condo" localSheetId="8" hidden="1">{#N/A,#N/A,FALSE,"Common Area Accrual";#N/A,#N/A,FALSE,"Unit One LaSalle";#N/A,#N/A,FALSE,"Unit One CW";#N/A,#N/A,FALSE,"Unit One LaSallle + C &amp; W";#N/A,#N/A,FALSE,"Consolidated Accrual"}</definedName>
    <definedName name="DELME3_Condo" localSheetId="6" hidden="1">{#N/A,#N/A,FALSE,"Common Area Accrual";#N/A,#N/A,FALSE,"Unit One LaSalle";#N/A,#N/A,FALSE,"Unit One CW";#N/A,#N/A,FALSE,"Unit One LaSallle + C &amp; W";#N/A,#N/A,FALSE,"Consolidated Accrual"}</definedName>
    <definedName name="DELME3_Condo" hidden="1">{#N/A,#N/A,FALSE,"Common Area Accrual";#N/A,#N/A,FALSE,"Unit One LaSalle";#N/A,#N/A,FALSE,"Unit One CW";#N/A,#N/A,FALSE,"Unit One LaSallle + C &amp; W";#N/A,#N/A,FALSE,"Consolidated Accrual"}</definedName>
    <definedName name="DELME4" localSheetId="4" hidden="1">{#N/A,#N/A,FALSE,"399 Park Var";#N/A,#N/A,FALSE,"PK NOTES"}</definedName>
    <definedName name="DELME4" localSheetId="8" hidden="1">{#N/A,#N/A,FALSE,"399 Park Var";#N/A,#N/A,FALSE,"PK NOTES"}</definedName>
    <definedName name="DELME4" localSheetId="6" hidden="1">{#N/A,#N/A,FALSE,"399 Park Var";#N/A,#N/A,FALSE,"PK NOTES"}</definedName>
    <definedName name="DELME4" hidden="1">{#N/A,#N/A,FALSE,"399 Park Var";#N/A,#N/A,FALSE,"PK NOTES"}</definedName>
    <definedName name="DELME4_Condo" localSheetId="4" hidden="1">{#N/A,#N/A,FALSE,"399 Park Var";#N/A,#N/A,FALSE,"PK NOTES"}</definedName>
    <definedName name="DELME4_Condo" localSheetId="8" hidden="1">{#N/A,#N/A,FALSE,"399 Park Var";#N/A,#N/A,FALSE,"PK NOTES"}</definedName>
    <definedName name="DELME4_Condo" localSheetId="6" hidden="1">{#N/A,#N/A,FALSE,"399 Park Var";#N/A,#N/A,FALSE,"PK NOTES"}</definedName>
    <definedName name="DELME4_Condo" hidden="1">{#N/A,#N/A,FALSE,"399 Park Var";#N/A,#N/A,FALSE,"PK NOTES"}</definedName>
    <definedName name="DELME5" localSheetId="4" hidden="1">{#N/A,#N/A,FALSE,"Expense Detail ";#N/A,#N/A,FALSE,"Worksheet";#N/A,#N/A,FALSE,"Audit";#N/A,#N/A,FALSE,"Exclusions";#N/A,#N/A,FALSE,"Variance";#N/A,#N/A,FALSE,"Reconciliation"}</definedName>
    <definedName name="DELME5" localSheetId="8" hidden="1">{#N/A,#N/A,FALSE,"Expense Detail ";#N/A,#N/A,FALSE,"Worksheet";#N/A,#N/A,FALSE,"Audit";#N/A,#N/A,FALSE,"Exclusions";#N/A,#N/A,FALSE,"Variance";#N/A,#N/A,FALSE,"Reconciliation"}</definedName>
    <definedName name="DELME5" localSheetId="6" hidden="1">{#N/A,#N/A,FALSE,"Expense Detail ";#N/A,#N/A,FALSE,"Worksheet";#N/A,#N/A,FALSE,"Audit";#N/A,#N/A,FALSE,"Exclusions";#N/A,#N/A,FALSE,"Variance";#N/A,#N/A,FALSE,"Reconciliation"}</definedName>
    <definedName name="DELME5" hidden="1">{#N/A,#N/A,FALSE,"Expense Detail ";#N/A,#N/A,FALSE,"Worksheet";#N/A,#N/A,FALSE,"Audit";#N/A,#N/A,FALSE,"Exclusions";#N/A,#N/A,FALSE,"Variance";#N/A,#N/A,FALSE,"Reconciliation"}</definedName>
    <definedName name="DELME5_Condo" localSheetId="4" hidden="1">{#N/A,#N/A,FALSE,"Expense Detail ";#N/A,#N/A,FALSE,"Worksheet";#N/A,#N/A,FALSE,"Audit";#N/A,#N/A,FALSE,"Exclusions";#N/A,#N/A,FALSE,"Variance";#N/A,#N/A,FALSE,"Reconciliation"}</definedName>
    <definedName name="DELME5_Condo" localSheetId="8" hidden="1">{#N/A,#N/A,FALSE,"Expense Detail ";#N/A,#N/A,FALSE,"Worksheet";#N/A,#N/A,FALSE,"Audit";#N/A,#N/A,FALSE,"Exclusions";#N/A,#N/A,FALSE,"Variance";#N/A,#N/A,FALSE,"Reconciliation"}</definedName>
    <definedName name="DELME5_Condo" localSheetId="6" hidden="1">{#N/A,#N/A,FALSE,"Expense Detail ";#N/A,#N/A,FALSE,"Worksheet";#N/A,#N/A,FALSE,"Audit";#N/A,#N/A,FALSE,"Exclusions";#N/A,#N/A,FALSE,"Variance";#N/A,#N/A,FALSE,"Reconciliation"}</definedName>
    <definedName name="DELME5_Condo" hidden="1">{#N/A,#N/A,FALSE,"Expense Detail ";#N/A,#N/A,FALSE,"Worksheet";#N/A,#N/A,FALSE,"Audit";#N/A,#N/A,FALSE,"Exclusions";#N/A,#N/A,FALSE,"Variance";#N/A,#N/A,FALSE,"Reconciliation"}</definedName>
    <definedName name="DELME7" localSheetId="4"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 localSheetId="8"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 localSheetId="6"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_Condo" localSheetId="4"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_Condo" localSheetId="8"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_Condo" localSheetId="6"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ME7_Condo"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Delta_NPV">[45]Assum!$G$11</definedName>
    <definedName name="DetailedCosts" localSheetId="4" hidden="1">{"CF",#N/A,FALSE,"Cash Flow";"RET",#N/A,FALSE,"Returns";"NPV",#N/A,FALSE,"Values";"ASMPT",#N/A,FALSE,"Assumptions"}</definedName>
    <definedName name="DetailedCosts" localSheetId="6" hidden="1">{"CF",#N/A,FALSE,"Cash Flow";"RET",#N/A,FALSE,"Returns";"NPV",#N/A,FALSE,"Values";"ASMPT",#N/A,FALSE,"Assumptions"}</definedName>
    <definedName name="DetailedCosts" hidden="1">{"CF",#N/A,FALSE,"Cash Flow";"RET",#N/A,FALSE,"Returns";"NPV",#N/A,FALSE,"Values";"ASMPT",#N/A,FALSE,"Assumptions"}</definedName>
    <definedName name="DevCurve">[35]Curve!$B$8:$AG$14</definedName>
    <definedName name="DevCurveIndex">[35]Curve!$B$8:$AG$8</definedName>
    <definedName name="df" localSheetId="8" hidden="1">{"definitions",#N/A,TRUE,"Definitions";"out1",#N/A,TRUE,"Valuation";"out2",#N/A,TRUE,"Valuation";"out3",#N/A,TRUE,"Valuation";"out4",#N/A,TRUE,"Valuation";"out",#N/A,TRUE,"Efficiency";"out1",#N/A,TRUE,"Growth,Margin,Rev Split";"out2",#N/A,TRUE,"Growth,Margin,Rev Split";"out1",#N/A,TRUE,"Financial Ratios";"out2",#N/A,TRUE,"Financial Ratios";"outeg",#N/A,TRUE,"Efficiency";"test1",#N/A,TRUE,"Prices";"test2",#N/A,TRUE,"Prices";"test3",#N/A,TRUE,"Prices";"test1",#N/A,TRUE,"Segments";"test2",#N/A,TRUE,"Segments";"in",#N/A,TRUE,"Country";"in",#N/A,TRUE,"Housekeeping"}</definedName>
    <definedName name="df" hidden="1">{"definitions",#N/A,TRUE,"Definitions";"out1",#N/A,TRUE,"Valuation";"out2",#N/A,TRUE,"Valuation";"out3",#N/A,TRUE,"Valuation";"out4",#N/A,TRUE,"Valuation";"out",#N/A,TRUE,"Efficiency";"out1",#N/A,TRUE,"Growth,Margin,Rev Split";"out2",#N/A,TRUE,"Growth,Margin,Rev Split";"out1",#N/A,TRUE,"Financial Ratios";"out2",#N/A,TRUE,"Financial Ratios";"outeg",#N/A,TRUE,"Efficiency";"test1",#N/A,TRUE,"Prices";"test2",#N/A,TRUE,"Prices";"test3",#N/A,TRUE,"Prices";"test1",#N/A,TRUE,"Segments";"test2",#N/A,TRUE,"Segments";"in",#N/A,TRUE,"Country";"in",#N/A,TRUE,"Housekeeping"}</definedName>
    <definedName name="dfd" localSheetId="0" hidden="1">{"comp1",#N/A,FALSE,"COMPS";"footnotes",#N/A,FALSE,"COMPS"}</definedName>
    <definedName name="dfd" localSheetId="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fd"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fd"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fd"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dff" localSheetId="4" hidden="1">{"sheet a",#N/A,FALSE,"A";"2 9 casflow",#N/A,FALSE,"B"}</definedName>
    <definedName name="dff" localSheetId="8" hidden="1">{"sheet a",#N/A,FALSE,"A";"2 9 casflow",#N/A,FALSE,"B"}</definedName>
    <definedName name="dff" localSheetId="6" hidden="1">{"sheet a",#N/A,FALSE,"A";"2 9 casflow",#N/A,FALSE,"B"}</definedName>
    <definedName name="dff" hidden="1">{"sheet a",#N/A,FALSE,"A";"2 9 casflow",#N/A,FALSE,"B"}</definedName>
    <definedName name="dfg" localSheetId="8" hidden="1">{"uno",#N/A,FALSE,"Dist total";"COMENTARIO",#N/A,FALSE,"Ficha CODICE"}</definedName>
    <definedName name="dfg" hidden="1">{"uno",#N/A,FALSE,"Dist total";"COMENTARIO",#N/A,FALSE,"Ficha CODICE"}</definedName>
    <definedName name="dfgg" localSheetId="4" hidden="1">{"sheet a",#N/A,FALSE,"A";"sheet b 1",#N/A,FALSE,"B";"sheet b 2",#N/A,FALSE,"B"}</definedName>
    <definedName name="dfgg" localSheetId="8" hidden="1">{"sheet a",#N/A,FALSE,"A";"sheet b 1",#N/A,FALSE,"B";"sheet b 2",#N/A,FALSE,"B"}</definedName>
    <definedName name="dfgg" localSheetId="6" hidden="1">{"sheet a",#N/A,FALSE,"A";"sheet b 1",#N/A,FALSE,"B";"sheet b 2",#N/A,FALSE,"B"}</definedName>
    <definedName name="dfgg" hidden="1">{"sheet a",#N/A,FALSE,"A";"sheet b 1",#N/A,FALSE,"B";"sheet b 2",#N/A,FALSE,"B"}</definedName>
    <definedName name="dog" localSheetId="4" hidden="1">{FALSE,FALSE,1.75,1,600,351,FALSE,FALSE,TRUE,TRUE,0,30,#N/A,41,#N/A,9.57777777777778,18.9166666666667,1,FALSE,FALSE,1,TRUE,1,FALSE,100,"Swvu.As._.Is._.Value.","ACwvu.As._.Is._.Value.",1,FALSE,FALSE,1,1,1,1,1,"","",FALSE,FALSE,FALSE,FALSE,1,#N/A,1,1,FALSE,FALSE,FALSE,FALSE,FALSE,FALSE}</definedName>
    <definedName name="dog" localSheetId="8" hidden="1">{FALSE,FALSE,1.75,1,600,351,FALSE,FALSE,TRUE,TRUE,0,30,#N/A,41,#N/A,9.57777777777778,18.9166666666667,1,FALSE,FALSE,1,TRUE,1,FALSE,100,"Swvu.As._.Is._.Value.","ACwvu.As._.Is._.Value.",1,FALSE,FALSE,1,1,1,1,1,"","",FALSE,FALSE,FALSE,FALSE,1,#N/A,1,1,FALSE,FALSE,FALSE,FALSE,FALSE,FALSE}</definedName>
    <definedName name="dog" localSheetId="6" hidden="1">{FALSE,FALSE,1.75,1,600,351,FALSE,FALSE,TRUE,TRUE,0,30,#N/A,41,#N/A,9.57777777777778,18.9166666666667,1,FALSE,FALSE,1,TRUE,1,FALSE,100,"Swvu.As._.Is._.Value.","ACwvu.As._.Is._.Value.",1,FALSE,FALSE,1,1,1,1,1,"","",FALSE,FALSE,FALSE,FALSE,1,#N/A,1,1,FALSE,FALSE,FALSE,FALSE,FALSE,FALSE}</definedName>
    <definedName name="dog" hidden="1">{FALSE,FALSE,1.75,1,600,351,FALSE,FALSE,TRUE,TRUE,0,30,#N/A,41,#N/A,9.57777777777778,18.9166666666667,1,FALSE,FALSE,1,TRUE,1,FALSE,100,"Swvu.As._.Is._.Value.","ACwvu.As._.Is._.Value.",1,FALSE,FALSE,1,1,1,1,1,"","",FALSE,FALSE,FALSE,FALSE,1,#N/A,1,1,FALSE,FALSE,FALSE,FALSE,FALSE,FALSE}</definedName>
    <definedName name="ds" localSheetId="4" hidden="1">{#N/A,#N/A,FALSE,"CAPREIT"}</definedName>
    <definedName name="ds" localSheetId="6" hidden="1">{#N/A,#N/A,FALSE,"CAPREIT"}</definedName>
    <definedName name="ds" hidden="1">{#N/A,#N/A,FALSE,"CAPREIT"}</definedName>
    <definedName name="dsa" localSheetId="4" hidden="1">{#N/A,#N/A,FALSE,"Chart 2 by Prop Type"}</definedName>
    <definedName name="dsa" localSheetId="8" hidden="1">{#N/A,#N/A,FALSE,"Chart 2 by Prop Type"}</definedName>
    <definedName name="dsa" localSheetId="6" hidden="1">{#N/A,#N/A,FALSE,"Chart 2 by Prop Type"}</definedName>
    <definedName name="dsa" hidden="1">{#N/A,#N/A,FALSE,"Chart 2 by Prop Type"}</definedName>
    <definedName name="dsaf" localSheetId="4" hidden="1">{#N/A,#N/A,FALSE,"ExecSum";#N/A,#N/A,FALSE,"total summary";#N/A,#N/A,FALSE,"Budget";#N/A,#N/A,FALSE,"CashFlow"}</definedName>
    <definedName name="dsaf" localSheetId="6" hidden="1">{#N/A,#N/A,FALSE,"ExecSum";#N/A,#N/A,FALSE,"total summary";#N/A,#N/A,FALSE,"Budget";#N/A,#N/A,FALSE,"CashFlow"}</definedName>
    <definedName name="dsaf" hidden="1">{#N/A,#N/A,FALSE,"ExecSum";#N/A,#N/A,FALSE,"total summary";#N/A,#N/A,FALSE,"Budget";#N/A,#N/A,FALSE,"CashFlow"}</definedName>
    <definedName name="DSS" localSheetId="4" hidden="1">{"print STAY opening assumptions",#N/A,FALSE,"STAY Openings";"print STAY openings",#N/A,FALSE,"STAY Openings"}</definedName>
    <definedName name="DSS" localSheetId="8" hidden="1">{"print STAY opening assumptions",#N/A,FALSE,"STAY Openings";"print STAY openings",#N/A,FALSE,"STAY Openings"}</definedName>
    <definedName name="DSS" localSheetId="6" hidden="1">{"print STAY opening assumptions",#N/A,FALSE,"STAY Openings";"print STAY openings",#N/A,FALSE,"STAY Openings"}</definedName>
    <definedName name="DSS" hidden="1">{"print STAY opening assumptions",#N/A,FALSE,"STAY Openings";"print STAY openings",#N/A,FALSE,"STAY Openings"}</definedName>
    <definedName name="dtu" localSheetId="8" hidden="1">{#N/A,#N/A,TRUE,"financial";#N/A,#N/A,TRUE,"plants"}</definedName>
    <definedName name="dtu" hidden="1">{#N/A,#N/A,TRUE,"financial";#N/A,#N/A,TRUE,"plants"}</definedName>
    <definedName name="e" localSheetId="8" hidden="1">{"ANAR",#N/A,FALSE,"Dist total";"MARGEN",#N/A,FALSE,"Dist total";"COMENTARIO",#N/A,FALSE,"Ficha CODICE";"CONSEJO",#N/A,FALSE,"Dist p0";"uno",#N/A,FALSE,"Dist total"}</definedName>
    <definedName name="e" hidden="1">{"ANAR",#N/A,FALSE,"Dist total";"MARGEN",#N/A,FALSE,"Dist total";"COMENTARIO",#N/A,FALSE,"Ficha CODICE";"CONSEJO",#N/A,FALSE,"Dist p0";"uno",#N/A,FALSE,"Dist total"}</definedName>
    <definedName name="ed" localSheetId="8" hidden="1">{"uno",#N/A,FALSE,"Dist total";"COMENTARIO",#N/A,FALSE,"Ficha CODICE"}</definedName>
    <definedName name="ed" hidden="1">{"uno",#N/A,FALSE,"Dist total";"COMENTARIO",#N/A,FALSE,"Ficha CODICE"}</definedName>
    <definedName name="ed5dyx" localSheetId="8" hidden="1">{#N/A,#N/A,FALSE,"CBE";#N/A,#N/A,FALSE,"SWK"}</definedName>
    <definedName name="ed5dyx" hidden="1">{#N/A,#N/A,FALSE,"CBE";#N/A,#N/A,FALSE,"SWK"}</definedName>
    <definedName name="edp" localSheetId="8" hidden="1">{"assumption 50 50",#N/A,TRUE,"Merger";"has gets cash",#N/A,TRUE,"Merger";"accretion dilution",#N/A,TRUE,"Merger";"comparison credit stats",#N/A,TRUE,"Merger";"pf credit stats",#N/A,TRUE,"Merger";"pf sheets",#N/A,TRUE,"Merger"}</definedName>
    <definedName name="edp" hidden="1">{"assumption 50 50",#N/A,TRUE,"Merger";"has gets cash",#N/A,TRUE,"Merger";"accretion dilution",#N/A,TRUE,"Merger";"comparison credit stats",#N/A,TRUE,"Merger";"pf credit stats",#N/A,TRUE,"Merger";"pf sheets",#N/A,TRUE,"Merger"}</definedName>
    <definedName name="ee" localSheetId="2" hidden="1">#REF!</definedName>
    <definedName name="ee" localSheetId="4" hidden="1">#REF!</definedName>
    <definedName name="ee" localSheetId="8" hidden="1">#REF!</definedName>
    <definedName name="ee" hidden="1">#REF!</definedName>
    <definedName name="EEE" localSheetId="0" hidden="1">{"uno",#N/A,FALSE,"Dist total";"COMENTARIO",#N/A,FALSE,"Ficha CODICE"}</definedName>
    <definedName name="eee" localSheetId="4" hidden="1">{"data",#N/A,FALSE,"INPUT"}</definedName>
    <definedName name="eee" localSheetId="8" hidden="1">{"data",#N/A,FALSE,"INPUT"}</definedName>
    <definedName name="eee" localSheetId="6" hidden="1">{"data",#N/A,FALSE,"INPUT"}</definedName>
    <definedName name="eee" hidden="1">{"data",#N/A,FALSE,"INPUT"}</definedName>
    <definedName name="eeee" localSheetId="4" hidden="1">{TRUE,TRUE,-1.41610738255034,-14.9463087248322,497.718120805369,308.295302013423,FALSE,TRUE,TRUE,TRUE,0,1,1,1,1,1,2.08695652173913,4,TRUE,TRUE,3,TRUE,1,FALSE,100,"Swvu.annual._.hotel.","ACwvu.annual._.hotel.",#N/A,FALSE,FALSE,0.5,0.5,0.5,0.5,2,"","&amp;L&amp;8&amp;F&amp;C&amp;8HOTEL DEVELOPMENT - Page &amp;P of &amp;N&amp;R&amp;8&amp;D   &amp;T",TRUE,FALSE,FALSE,FALSE,2,#N/A,1,#N/A,#DIV/0!,"=R1:R2","Rwvu.annual._.hotel.","Cwvu.annual._.hotel.",FALSE,FALSE,FALSE,1,4294967292,300,FALSE,FALSE,TRUE,TRUE,TRUE}</definedName>
    <definedName name="eeee" localSheetId="6" hidden="1">{TRUE,TRUE,-1.41610738255034,-14.9463087248322,497.718120805369,308.295302013423,FALSE,TRUE,TRUE,TRUE,0,1,1,1,1,1,2.08695652173913,4,TRUE,TRUE,3,TRUE,1,FALSE,100,"Swvu.annual._.hotel.","ACwvu.annual._.hotel.",#N/A,FALSE,FALSE,0.5,0.5,0.5,0.5,2,"","&amp;L&amp;8&amp;F&amp;C&amp;8HOTEL DEVELOPMENT - Page &amp;P of &amp;N&amp;R&amp;8&amp;D   &amp;T",TRUE,FALSE,FALSE,FALSE,2,#N/A,1,#N/A,#DIV/0!,"=R1:R2","Rwvu.annual._.hotel.","Cwvu.annual._.hotel.",FALSE,FALSE,FALSE,1,4294967292,300,FALSE,FALSE,TRUE,TRUE,TRUE}</definedName>
    <definedName name="eeee" hidden="1">{TRUE,TRUE,-1.41610738255034,-14.9463087248322,497.718120805369,308.295302013423,FALSE,TRUE,TRUE,TRUE,0,1,1,1,1,1,2.08695652173913,4,TRUE,TRUE,3,TRUE,1,FALSE,100,"Swvu.annual._.hotel.","ACwvu.annual._.hotel.",#N/A,FALSE,FALSE,0.5,0.5,0.5,0.5,2,"","&amp;L&amp;8&amp;F&amp;C&amp;8HOTEL DEVELOPMENT - Page &amp;P of &amp;N&amp;R&amp;8&amp;D   &amp;T",TRUE,FALSE,FALSE,FALSE,2,#N/A,1,#N/A,#DIV/0!,"=R1:R2","Rwvu.annual._.hotel.","Cwvu.annual._.hotel.",FALSE,FALSE,FALSE,1,4294967292,300,FALSE,FALSE,TRUE,TRUE,TRUE}</definedName>
    <definedName name="EEEEEEE" localSheetId="8" hidden="1">{"ANAR",#N/A,FALSE,"Dist total";"MARGEN",#N/A,FALSE,"Dist total";"COMENTARIO",#N/A,FALSE,"Ficha CODICE";"CONSEJO",#N/A,FALSE,"Dist p0";"uno",#N/A,FALSE,"Dist total"}</definedName>
    <definedName name="EEEEEEE" hidden="1">{"ANAR",#N/A,FALSE,"Dist total";"MARGEN",#N/A,FALSE,"Dist total";"COMENTARIO",#N/A,FALSE,"Ficha CODICE";"CONSEJO",#N/A,FALSE,"Dist p0";"uno",#N/A,FALSE,"Dist total"}</definedName>
    <definedName name="eer" localSheetId="4" hidden="1">{"Construction_Short",#N/A,FALSE,"Construction"}</definedName>
    <definedName name="eer" localSheetId="8" hidden="1">{"Construction_Short",#N/A,FALSE,"Construction"}</definedName>
    <definedName name="eer" localSheetId="6" hidden="1">{"Construction_Short",#N/A,FALSE,"Construction"}</definedName>
    <definedName name="eer" hidden="1">{"Construction_Short",#N/A,FALSE,"Construction"}</definedName>
    <definedName name="EMILY" localSheetId="8" hidden="1">{#N/A,#N/A,FALSE,"Aging Summary";#N/A,#N/A,FALSE,"Ratio Analysis";#N/A,#N/A,FALSE,"Test 120 Day Accts";#N/A,#N/A,FALSE,"Tickmarks"}</definedName>
    <definedName name="EMILY" hidden="1">{#N/A,#N/A,FALSE,"Aging Summary";#N/A,#N/A,FALSE,"Ratio Analysis";#N/A,#N/A,FALSE,"Test 120 Day Accts";#N/A,#N/A,FALSE,"Tickmarks"}</definedName>
    <definedName name="Ending_Balance" localSheetId="2">-FV([0]!Interest_Rate/12,'Monthly USD Model'!Payment_Number,-'Monthly USD Model'!Monthly_Payment,[0]!Loan_Amount)</definedName>
    <definedName name="Ending_Balance" localSheetId="4">-FV([0]!Interest_Rate/12,'OpEx Budget'!Payment_Number,-'OpEx Budget'!Monthly_Payment,[0]!Loan_Amount)</definedName>
    <definedName name="Ending_Balance" localSheetId="8">-FV([0]!Interest_Rate/12,Performance!Payment_Number,-Performance!Monthly_Payment,[0]!Loan_Amount)</definedName>
    <definedName name="Ending_Balance" localSheetId="6">-FV([0]!Interest_Rate/12,UnitMix!Payment_Number,-UnitMix!Monthly_Payment,[0]!Loan_Amount)</definedName>
    <definedName name="Ending_Balance">-FV([0]!Interest_Rate/12,[0]!Payment_Number,-[0]!Monthly_Payment,[0]!Loan_Amount)</definedName>
    <definedName name="erasdf" localSheetId="4" hidden="1">{"Assump",#N/A,TRUE,"Proforma";"first",#N/A,TRUE,"Proforma";"second",#N/A,TRUE,"Proforma";"lease1",#N/A,TRUE,"Proforma";"lease2",#N/A,TRUE,"Proforma"}</definedName>
    <definedName name="erasdf" localSheetId="6" hidden="1">{"Assump",#N/A,TRUE,"Proforma";"first",#N/A,TRUE,"Proforma";"second",#N/A,TRUE,"Proforma";"lease1",#N/A,TRUE,"Proforma";"lease2",#N/A,TRUE,"Proforma"}</definedName>
    <definedName name="erasdf" hidden="1">{"Assump",#N/A,TRUE,"Proforma";"first",#N/A,TRUE,"Proforma";"second",#N/A,TRUE,"Proforma";"lease1",#N/A,TRUE,"Proforma";"lease2",#N/A,TRUE,"Proforma"}</definedName>
    <definedName name="ere" localSheetId="4" hidden="1">{#N/A,#N/A,FALSE,"CAPREIT"}</definedName>
    <definedName name="ere" localSheetId="6" hidden="1">{#N/A,#N/A,FALSE,"CAPREIT"}</definedName>
    <definedName name="ere" hidden="1">{#N/A,#N/A,FALSE,"CAPREIT"}</definedName>
    <definedName name="ererg" localSheetId="4" hidden="1">{"Investor",#N/A,FALSE,"Model";"Property",#N/A,FALSE,"Model";"Incentive Taxes",#N/A,FALSE,"Model"}</definedName>
    <definedName name="ererg" localSheetId="6" hidden="1">{"Investor",#N/A,FALSE,"Model";"Property",#N/A,FALSE,"Model";"Incentive Taxes",#N/A,FALSE,"Model"}</definedName>
    <definedName name="ererg" hidden="1">{"Investor",#N/A,FALSE,"Model";"Property",#N/A,FALSE,"Model";"Incentive Taxes",#N/A,FALSE,"Model"}</definedName>
    <definedName name="eret" localSheetId="4" hidden="1">{"sheet a",#N/A,FALSE,"A";"2 9 casflow",#N/A,FALSE,"B"}</definedName>
    <definedName name="eret" localSheetId="8" hidden="1">{"sheet a",#N/A,FALSE,"A";"2 9 casflow",#N/A,FALSE,"B"}</definedName>
    <definedName name="eret" localSheetId="6" hidden="1">{"sheet a",#N/A,FALSE,"A";"2 9 casflow",#N/A,FALSE,"B"}</definedName>
    <definedName name="eret" hidden="1">{"sheet a",#N/A,FALSE,"A";"2 9 casflow",#N/A,FALSE,"B"}</definedName>
    <definedName name="erg" localSheetId="4" hidden="1">{0,0,"",0;0,0,0,0;0,0,0,0;0,0,0,0;0,0,0,0}</definedName>
    <definedName name="erg" localSheetId="8" hidden="1">{0,0,"",0;0,0,0,0;0,0,0,0;0,0,0,0;0,0,0,0}</definedName>
    <definedName name="erg" localSheetId="6" hidden="1">{0,0,"",0;0,0,0,0;0,0,0,0;0,0,0,0;0,0,0,0}</definedName>
    <definedName name="erg" hidden="1">{0,0,"",0;0,0,0,0;0,0,0,0;0,0,0,0;0,0,0,0}</definedName>
    <definedName name="ERT" hidden="1">[46]PROFIT!$A$43:$G$49</definedName>
    <definedName name="erterg" localSheetId="2" hidden="1">#REF!</definedName>
    <definedName name="erterg" localSheetId="4" hidden="1">#REF!</definedName>
    <definedName name="erterg" localSheetId="8" hidden="1">#REF!</definedName>
    <definedName name="erterg" hidden="1">#REF!</definedName>
    <definedName name="ERTY" hidden="1">[47]PROFIT!$B$43:$B$43</definedName>
    <definedName name="Estimate" localSheetId="4" hidden="1">{#N/A,#N/A,FALSE,"Detail";#N/A,#N/A,FALSE,"Totals"}</definedName>
    <definedName name="Estimate" localSheetId="6" hidden="1">{#N/A,#N/A,FALSE,"Detail";#N/A,#N/A,FALSE,"Totals"}</definedName>
    <definedName name="Estimate" hidden="1">{#N/A,#N/A,FALSE,"Detail";#N/A,#N/A,FALSE,"Totals"}</definedName>
    <definedName name="etert" localSheetId="4" hidden="1">{"sheet a",#N/A,FALSE,"A";"sheet b 1",#N/A,FALSE,"B";"sheet b 2",#N/A,FALSE,"B"}</definedName>
    <definedName name="etert" localSheetId="8" hidden="1">{"sheet a",#N/A,FALSE,"A";"sheet b 1",#N/A,FALSE,"B";"sheet b 2",#N/A,FALSE,"B"}</definedName>
    <definedName name="etert" localSheetId="6" hidden="1">{"sheet a",#N/A,FALSE,"A";"sheet b 1",#N/A,FALSE,"B";"sheet b 2",#N/A,FALSE,"B"}</definedName>
    <definedName name="etert" hidden="1">{"sheet a",#N/A,FALSE,"A";"sheet b 1",#N/A,FALSE,"B";"sheet b 2",#N/A,FALSE,"B"}</definedName>
    <definedName name="ev.Calculation" hidden="1">-4105</definedName>
    <definedName name="ev.Initialized" hidden="1">FALSE</definedName>
    <definedName name="EV__EVCOM_OPTIONS__" hidden="1">8</definedName>
    <definedName name="EV__EXPOPTIONS__" localSheetId="0" hidden="1">1</definedName>
    <definedName name="EV__EXPOPTIONS__" hidden="1">0</definedName>
    <definedName name="EV__LASTREFTIME__" localSheetId="0" hidden="1">38555.5292708333</definedName>
    <definedName name="EV__LASTREFTIME__" hidden="1">38433.706724537</definedName>
    <definedName name="EV__MAXEXPCOLS__" localSheetId="0" hidden="1">255</definedName>
    <definedName name="EV__MAXEXPCOLS__" hidden="1">100</definedName>
    <definedName name="EV__MAXEXPROWS__" localSheetId="0" hidden="1">65535</definedName>
    <definedName name="EV__MAXEXPROWS__" hidden="1">1000</definedName>
    <definedName name="EV__MEMORYCVW__" hidden="1">0</definedName>
    <definedName name="EV__WBEVMODE__" hidden="1">0</definedName>
    <definedName name="EV__WBREFOPTIONS__" localSheetId="0" hidden="1">134217733</definedName>
    <definedName name="EV__WBREFOPTIONS__" hidden="1">134217855</definedName>
    <definedName name="EV__WBVERSION__" hidden="1">0</definedName>
    <definedName name="ew" localSheetId="2" hidden="1">#REF!</definedName>
    <definedName name="ew" localSheetId="4" hidden="1">#REF!</definedName>
    <definedName name="ew" localSheetId="8" hidden="1">#REF!</definedName>
    <definedName name="ew" hidden="1">#REF!</definedName>
    <definedName name="exca" localSheetId="8">[48]MiGe!$E$39</definedName>
    <definedName name="exca">[49]MiGe!$E$39</definedName>
    <definedName name="exchange">900</definedName>
    <definedName name="execHold">10</definedName>
    <definedName name="expcomp">"Option Button 21"</definedName>
    <definedName name="expinet">"Option Button 20"</definedName>
    <definedName name="ExpRowDiff">ROW()-5</definedName>
    <definedName name="exptenant">"exptenant"</definedName>
    <definedName name="FA" localSheetId="8" hidden="1">{#N/A,#N/A,FALSE,"P o G";#N/A,#N/A,FALSE,"BALANCE";#N/A,#N/A,FALSE,"Indicadores";#N/A,#N/A,FALSE,"Capital Trab. (2)";#N/A,#N/A,FALSE,"Camb. Sit. Financ. (2)";#N/A,#N/A,FALSE,"ROTABCIUD"}</definedName>
    <definedName name="FA" hidden="1">{#N/A,#N/A,FALSE,"P o G";#N/A,#N/A,FALSE,"BALANCE";#N/A,#N/A,FALSE,"Indicadores";#N/A,#N/A,FALSE,"Capital Trab. (2)";#N/A,#N/A,FALSE,"Camb. Sit. Financ. (2)";#N/A,#N/A,FALSE,"ROTABCIUD"}</definedName>
    <definedName name="Factor">1000</definedName>
    <definedName name="fasffSFffASFasfASFasf" localSheetId="4" hidden="1">{#N/A,#N/A,FALSE,"LP Exp";#N/A,#N/A,FALSE,"Salary";#N/A,#N/A,FALSE,"Admin Exp";#N/A,#N/A,FALSE,"QTS Bud";#N/A,#N/A,FALSE,"Marketing"}</definedName>
    <definedName name="fasffSFffASFasfASFasf" localSheetId="8" hidden="1">{#N/A,#N/A,FALSE,"LP Exp";#N/A,#N/A,FALSE,"Salary";#N/A,#N/A,FALSE,"Admin Exp";#N/A,#N/A,FALSE,"QTS Bud";#N/A,#N/A,FALSE,"Marketing"}</definedName>
    <definedName name="fasffSFffASFasfASFasf" localSheetId="6" hidden="1">{#N/A,#N/A,FALSE,"LP Exp";#N/A,#N/A,FALSE,"Salary";#N/A,#N/A,FALSE,"Admin Exp";#N/A,#N/A,FALSE,"QTS Bud";#N/A,#N/A,FALSE,"Marketing"}</definedName>
    <definedName name="fasffSFffASFasfASFasf" hidden="1">{#N/A,#N/A,FALSE,"LP Exp";#N/A,#N/A,FALSE,"Salary";#N/A,#N/A,FALSE,"Admin Exp";#N/A,#N/A,FALSE,"QTS Bud";#N/A,#N/A,FALSE,"Marketing"}</definedName>
    <definedName name="fdfdfd" localSheetId="4" hidden="1">{#N/A,#N/A,FALSE,"CAPREIT"}</definedName>
    <definedName name="fdfdfd" localSheetId="8" hidden="1">{#N/A,#N/A,FALSE,"CAPREIT"}</definedName>
    <definedName name="fdfdfd" localSheetId="6" hidden="1">{#N/A,#N/A,FALSE,"CAPREIT"}</definedName>
    <definedName name="fdfdfd" hidden="1">{#N/A,#N/A,FALSE,"CAPREIT"}</definedName>
    <definedName name="fdfdfdf" localSheetId="4" hidden="1">{#N/A,#N/A,FALSE,"CAPREIT"}</definedName>
    <definedName name="fdfdfdf" localSheetId="8" hidden="1">{#N/A,#N/A,FALSE,"CAPREIT"}</definedName>
    <definedName name="fdfdfdf" localSheetId="6" hidden="1">{#N/A,#N/A,FALSE,"CAPREIT"}</definedName>
    <definedName name="fdfdfdf" hidden="1">{#N/A,#N/A,FALSE,"CAPREIT"}</definedName>
    <definedName name="fdfds" localSheetId="8" hidden="1">{#N/A,#N/A,FALSE,"Table of content";#N/A,#N/A,FALSE,"Assumptions";#N/A,#N/A,FALSE,"Economy";#N/A,#N/A,FALSE,"Revenue Detail";#N/A,#N/A,FALSE,"Energy fee";#N/A,#N/A,FALSE,"Capacity fee";#N/A,#N/A,FALSE,"Production Income";#N/A,#N/A,FALSE,"Fuel Costs";#N/A,#N/A,FALSE,"O&amp;M Cost";#N/A,#N/A,FALSE,"Profit Loss";#N/A,#N/A,FALSE,"Financing";#N/A,#N/A,FALSE,"Cash Flow";#N/A,#N/A,FALSE,"Sources&amp;Uses";#N/A,#N/A,FALSE,"Balance";#N/A,#N/A,FALSE,"Investment";#N/A,#N/A,FALSE,"Investment Cost";#N/A,#N/A,FALSE,"Investment Financing";#N/A,#N/A,FALSE,"Assets";#N/A,#N/A,FALSE,"IRR"}</definedName>
    <definedName name="fdfds" hidden="1">{#N/A,#N/A,FALSE,"Table of content";#N/A,#N/A,FALSE,"Assumptions";#N/A,#N/A,FALSE,"Economy";#N/A,#N/A,FALSE,"Revenue Detail";#N/A,#N/A,FALSE,"Energy fee";#N/A,#N/A,FALSE,"Capacity fee";#N/A,#N/A,FALSE,"Production Income";#N/A,#N/A,FALSE,"Fuel Costs";#N/A,#N/A,FALSE,"O&amp;M Cost";#N/A,#N/A,FALSE,"Profit Loss";#N/A,#N/A,FALSE,"Financing";#N/A,#N/A,FALSE,"Cash Flow";#N/A,#N/A,FALSE,"Sources&amp;Uses";#N/A,#N/A,FALSE,"Balance";#N/A,#N/A,FALSE,"Investment";#N/A,#N/A,FALSE,"Investment Cost";#N/A,#N/A,FALSE,"Investment Financing";#N/A,#N/A,FALSE,"Assets";#N/A,#N/A,FALSE,"IRR"}</definedName>
    <definedName name="fds" localSheetId="8" hidden="1">{"comps",#N/A,FALSE,"comps";"notes",#N/A,FALSE,"comps"}</definedName>
    <definedName name="fds" hidden="1">{"comps",#N/A,FALSE,"comps";"notes",#N/A,FALSE,"comps"}</definedName>
    <definedName name="fdsf" localSheetId="8" hidden="1">{"general",#N/A,FALSE,"Assumptions"}</definedName>
    <definedName name="fdsf" hidden="1">{"general",#N/A,FALSE,"Assumptions"}</definedName>
    <definedName name="fe" localSheetId="8" hidden="1">{"FCB_ALL",#N/A,FALSE,"FCB"}</definedName>
    <definedName name="fe" hidden="1">{"FCB_ALL",#N/A,FALSE,"FCB"}</definedName>
    <definedName name="FECHAS" localSheetId="2">[50]DATOS!#REF!</definedName>
    <definedName name="FECHAS" localSheetId="8">[50]DATOS!#REF!</definedName>
    <definedName name="FECHAS">[50]DATOS!#REF!</definedName>
    <definedName name="fede" localSheetId="8" hidden="1">{"ANAR",#N/A,FALSE,"Dist total";"MARGEN",#N/A,FALSE,"Dist total";"COMENTARIO",#N/A,FALSE,"Ficha CODICE";"CONSEJO",#N/A,FALSE,"Dist p0";"uno",#N/A,FALSE,"Dist total"}</definedName>
    <definedName name="fede" hidden="1">{"ANAR",#N/A,FALSE,"Dist total";"MARGEN",#N/A,FALSE,"Dist total";"COMENTARIO",#N/A,FALSE,"Ficha CODICE";"CONSEJO",#N/A,FALSE,"Dist p0";"uno",#N/A,FALSE,"Dist total"}</definedName>
    <definedName name="ff" localSheetId="8" hidden="1">{"uno",#N/A,FALSE,"Dist total";"COMENTARIO",#N/A,FALSE,"Ficha CODICE"}</definedName>
    <definedName name="ff" hidden="1">{"uno",#N/A,FALSE,"Dist total";"COMENTARIO",#N/A,FALSE,"Ficha CODICE"}</definedName>
    <definedName name="fferw" localSheetId="4"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fferw" localSheetId="8"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fferw" localSheetId="6"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fferw"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fff" localSheetId="2" hidden="1">#REF!</definedName>
    <definedName name="fff" localSheetId="4" hidden="1">#REF!</definedName>
    <definedName name="fff" localSheetId="8" hidden="1">#REF!</definedName>
    <definedName name="fff" hidden="1">#REF!</definedName>
    <definedName name="ffff" localSheetId="8" hidden="1">{"comps",#N/A,FALSE,"comps";"notes",#N/A,FALSE,"comps"}</definedName>
    <definedName name="ffff" hidden="1">{"comps",#N/A,FALSE,"comps";"notes",#N/A,FALSE,"comps"}</definedName>
    <definedName name="ffffffff" localSheetId="8" hidden="1">{"CONSEJO",#N/A,FALSE,"Dist p0";"CONSEJO",#N/A,FALSE,"Ficha CODICE"}</definedName>
    <definedName name="ffffffff" hidden="1">{"CONSEJO",#N/A,FALSE,"Dist p0";"CONSEJO",#N/A,FALSE,"Ficha CODICE"}</definedName>
    <definedName name="fgdfs" localSheetId="4" hidden="1">{"FORMULAS",#N/A,FALSE,"ESTIMATE"}</definedName>
    <definedName name="fgdfs" localSheetId="8" hidden="1">{"FORMULAS",#N/A,FALSE,"ESTIMATE"}</definedName>
    <definedName name="fgdfs" localSheetId="6" hidden="1">{"FORMULAS",#N/A,FALSE,"ESTIMATE"}</definedName>
    <definedName name="fgdfs" hidden="1">{"FORMULAS",#N/A,FALSE,"ESTIMATE"}</definedName>
    <definedName name="fgfg" localSheetId="8"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fgfg"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fghsgh" localSheetId="4" hidden="1">{"CF",#N/A,FALSE,"Cash Flow";"RET",#N/A,FALSE,"Returns";"NPV",#N/A,FALSE,"Values";"ASMPT",#N/A,FALSE,"Assumptions"}</definedName>
    <definedName name="fghsgh" localSheetId="6" hidden="1">{"CF",#N/A,FALSE,"Cash Flow";"RET",#N/A,FALSE,"Returns";"NPV",#N/A,FALSE,"Values";"ASMPT",#N/A,FALSE,"Assumptions"}</definedName>
    <definedName name="fghsgh" hidden="1">{"CF",#N/A,FALSE,"Cash Flow";"RET",#N/A,FALSE,"Returns";"NPV",#N/A,FALSE,"Values";"ASMPT",#N/A,FALSE,"Assumptions"}</definedName>
    <definedName name="Field">[35]Assumptions!$D$10:$CO$10</definedName>
    <definedName name="FILL2" localSheetId="2" hidden="1">#REF!</definedName>
    <definedName name="FILL2" localSheetId="4" hidden="1">#REF!</definedName>
    <definedName name="FILL2" localSheetId="8" hidden="1">#REF!</definedName>
    <definedName name="FILL2" hidden="1">#REF!</definedName>
    <definedName name="FinAnal3" localSheetId="4" hidden="1">{"Construction_Short",#N/A,FALSE,"Construction"}</definedName>
    <definedName name="FinAnal3" localSheetId="8" hidden="1">{"Construction_Short",#N/A,FALSE,"Construction"}</definedName>
    <definedName name="FinAnal3" localSheetId="6" hidden="1">{"Construction_Short",#N/A,FALSE,"Construction"}</definedName>
    <definedName name="FinAnal3" hidden="1">{"Construction_Short",#N/A,FALSE,"Construction"}</definedName>
    <definedName name="finance2" localSheetId="8" hidden="1">{"Finance 1",#N/A,FALSE,"FINANCE.XLS";"Finance 2",#N/A,FALSE,"FINANCE.XLS";"Finance 3",#N/A,FALSE,"FINANCE.XLS";"Finance 4",#N/A,FALSE,"FINANCE.XLS";"Finance 5",#N/A,FALSE,"FINANCE.XLS";"Finance 6",#N/A,FALSE,"FINANCE.XLS";"Finance 7",#N/A,FALSE,"FINANCE.XLS";"Finance 8",#N/A,FALSE,"FINANCE.XLS"}</definedName>
    <definedName name="finance2" hidden="1">{"Finance 1",#N/A,FALSE,"FINANCE.XLS";"Finance 2",#N/A,FALSE,"FINANCE.XLS";"Finance 3",#N/A,FALSE,"FINANCE.XLS";"Finance 4",#N/A,FALSE,"FINANCE.XLS";"Finance 5",#N/A,FALSE,"FINANCE.XLS";"Finance 6",#N/A,FALSE,"FINANCE.XLS";"Finance 7",#N/A,FALSE,"FINANCE.XLS";"Finance 8",#N/A,FALSE,"FINANCE.XLS"}</definedName>
    <definedName name="fins">[51]BLOCKG_Inputs!$C$73</definedName>
    <definedName name="fixed_assets" localSheetId="4" hidden="1">{"Detailed",#N/A,FALSE,"Schedule4"}</definedName>
    <definedName name="fixed_assets" localSheetId="8" hidden="1">{"Detailed",#N/A,FALSE,"Schedule4"}</definedName>
    <definedName name="fixed_assets" localSheetId="6" hidden="1">{"Detailed",#N/A,FALSE,"Schedule4"}</definedName>
    <definedName name="fixed_assets" hidden="1">{"Detailed",#N/A,FALSE,"Schedule4"}</definedName>
    <definedName name="fksajf" localSheetId="4" hidden="1">{#N/A,#N/A,FALSE,"SCHEDULE A";"MINIMUM RENT",#N/A,FALSE,"SCHEDULES B &amp; C";"PERCENTAGE RENT",#N/A,FALSE,"SCHEDULES B &amp; C"}</definedName>
    <definedName name="fksajf" localSheetId="6" hidden="1">{#N/A,#N/A,FALSE,"SCHEDULE A";"MINIMUM RENT",#N/A,FALSE,"SCHEDULES B &amp; C";"PERCENTAGE RENT",#N/A,FALSE,"SCHEDULES B &amp; C"}</definedName>
    <definedName name="fksajf" hidden="1">{#N/A,#N/A,FALSE,"SCHEDULE A";"MINIMUM RENT",#N/A,FALSE,"SCHEDULES B &amp; C";"PERCENTAGE RENT",#N/A,FALSE,"SCHEDULES B &amp; C"}</definedName>
    <definedName name="fldfjlsd" hidden="1">#N/A</definedName>
    <definedName name="flujo2" localSheetId="8" hidden="1">{"FLUJO DE CAJA",#N/A,FALSE,"Hoja1";"ANEXOS FLUJO",#N/A,FALSE,"Hoja1"}</definedName>
    <definedName name="flujo2" hidden="1">{"FLUJO DE CAJA",#N/A,FALSE,"Hoja1";"ANEXOS FLUJO",#N/A,FALSE,"Hoja1"}</definedName>
    <definedName name="fr" localSheetId="4" hidden="1">{"print STAY opening assumptions",#N/A,FALSE,"STAY Openings";"print STAY openings",#N/A,FALSE,"STAY Openings"}</definedName>
    <definedName name="fr" localSheetId="8" hidden="1">{"print STAY opening assumptions",#N/A,FALSE,"STAY Openings";"print STAY openings",#N/A,FALSE,"STAY Openings"}</definedName>
    <definedName name="fr" localSheetId="6" hidden="1">{"print STAY opening assumptions",#N/A,FALSE,"STAY Openings";"print STAY openings",#N/A,FALSE,"STAY Openings"}</definedName>
    <definedName name="fr" hidden="1">{"print STAY opening assumptions",#N/A,FALSE,"STAY Openings";"print STAY openings",#N/A,FALSE,"STAY Openings"}</definedName>
    <definedName name="fsdfsdf" localSheetId="2" hidden="1">'[5]Proforma-Lathrop'!#REF!</definedName>
    <definedName name="fsdfsdf" localSheetId="4" hidden="1">'[5]Proforma-Lathrop'!#REF!</definedName>
    <definedName name="fsdfsdf" localSheetId="8" hidden="1">'[5]Proforma-Lathrop'!#REF!</definedName>
    <definedName name="fsdfsdf" localSheetId="6" hidden="1">'[5]Proforma-Lathrop'!#REF!</definedName>
    <definedName name="fsdfsdf" hidden="1">'[5]Proforma-Lathrop'!#REF!</definedName>
    <definedName name="ftgygy" localSheetId="4" hidden="1">{#N/A,#N/A,FALSE,"LP Exp";#N/A,#N/A,FALSE,"Salary";#N/A,#N/A,FALSE,"Admin Exp";#N/A,#N/A,FALSE,"QTS Bud";#N/A,#N/A,FALSE,"Marketing"}</definedName>
    <definedName name="ftgygy" localSheetId="8" hidden="1">{#N/A,#N/A,FALSE,"LP Exp";#N/A,#N/A,FALSE,"Salary";#N/A,#N/A,FALSE,"Admin Exp";#N/A,#N/A,FALSE,"QTS Bud";#N/A,#N/A,FALSE,"Marketing"}</definedName>
    <definedName name="ftgygy" localSheetId="6" hidden="1">{#N/A,#N/A,FALSE,"LP Exp";#N/A,#N/A,FALSE,"Salary";#N/A,#N/A,FALSE,"Admin Exp";#N/A,#N/A,FALSE,"QTS Bud";#N/A,#N/A,FALSE,"Marketing"}</definedName>
    <definedName name="ftgygy" hidden="1">{#N/A,#N/A,FALSE,"LP Exp";#N/A,#N/A,FALSE,"Salary";#N/A,#N/A,FALSE,"Admin Exp";#N/A,#N/A,FALSE,"QTS Bud";#N/A,#N/A,FALSE,"Marketing"}</definedName>
    <definedName name="fuckface" localSheetId="4" hidden="1">{#N/A,#N/A,FALSE,"Assumptions";#N/A,#N/A,FALSE,"Impact Assumptions";#N/A,#N/A,FALSE,"10-Yr - detail";#N/A,#N/A,FALSE,"1,5,10 yr comp";#N/A,#N/A,FALSE,"Lse-Exp.";#N/A,#N/A,FALSE,"Rent Roll";#N/A,#N/A,FALSE,"Historical (2)";#N/A,#N/A,FALSE,"RET's";#N/A,#N/A,FALSE,"Lease Rollover"}</definedName>
    <definedName name="fuckface" localSheetId="6" hidden="1">{#N/A,#N/A,FALSE,"Assumptions";#N/A,#N/A,FALSE,"Impact Assumptions";#N/A,#N/A,FALSE,"10-Yr - detail";#N/A,#N/A,FALSE,"1,5,10 yr comp";#N/A,#N/A,FALSE,"Lse-Exp.";#N/A,#N/A,FALSE,"Rent Roll";#N/A,#N/A,FALSE,"Historical (2)";#N/A,#N/A,FALSE,"RET's";#N/A,#N/A,FALSE,"Lease Rollover"}</definedName>
    <definedName name="fuckface" hidden="1">{#N/A,#N/A,FALSE,"Assumptions";#N/A,#N/A,FALSE,"Impact Assumptions";#N/A,#N/A,FALSE,"10-Yr - detail";#N/A,#N/A,FALSE,"1,5,10 yr comp";#N/A,#N/A,FALSE,"Lse-Exp.";#N/A,#N/A,FALSE,"Rent Roll";#N/A,#N/A,FALSE,"Historical (2)";#N/A,#N/A,FALSE,"RET's";#N/A,#N/A,FALSE,"Lease Rollover"}</definedName>
    <definedName name="fx">[52]GenAss!$E$6</definedName>
    <definedName name="ganacias2" localSheetId="8" hidden="1">{"GAN.Y PERD.RESUMIDO",#N/A,FALSE,"Hoja1";"GAN.Y PERD.DETALLADO",#N/A,FALSE,"Hoja1"}</definedName>
    <definedName name="ganacias2" hidden="1">{"GAN.Y PERD.RESUMIDO",#N/A,FALSE,"Hoja1";"GAN.Y PERD.DETALLADO",#N/A,FALSE,"Hoja1"}</definedName>
    <definedName name="gar" localSheetId="2">#REF!</definedName>
    <definedName name="gar" localSheetId="4">#REF!</definedName>
    <definedName name="gar" localSheetId="8">#REF!</definedName>
    <definedName name="gar">#REF!</definedName>
    <definedName name="garage" localSheetId="4" hidden="1">{#N/A,#N/A,FALSE,"Garage Assumpt 1";#N/A,#N/A,FALSE,"Garage Op Proj";#N/A,#N/A,FALSE,"Hist I&amp;E";#N/A,#N/A,FALSE,"Garage Lease"}</definedName>
    <definedName name="garage" localSheetId="8" hidden="1">{#N/A,#N/A,FALSE,"Garage Assumpt 1";#N/A,#N/A,FALSE,"Garage Op Proj";#N/A,#N/A,FALSE,"Hist I&amp;E";#N/A,#N/A,FALSE,"Garage Lease"}</definedName>
    <definedName name="garage" localSheetId="6" hidden="1">{#N/A,#N/A,FALSE,"Garage Assumpt 1";#N/A,#N/A,FALSE,"Garage Op Proj";#N/A,#N/A,FALSE,"Hist I&amp;E";#N/A,#N/A,FALSE,"Garage Lease"}</definedName>
    <definedName name="garage" hidden="1">{#N/A,#N/A,FALSE,"Garage Assumpt 1";#N/A,#N/A,FALSE,"Garage Op Proj";#N/A,#N/A,FALSE,"Hist I&amp;E";#N/A,#N/A,FALSE,"Garage Lease"}</definedName>
    <definedName name="gareq" localSheetId="2">#REF!</definedName>
    <definedName name="gareq" localSheetId="4">#REF!</definedName>
    <definedName name="gareq" localSheetId="8">#REF!</definedName>
    <definedName name="gareq">#REF!</definedName>
    <definedName name="gb" localSheetId="8" hidden="1">{"CONSEJO",#N/A,FALSE,"Dist p0";"CONSEJO",#N/A,FALSE,"Ficha CODICE"}</definedName>
    <definedName name="gb" hidden="1">{"CONSEJO",#N/A,FALSE,"Dist p0";"CONSEJO",#N/A,FALSE,"Ficha CODICE"}</definedName>
    <definedName name="GC" localSheetId="8" hidden="1">{#N/A,#N/A,TRUE,"MEMO";#N/A,#N/A,TRUE,"PARAMETROS";#N/A,#N/A,TRUE,"RLI ";#N/A,#N/A,TRUE,"IMPTO.DET.";#N/A,#N/A,TRUE,"FUT-FUNT";#N/A,#N/A,TRUE,"CPI-PATR.";#N/A,#N/A,TRUE,"CM CPI";#N/A,#N/A,TRUE,"PROV";#N/A,#N/A,TRUE,"A FIJO";#N/A,#N/A,TRUE,"LEASING";#N/A,#N/A,TRUE,"VPP";#N/A,#N/A,TRUE,"PPM";#N/A,#N/A,TRUE,"OTROS"}</definedName>
    <definedName name="GC" hidden="1">{#N/A,#N/A,TRUE,"MEMO";#N/A,#N/A,TRUE,"PARAMETROS";#N/A,#N/A,TRUE,"RLI ";#N/A,#N/A,TRUE,"IMPTO.DET.";#N/A,#N/A,TRUE,"FUT-FUNT";#N/A,#N/A,TRUE,"CPI-PATR.";#N/A,#N/A,TRUE,"CM CPI";#N/A,#N/A,TRUE,"PROV";#N/A,#N/A,TRUE,"A FIJO";#N/A,#N/A,TRUE,"LEASING";#N/A,#N/A,TRUE,"VPP";#N/A,#N/A,TRUE,"PPM";#N/A,#N/A,TRUE,"OTROS"}</definedName>
    <definedName name="gcc" localSheetId="8" hidden="1">{#N/A,#N/A,TRUE,"MEMO";#N/A,#N/A,TRUE,"PARAMETROS";#N/A,#N/A,TRUE,"RLI ";#N/A,#N/A,TRUE,"IMPTO.DET.";#N/A,#N/A,TRUE,"FUT-FUNT";#N/A,#N/A,TRUE,"CPI-PATR.";#N/A,#N/A,TRUE,"CM CPI";#N/A,#N/A,TRUE,"PROV";#N/A,#N/A,TRUE,"A FIJO";#N/A,#N/A,TRUE,"LEASING";#N/A,#N/A,TRUE,"VPP";#N/A,#N/A,TRUE,"PPM";#N/A,#N/A,TRUE,"OTROS"}</definedName>
    <definedName name="gcc" hidden="1">{#N/A,#N/A,TRUE,"MEMO";#N/A,#N/A,TRUE,"PARAMETROS";#N/A,#N/A,TRUE,"RLI ";#N/A,#N/A,TRUE,"IMPTO.DET.";#N/A,#N/A,TRUE,"FUT-FUNT";#N/A,#N/A,TRUE,"CPI-PATR.";#N/A,#N/A,TRUE,"CM CPI";#N/A,#N/A,TRUE,"PROV";#N/A,#N/A,TRUE,"A FIJO";#N/A,#N/A,TRUE,"LEASING";#N/A,#N/A,TRUE,"VPP";#N/A,#N/A,TRUE,"PPM";#N/A,#N/A,TRUE,"OTROS"}</definedName>
    <definedName name="gdfga" localSheetId="2" hidden="1">#REF!</definedName>
    <definedName name="gdfga" localSheetId="4" hidden="1">#REF!</definedName>
    <definedName name="gdfga" localSheetId="8" hidden="1">#REF!</definedName>
    <definedName name="gdfga" hidden="1">#REF!</definedName>
    <definedName name="gdfshdfaghdfzg" localSheetId="4" hidden="1">{#N/A,#N/A,FALSE,"Cashflow Analysis";#N/A,#N/A,FALSE,"Sensitivity Analysis";#N/A,#N/A,FALSE,"PV";#N/A,#N/A,FALSE,"Pro Forma"}</definedName>
    <definedName name="gdfshdfaghdfzg" localSheetId="6" hidden="1">{#N/A,#N/A,FALSE,"Cashflow Analysis";#N/A,#N/A,FALSE,"Sensitivity Analysis";#N/A,#N/A,FALSE,"PV";#N/A,#N/A,FALSE,"Pro Forma"}</definedName>
    <definedName name="gdfshdfaghdfzg" hidden="1">{#N/A,#N/A,FALSE,"Cashflow Analysis";#N/A,#N/A,FALSE,"Sensitivity Analysis";#N/A,#N/A,FALSE,"PV";#N/A,#N/A,FALSE,"Pro Forma"}</definedName>
    <definedName name="GenDescr">"Text 4"</definedName>
    <definedName name="gf" localSheetId="4" hidden="1">{#N/A,#N/A,FALSE,"ACQ";#N/A,#N/A,FALSE,"ASSUMP";#N/A,#N/A,FALSE,"CASH FLOW";#N/A,#N/A,FALSE,"SALE";#N/A,#N/A,FALSE,"TIS";#N/A,#N/A,FALSE,"RENT ROLL"}</definedName>
    <definedName name="gf" localSheetId="8" hidden="1">{#N/A,#N/A,FALSE,"ACQ";#N/A,#N/A,FALSE,"ASSUMP";#N/A,#N/A,FALSE,"CASH FLOW";#N/A,#N/A,FALSE,"SALE";#N/A,#N/A,FALSE,"TIS";#N/A,#N/A,FALSE,"RENT ROLL"}</definedName>
    <definedName name="gf" localSheetId="6" hidden="1">{#N/A,#N/A,FALSE,"ACQ";#N/A,#N/A,FALSE,"ASSUMP";#N/A,#N/A,FALSE,"CASH FLOW";#N/A,#N/A,FALSE,"SALE";#N/A,#N/A,FALSE,"TIS";#N/A,#N/A,FALSE,"RENT ROLL"}</definedName>
    <definedName name="gf" hidden="1">{#N/A,#N/A,FALSE,"ACQ";#N/A,#N/A,FALSE,"ASSUMP";#N/A,#N/A,FALSE,"CASH FLOW";#N/A,#N/A,FALSE,"SALE";#N/A,#N/A,FALSE,"TIS";#N/A,#N/A,FALSE,"RENT ROLL"}</definedName>
    <definedName name="gg" localSheetId="8" hidden="1">{"CONSEJO",#N/A,FALSE,"Dist p0";"CONSEJO",#N/A,FALSE,"Ficha CODICE"}</definedName>
    <definedName name="gg" hidden="1">{"CONSEJO",#N/A,FALSE,"Dist p0";"CONSEJO",#N/A,FALSE,"Ficha CODICE"}</definedName>
    <definedName name="ggg" localSheetId="8" hidden="1">{"ANAR",#N/A,FALSE,"Dist total";"MARGEN",#N/A,FALSE,"Dist total";"COMENTARIO",#N/A,FALSE,"Ficha CODICE";"CONSEJO",#N/A,FALSE,"Dist p0";"uno",#N/A,FALSE,"Dist total"}</definedName>
    <definedName name="ggg" hidden="1">{"ANAR",#N/A,FALSE,"Dist total";"MARGEN",#N/A,FALSE,"Dist total";"COMENTARIO",#N/A,FALSE,"Ficha CODICE";"CONSEJO",#N/A,FALSE,"Dist p0";"uno",#N/A,FALSE,"Dist total"}</definedName>
    <definedName name="gggg" localSheetId="8" hidden="1">{"uno",#N/A,FALSE,"Dist total";"COMENTARIO",#N/A,FALSE,"Ficha CODICE"}</definedName>
    <definedName name="gggg" hidden="1">{"uno",#N/A,FALSE,"Dist total";"COMENTARIO",#N/A,FALSE,"Ficha CODICE"}</definedName>
    <definedName name="ggggg" localSheetId="0" hidden="1">{"CONSEJO",#N/A,FALSE,"Dist p0";"CONSEJO",#N/A,FALSE,"Ficha CODICE"}</definedName>
    <definedName name="ggggg" localSheetId="2" hidden="1">'[53]Annual Report'!#REF!</definedName>
    <definedName name="ggggg" localSheetId="4" hidden="1">'[53]Annual Report'!#REF!</definedName>
    <definedName name="ggggg" localSheetId="8" hidden="1">'[53]Annual Report'!#REF!</definedName>
    <definedName name="ggggg" localSheetId="6" hidden="1">'[53]Annual Report'!#REF!</definedName>
    <definedName name="ggggg" hidden="1">'[53]Annual Report'!#REF!</definedName>
    <definedName name="gggggggggg" localSheetId="0" hidden="1">{"ANAR",#N/A,FALSE,"Dist total";"MARGEN",#N/A,FALSE,"Dist total";"COMENTARIO",#N/A,FALSE,"Ficha CODICE";"CONSEJO",#N/A,FALSE,"Dist p0";"uno",#N/A,FALSE,"Dist total"}</definedName>
    <definedName name="gggggggggg" localSheetId="4"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gggggggggg" localSheetId="8"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gggggggggg" localSheetId="6"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gggggggggg"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ggggs" localSheetId="8" hidden="1">{"CONSEJO",#N/A,FALSE,"Dist p0";"CONSEJO",#N/A,FALSE,"Ficha CODICE"}</definedName>
    <definedName name="ggggs" hidden="1">{"CONSEJO",#N/A,FALSE,"Dist p0";"CONSEJO",#N/A,FALSE,"Ficha CODICE"}</definedName>
    <definedName name="gh" localSheetId="8" hidden="1">{"ANAR",#N/A,FALSE,"Dist total";"MARGEN",#N/A,FALSE,"Dist total";"COMENTARIO",#N/A,FALSE,"Ficha CODICE";"CONSEJO",#N/A,FALSE,"Dist p0";"uno",#N/A,FALSE,"Dist total"}</definedName>
    <definedName name="gh" hidden="1">{"ANAR",#N/A,FALSE,"Dist total";"MARGEN",#N/A,FALSE,"Dist total";"COMENTARIO",#N/A,FALSE,"Ficha CODICE";"CONSEJO",#N/A,FALSE,"Dist p0";"uno",#N/A,FALSE,"Dist total"}</definedName>
    <definedName name="gls_ACT_EST_ROW" localSheetId="2" hidden="1">#REF!</definedName>
    <definedName name="gls_ACT_EST_ROW" localSheetId="8" hidden="1">#REF!</definedName>
    <definedName name="gls_ACT_EST_ROW" hidden="1">#REF!</definedName>
    <definedName name="gls_ACT_FORM_OFFSET" localSheetId="2" hidden="1">#REF!</definedName>
    <definedName name="gls_ACT_FORM_OFFSET" localSheetId="8" hidden="1">#REF!</definedName>
    <definedName name="gls_ACT_FORM_OFFSET" hidden="1">#REF!</definedName>
    <definedName name="gls_AnalystEmpNoHeading" localSheetId="2" hidden="1">#REF!</definedName>
    <definedName name="gls_AnalystEmpNoHeading" localSheetId="8" hidden="1">#REF!</definedName>
    <definedName name="gls_AnalystEmpNoHeading" hidden="1">#REF!</definedName>
    <definedName name="gls_AnalystNameHeading" localSheetId="2" hidden="1">#REF!</definedName>
    <definedName name="gls_AnalystNameHeading" localSheetId="8" hidden="1">#REF!</definedName>
    <definedName name="gls_AnalystNameHeading" hidden="1">#REF!</definedName>
    <definedName name="gls_EST_FORM_OFFSET" localSheetId="2" hidden="1">#REF!</definedName>
    <definedName name="gls_EST_FORM_OFFSET" localSheetId="8" hidden="1">#REF!</definedName>
    <definedName name="gls_EST_FORM_OFFSET" hidden="1">#REF!</definedName>
    <definedName name="gls_FIRST_ITEM" localSheetId="2" hidden="1">#REF!</definedName>
    <definedName name="gls_FIRST_ITEM" localSheetId="8" hidden="1">#REF!</definedName>
    <definedName name="gls_FIRST_ITEM" hidden="1">#REF!</definedName>
    <definedName name="gls_FIRST_PK" localSheetId="2" hidden="1">#REF!</definedName>
    <definedName name="gls_FIRST_PK" localSheetId="8" hidden="1">#REF!</definedName>
    <definedName name="gls_FIRST_PK" hidden="1">#REF!</definedName>
    <definedName name="gls_FIRST_ROWMULT" localSheetId="2" hidden="1">#REF!</definedName>
    <definedName name="gls_FIRST_ROWMULT" localSheetId="8" hidden="1">#REF!</definedName>
    <definedName name="gls_FIRST_ROWMULT" hidden="1">#REF!</definedName>
    <definedName name="gls_FIRST_UNITS" localSheetId="2" hidden="1">#REF!</definedName>
    <definedName name="gls_FIRST_UNITS" localSheetId="8" hidden="1">#REF!</definedName>
    <definedName name="gls_FIRST_UNITS" hidden="1">#REF!</definedName>
    <definedName name="gls_FIXED_NAMES" localSheetId="2" hidden="1">#REF!</definedName>
    <definedName name="gls_FIXED_NAMES" localSheetId="8" hidden="1">#REF!</definedName>
    <definedName name="gls_FIXED_NAMES" hidden="1">#REF!</definedName>
    <definedName name="gls_FONT_STATUS" localSheetId="2" hidden="1">#REF!</definedName>
    <definedName name="gls_FONT_STATUS" localSheetId="8" hidden="1">#REF!</definedName>
    <definedName name="gls_FONT_STATUS" hidden="1">#REF!</definedName>
    <definedName name="gls_GenAccountingConvention" localSheetId="2" hidden="1">#REF!</definedName>
    <definedName name="gls_GenAccountingConvention" localSheetId="8" hidden="1">#REF!</definedName>
    <definedName name="gls_GenAccountingConvention" hidden="1">#REF!</definedName>
    <definedName name="gls_GenAdditionalInfo" localSheetId="2" hidden="1">#REF!</definedName>
    <definedName name="gls_GenAdditionalInfo" localSheetId="8" hidden="1">#REF!</definedName>
    <definedName name="gls_GenAdditionalInfo" hidden="1">#REF!</definedName>
    <definedName name="gls_GenComments" localSheetId="2" hidden="1">#REF!</definedName>
    <definedName name="gls_GenComments" localSheetId="8" hidden="1">#REF!</definedName>
    <definedName name="gls_GenComments" hidden="1">#REF!</definedName>
    <definedName name="gls_GenCompany" localSheetId="2" hidden="1">#REF!</definedName>
    <definedName name="gls_GenCompany" localSheetId="8" hidden="1">#REF!</definedName>
    <definedName name="gls_GenCompany" hidden="1">#REF!</definedName>
    <definedName name="gls_GenCompanyInfo" localSheetId="2" hidden="1">#REF!</definedName>
    <definedName name="gls_GenCompanyInfo" localSheetId="8" hidden="1">#REF!</definedName>
    <definedName name="gls_GenCompanyInfo" hidden="1">#REF!</definedName>
    <definedName name="gls_GenCountry" localSheetId="2" hidden="1">#REF!</definedName>
    <definedName name="gls_GenCountry" localSheetId="8" hidden="1">#REF!</definedName>
    <definedName name="gls_GenCountry" hidden="1">#REF!</definedName>
    <definedName name="gls_GenCurrency" localSheetId="2" hidden="1">#REF!</definedName>
    <definedName name="gls_GenCurrency" localSheetId="8" hidden="1">#REF!</definedName>
    <definedName name="gls_GenCurrency" hidden="1">#REF!</definedName>
    <definedName name="gls_GenCurrencyMultiplier" localSheetId="2" hidden="1">#REF!</definedName>
    <definedName name="gls_GenCurrencyMultiplier" localSheetId="8" hidden="1">#REF!</definedName>
    <definedName name="gls_GenCurrencyMultiplier" hidden="1">#REF!</definedName>
    <definedName name="gls_GenEnterCompInfo" localSheetId="2" hidden="1">#REF!</definedName>
    <definedName name="gls_GenEnterCompInfo" localSheetId="8" hidden="1">#REF!</definedName>
    <definedName name="gls_GenEnterCompInfo" hidden="1">#REF!</definedName>
    <definedName name="gls_GenEPSComment" localSheetId="2" hidden="1">#REF!</definedName>
    <definedName name="gls_GenEPSComment" localSheetId="8" hidden="1">#REF!</definedName>
    <definedName name="gls_GenEPSComment" hidden="1">#REF!</definedName>
    <definedName name="gls_GenHomeRegion" localSheetId="2" hidden="1">#REF!</definedName>
    <definedName name="gls_GenHomeRegion" localSheetId="8" hidden="1">#REF!</definedName>
    <definedName name="gls_GenHomeRegion" hidden="1">#REF!</definedName>
    <definedName name="gls_GenLastPublished" localSheetId="2" hidden="1">#REF!</definedName>
    <definedName name="gls_GenLastPublished" localSheetId="8" hidden="1">#REF!</definedName>
    <definedName name="gls_GenLastPublished" hidden="1">#REF!</definedName>
    <definedName name="gls_GenLastRecRevised" localSheetId="2" hidden="1">#REF!</definedName>
    <definedName name="gls_GenLastRecRevised" localSheetId="8" hidden="1">#REF!</definedName>
    <definedName name="gls_GenLastRecRevised" hidden="1">#REF!</definedName>
    <definedName name="gls_GenMainInfo" localSheetId="2" hidden="1">#REF!</definedName>
    <definedName name="gls_GenMainInfo" localSheetId="8" hidden="1">#REF!</definedName>
    <definedName name="gls_GenMainInfo" hidden="1">#REF!</definedName>
    <definedName name="gls_GenNoteComment" localSheetId="2" hidden="1">#REF!</definedName>
    <definedName name="gls_GenNoteComment" localSheetId="8" hidden="1">#REF!</definedName>
    <definedName name="gls_GenNoteComment" hidden="1">#REF!</definedName>
    <definedName name="gls_GenProfile" localSheetId="2" hidden="1">#REF!</definedName>
    <definedName name="gls_GenProfile" localSheetId="8" hidden="1">#REF!</definedName>
    <definedName name="gls_GenProfile" hidden="1">#REF!</definedName>
    <definedName name="gls_GenRecComment" localSheetId="2" hidden="1">#REF!</definedName>
    <definedName name="gls_GenRecComment" localSheetId="8" hidden="1">#REF!</definedName>
    <definedName name="gls_GenRecComment" hidden="1">#REF!</definedName>
    <definedName name="gls_GenSaleslineInfo" localSheetId="2" hidden="1">#REF!</definedName>
    <definedName name="gls_GenSaleslineInfo" localSheetId="8" hidden="1">#REF!</definedName>
    <definedName name="gls_GenSaleslineInfo" hidden="1">#REF!</definedName>
    <definedName name="gls_GenSalesSplitByRegion" localSheetId="2" hidden="1">#REF!</definedName>
    <definedName name="gls_GenSalesSplitByRegion" localSheetId="8" hidden="1">#REF!</definedName>
    <definedName name="gls_GenSalesSplitByRegion" hidden="1">#REF!</definedName>
    <definedName name="gls_GenSalesSplitHeading" localSheetId="2" hidden="1">#REF!</definedName>
    <definedName name="gls_GenSalesSplitHeading" localSheetId="8" hidden="1">#REF!</definedName>
    <definedName name="gls_GenSalesSplitHeading" hidden="1">#REF!</definedName>
    <definedName name="gls_GenSheetVersion" localSheetId="2" hidden="1">#REF!</definedName>
    <definedName name="gls_GenSheetVersion" localSheetId="8" hidden="1">#REF!</definedName>
    <definedName name="gls_GenSheetVersion" hidden="1">#REF!</definedName>
    <definedName name="gls_genStockCore" localSheetId="2" hidden="1">#REF!</definedName>
    <definedName name="gls_genStockCore" localSheetId="8" hidden="1">#REF!</definedName>
    <definedName name="gls_genStockCore" hidden="1">#REF!</definedName>
    <definedName name="gls_genStockRec" localSheetId="2" hidden="1">#REF!</definedName>
    <definedName name="gls_genStockRec" localSheetId="8" hidden="1">#REF!</definedName>
    <definedName name="gls_genStockRec" hidden="1">#REF!</definedName>
    <definedName name="gls_IssuedStockClassHeading" localSheetId="2" hidden="1">#REF!</definedName>
    <definedName name="gls_IssuedStockClassHeading" localSheetId="8" hidden="1">#REF!</definedName>
    <definedName name="gls_IssuedStockClassHeading" hidden="1">#REF!</definedName>
    <definedName name="gls_IssuedStockCodeHeading" localSheetId="2" hidden="1">#REF!</definedName>
    <definedName name="gls_IssuedStockCodeHeading" localSheetId="8" hidden="1">#REF!</definedName>
    <definedName name="gls_IssuedStockCodeHeading" hidden="1">#REF!</definedName>
    <definedName name="gls_IssuedStockFreeFloatHeading" localSheetId="2" hidden="1">#REF!</definedName>
    <definedName name="gls_IssuedStockFreeFloatHeading" localSheetId="8" hidden="1">#REF!</definedName>
    <definedName name="gls_IssuedStockFreeFloatHeading" hidden="1">#REF!</definedName>
    <definedName name="gls_KEY_DATA" localSheetId="2" hidden="1">#REF!</definedName>
    <definedName name="gls_KEY_DATA" localSheetId="8" hidden="1">#REF!</definedName>
    <definedName name="gls_KEY_DATA" hidden="1">#REF!</definedName>
    <definedName name="gls_KEY_VALUE" localSheetId="2" hidden="1">#REF!</definedName>
    <definedName name="gls_KEY_VALUE" localSheetId="8" hidden="1">#REF!</definedName>
    <definedName name="gls_KEY_VALUE" hidden="1">#REF!</definedName>
    <definedName name="gls_PERIOD_CODE" localSheetId="2" hidden="1">#REF!</definedName>
    <definedName name="gls_PERIOD_CODE" localSheetId="8" hidden="1">#REF!</definedName>
    <definedName name="gls_PERIOD_CODE" hidden="1">#REF!</definedName>
    <definedName name="gls_PERIOD_INDICATOR" localSheetId="2" hidden="1">#REF!</definedName>
    <definedName name="gls_PERIOD_INDICATOR" localSheetId="8" hidden="1">#REF!</definedName>
    <definedName name="gls_PERIOD_INDICATOR" hidden="1">#REF!</definedName>
    <definedName name="gls_PERIOD_PARENT_OR_CONSOL" localSheetId="2" hidden="1">#REF!</definedName>
    <definedName name="gls_PERIOD_PARENT_OR_CONSOL" localSheetId="8" hidden="1">#REF!</definedName>
    <definedName name="gls_PERIOD_PARENT_OR_CONSOL" hidden="1">#REF!</definedName>
    <definedName name="gls_PERIOD_TOTAL" localSheetId="2" hidden="1">#REF!</definedName>
    <definedName name="gls_PERIOD_TOTAL" localSheetId="8" hidden="1">#REF!</definedName>
    <definedName name="gls_PERIOD_TOTAL" hidden="1">#REF!</definedName>
    <definedName name="gls_PERIOD_TYPE" localSheetId="2" hidden="1">#REF!</definedName>
    <definedName name="gls_PERIOD_TYPE" localSheetId="8" hidden="1">#REF!</definedName>
    <definedName name="gls_PERIOD_TYPE" hidden="1">#REF!</definedName>
    <definedName name="gls_PrincipalStockClass" localSheetId="2" hidden="1">#REF!</definedName>
    <definedName name="gls_PrincipalStockClass" localSheetId="8" hidden="1">#REF!</definedName>
    <definedName name="gls_PrincipalStockClass" hidden="1">#REF!</definedName>
    <definedName name="gls_Recommendations" localSheetId="2" hidden="1">#REF!</definedName>
    <definedName name="gls_Recommendations" localSheetId="8" hidden="1">#REF!</definedName>
    <definedName name="gls_Recommendations" hidden="1">#REF!</definedName>
    <definedName name="gls_SASS5HistEPSGrowth" localSheetId="2" hidden="1">#REF!</definedName>
    <definedName name="gls_SASS5HistEPSGrowth" localSheetId="8" hidden="1">#REF!</definedName>
    <definedName name="gls_SASS5HistEPSGrowth" hidden="1">#REF!</definedName>
    <definedName name="gls_SASS5ProjEPSGrowth" localSheetId="2" hidden="1">#REF!</definedName>
    <definedName name="gls_SASS5ProjEPSGrowth" localSheetId="8" hidden="1">#REF!</definedName>
    <definedName name="gls_SASS5ProjEPSGrowth" hidden="1">#REF!</definedName>
    <definedName name="gls_SASSDirectorHoldings" localSheetId="2" hidden="1">#REF!</definedName>
    <definedName name="gls_SASSDirectorHoldings" localSheetId="8" hidden="1">#REF!</definedName>
    <definedName name="gls_SASSDirectorHoldings" hidden="1">#REF!</definedName>
    <definedName name="gls_SASSEPS45AGR" localSheetId="2" hidden="1">#REF!</definedName>
    <definedName name="gls_SASSEPS45AGR" localSheetId="8" hidden="1">#REF!</definedName>
    <definedName name="gls_SASSEPS45AGR" hidden="1">#REF!</definedName>
    <definedName name="gls_SASSIsInterimLastAnnounce" localSheetId="2" hidden="1">#REF!</definedName>
    <definedName name="gls_SASSIsInterimLastAnnounce" localSheetId="8" hidden="1">#REF!</definedName>
    <definedName name="gls_SASSIsInterimLastAnnounce" hidden="1">#REF!</definedName>
    <definedName name="gls_SASSLastAnnounce" localSheetId="2" hidden="1">#REF!</definedName>
    <definedName name="gls_SASSLastAnnounce" localSheetId="8" hidden="1">#REF!</definedName>
    <definedName name="gls_SASSLastAnnounce" hidden="1">#REF!</definedName>
    <definedName name="gls_SASSNETDIV45AGR" localSheetId="2" hidden="1">#REF!</definedName>
    <definedName name="gls_SASSNETDIV45AGR" localSheetId="8" hidden="1">#REF!</definedName>
    <definedName name="gls_SASSNETDIV45AGR" hidden="1">#REF!</definedName>
    <definedName name="gls_ShareholderClassHeading" localSheetId="2" hidden="1">#REF!</definedName>
    <definedName name="gls_ShareholderClassHeading" localSheetId="8" hidden="1">#REF!</definedName>
    <definedName name="gls_ShareholderClassHeading" hidden="1">#REF!</definedName>
    <definedName name="gls_ShareholderHolding" localSheetId="2" hidden="1">#REF!</definedName>
    <definedName name="gls_ShareholderHolding" localSheetId="8" hidden="1">#REF!</definedName>
    <definedName name="gls_ShareholderHolding" hidden="1">#REF!</definedName>
    <definedName name="gls_ShareholderHoldingHeading" localSheetId="2" hidden="1">#REF!</definedName>
    <definedName name="gls_ShareholderHoldingHeading" localSheetId="8" hidden="1">#REF!</definedName>
    <definedName name="gls_ShareholderHoldingHeading" hidden="1">#REF!</definedName>
    <definedName name="gls_ShareholderName" localSheetId="2" hidden="1">#REF!</definedName>
    <definedName name="gls_ShareholderName" localSheetId="8" hidden="1">#REF!</definedName>
    <definedName name="gls_ShareholderName" hidden="1">#REF!</definedName>
    <definedName name="gls_ShareholderNameHeading" localSheetId="2" hidden="1">#REF!</definedName>
    <definedName name="gls_ShareholderNameHeading" localSheetId="8" hidden="1">#REF!</definedName>
    <definedName name="gls_ShareholderNameHeading" hidden="1">#REF!</definedName>
    <definedName name="gls_ShareholdingName" localSheetId="2" hidden="1">#REF!</definedName>
    <definedName name="gls_ShareholdingName" localSheetId="8" hidden="1">#REF!</definedName>
    <definedName name="gls_ShareholdingName" hidden="1">#REF!</definedName>
    <definedName name="gls_SPARE_YEARS" localSheetId="2" hidden="1">#REF!</definedName>
    <definedName name="gls_SPARE_YEARS" localSheetId="8" hidden="1">#REF!</definedName>
    <definedName name="gls_SPARE_YEARS" hidden="1">#REF!</definedName>
    <definedName name="gls_START_FORMULA_OVERRIDEABLE" localSheetId="2" hidden="1">#REF!</definedName>
    <definedName name="gls_START_FORMULA_OVERRIDEABLE" localSheetId="8" hidden="1">#REF!</definedName>
    <definedName name="gls_START_FORMULA_OVERRIDEABLE" hidden="1">#REF!</definedName>
    <definedName name="gls_START_LOCAL_NAMES" localSheetId="2" hidden="1">#REF!</definedName>
    <definedName name="gls_START_LOCAL_NAMES" localSheetId="8" hidden="1">#REF!</definedName>
    <definedName name="gls_START_LOCAL_NAMES" hidden="1">#REF!</definedName>
    <definedName name="gls_START_PERIOD_CURRENCY" localSheetId="2" hidden="1">#REF!</definedName>
    <definedName name="gls_START_PERIOD_CURRENCY" localSheetId="8" hidden="1">#REF!</definedName>
    <definedName name="gls_START_PERIOD_CURRENCY" hidden="1">#REF!</definedName>
    <definedName name="gls_START_STATUS" localSheetId="2" hidden="1">#REF!</definedName>
    <definedName name="gls_START_STATUS" localSheetId="8" hidden="1">#REF!</definedName>
    <definedName name="gls_START_STATUS" hidden="1">#REF!</definedName>
    <definedName name="gls_START_USER_REQ" localSheetId="2" hidden="1">#REF!</definedName>
    <definedName name="gls_START_USER_REQ" localSheetId="8" hidden="1">#REF!</definedName>
    <definedName name="gls_START_USER_REQ" hidden="1">#REF!</definedName>
    <definedName name="gls_START_USER_STATUS" localSheetId="2" hidden="1">#REF!</definedName>
    <definedName name="gls_START_USER_STATUS" localSheetId="8" hidden="1">#REF!</definedName>
    <definedName name="gls_START_USER_STATUS" hidden="1">#REF!</definedName>
    <definedName name="gls_START_VALIDATION" localSheetId="2" hidden="1">#REF!</definedName>
    <definedName name="gls_START_VALIDATION" localSheetId="8" hidden="1">#REF!</definedName>
    <definedName name="gls_START_VALIDATION" hidden="1">#REF!</definedName>
    <definedName name="gls_START_WHAT" localSheetId="2" hidden="1">#REF!</definedName>
    <definedName name="gls_START_WHAT" localSheetId="8" hidden="1">#REF!</definedName>
    <definedName name="gls_START_WHAT" hidden="1">#REF!</definedName>
    <definedName name="gls_START_YEAR" localSheetId="2" hidden="1">#REF!</definedName>
    <definedName name="gls_START_YEAR" localSheetId="8" hidden="1">#REF!</definedName>
    <definedName name="gls_START_YEAR" hidden="1">#REF!</definedName>
    <definedName name="gls_TEMP_PERIOD_CODE" localSheetId="2" hidden="1">#REF!</definedName>
    <definedName name="gls_TEMP_PERIOD_CODE" localSheetId="8" hidden="1">#REF!</definedName>
    <definedName name="gls_TEMP_PERIOD_CODE" hidden="1">#REF!</definedName>
    <definedName name="gls_YEAR_AE_CONTROL" localSheetId="2" hidden="1">#REF!</definedName>
    <definedName name="gls_YEAR_AE_CONTROL" localSheetId="8" hidden="1">#REF!</definedName>
    <definedName name="gls_YEAR_AE_CONTROL" hidden="1">#REF!</definedName>
    <definedName name="gls_YEAR_END_ROW" localSheetId="2" hidden="1">#REF!</definedName>
    <definedName name="gls_YEAR_END_ROW" localSheetId="8" hidden="1">#REF!</definedName>
    <definedName name="gls_YEAR_END_ROW" hidden="1">#REF!</definedName>
    <definedName name="gmail" localSheetId="4"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gmail" localSheetId="8"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gmail" localSheetId="6"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gmail"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growth">'[54]Income Summary'!$C$128</definedName>
    <definedName name="GSF">[55]Dashboard!$E$7</definedName>
    <definedName name="GSFR3">[55]Dashboard!$E$83</definedName>
    <definedName name="h" localSheetId="4" hidden="1">{"ed1",#N/A,TRUE,"E-D";"ed2",#N/A,TRUE,"E-D"}</definedName>
    <definedName name="h" localSheetId="6" hidden="1">{"ed1",#N/A,TRUE,"E-D";"ed2",#N/A,TRUE,"E-D"}</definedName>
    <definedName name="h" hidden="1">{"ed1",#N/A,TRUE,"E-D";"ed2",#N/A,TRUE,"E-D"}</definedName>
    <definedName name="hallo" localSheetId="4" hidden="1">{#N/A,#N/A,FALSE,"Occ and Rate";#N/A,#N/A,FALSE,"PF Input";#N/A,#N/A,FALSE,"Capital Input";#N/A,#N/A,FALSE,"Proforma Five Yr";#N/A,#N/A,FALSE,"Calculations";#N/A,#N/A,FALSE,"Transaction Summary-DTW"}</definedName>
    <definedName name="hallo" localSheetId="8" hidden="1">{#N/A,#N/A,FALSE,"Occ and Rate";#N/A,#N/A,FALSE,"PF Input";#N/A,#N/A,FALSE,"Capital Input";#N/A,#N/A,FALSE,"Proforma Five Yr";#N/A,#N/A,FALSE,"Calculations";#N/A,#N/A,FALSE,"Transaction Summary-DTW"}</definedName>
    <definedName name="hallo" localSheetId="6" hidden="1">{#N/A,#N/A,FALSE,"Occ and Rate";#N/A,#N/A,FALSE,"PF Input";#N/A,#N/A,FALSE,"Capital Input";#N/A,#N/A,FALSE,"Proforma Five Yr";#N/A,#N/A,FALSE,"Calculations";#N/A,#N/A,FALSE,"Transaction Summary-DTW"}</definedName>
    <definedName name="hallo" hidden="1">{#N/A,#N/A,FALSE,"Occ and Rate";#N/A,#N/A,FALSE,"PF Input";#N/A,#N/A,FALSE,"Capital Input";#N/A,#N/A,FALSE,"Proforma Five Yr";#N/A,#N/A,FALSE,"Calculations";#N/A,#N/A,FALSE,"Transaction Summary-DTW"}</definedName>
    <definedName name="hfgh" localSheetId="4" hidden="1">{"sheet a",#N/A,FALSE,"A";"sheet b 1",#N/A,FALSE,"B";"sheet b 2",#N/A,FALSE,"B"}</definedName>
    <definedName name="hfgh" localSheetId="8" hidden="1">{"sheet a",#N/A,FALSE,"A";"sheet b 1",#N/A,FALSE,"B";"sheet b 2",#N/A,FALSE,"B"}</definedName>
    <definedName name="hfgh" localSheetId="6" hidden="1">{"sheet a",#N/A,FALSE,"A";"sheet b 1",#N/A,FALSE,"B";"sheet b 2",#N/A,FALSE,"B"}</definedName>
    <definedName name="hfgh" hidden="1">{"sheet a",#N/A,FALSE,"A";"sheet b 1",#N/A,FALSE,"B";"sheet b 2",#N/A,FALSE,"B"}</definedName>
    <definedName name="HFH" localSheetId="4" hidden="1">{"print annual inc. statement",#N/A,FALSE,"Summary";"print annual stats",#N/A,FALSE,"Summary";"print quarterly inc. statement",#N/A,FALSE,"Summary";"print quarterly stats",#N/A,FALSE,"Summary"}</definedName>
    <definedName name="HFH" localSheetId="8" hidden="1">{"print annual inc. statement",#N/A,FALSE,"Summary";"print annual stats",#N/A,FALSE,"Summary";"print quarterly inc. statement",#N/A,FALSE,"Summary";"print quarterly stats",#N/A,FALSE,"Summary"}</definedName>
    <definedName name="HFH" localSheetId="6" hidden="1">{"print annual inc. statement",#N/A,FALSE,"Summary";"print annual stats",#N/A,FALSE,"Summary";"print quarterly inc. statement",#N/A,FALSE,"Summary";"print quarterly stats",#N/A,FALSE,"Summary"}</definedName>
    <definedName name="HFH" hidden="1">{"print annual inc. statement",#N/A,FALSE,"Summary";"print annual stats",#N/A,FALSE,"Summary";"print quarterly inc. statement",#N/A,FALSE,"Summary";"print quarterly stats",#N/A,FALSE,"Summary"}</definedName>
    <definedName name="hgfgh" localSheetId="4" hidden="1">{"Zone1",#N/A,FALSE,"Parameters";"Zone2",#N/A,FALSE,"Parameters"}</definedName>
    <definedName name="hgfgh" localSheetId="8" hidden="1">{"Zone1",#N/A,FALSE,"Parameters";"Zone2",#N/A,FALSE,"Parameters"}</definedName>
    <definedName name="hgfgh" localSheetId="6" hidden="1">{"Zone1",#N/A,FALSE,"Parameters";"Zone2",#N/A,FALSE,"Parameters"}</definedName>
    <definedName name="hgfgh" hidden="1">{"Zone1",#N/A,FALSE,"Parameters";"Zone2",#N/A,FALSE,"Parameters"}</definedName>
    <definedName name="hgfhgf" localSheetId="2" hidden="1">'[56]Forecast %'!#REF!</definedName>
    <definedName name="hgfhgf" localSheetId="4" hidden="1">'[56]Forecast %'!#REF!</definedName>
    <definedName name="hgfhgf" localSheetId="8" hidden="1">'[56]Forecast %'!#REF!</definedName>
    <definedName name="hgfhgf" localSheetId="6" hidden="1">'[56]Forecast %'!#REF!</definedName>
    <definedName name="hgfhgf" hidden="1">'[56]Forecast %'!#REF!</definedName>
    <definedName name="hh" localSheetId="8" hidden="1">{"Valuation",#N/A,TRUE,"Valuation Summary";"Financial Statements",#N/A,TRUE,"Results";"Results",#N/A,TRUE,"Results";"Ratios",#N/A,TRUE,"Results";"P2 Summary",#N/A,TRUE,"Results";"Historical data",#N/A,TRUE,"Historical Data";"P1 Inputs",#N/A,TRUE,"Forecast Drivers";"P2 Inputs",#N/A,TRUE,"Forecast Drivers"}</definedName>
    <definedName name="hh" hidden="1">{"Valuation",#N/A,TRUE,"Valuation Summary";"Financial Statements",#N/A,TRUE,"Results";"Results",#N/A,TRUE,"Results";"Ratios",#N/A,TRUE,"Results";"P2 Summary",#N/A,TRUE,"Results";"Historical data",#N/A,TRUE,"Historical Data";"P1 Inputs",#N/A,TRUE,"Forecast Drivers";"P2 Inputs",#N/A,TRUE,"Forecast Drivers"}</definedName>
    <definedName name="hhh" localSheetId="8" hidden="1">{"uno",#N/A,FALSE,"Dist total";"COMENTARIO",#N/A,FALSE,"Ficha CODICE"}</definedName>
    <definedName name="hhh" hidden="1">{"uno",#N/A,FALSE,"Dist total";"COMENTARIO",#N/A,FALSE,"Ficha CODICE"}</definedName>
    <definedName name="hhhh" localSheetId="8" hidden="1">{"uno",#N/A,FALSE,"Dist total";"COMENTARIO",#N/A,FALSE,"Ficha CODICE"}</definedName>
    <definedName name="hhhh" hidden="1">{"uno",#N/A,FALSE,"Dist total";"COMENTARIO",#N/A,FALSE,"Ficha CODICE"}</definedName>
    <definedName name="hhhhhhhhhhhh" localSheetId="4" hidden="1">{#N/A,#N/A,FALSE,"CCC ACC Budget";#N/A,#N/A,FALSE,"Variance";#N/A,#N/A,FALSE,"CCC Rent Detail";#N/A,#N/A,FALSE,"COMMON AREA";#N/A,#N/A,FALSE,"CCC Electric Inclusion";#N/A,#N/A,FALSE,"CCC Opex Detail";#N/A,#N/A,FALSE,"CCC RE Tax Detail";#N/A,#N/A,FALSE,"CCC Chilled Wtr Inclusion";#N/A,#N/A,FALSE,"CCC OTHVAC ";#N/A,#N/A,FALSE,"CCC INPUT"}</definedName>
    <definedName name="hhhhhhhhhhhh" localSheetId="8" hidden="1">{#N/A,#N/A,FALSE,"CCC ACC Budget";#N/A,#N/A,FALSE,"Variance";#N/A,#N/A,FALSE,"CCC Rent Detail";#N/A,#N/A,FALSE,"COMMON AREA";#N/A,#N/A,FALSE,"CCC Electric Inclusion";#N/A,#N/A,FALSE,"CCC Opex Detail";#N/A,#N/A,FALSE,"CCC RE Tax Detail";#N/A,#N/A,FALSE,"CCC Chilled Wtr Inclusion";#N/A,#N/A,FALSE,"CCC OTHVAC ";#N/A,#N/A,FALSE,"CCC INPUT"}</definedName>
    <definedName name="hhhhhhhhhhhh" localSheetId="6" hidden="1">{#N/A,#N/A,FALSE,"CCC ACC Budget";#N/A,#N/A,FALSE,"Variance";#N/A,#N/A,FALSE,"CCC Rent Detail";#N/A,#N/A,FALSE,"COMMON AREA";#N/A,#N/A,FALSE,"CCC Electric Inclusion";#N/A,#N/A,FALSE,"CCC Opex Detail";#N/A,#N/A,FALSE,"CCC RE Tax Detail";#N/A,#N/A,FALSE,"CCC Chilled Wtr Inclusion";#N/A,#N/A,FALSE,"CCC OTHVAC ";#N/A,#N/A,FALSE,"CCC INPUT"}</definedName>
    <definedName name="hhhhhhhhhhhh" hidden="1">{#N/A,#N/A,FALSE,"CCC ACC Budget";#N/A,#N/A,FALSE,"Variance";#N/A,#N/A,FALSE,"CCC Rent Detail";#N/A,#N/A,FALSE,"COMMON AREA";#N/A,#N/A,FALSE,"CCC Electric Inclusion";#N/A,#N/A,FALSE,"CCC Opex Detail";#N/A,#N/A,FALSE,"CCC RE Tax Detail";#N/A,#N/A,FALSE,"CCC Chilled Wtr Inclusion";#N/A,#N/A,FALSE,"CCC OTHVAC ";#N/A,#N/A,FALSE,"CCC INPUT"}</definedName>
    <definedName name="hhhsdf" localSheetId="8" hidden="1">{"up stand alones",#N/A,FALSE,"Acquiror"}</definedName>
    <definedName name="hhhsdf" hidden="1">{"up stand alones",#N/A,FALSE,"Acquiror"}</definedName>
    <definedName name="HI" localSheetId="2" hidden="1">#REF!</definedName>
    <definedName name="HI" localSheetId="4" hidden="1">#REF!</definedName>
    <definedName name="HI" localSheetId="8" hidden="1">#REF!</definedName>
    <definedName name="HI" hidden="1">#REF!</definedName>
    <definedName name="HISAPR" localSheetId="2">#REF!</definedName>
    <definedName name="HISAPR" localSheetId="4">#REF!</definedName>
    <definedName name="HISAPR" localSheetId="8">#REF!</definedName>
    <definedName name="HISAPR">#REF!</definedName>
    <definedName name="HISAUG" localSheetId="2">#REF!</definedName>
    <definedName name="HISAUG" localSheetId="4">#REF!</definedName>
    <definedName name="HISAUG" localSheetId="8">#REF!</definedName>
    <definedName name="HISAUG" localSheetId="6">#REF!</definedName>
    <definedName name="HISAUG">#REF!</definedName>
    <definedName name="HISDEC" localSheetId="2">#REF!</definedName>
    <definedName name="HISDEC" localSheetId="4">#REF!</definedName>
    <definedName name="HISDEC" localSheetId="8">#REF!</definedName>
    <definedName name="HISDEC" localSheetId="6">#REF!</definedName>
    <definedName name="HISDEC">#REF!</definedName>
    <definedName name="HISFEB" localSheetId="2">#REF!</definedName>
    <definedName name="HISFEB" localSheetId="4">#REF!</definedName>
    <definedName name="HISFEB" localSheetId="8">#REF!</definedName>
    <definedName name="HISFEB" localSheetId="6">#REF!</definedName>
    <definedName name="HISFEB">#REF!</definedName>
    <definedName name="HISJAN" localSheetId="2">#REF!</definedName>
    <definedName name="HISJAN" localSheetId="4">#REF!</definedName>
    <definedName name="HISJAN" localSheetId="8">#REF!</definedName>
    <definedName name="HISJAN" localSheetId="6">#REF!</definedName>
    <definedName name="HISJAN">#REF!</definedName>
    <definedName name="HISJUL" localSheetId="2">#REF!</definedName>
    <definedName name="HISJUL" localSheetId="4">#REF!</definedName>
    <definedName name="HISJUL" localSheetId="8">#REF!</definedName>
    <definedName name="HISJUL" localSheetId="6">#REF!</definedName>
    <definedName name="HISJUL">#REF!</definedName>
    <definedName name="HISJUN" localSheetId="2">#REF!</definedName>
    <definedName name="HISJUN" localSheetId="4">#REF!</definedName>
    <definedName name="HISJUN" localSheetId="8">#REF!</definedName>
    <definedName name="HISJUN" localSheetId="6">#REF!</definedName>
    <definedName name="HISJUN">#REF!</definedName>
    <definedName name="HISMAR" localSheetId="2">#REF!</definedName>
    <definedName name="HISMAR" localSheetId="4">#REF!</definedName>
    <definedName name="HISMAR" localSheetId="8">#REF!</definedName>
    <definedName name="HISMAR" localSheetId="6">#REF!</definedName>
    <definedName name="HISMAR">#REF!</definedName>
    <definedName name="HISMAY" localSheetId="2">#REF!</definedName>
    <definedName name="HISMAY" localSheetId="4">#REF!</definedName>
    <definedName name="HISMAY" localSheetId="8">#REF!</definedName>
    <definedName name="HISMAY" localSheetId="6">#REF!</definedName>
    <definedName name="HISMAY">#REF!</definedName>
    <definedName name="HISMTDAPR" localSheetId="2">#REF!</definedName>
    <definedName name="HISMTDAPR" localSheetId="4">#REF!</definedName>
    <definedName name="HISMTDAPR" localSheetId="8">#REF!</definedName>
    <definedName name="HISMTDAPR" localSheetId="6">#REF!</definedName>
    <definedName name="HISMTDAPR">#REF!</definedName>
    <definedName name="HISMTDAUG" localSheetId="2">#REF!</definedName>
    <definedName name="HISMTDAUG" localSheetId="4">#REF!</definedName>
    <definedName name="HISMTDAUG" localSheetId="8">#REF!</definedName>
    <definedName name="HISMTDAUG" localSheetId="6">#REF!</definedName>
    <definedName name="HISMTDAUG">#REF!</definedName>
    <definedName name="HISMTDDEC" localSheetId="2">#REF!</definedName>
    <definedName name="HISMTDDEC" localSheetId="4">#REF!</definedName>
    <definedName name="HISMTDDEC" localSheetId="8">#REF!</definedName>
    <definedName name="HISMTDDEC" localSheetId="6">#REF!</definedName>
    <definedName name="HISMTDDEC">#REF!</definedName>
    <definedName name="HISMTDFEB" localSheetId="2">#REF!</definedName>
    <definedName name="HISMTDFEB" localSheetId="4">#REF!</definedName>
    <definedName name="HISMTDFEB" localSheetId="8">#REF!</definedName>
    <definedName name="HISMTDFEB" localSheetId="6">#REF!</definedName>
    <definedName name="HISMTDFEB">#REF!</definedName>
    <definedName name="HISMTDJAN" localSheetId="2">#REF!</definedName>
    <definedName name="HISMTDJAN" localSheetId="4">#REF!</definedName>
    <definedName name="HISMTDJAN" localSheetId="8">#REF!</definedName>
    <definedName name="HISMTDJAN" localSheetId="6">#REF!</definedName>
    <definedName name="HISMTDJAN">#REF!</definedName>
    <definedName name="HISMTDJUL" localSheetId="2">#REF!</definedName>
    <definedName name="HISMTDJUL" localSheetId="4">#REF!</definedName>
    <definedName name="HISMTDJUL" localSheetId="8">#REF!</definedName>
    <definedName name="HISMTDJUL" localSheetId="6">#REF!</definedName>
    <definedName name="HISMTDJUL">#REF!</definedName>
    <definedName name="HISMTDJUN" localSheetId="2">#REF!</definedName>
    <definedName name="HISMTDJUN" localSheetId="4">#REF!</definedName>
    <definedName name="HISMTDJUN" localSheetId="8">#REF!</definedName>
    <definedName name="HISMTDJUN" localSheetId="6">#REF!</definedName>
    <definedName name="HISMTDJUN">#REF!</definedName>
    <definedName name="HISMTDMAR" localSheetId="2">#REF!</definedName>
    <definedName name="HISMTDMAR" localSheetId="4">#REF!</definedName>
    <definedName name="HISMTDMAR" localSheetId="8">#REF!</definedName>
    <definedName name="HISMTDMAR" localSheetId="6">#REF!</definedName>
    <definedName name="HISMTDMAR">#REF!</definedName>
    <definedName name="HISMTDMAY" localSheetId="2">#REF!</definedName>
    <definedName name="HISMTDMAY" localSheetId="4">#REF!</definedName>
    <definedName name="HISMTDMAY" localSheetId="8">#REF!</definedName>
    <definedName name="HISMTDMAY" localSheetId="6">#REF!</definedName>
    <definedName name="HISMTDMAY">#REF!</definedName>
    <definedName name="HISMTDNOV" localSheetId="2">#REF!</definedName>
    <definedName name="HISMTDNOV" localSheetId="4">#REF!</definedName>
    <definedName name="HISMTDNOV" localSheetId="8">#REF!</definedName>
    <definedName name="HISMTDNOV" localSheetId="6">#REF!</definedName>
    <definedName name="HISMTDNOV">#REF!</definedName>
    <definedName name="HISMTDOCT" localSheetId="2">#REF!</definedName>
    <definedName name="HISMTDOCT" localSheetId="4">#REF!</definedName>
    <definedName name="HISMTDOCT" localSheetId="8">#REF!</definedName>
    <definedName name="HISMTDOCT" localSheetId="6">#REF!</definedName>
    <definedName name="HISMTDOCT">#REF!</definedName>
    <definedName name="HISMTDSEP" localSheetId="2">#REF!</definedName>
    <definedName name="HISMTDSEP" localSheetId="4">#REF!</definedName>
    <definedName name="HISMTDSEP" localSheetId="8">#REF!</definedName>
    <definedName name="HISMTDSEP" localSheetId="6">#REF!</definedName>
    <definedName name="HISMTDSEP">#REF!</definedName>
    <definedName name="HISNOV" localSheetId="2">#REF!</definedName>
    <definedName name="HISNOV" localSheetId="4">#REF!</definedName>
    <definedName name="HISNOV" localSheetId="8">#REF!</definedName>
    <definedName name="HISNOV" localSheetId="6">#REF!</definedName>
    <definedName name="HISNOV">#REF!</definedName>
    <definedName name="HISOCT" localSheetId="2">#REF!</definedName>
    <definedName name="HISOCT" localSheetId="4">#REF!</definedName>
    <definedName name="HISOCT" localSheetId="8">#REF!</definedName>
    <definedName name="HISOCT" localSheetId="6">#REF!</definedName>
    <definedName name="HISOCT">#REF!</definedName>
    <definedName name="HISSEP" localSheetId="2">#REF!</definedName>
    <definedName name="HISSEP" localSheetId="4">#REF!</definedName>
    <definedName name="HISSEP" localSheetId="8">#REF!</definedName>
    <definedName name="HISSEP" localSheetId="6">#REF!</definedName>
    <definedName name="HISSEP">#REF!</definedName>
    <definedName name="HISTORICO" localSheetId="8" hidden="1">{#N/A,#N/A,TRUE,"Julio";#N/A,#N/A,TRUE,"Agosto";#N/A,#N/A,TRUE,"BHCo";#N/A,#N/A,TRUE,"Abril";#N/A,#N/A,TRUE,"Pro Forma"}</definedName>
    <definedName name="HISTORICO" hidden="1">{#N/A,#N/A,TRUE,"Julio";#N/A,#N/A,TRUE,"Agosto";#N/A,#N/A,TRUE,"BHCo";#N/A,#N/A,TRUE,"Abril";#N/A,#N/A,TRUE,"Pro Forma"}</definedName>
    <definedName name="HISTORY" localSheetId="2">#REF!</definedName>
    <definedName name="HISTORY" localSheetId="4">#REF!</definedName>
    <definedName name="HISTORY" localSheetId="8">#REF!</definedName>
    <definedName name="HISTORY" localSheetId="6">#REF!</definedName>
    <definedName name="HISTORY">#REF!</definedName>
    <definedName name="hjhj" localSheetId="4" hidden="1">{"PROFORMA",#N/A,FALSE,"A";"BIGGER 1",#N/A,FALSE,"B";"BIGGER 2",#N/A,FALSE,"B";"BIGGER 3",#N/A,FALSE,"B";"SMALL CF 1",#N/A,FALSE,"C"}</definedName>
    <definedName name="hjhj" localSheetId="8" hidden="1">{"PROFORMA",#N/A,FALSE,"A";"BIGGER 1",#N/A,FALSE,"B";"BIGGER 2",#N/A,FALSE,"B";"BIGGER 3",#N/A,FALSE,"B";"SMALL CF 1",#N/A,FALSE,"C"}</definedName>
    <definedName name="hjhj" localSheetId="6" hidden="1">{"PROFORMA",#N/A,FALSE,"A";"BIGGER 1",#N/A,FALSE,"B";"BIGGER 2",#N/A,FALSE,"B";"BIGGER 3",#N/A,FALSE,"B";"SMALL CF 1",#N/A,FALSE,"C"}</definedName>
    <definedName name="hjhj" hidden="1">{"PROFORMA",#N/A,FALSE,"A";"BIGGER 1",#N/A,FALSE,"B";"BIGGER 2",#N/A,FALSE,"B";"BIGGER 3",#N/A,FALSE,"B";"SMALL CF 1",#N/A,FALSE,"C"}</definedName>
    <definedName name="hjkl" localSheetId="4" hidden="1">{"Zone1",#N/A,FALSE,"Parameters";"Zone2",#N/A,FALSE,"Parameters"}</definedName>
    <definedName name="hjkl" localSheetId="8" hidden="1">{"Zone1",#N/A,FALSE,"Parameters";"Zone2",#N/A,FALSE,"Parameters"}</definedName>
    <definedName name="hjkl" localSheetId="6" hidden="1">{"Zone1",#N/A,FALSE,"Parameters";"Zone2",#N/A,FALSE,"Parameters"}</definedName>
    <definedName name="hjkl" hidden="1">{"Zone1",#N/A,FALSE,"Parameters";"Zone2",#N/A,FALSE,"Parameters"}</definedName>
    <definedName name="hmnxghj" localSheetId="4" hidden="1">{"CF",#N/A,FALSE,"Cash Flow";"RET",#N/A,FALSE,"Returns";"NPV",#N/A,FALSE,"Values";"ASMPT",#N/A,FALSE,"Assumptions"}</definedName>
    <definedName name="hmnxghj" localSheetId="6" hidden="1">{"CF",#N/A,FALSE,"Cash Flow";"RET",#N/A,FALSE,"Returns";"NPV",#N/A,FALSE,"Values";"ASMPT",#N/A,FALSE,"Assumptions"}</definedName>
    <definedName name="hmnxghj" hidden="1">{"CF",#N/A,FALSE,"Cash Flow";"RET",#N/A,FALSE,"Returns";"NPV",#N/A,FALSE,"Values";"ASMPT",#N/A,FALSE,"Assumptions"}</definedName>
    <definedName name="hn.ExtDb" hidden="1">FALSE</definedName>
    <definedName name="hn.ModelType" hidden="1">"DEAL"</definedName>
    <definedName name="hn.ModelVersion" hidden="1">1</definedName>
    <definedName name="hn.NoUpload" hidden="1">0</definedName>
    <definedName name="hola" localSheetId="8" hidden="1">{"ANAR",#N/A,FALSE,"Dist total";"MARGEN",#N/A,FALSE,"Dist total";"COMENTARIO",#N/A,FALSE,"Ficha CODICE";"CONSEJO",#N/A,FALSE,"Dist p0";"uno",#N/A,FALSE,"Dist total"}</definedName>
    <definedName name="hola" hidden="1">{"ANAR",#N/A,FALSE,"Dist total";"MARGEN",#N/A,FALSE,"Dist total";"COMENTARIO",#N/A,FALSE,"Ficha CODICE";"CONSEJO",#N/A,FALSE,"Dist p0";"uno",#N/A,FALSE,"Dist total"}</definedName>
    <definedName name="hope" localSheetId="4" hidden="1">{#N/A,#N/A,FALSE,"LP Exp";#N/A,#N/A,FALSE,"Salary";#N/A,#N/A,FALSE,"Admin Exp";#N/A,#N/A,FALSE,"QTS Bud";#N/A,#N/A,FALSE,"Marketing"}</definedName>
    <definedName name="hope" localSheetId="8" hidden="1">{#N/A,#N/A,FALSE,"LP Exp";#N/A,#N/A,FALSE,"Salary";#N/A,#N/A,FALSE,"Admin Exp";#N/A,#N/A,FALSE,"QTS Bud";#N/A,#N/A,FALSE,"Marketing"}</definedName>
    <definedName name="hope" localSheetId="6" hidden="1">{#N/A,#N/A,FALSE,"LP Exp";#N/A,#N/A,FALSE,"Salary";#N/A,#N/A,FALSE,"Admin Exp";#N/A,#N/A,FALSE,"QTS Bud";#N/A,#N/A,FALSE,"Marketing"}</definedName>
    <definedName name="hope" hidden="1">{#N/A,#N/A,FALSE,"LP Exp";#N/A,#N/A,FALSE,"Salary";#N/A,#N/A,FALSE,"Admin Exp";#N/A,#N/A,FALSE,"QTS Bud";#N/A,#N/A,FALSE,"Marketing"}</definedName>
    <definedName name="hope_condo" localSheetId="4" hidden="1">{#N/A,#N/A,FALSE,"LP Exp";#N/A,#N/A,FALSE,"Salary";#N/A,#N/A,FALSE,"Admin Exp";#N/A,#N/A,FALSE,"QTS Bud";#N/A,#N/A,FALSE,"Marketing"}</definedName>
    <definedName name="hope_condo" localSheetId="8" hidden="1">{#N/A,#N/A,FALSE,"LP Exp";#N/A,#N/A,FALSE,"Salary";#N/A,#N/A,FALSE,"Admin Exp";#N/A,#N/A,FALSE,"QTS Bud";#N/A,#N/A,FALSE,"Marketing"}</definedName>
    <definedName name="hope_condo" localSheetId="6" hidden="1">{#N/A,#N/A,FALSE,"LP Exp";#N/A,#N/A,FALSE,"Salary";#N/A,#N/A,FALSE,"Admin Exp";#N/A,#N/A,FALSE,"QTS Bud";#N/A,#N/A,FALSE,"Marketing"}</definedName>
    <definedName name="hope_condo" hidden="1">{#N/A,#N/A,FALSE,"LP Exp";#N/A,#N/A,FALSE,"Salary";#N/A,#N/A,FALSE,"Admin Exp";#N/A,#N/A,FALSE,"QTS Bud";#N/A,#N/A,FALSE,"Marketing"}</definedName>
    <definedName name="html" localSheetId="4" hidden="1">{"'Assump'!$F$6:$J$6"}</definedName>
    <definedName name="html" localSheetId="8" hidden="1">{"'Assump'!$F$6:$J$6"}</definedName>
    <definedName name="html" localSheetId="6" hidden="1">{"'Assump'!$F$6:$J$6"}</definedName>
    <definedName name="html" hidden="1">{"'Assump'!$F$6:$J$6"}</definedName>
    <definedName name="HTML_CodePage" hidden="1">1252</definedName>
    <definedName name="HTML_Control" localSheetId="0" hidden="1">{"'Sheet1'!$A$1:$H$145"}</definedName>
    <definedName name="HTML_Control" localSheetId="4" hidden="1">{"'Assump'!$F$6:$J$6"}</definedName>
    <definedName name="HTML_Control" localSheetId="8" hidden="1">{"'Assump'!$F$6:$J$6"}</definedName>
    <definedName name="HTML_Control" localSheetId="6" hidden="1">{"'Assump'!$F$6:$J$6"}</definedName>
    <definedName name="HTML_Control" hidden="1">{"'Assump'!$F$6:$J$6"}</definedName>
    <definedName name="HTML_Description" hidden="1">""</definedName>
    <definedName name="HTML_Email" hidden="1">""</definedName>
    <definedName name="HTML_Header" localSheetId="0" hidden="1">"Country Risk Premiums"</definedName>
    <definedName name="HTML_Header" hidden="1">"Assump"</definedName>
    <definedName name="HTML_LastUpdate" localSheetId="0" hidden="1">"2/19/99"</definedName>
    <definedName name="HTML_LastUpdate" hidden="1">"7/24/98"</definedName>
    <definedName name="HTML_LineAfter" localSheetId="0" hidden="1">TRUE</definedName>
    <definedName name="HTML_LineAfter" hidden="1">FALSE</definedName>
    <definedName name="HTML_LineBefore" localSheetId="0" hidden="1">TRUE</definedName>
    <definedName name="HTML_LineBefore" hidden="1">FALSE</definedName>
    <definedName name="HTML_Name" localSheetId="0" hidden="1">"Aswath Damodaran"</definedName>
    <definedName name="HTML_Name" hidden="1">"Russell Caplin"</definedName>
    <definedName name="HTML_OBDlg2" hidden="1">TRUE</definedName>
    <definedName name="HTML_OBDlg4" hidden="1">TRUE</definedName>
    <definedName name="HTML_OS" localSheetId="0" hidden="1">1</definedName>
    <definedName name="HTML_OS" hidden="1">0</definedName>
    <definedName name="HTML_PathFile" localSheetId="0" hidden="1">"D:\B Martin\MonHTML.htm"</definedName>
    <definedName name="HTML_PathFile" hidden="1">"C:\acg\MyHTML.htm"</definedName>
    <definedName name="HTML_PathFileMac" hidden="1">"Macintosh HD:HomePageStuff:New_Home_Page:datafile:ctryprem.html"</definedName>
    <definedName name="HTML_Title" localSheetId="0" hidden="1">"Country Risk Premiums"</definedName>
    <definedName name="HTML_Title" hidden="1">"ashish"</definedName>
    <definedName name="HTML1_1" hidden="1">"[ReturnsHistorical]Sheet1!$A$1:$D$77"</definedName>
    <definedName name="HTML1_10" hidden="1">""</definedName>
    <definedName name="HTML1_11" hidden="1">1</definedName>
    <definedName name="HTML1_12" hidden="1">"Zip 100:New_Home_Page:datafile:histret.html"</definedName>
    <definedName name="HTML1_2" hidden="1">1</definedName>
    <definedName name="HTML1_3" hidden="1">"ReturnsHistorical"</definedName>
    <definedName name="HTML1_4" hidden="1">"Historical Returns on Stocks, Bonds and Bills"</definedName>
    <definedName name="HTML1_5" hidden="1">"Ibbotson Data"</definedName>
    <definedName name="HTML1_6" hidden="1">-4146</definedName>
    <definedName name="HTML1_7" hidden="1">-4146</definedName>
    <definedName name="HTML1_8" hidden="1">"3/17/97"</definedName>
    <definedName name="HTML1_9" hidden="1">"Aswath Damodaran"</definedName>
    <definedName name="HTML2_1" hidden="1">"[histret.xls]Sheet1!$A$1:$G$85"</definedName>
    <definedName name="HTML2_10" hidden="1">""</definedName>
    <definedName name="HTML2_11" hidden="1">1</definedName>
    <definedName name="HTML2_12" hidden="1">"Macintosh HD:New_Home_Page:datafile:histret.html"</definedName>
    <definedName name="HTML2_2" hidden="1">1</definedName>
    <definedName name="HTML2_3" hidden="1">"Historical Returns"</definedName>
    <definedName name="HTML2_4" hidden="1">"Historical Returns on Stocks, Bonds and Bills"</definedName>
    <definedName name="HTML2_5" hidden="1">""</definedName>
    <definedName name="HTML2_6" hidden="1">1</definedName>
    <definedName name="HTML2_7" hidden="1">1</definedName>
    <definedName name="HTML2_8" hidden="1">"2/3/98"</definedName>
    <definedName name="HTML2_9" hidden="1">"Aswath Damodaran"</definedName>
    <definedName name="HTMLCount" hidden="1">2</definedName>
    <definedName name="htmlnew" localSheetId="4" hidden="1">{"'Assump'!$F$6:$J$6"}</definedName>
    <definedName name="htmlnew" localSheetId="8" hidden="1">{"'Assump'!$F$6:$J$6"}</definedName>
    <definedName name="htmlnew" localSheetId="6" hidden="1">{"'Assump'!$F$6:$J$6"}</definedName>
    <definedName name="htmlnew" hidden="1">{"'Assump'!$F$6:$J$6"}</definedName>
    <definedName name="huh" localSheetId="4" hidden="1">{#N/A,#N/A,FALSE,"Assumptions";#N/A,#N/A,FALSE,"Impact Assumptions";#N/A,#N/A,FALSE,"10-Yr - detail";#N/A,#N/A,FALSE,"1,5,10 yr comp";#N/A,#N/A,FALSE,"Lse-Exp.";#N/A,#N/A,FALSE,"Rent Roll";#N/A,#N/A,FALSE,"Historical (2)";#N/A,#N/A,FALSE,"RET's";#N/A,#N/A,FALSE,"Lease Rollover"}</definedName>
    <definedName name="huh" localSheetId="6" hidden="1">{#N/A,#N/A,FALSE,"Assumptions";#N/A,#N/A,FALSE,"Impact Assumptions";#N/A,#N/A,FALSE,"10-Yr - detail";#N/A,#N/A,FALSE,"1,5,10 yr comp";#N/A,#N/A,FALSE,"Lse-Exp.";#N/A,#N/A,FALSE,"Rent Roll";#N/A,#N/A,FALSE,"Historical (2)";#N/A,#N/A,FALSE,"RET's";#N/A,#N/A,FALSE,"Lease Rollover"}</definedName>
    <definedName name="huh" hidden="1">{#N/A,#N/A,FALSE,"Assumptions";#N/A,#N/A,FALSE,"Impact Assumptions";#N/A,#N/A,FALSE,"10-Yr - detail";#N/A,#N/A,FALSE,"1,5,10 yr comp";#N/A,#N/A,FALSE,"Lse-Exp.";#N/A,#N/A,FALSE,"Rent Roll";#N/A,#N/A,FALSE,"Historical (2)";#N/A,#N/A,FALSE,"RET's";#N/A,#N/A,FALSE,"Lease Rollover"}</definedName>
    <definedName name="i" localSheetId="8" hidden="1">{#N/A,#N/A,FALSE,"Aging Summary";#N/A,#N/A,FALSE,"Ratio Analysis";#N/A,#N/A,FALSE,"Test 120 Day Accts";#N/A,#N/A,FALSE,"Tickmarks"}</definedName>
    <definedName name="i" hidden="1">{#N/A,#N/A,FALSE,"Aging Summary";#N/A,#N/A,FALSE,"Ratio Analysis";#N/A,#N/A,FALSE,"Test 120 Day Accts";#N/A,#N/A,FALSE,"Tickmarks"}</definedName>
    <definedName name="ignore" localSheetId="4" hidden="1">{#N/A,#N/A,FALSE,"WATCHDSC";#N/A,#N/A,FALSE,"2LOSSMOD";#N/A,#N/A,FALSE,"2LOSS";#N/A,#N/A,FALSE,"DSC";#N/A,#N/A,FALSE,"OPERAT";#N/A,#N/A,FALSE,"ADJUST";#N/A,#N/A,FALSE,"LEASE EXPIRE"}</definedName>
    <definedName name="ignore" localSheetId="8" hidden="1">{#N/A,#N/A,FALSE,"WATCHDSC";#N/A,#N/A,FALSE,"2LOSSMOD";#N/A,#N/A,FALSE,"2LOSS";#N/A,#N/A,FALSE,"DSC";#N/A,#N/A,FALSE,"OPERAT";#N/A,#N/A,FALSE,"ADJUST";#N/A,#N/A,FALSE,"LEASE EXPIRE"}</definedName>
    <definedName name="ignore" localSheetId="6" hidden="1">{#N/A,#N/A,FALSE,"WATCHDSC";#N/A,#N/A,FALSE,"2LOSSMOD";#N/A,#N/A,FALSE,"2LOSS";#N/A,#N/A,FALSE,"DSC";#N/A,#N/A,FALSE,"OPERAT";#N/A,#N/A,FALSE,"ADJUST";#N/A,#N/A,FALSE,"LEASE EXPIRE"}</definedName>
    <definedName name="ignore" hidden="1">{#N/A,#N/A,FALSE,"WATCHDSC";#N/A,#N/A,FALSE,"2LOSSMOD";#N/A,#N/A,FALSE,"2LOSS";#N/A,#N/A,FALSE,"DSC";#N/A,#N/A,FALSE,"OPERAT";#N/A,#N/A,FALSE,"ADJUST";#N/A,#N/A,FALSE,"LEASE EXPIRE"}</definedName>
    <definedName name="iiiii" localSheetId="4" hidden="1">{TRUE,TRUE,-1.41610738255034,-14.9463087248322,497.718120805369,308.295302013423,FALSE,TRUE,TRUE,TRUE,0,1,#N/A,1,1,8.41904761904762,2.4,3,FALSE,TRUE,3,TRUE,1,FALSE,100,"Swvu.full.","ACwvu.full.",#N/A,FALSE,FALSE,0.5,0.5,0.5,0.5,2,"","&amp;L&amp;F&amp;R&amp;D   &amp;T",TRUE,FALSE,FALSE,FALSE,1,#N/A,1,1,"=R1C1:R97C24",FALSE,#N/A,#N/A,FALSE,FALSE,FALSE,1,4294967292,300,FALSE,FALSE,TRUE,TRUE,TRUE}</definedName>
    <definedName name="iiiii" localSheetId="6" hidden="1">{TRUE,TRUE,-1.41610738255034,-14.9463087248322,497.718120805369,308.295302013423,FALSE,TRUE,TRUE,TRUE,0,1,#N/A,1,1,8.41904761904762,2.4,3,FALSE,TRUE,3,TRUE,1,FALSE,100,"Swvu.full.","ACwvu.full.",#N/A,FALSE,FALSE,0.5,0.5,0.5,0.5,2,"","&amp;L&amp;F&amp;R&amp;D   &amp;T",TRUE,FALSE,FALSE,FALSE,1,#N/A,1,1,"=R1C1:R97C24",FALSE,#N/A,#N/A,FALSE,FALSE,FALSE,1,4294967292,300,FALSE,FALSE,TRUE,TRUE,TRUE}</definedName>
    <definedName name="iiiii" hidden="1">{TRUE,TRUE,-1.41610738255034,-14.9463087248322,497.718120805369,308.295302013423,FALSE,TRUE,TRUE,TRUE,0,1,#N/A,1,1,8.41904761904762,2.4,3,FALSE,TRUE,3,TRUE,1,FALSE,100,"Swvu.full.","ACwvu.full.",#N/A,FALSE,FALSE,0.5,0.5,0.5,0.5,2,"","&amp;L&amp;F&amp;R&amp;D   &amp;T",TRUE,FALSE,FALSE,FALSE,1,#N/A,1,1,"=R1C1:R97C24",FALSE,#N/A,#N/A,FALSE,FALSE,FALSE,1,4294967292,300,FALSE,FALSE,TRUE,TRUE,TRUE}</definedName>
    <definedName name="ilghd" localSheetId="4" hidden="1">{"Investor",#N/A,FALSE,"Model";"Property",#N/A,FALSE,"Model";"Incentive Taxes",#N/A,FALSE,"Model"}</definedName>
    <definedName name="ilghd" localSheetId="6" hidden="1">{"Investor",#N/A,FALSE,"Model";"Property",#N/A,FALSE,"Model";"Incentive Taxes",#N/A,FALSE,"Model"}</definedName>
    <definedName name="ilghd" hidden="1">{"Investor",#N/A,FALSE,"Model";"Property",#N/A,FALSE,"Model";"Incentive Taxes",#N/A,FALSE,"Model"}</definedName>
    <definedName name="in" localSheetId="4">[39]GenAss!$E$10</definedName>
    <definedName name="in">[41]GenAss!$E$10</definedName>
    <definedName name="inc" localSheetId="2">#REF!</definedName>
    <definedName name="inc" localSheetId="4">[39]GenAss!#REF!</definedName>
    <definedName name="inc" localSheetId="8">#REF!</definedName>
    <definedName name="inc" localSheetId="6">[41]GenAss!#REF!</definedName>
    <definedName name="inc">#REF!</definedName>
    <definedName name="income" localSheetId="4"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income" localSheetId="8"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income" localSheetId="6"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income"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INDICES" localSheetId="8" hidden="1">{"CONSEJO",#N/A,FALSE,"Dist p0";"CONSEJO",#N/A,FALSE,"Ficha CODICE"}</definedName>
    <definedName name="INDICES" hidden="1">{"CONSEJO",#N/A,FALSE,"Dist p0";"CONSEJO",#N/A,FALSE,"Ficha CODICE"}</definedName>
    <definedName name="inf" localSheetId="2">[41]GenAss!#REF!</definedName>
    <definedName name="inf" localSheetId="4">[39]GenAss!#REF!</definedName>
    <definedName name="inf" localSheetId="8">[57]GenAss!#REF!</definedName>
    <definedName name="inf">[41]GenAss!#REF!</definedName>
    <definedName name="Inf." localSheetId="8">#REF!</definedName>
    <definedName name="Inf.">#REF!</definedName>
    <definedName name="info" localSheetId="4" hidden="1">{"data",#N/A,FALSE,"INPUT"}</definedName>
    <definedName name="info" localSheetId="8" hidden="1">{"data",#N/A,FALSE,"INPUT"}</definedName>
    <definedName name="info" localSheetId="6" hidden="1">{"data",#N/A,FALSE,"INPUT"}</definedName>
    <definedName name="info" hidden="1">{"data",#N/A,FALSE,"INPUT"}</definedName>
    <definedName name="Ini_date" localSheetId="2">'[58]Op Model'!#REF!</definedName>
    <definedName name="Ini_date" localSheetId="8">'[58]Op Model'!#REF!</definedName>
    <definedName name="Ini_date">'[58]Op Model'!#REF!</definedName>
    <definedName name="inputs" localSheetId="8" hidden="1">{"Inputs 1","Base",FALSE,"INPUTS";"Inputs 2","Base",FALSE,"INPUTS";"Inputs 3","Base",FALSE,"INPUTS";"Inputs 4","Base",FALSE,"INPUTS";"Inputs 5","Base",FALSE,"INPUTS"}</definedName>
    <definedName name="inputs" hidden="1">{"Inputs 1","Base",FALSE,"INPUTS";"Inputs 2","Base",FALSE,"INPUTS";"Inputs 3","Base",FALSE,"INPUTS";"Inputs 4","Base",FALSE,"INPUTS";"Inputs 5","Base",FALSE,"INPUTS"}</definedName>
    <definedName name="intro">"Dialog Frame 1"</definedName>
    <definedName name="IntroPrintArea" localSheetId="2" hidden="1">#REF!</definedName>
    <definedName name="IntroPrintArea" localSheetId="4" hidden="1">#REF!</definedName>
    <definedName name="IntroPrintArea" localSheetId="8" hidden="1">#REF!</definedName>
    <definedName name="IntroPrintArea" hidden="1">#REF!</definedName>
    <definedName name="IntroPrintArea_b" localSheetId="2" hidden="1">#REF!</definedName>
    <definedName name="IntroPrintArea_b" localSheetId="4" hidden="1">#REF!</definedName>
    <definedName name="IntroPrintArea_b" localSheetId="8" hidden="1">#REF!</definedName>
    <definedName name="IntroPrintArea_b" hidden="1">#REF!</definedName>
    <definedName name="InverterCurve">[35]Curve!$B$20:$Q$21</definedName>
    <definedName name="InverterCurveIndex">[35]Curve!$B$20:$Q$20</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EMPLOYEES" hidden="1">"c6019"</definedName>
    <definedName name="IQ_AVG_INDUSTRY_REC" hidden="1">"c4455"</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"c1346"</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OVER_SHARES" hidden="1">"c1349"</definedName>
    <definedName name="IQ_BV_SHARE" hidden="1">"c100"</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REUT" hidden="1">"c6800"</definedName>
    <definedName name="IQ_CAL_Y" hidden="1">"c102"</definedName>
    <definedName name="IQ_CAL_Y_EST" hidden="1">"c6797"</definedName>
    <definedName name="IQ_CAL_Y_EST_REUT" hidden="1">"c6801"</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localSheetId="0" hidden="1">"c2076"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localSheetId="0" hidden="1">"c1630"</definedName>
    <definedName name="IQ_CASH_ACQUIRE_CF" hidden="1">"c116"</definedName>
    <definedName name="IQ_CASH_CONVERSION" hidden="1">"c117"</definedName>
    <definedName name="IQ_CASH_DIVIDENDS_NET_INCOME_FDIC" hidden="1">"c6738"</definedName>
    <definedName name="IQ_CASH_DUE_BANKS" hidden="1">"c1351"</definedName>
    <definedName name="IQ_CASH_EQUIV" hidden="1">"c118"</definedName>
    <definedName name="IQ_CASH_FINAN" hidden="1">"c119"</definedName>
    <definedName name="IQ_CASH_FLOW_ACT_OR_EST" hidden="1">"c4154"</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EST" hidden="1">"c1667"</definedName>
    <definedName name="IQ_CFPS_HIGH_EST" hidden="1">"c1669"</definedName>
    <definedName name="IQ_CFPS_LOW_EST" hidden="1">"c1670"</definedName>
    <definedName name="IQ_CFPS_MEDIAN_EST" hidden="1">"c1668"</definedName>
    <definedName name="IQ_CFPS_NUM_EST" hidden="1">"c1671"</definedName>
    <definedName name="IQ_CFPS_STDDEV_EST" hidden="1">"c1672"</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EST" hidden="1">"c1674"</definedName>
    <definedName name="IQ_DPS_HIGH_EST" hidden="1">"c1676"</definedName>
    <definedName name="IQ_DPS_LOW_EST" hidden="1">"c1677"</definedName>
    <definedName name="IQ_DPS_MEDIAN_EST" hidden="1">"c1675"</definedName>
    <definedName name="IQ_DPS_NUM_EST" hidden="1">"c1678"</definedName>
    <definedName name="IQ_DPS_STDDEV_EST" hidden="1">"c1679"</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COVERAGE_NET_CHARGE_OFFS_FDIC" hidden="1">"c6735"</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EQ_INC" hidden="1">"c3498"</definedName>
    <definedName name="IQ_EBIT_EQ_INC_EXCL_SBC" hidden="1">"c3502"</definedName>
    <definedName name="IQ_EBIT_EST" hidden="1">"c1681"</definedName>
    <definedName name="IQ_EBIT_EXCL_SBC" hidden="1">"c3082"</definedName>
    <definedName name="IQ_EBIT_GW_ACT_OR_EST" hidden="1">"c4306"</definedName>
    <definedName name="IQ_EBIT_HIGH_EST" hidden="1">"c1683"</definedName>
    <definedName name="IQ_EBIT_INT" hidden="1">"c360"</definedName>
    <definedName name="IQ_EBIT_LOW_EST" hidden="1">"c1684"</definedName>
    <definedName name="IQ_EBIT_MARGIN" hidden="1">"c359"</definedName>
    <definedName name="IQ_EBIT_MEDIAN_EST" hidden="1">"c1682"</definedName>
    <definedName name="IQ_EBIT_NUM_EST" hidden="1">"c1685"</definedName>
    <definedName name="IQ_EBIT_OVER_IE" hidden="1">"c1369"</definedName>
    <definedName name="IQ_EBIT_SBC_ACT_OR_EST" hidden="1">"c4316"</definedName>
    <definedName name="IQ_EBIT_SBC_GW_ACT_OR_EST" hidden="1">"c4320"</definedName>
    <definedName name="IQ_EBIT_STDDEV_EST" hidden="1">"c1686"</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HIGH_EST" hidden="1">"c370"</definedName>
    <definedName name="IQ_EBITDA_HIGH_EST_REUT" hidden="1">"c3642"</definedName>
    <definedName name="IQ_EBITDA_INT" hidden="1">"c373"</definedName>
    <definedName name="IQ_EBITDA_LOW_EST" hidden="1">"c371"</definedName>
    <definedName name="IQ_EBITDA_LOW_EST_REUT" hidden="1">"c3643"</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BC_ACT_OR_EST" hidden="1">"c4337"</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GW_ACT_OR_EST" hidden="1">"c4354"</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"c1348"</definedName>
    <definedName name="IQ_EPS" hidden="1">"IQ_EPS"</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EST" hidden="1">"c399"</definedName>
    <definedName name="IQ_EPS_EST_REUT" hidden="1">"c5453"</definedName>
    <definedName name="IQ_EPS_GW_ACT_OR_EST" hidden="1">"c2223"</definedName>
    <definedName name="IQ_EPS_GW_EST" hidden="1">"c1737"</definedName>
    <definedName name="IQ_EPS_GW_EST_REUT" hidden="1">"c5389"</definedName>
    <definedName name="IQ_EPS_GW_HIGH_EST" hidden="1">"c1739"</definedName>
    <definedName name="IQ_EPS_GW_HIGH_EST_REUT" hidden="1">"c5391"</definedName>
    <definedName name="IQ_EPS_GW_LOW_EST" hidden="1">"c1740"</definedName>
    <definedName name="IQ_EPS_GW_LOW_EST_REUT" hidden="1">"c5392"</definedName>
    <definedName name="IQ_EPS_GW_MEDIAN_EST" hidden="1">"c1738"</definedName>
    <definedName name="IQ_EPS_GW_MEDIAN_EST_REUT" hidden="1">"c5390"</definedName>
    <definedName name="IQ_EPS_GW_NUM_EST" hidden="1">"c1741"</definedName>
    <definedName name="IQ_EPS_GW_NUM_EST_REUT" hidden="1">"c5393"</definedName>
    <definedName name="IQ_EPS_GW_STDDEV_EST" hidden="1">"c1742"</definedName>
    <definedName name="IQ_EPS_GW_STDDEV_EST_REUT" hidden="1">"c5394"</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REPORT_ACT_OR_EST" hidden="1">"c2224"</definedName>
    <definedName name="IQ_EPS_REPORTED_EST" hidden="1">"c1744"</definedName>
    <definedName name="IQ_EPS_REPORTED_EST_REUT" hidden="1">"c5396"</definedName>
    <definedName name="IQ_EPS_REPORTED_HIGH_EST" hidden="1">"c1746"</definedName>
    <definedName name="IQ_EPS_REPORTED_HIGH_EST_REUT" hidden="1">"c5398"</definedName>
    <definedName name="IQ_EPS_REPORTED_LOW_EST" hidden="1">"c1747"</definedName>
    <definedName name="IQ_EPS_REPORTED_LOW_EST_REUT" hidden="1">"c5399"</definedName>
    <definedName name="IQ_EPS_REPORTED_MEDIAN_EST" hidden="1">"c1745"</definedName>
    <definedName name="IQ_EPS_REPORTED_MEDIAN_EST_REUT" hidden="1">"c5397"</definedName>
    <definedName name="IQ_EPS_REPORTED_NUM_EST" hidden="1">"c1748"</definedName>
    <definedName name="IQ_EPS_REPORTED_NUM_EST_REUT" hidden="1">"c5400"</definedName>
    <definedName name="IQ_EPS_REPORTED_STDDEV_EST" hidden="1">"c1749"</definedName>
    <definedName name="IQ_EPS_REPORTED_STDDEV_EST_REUT" hidden="1">"c5401"</definedName>
    <definedName name="IQ_EPS_SBC_ACT_OR_EST" hidden="1">"c4376"</definedName>
    <definedName name="IQ_EPS_SBC_GW_ACT_OR_EST" hidden="1">"c4380"</definedName>
    <definedName name="IQ_EPS_STDDEV_EST" hidden="1">"c403"</definedName>
    <definedName name="IQ_EPS_STDDEV_EST_REUT" hidden="1">"c5452"</definedName>
    <definedName name="IQ_EQUITY_AFFIL" hidden="1">"c1451"</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T_ACT_CFPS" hidden="1">"c1673"</definedName>
    <definedName name="IQ_EST_ACT_DPS" hidden="1">"c1680"</definedName>
    <definedName name="IQ_EST_ACT_EBIT" hidden="1">"c1687"</definedName>
    <definedName name="IQ_EST_ACT_EBITDA" hidden="1">"c1664"</definedName>
    <definedName name="IQ_EST_ACT_EPS" hidden="1">"c1648"</definedName>
    <definedName name="IQ_EST_ACT_EPS_GW" hidden="1">"c1743"</definedName>
    <definedName name="IQ_EST_ACT_EPS_GW_REUT" hidden="1">"c5395"</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FFO" hidden="1">"c1666"</definedName>
    <definedName name="IQ_EST_ACT_NAV" hidden="1">"c1757"</definedName>
    <definedName name="IQ_EST_ACT_NI" hidden="1">"c1722"</definedName>
    <definedName name="IQ_EST_ACT_NI_GW" hidden="1">"c1729"</definedName>
    <definedName name="IQ_EST_ACT_NI_REPORTED" hidden="1">"c1736"</definedName>
    <definedName name="IQ_EST_ACT_OPER_INC" hidden="1">"c1694"</definedName>
    <definedName name="IQ_EST_ACT_PRETAX_GW_INC" hidden="1">"c1708"</definedName>
    <definedName name="IQ_EST_ACT_PRETAX_INC" hidden="1">"c1701"</definedName>
    <definedName name="IQ_EST_ACT_PRETAX_REPORT_INC" hidden="1">"c1715"</definedName>
    <definedName name="IQ_EST_ACT_REV" hidden="1">"c2113"</definedName>
    <definedName name="IQ_EST_CFPS_DIFF" hidden="1">"c1871"</definedName>
    <definedName name="IQ_EST_CFPS_GROWTH_1YR" hidden="1">"c1774"</definedName>
    <definedName name="IQ_EST_CFPS_GROWTH_2YR" hidden="1">"c1775"</definedName>
    <definedName name="IQ_EST_CFPS_GROWTH_Q_1YR" hidden="1">"c1776"</definedName>
    <definedName name="IQ_EST_CFPS_SEQ_GROWTH_Q" hidden="1">"c1777"</definedName>
    <definedName name="IQ_EST_CFPS_SURPRISE_PERCENT" hidden="1">"c1872"</definedName>
    <definedName name="IQ_EST_CURRENCY" hidden="1">"c2140"</definedName>
    <definedName name="IQ_EST_CURRENCY_REUT" hidden="1">"c5437"</definedName>
    <definedName name="IQ_EST_DATE" hidden="1">"c1634"</definedName>
    <definedName name="IQ_EST_DATE_REUT" hidden="1">"c5438"</definedName>
    <definedName name="IQ_EST_DPS_DIFF" hidden="1">"c1873"</definedName>
    <definedName name="IQ_EST_DPS_GROWTH_1YR" hidden="1">"c1778"</definedName>
    <definedName name="IQ_EST_DPS_GROWTH_2YR" hidden="1">"c1779"</definedName>
    <definedName name="IQ_EST_DPS_GROWTH_Q_1YR" hidden="1">"c1780"</definedName>
    <definedName name="IQ_EST_DPS_SEQ_GROWTH_Q" hidden="1">"c1781"</definedName>
    <definedName name="IQ_EST_DPS_SURPRISE_PERCENT" hidden="1">"c1874"</definedName>
    <definedName name="IQ_EST_EBIT_DIFF" hidden="1">"c1875"</definedName>
    <definedName name="IQ_EST_EBIT_SURPRISE_PERCENT" hidden="1">"c1876"</definedName>
    <definedName name="IQ_EST_EBITDA_DIFF" hidden="1">"c1867"</definedName>
    <definedName name="IQ_EST_EBITDA_GROWTH_1YR" hidden="1">"c1766"</definedName>
    <definedName name="IQ_EST_EBITDA_GROWTH_2YR" hidden="1">"c1767"</definedName>
    <definedName name="IQ_EST_EBITDA_GROWTH_Q_1YR" hidden="1">"c1768"</definedName>
    <definedName name="IQ_EST_EBITDA_SEQ_GROWTH_Q" hidden="1">"c1769"</definedName>
    <definedName name="IQ_EST_EBITDA_SURPRISE_PERCENT" hidden="1">"c1868"</definedName>
    <definedName name="IQ_EST_EPS_DIFF" hidden="1">"c1864"</definedName>
    <definedName name="IQ_EST_EPS_GROWTH_1YR" hidden="1">"c1636"</definedName>
    <definedName name="IQ_EST_EPS_GROWTH_1YR_REUT" hidden="1">"c3646"</definedName>
    <definedName name="IQ_EST_EPS_GROWTH_2YR" hidden="1">"c1637"</definedName>
    <definedName name="IQ_EST_EPS_GROWTH_5YR" hidden="1">"c1655"</definedName>
    <definedName name="IQ_EST_EPS_GROWTH_5YR_HIGH" hidden="1">"c1657"</definedName>
    <definedName name="IQ_EST_EPS_GROWTH_5YR_LOW" hidden="1">"c1658"</definedName>
    <definedName name="IQ_EST_EPS_GROWTH_5YR_MEDIAN" hidden="1">"c1656"</definedName>
    <definedName name="IQ_EST_EPS_GROWTH_5YR_NUM" hidden="1">"c1659"</definedName>
    <definedName name="IQ_EST_EPS_GROWTH_5YR_REUT" hidden="1">"c3633"</definedName>
    <definedName name="IQ_EST_EPS_GROWTH_5YR_STDDEV" hidden="1">"c1660"</definedName>
    <definedName name="IQ_EST_EPS_GROWTH_Q_1YR" hidden="1">"c1641"</definedName>
    <definedName name="IQ_EST_EPS_GROWTH_Q_1YR_REUT" hidden="1">"c5410"</definedName>
    <definedName name="IQ_EST_EPS_GW_DIFF" hidden="1">"c1891"</definedName>
    <definedName name="IQ_EST_EPS_GW_DIFF_REUT" hidden="1">"c5429"</definedName>
    <definedName name="IQ_EST_EPS_GW_SURPRISE_PERCENT" hidden="1">"c1892"</definedName>
    <definedName name="IQ_EST_EPS_GW_SURPRISE_PERCENT_REUT" hidden="1">"c5430"</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SURPRISE_PERCENT" hidden="1">"c1894"</definedName>
    <definedName name="IQ_EST_EPS_REPORT_SURPRISE_PERCENT_REUT" hidden="1">"c5432"</definedName>
    <definedName name="IQ_EST_EPS_SEQ_GROWTH_Q" hidden="1">"c1764"</definedName>
    <definedName name="IQ_EST_EPS_SURPRISE_PERCENT" hidden="1">"c1635"</definedName>
    <definedName name="IQ_EST_FFO_DIFF" hidden="1">"c1869"</definedName>
    <definedName name="IQ_EST_FFO_GROWTH_1YR" hidden="1">"c1770"</definedName>
    <definedName name="IQ_EST_FFO_GROWTH_2YR" hidden="1">"c1771"</definedName>
    <definedName name="IQ_EST_FFO_GROWTH_Q_1YR" hidden="1">"c1772"</definedName>
    <definedName name="IQ_EST_FFO_SEQ_GROWTH_Q" hidden="1">"c1773"</definedName>
    <definedName name="IQ_EST_FFO_SURPRISE_PERCENT" hidden="1">"c1870"</definedName>
    <definedName name="IQ_EST_NAV_DIFF" hidden="1">"c1895"</definedName>
    <definedName name="IQ_EST_NAV_SURPRISE_PERCENT" hidden="1">"c1896"</definedName>
    <definedName name="IQ_EST_NI_DIFF" hidden="1">"c1885"</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UM_BUY" hidden="1">"c1759"</definedName>
    <definedName name="IQ_EST_NUM_HOLD" hidden="1">"c1761"</definedName>
    <definedName name="IQ_EST_NUM_NO_OPINION" hidden="1">"c1758"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SURPRISE_PERCENT" hidden="1">"c1878"</definedName>
    <definedName name="IQ_EST_PRE_TAX_DIFF" hidden="1">"c1879"</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REV_DIFF" hidden="1">"c1865"</definedName>
    <definedName name="IQ_EST_REV_GROWTH_1YR" hidden="1">"c1638"</definedName>
    <definedName name="IQ_EST_REV_GROWTH_2YR" hidden="1">"c1639"</definedName>
    <definedName name="IQ_EST_REV_GROWTH_Q_1YR" hidden="1">"c1640"</definedName>
    <definedName name="IQ_EST_REV_SEQ_GROWTH_Q" hidden="1">"c1765"</definedName>
    <definedName name="IQ_EST_REV_SURPRISE_PERCENT" hidden="1">"c1866"</definedName>
    <definedName name="IQ_EST_VENDOR" hidden="1">"c5564"</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EST" hidden="1">"c418"</definedName>
    <definedName name="IQ_FFO_HIGH_EST" hidden="1">"c419"</definedName>
    <definedName name="IQ_FFO_LOW_EST" hidden="1">"c420"</definedName>
    <definedName name="IQ_FFO_MEDIAN_EST" hidden="1">"c1665"</definedName>
    <definedName name="IQ_FFO_NUM_EST" hidden="1">"c421"</definedName>
    <definedName name="IQ_FFO_PAYOUT_RATIO" hidden="1">"c3492"</definedName>
    <definedName name="IQ_FFO_SHARE_ACT_OR_EST" hidden="1">"c4446"</definedName>
    <definedName name="IQ_FFO_STDDEV_EST" hidden="1">"c422"</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"c1405"</definedName>
    <definedName name="IQ_FINANCING_CASH_SUPPL" hidden="1">"c1406"</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REUT" hidden="1">"c6798"</definedName>
    <definedName name="IQ_FISCAL_Y" hidden="1">"c441"</definedName>
    <definedName name="IQ_FISCAL_Y_EST" hidden="1">"c6795"</definedName>
    <definedName name="IQ_FISCAL_Y_EST_REUT" hidden="1">"c6799"</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IGH_TARGET_PRICE" hidden="1">"c1651"</definedName>
    <definedName name="IQ_HIGH_TARGET_PRICE_REUT" hidden="1">"c5317"</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"c1407"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LTMMONTH" hidden="1">120000</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localSheetId="0" hidden="1">40483.6277777778</definedName>
    <definedName name="IQ_NAMES_REVISION_DATE_" hidden="1">41594.8155555556</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TDDEV_EST" hidden="1">"c1756"</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EBITDA" hidden="1">"c750"</definedName>
    <definedName name="IQ_NET_DEBT_EBITDA_CAPEX" hidden="1">"c2949"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LOW_EST" hidden="1">"c1719"</definedName>
    <definedName name="IQ_NI_MARGIN" hidden="1">"c794"</definedName>
    <definedName name="IQ_NI_MEDIAN_EST" hidden="1">"c1717"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 hidden="1">"c4474"</definedName>
    <definedName name="IQ_NI_SBC_GW_ACT_OR_EST" hidden="1">"c4478"</definedName>
    <definedName name="IQ_NI_SFAS" hidden="1">"c795"</definedName>
    <definedName name="IQ_NI_STDDEV_EST" hidden="1">"c1721"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FDIC" hidden="1">"c6575"</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BR" hidden="1">"c850"</definedName>
    <definedName name="IQ_OPER_INC_EST" hidden="1">"c1688"</definedName>
    <definedName name="IQ_OPER_INC_FIN" hidden="1">"c851"</definedName>
    <definedName name="IQ_OPER_INC_HIGH_EST" hidden="1">"c1690"</definedName>
    <definedName name="IQ_OPER_INC_INS" hidden="1">"c852"</definedName>
    <definedName name="IQ_OPER_INC_LOW_EST" hidden="1">"c1691"</definedName>
    <definedName name="IQ_OPER_INC_MARGIN" hidden="1">"c1448"</definedName>
    <definedName name="IQ_OPER_INC_MEDIAN_EST" hidden="1">"c1689"</definedName>
    <definedName name="IQ_OPER_INC_NUM_EST" hidden="1">"c1692"</definedName>
    <definedName name="IQ_OPER_INC_RE" hidden="1">"c6240"</definedName>
    <definedName name="IQ_OPER_INC_REIT" hidden="1">"c853"</definedName>
    <definedName name="IQ_OPER_INC_STDDEV_EST" hidden="1">"c1693"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localSheetId="0" hidden="1">"c2127"</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8MONTHS" hidden="1">"c1853"</definedName>
    <definedName name="IQ_PERCENT_CHANGE_EST_5YR_GROWTH_RATE_3MONTHS" hidden="1">"c1849"</definedName>
    <definedName name="IQ_PERCENT_CHANGE_EST_5YR_GROWTH_RATE_6MONTHS" hidden="1">"c1850"</definedName>
    <definedName name="IQ_PERCENT_CHANGE_EST_5YR_GROWTH_RATE_9MONTHS" hidden="1">"c1851"</definedName>
    <definedName name="IQ_PERCENT_CHANGE_EST_5YR_GROWTH_RATE_DAY" hidden="1">"c1846"</definedName>
    <definedName name="IQ_PERCENT_CHANGE_EST_5YR_GROWTH_RATE_MONTH" hidden="1">"c1848"</definedName>
    <definedName name="IQ_PERCENT_CHANGE_EST_5YR_GROWTH_RATE_WEEK" hidden="1">"c1847"</definedName>
    <definedName name="IQ_PERCENT_CHANGE_EST_CFPS_12MONTHS" hidden="1">"c1812"</definedName>
    <definedName name="IQ_PERCENT_CHANGE_EST_CFPS_18MONTHS" hidden="1">"c1813"</definedName>
    <definedName name="IQ_PERCENT_CHANGE_EST_CFPS_3MONTHS" hidden="1">"c1809"</definedName>
    <definedName name="IQ_PERCENT_CHANGE_EST_CFPS_6MONTHS" hidden="1">"c1810"</definedName>
    <definedName name="IQ_PERCENT_CHANGE_EST_CFPS_9MONTHS" hidden="1">"c1811"</definedName>
    <definedName name="IQ_PERCENT_CHANGE_EST_CFPS_DAY" hidden="1">"c1806"</definedName>
    <definedName name="IQ_PERCENT_CHANGE_EST_CFPS_MONTH" hidden="1">"c1808"</definedName>
    <definedName name="IQ_PERCENT_CHANGE_EST_CFPS_WEEK" hidden="1">"c1807"</definedName>
    <definedName name="IQ_PERCENT_CHANGE_EST_DPS_12MONTHS" hidden="1">"c1820"</definedName>
    <definedName name="IQ_PERCENT_CHANGE_EST_DPS_18MONTHS" hidden="1">"c1821"</definedName>
    <definedName name="IQ_PERCENT_CHANGE_EST_DPS_3MONTHS" hidden="1">"c1817"</definedName>
    <definedName name="IQ_PERCENT_CHANGE_EST_DPS_6MONTHS" hidden="1">"c1818"</definedName>
    <definedName name="IQ_PERCENT_CHANGE_EST_DPS_9MONTHS" hidden="1">"c1819"</definedName>
    <definedName name="IQ_PERCENT_CHANGE_EST_DPS_DAY" hidden="1">"c1814"</definedName>
    <definedName name="IQ_PERCENT_CHANGE_EST_DPS_MONTH" hidden="1">"c1816"</definedName>
    <definedName name="IQ_PERCENT_CHANGE_EST_DPS_WEEK" hidden="1">"c1815"</definedName>
    <definedName name="IQ_PERCENT_CHANGE_EST_EBITDA_12MONTHS" hidden="1">"c1804"</definedName>
    <definedName name="IQ_PERCENT_CHANGE_EST_EBITDA_18MONTHS" hidden="1">"c1805"</definedName>
    <definedName name="IQ_PERCENT_CHANGE_EST_EBITDA_3MONTHS" hidden="1">"c1801"</definedName>
    <definedName name="IQ_PERCENT_CHANGE_EST_EBITDA_6MONTHS" hidden="1">"c1802"</definedName>
    <definedName name="IQ_PERCENT_CHANGE_EST_EBITDA_9MONTHS" hidden="1">"c1803"</definedName>
    <definedName name="IQ_PERCENT_CHANGE_EST_EBITDA_DAY" hidden="1">"c1798"</definedName>
    <definedName name="IQ_PERCENT_CHANGE_EST_EBITDA_MONTH" hidden="1">"c1800"</definedName>
    <definedName name="IQ_PERCENT_CHANGE_EST_EBITDA_WEEK" hidden="1">"c1799"</definedName>
    <definedName name="IQ_PERCENT_CHANGE_EST_EPS_12MONTHS" hidden="1">"c1788"</definedName>
    <definedName name="IQ_PERCENT_CHANGE_EST_EPS_18MONTHS" hidden="1">"c1789"</definedName>
    <definedName name="IQ_PERCENT_CHANGE_EST_EPS_3MONTHS" hidden="1">"c1785"</definedName>
    <definedName name="IQ_PERCENT_CHANGE_EST_EPS_6MONTHS" hidden="1">"c1786"</definedName>
    <definedName name="IQ_PERCENT_CHANGE_EST_EPS_9MONTHS" hidden="1">"c1787"</definedName>
    <definedName name="IQ_PERCENT_CHANGE_EST_EPS_DAY" hidden="1">"c1782"</definedName>
    <definedName name="IQ_PERCENT_CHANGE_EST_EPS_MONTH" hidden="1">"c1784"</definedName>
    <definedName name="IQ_PERCENT_CHANGE_EST_EPS_WEEK" hidden="1">"c1783"</definedName>
    <definedName name="IQ_PERCENT_CHANGE_EST_FFO_12MONTHS" hidden="1">"c1828"</definedName>
    <definedName name="IQ_PERCENT_CHANGE_EST_FFO_12MONTHS_CIQ" hidden="1">"c3769"</definedName>
    <definedName name="IQ_PERCENT_CHANGE_EST_FFO_18MONTHS" hidden="1">"c1829"</definedName>
    <definedName name="IQ_PERCENT_CHANGE_EST_FFO_18MONTHS_CIQ" hidden="1">"c3770"</definedName>
    <definedName name="IQ_PERCENT_CHANGE_EST_FFO_3MONTHS" hidden="1">"c1825"</definedName>
    <definedName name="IQ_PERCENT_CHANGE_EST_FFO_3MONTHS_CIQ" hidden="1">"c3766"</definedName>
    <definedName name="IQ_PERCENT_CHANGE_EST_FFO_6MONTHS" hidden="1">"c1826"</definedName>
    <definedName name="IQ_PERCENT_CHANGE_EST_FFO_6MONTHS_CIQ" hidden="1">"c3767"</definedName>
    <definedName name="IQ_PERCENT_CHANGE_EST_FFO_9MONTHS" hidden="1">"c1827"</definedName>
    <definedName name="IQ_PERCENT_CHANGE_EST_FFO_9MONTHS_CIQ" hidden="1">"c3768"</definedName>
    <definedName name="IQ_PERCENT_CHANGE_EST_FFO_DAY" hidden="1">"c1822"</definedName>
    <definedName name="IQ_PERCENT_CHANGE_EST_FFO_DAY_CIQ" hidden="1">"c3764"</definedName>
    <definedName name="IQ_PERCENT_CHANGE_EST_FFO_MONTH" hidden="1">"c1824"</definedName>
    <definedName name="IQ_PERCENT_CHANGE_EST_FFO_MONTH_CIQ" hidden="1">"c3765"</definedName>
    <definedName name="IQ_PERCENT_CHANGE_EST_FFO_WEEK" hidden="1">"c1823"</definedName>
    <definedName name="IQ_PERCENT_CHANGE_EST_FFO_WEEK_CIQ" hidden="1">"c3795"</definedName>
    <definedName name="IQ_PERCENT_CHANGE_EST_PRICE_TARGET_12MONTHS" hidden="1">"c1844"</definedName>
    <definedName name="IQ_PERCENT_CHANGE_EST_PRICE_TARGET_18MONTHS" hidden="1">"c1845"</definedName>
    <definedName name="IQ_PERCENT_CHANGE_EST_PRICE_TARGET_3MONTHS" hidden="1">"c1841"</definedName>
    <definedName name="IQ_PERCENT_CHANGE_EST_PRICE_TARGET_6MONTHS" hidden="1">"c1842"</definedName>
    <definedName name="IQ_PERCENT_CHANGE_EST_PRICE_TARGET_9MONTHS" hidden="1">"c1843"</definedName>
    <definedName name="IQ_PERCENT_CHANGE_EST_PRICE_TARGET_DAY" hidden="1">"c1838"</definedName>
    <definedName name="IQ_PERCENT_CHANGE_EST_PRICE_TARGET_MONTH" hidden="1">"c1840"</definedName>
    <definedName name="IQ_PERCENT_CHANGE_EST_PRICE_TARGET_WEEK" hidden="1">"c1839"</definedName>
    <definedName name="IQ_PERCENT_CHANGE_EST_RECO_12MONTHS" hidden="1">"c1836"</definedName>
    <definedName name="IQ_PERCENT_CHANGE_EST_RECO_18MONTHS" hidden="1">"c1837"</definedName>
    <definedName name="IQ_PERCENT_CHANGE_EST_RECO_3MONTHS" hidden="1">"c1833"</definedName>
    <definedName name="IQ_PERCENT_CHANGE_EST_RECO_6MONTHS" hidden="1">"c1834"</definedName>
    <definedName name="IQ_PERCENT_CHANGE_EST_RECO_9MONTHS" hidden="1">"c1835"</definedName>
    <definedName name="IQ_PERCENT_CHANGE_EST_RECO_DAY" hidden="1">"c1830"</definedName>
    <definedName name="IQ_PERCENT_CHANGE_EST_RECO_MONTH" hidden="1">"c1832"</definedName>
    <definedName name="IQ_PERCENT_CHANGE_EST_RECO_WEEK" hidden="1">"c1831"</definedName>
    <definedName name="IQ_PERCENT_CHANGE_EST_REV_12MONTHS" hidden="1">"c1796"</definedName>
    <definedName name="IQ_PERCENT_CHANGE_EST_REV_18MONTHS" hidden="1">"c1797"</definedName>
    <definedName name="IQ_PERCENT_CHANGE_EST_REV_3MONTHS" hidden="1">"c1793"</definedName>
    <definedName name="IQ_PERCENT_CHANGE_EST_REV_6MONTHS" hidden="1">"c1794"</definedName>
    <definedName name="IQ_PERCENT_CHANGE_EST_REV_9MONTHS" hidden="1">"c1795"</definedName>
    <definedName name="IQ_PERCENT_CHANGE_EST_REV_DAY" hidden="1">"c1790"</definedName>
    <definedName name="IQ_PERCENT_CHANGE_EST_REV_MONTH" hidden="1">"c1792"</definedName>
    <definedName name="IQ_PERCENT_CHANGE_EST_REV_WEEK" hidden="1">"c1791"</definedName>
    <definedName name="IQ_PERCENT_INSURED_FDIC" hidden="1">"c6374"</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RE_OPEN_COST" hidden="1">"c1040"</definedName>
    <definedName name="IQ_PRE_TAX_ACT_OR_EST" hidden="1">"c2221"</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TOT"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_EST" hidden="1">"c1695"</definedName>
    <definedName name="IQ_PRETAX_INC_HIGH_EST" hidden="1">"c1697"</definedName>
    <definedName name="IQ_PRETAX_INC_LOW_EST" hidden="1">"c1698"</definedName>
    <definedName name="IQ_PRETAX_INC_MEDIAN_EST" hidden="1">"c1696"</definedName>
    <definedName name="IQ_PRETAX_INC_NUM_EST" hidden="1">"c1699"</definedName>
    <definedName name="IQ_PRETAX_INC_STDDEV_EST" hidden="1">"c1700"</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OVER_BVPS" hidden="1">"c1412"</definedName>
    <definedName name="IQ_PRICE_OVER_LTM_EPS" hidden="1">"c1413"</definedName>
    <definedName name="IQ_PRICE_TARGET" hidden="1">"c82"</definedName>
    <definedName name="IQ_PRICE_TARGET_REUT" hidden="1">"c3631"</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SHARE_ACT_OR_EST" hidden="1">"c4508"</definedName>
    <definedName name="IQ_REDEEM_PREF_STOCK" hidden="1">"c1417"</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AINED_EARNINGS_AVERAGE_EQUITY_FDIC" hidden="1">"c6733"</definedName>
    <definedName name="IQ_RETURN_ASSETS" hidden="1">"c1113"</definedName>
    <definedName name="IQ_RETURN_ASSETS_BANK" hidden="1">"c1114"</definedName>
    <definedName name="IQ_RETURN_ASSETS_BROK" hidden="1">"c1115"</definedName>
    <definedName name="IQ_RETURN_ASSETS_FDIC" hidden="1">"c6730"</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DIC" hidden="1">"c6732"</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ALUATION_GAINS_FDIC" hidden="1">"c6428"</definedName>
    <definedName name="IQ_REVALUATION_LOSSES_FDIC" hidden="1">"c6429"</definedName>
    <definedName name="IQ_REVENUE" hidden="1">"c1422"</definedName>
    <definedName name="IQ_REVENUE_ACT_OR_EST" hidden="1">"c2214"</definedName>
    <definedName name="IQ_REVENUE_EST" hidden="1">"c1126"</definedName>
    <definedName name="IQ_REVENUE_EST_REUT" hidden="1">"c3634"</definedName>
    <definedName name="IQ_REVENUE_HIGH_EST" hidden="1">"c1127"</definedName>
    <definedName name="IQ_REVENUE_HIGH_EST_REUT" hidden="1">"c3636"</definedName>
    <definedName name="IQ_REVENUE_LOW_EST" hidden="1">"c1128"</definedName>
    <definedName name="IQ_REVENUE_LOW_EST_REUT" hidden="1">"c3637"</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localSheetId="0" hidden="1">38944.5871875</definedName>
    <definedName name="IQ_REVISION_DATE_" hidden="1">39482.3034837963</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"c1436"</definedName>
    <definedName name="IQ_TOTAL_RISK_BASED_CAPITAL_RATIO_FDIC" hidden="1">"c6747"</definedName>
    <definedName name="IQ_TOTAL_SECURITIES_FDIC" hidden="1">"c6306"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sColHidden" hidden="1">FALSE</definedName>
    <definedName name="IsLTMColHidden" hidden="1">FALSE</definedName>
    <definedName name="IVA">[59]Inputs!$T$127</definedName>
    <definedName name="j" localSheetId="0" hidden="1">{"ANAR",#N/A,FALSE,"Dist total";"MARGEN",#N/A,FALSE,"Dist total";"COMENTARIO",#N/A,FALSE,"Ficha CODICE";"CONSEJO",#N/A,FALSE,"Dist p0";"uno",#N/A,FALSE,"Dist total"}</definedName>
    <definedName name="j" localSheetId="4" hidden="1">{"new",#N/A,FALSE,"D";"PROFORMA",#N/A,FALSE,"A";"partial 1",#N/A,FALSE,"B";"partial 2",#N/A,FALSE,"B";"partial 3",#N/A,FALSE,"B";"SMALL CF 1",#N/A,FALSE,"C"}</definedName>
    <definedName name="j" localSheetId="6" hidden="1">{"new",#N/A,FALSE,"D";"PROFORMA",#N/A,FALSE,"A";"partial 1",#N/A,FALSE,"B";"partial 2",#N/A,FALSE,"B";"partial 3",#N/A,FALSE,"B";"SMALL CF 1",#N/A,FALSE,"C"}</definedName>
    <definedName name="j" hidden="1">{"new",#N/A,FALSE,"D";"PROFORMA",#N/A,FALSE,"A";"partial 1",#N/A,FALSE,"B";"partial 2",#N/A,FALSE,"B";"partial 3",#N/A,FALSE,"B";"SMALL CF 1",#N/A,FALSE,"C"}</definedName>
    <definedName name="j5r6yju" localSheetId="4" hidden="1">{"Investor",#N/A,FALSE,"Model";"Property",#N/A,FALSE,"Model";"Incentive Taxes",#N/A,FALSE,"Model"}</definedName>
    <definedName name="j5r6yju" localSheetId="6" hidden="1">{"Investor",#N/A,FALSE,"Model";"Property",#N/A,FALSE,"Model";"Incentive Taxes",#N/A,FALSE,"Model"}</definedName>
    <definedName name="j5r6yju" hidden="1">{"Investor",#N/A,FALSE,"Model";"Property",#N/A,FALSE,"Model";"Incentive Taxes",#N/A,FALSE,"Model"}</definedName>
    <definedName name="jc" localSheetId="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jc"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jc"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jc"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jdstryj" localSheetId="4" hidden="1">{"Investor",#N/A,FALSE,"Model";"Property",#N/A,FALSE,"Model";"Incentive Taxes",#N/A,FALSE,"Model"}</definedName>
    <definedName name="jdstryj" localSheetId="6" hidden="1">{"Investor",#N/A,FALSE,"Model";"Property",#N/A,FALSE,"Model";"Incentive Taxes",#N/A,FALSE,"Model"}</definedName>
    <definedName name="jdstryj" hidden="1">{"Investor",#N/A,FALSE,"Model";"Property",#N/A,FALSE,"Model";"Incentive Taxes",#N/A,FALSE,"Model"}</definedName>
    <definedName name="jdtyjs" localSheetId="4" hidden="1">{"Investor",#N/A,FALSE,"Model";"Property",#N/A,FALSE,"Model";"Incentive Taxes",#N/A,FALSE,"Model"}</definedName>
    <definedName name="jdtyjs" localSheetId="6" hidden="1">{"Investor",#N/A,FALSE,"Model";"Property",#N/A,FALSE,"Model";"Incentive Taxes",#N/A,FALSE,"Model"}</definedName>
    <definedName name="jdtyjs" hidden="1">{"Investor",#N/A,FALSE,"Model";"Property",#N/A,FALSE,"Model";"Incentive Taxes",#N/A,FALSE,"Model"}</definedName>
    <definedName name="jes" localSheetId="8" hidden="1">{"DCF",#N/A,FALSE,"DCF"}</definedName>
    <definedName name="jes" hidden="1">{"DCF",#N/A,FALSE,"DCF"}</definedName>
    <definedName name="jfk" localSheetId="8" hidden="1">{"ANAR",#N/A,FALSE,"Dist total";"MARGEN",#N/A,FALSE,"Dist total";"COMENTARIO",#N/A,FALSE,"Ficha CODICE";"CONSEJO",#N/A,FALSE,"Dist p0";"uno",#N/A,FALSE,"Dist total"}</definedName>
    <definedName name="jfk" hidden="1">{"ANAR",#N/A,FALSE,"Dist total";"MARGEN",#N/A,FALSE,"Dist total";"COMENTARIO",#N/A,FALSE,"Ficha CODICE";"CONSEJO",#N/A,FALSE,"Dist p0";"uno",#N/A,FALSE,"Dist total"}</definedName>
    <definedName name="jhjhhj" localSheetId="8" hidden="1">{"CONSEJO",#N/A,FALSE,"Dist p0";"CONSEJO",#N/A,FALSE,"Ficha CODICE"}</definedName>
    <definedName name="jhjhhj" hidden="1">{"CONSEJO",#N/A,FALSE,"Dist p0";"CONSEJO",#N/A,FALSE,"Ficha CODICE"}</definedName>
    <definedName name="jim" localSheetId="2" hidden="1">#REF!</definedName>
    <definedName name="jim" localSheetId="4" hidden="1">#REF!</definedName>
    <definedName name="jim" localSheetId="8" hidden="1">#REF!</definedName>
    <definedName name="jim" hidden="1">#REF!</definedName>
    <definedName name="jimmy" localSheetId="2" hidden="1">#REF!</definedName>
    <definedName name="jimmy" localSheetId="4" hidden="1">#REF!</definedName>
    <definedName name="jimmy" localSheetId="8" hidden="1">#REF!</definedName>
    <definedName name="jimmy" hidden="1">#REF!</definedName>
    <definedName name="jj" localSheetId="2" hidden="1">[38]!jj</definedName>
    <definedName name="jj" localSheetId="8" hidden="1">[38]!jj</definedName>
    <definedName name="jj" hidden="1">[38]!jj</definedName>
    <definedName name="jjj" localSheetId="8" hidden="1">{#N/A,#N/A,TRUE,"Stato Patrimoniale Civilistico";#N/A,#N/A,TRUE,"Conto Economico Civilistico";#N/A,#N/A,TRUE,"Riclassifica SP";#N/A,#N/A,TRUE,"Riclassifica CE";#N/A,#N/A,TRUE,"Indici di Bilancio";#N/A,#N/A,TRUE,"Composizione SP";#N/A,#N/A,TRUE,"Liquidità";#N/A,#N/A,TRUE,"Solidità";#N/A,#N/A,TRUE,"Redditività";#N/A,#N/A,TRUE,"Sviluppo"}</definedName>
    <definedName name="jjj" hidden="1">{#N/A,#N/A,TRUE,"Stato Patrimoniale Civilistico";#N/A,#N/A,TRUE,"Conto Economico Civilistico";#N/A,#N/A,TRUE,"Riclassifica SP";#N/A,#N/A,TRUE,"Riclassifica CE";#N/A,#N/A,TRUE,"Indici di Bilancio";#N/A,#N/A,TRUE,"Composizione SP";#N/A,#N/A,TRUE,"Liquidità";#N/A,#N/A,TRUE,"Solidità";#N/A,#N/A,TRUE,"Redditività";#N/A,#N/A,TRUE,"Sviluppo"}</definedName>
    <definedName name="jjjjj" localSheetId="8" hidden="1">{"CONSEJO",#N/A,FALSE,"Dist p0";"CONSEJO",#N/A,FALSE,"Ficha CODICE"}</definedName>
    <definedName name="jjjjj" hidden="1">{"CONSEJO",#N/A,FALSE,"Dist p0";"CONSEJO",#N/A,FALSE,"Ficha CODICE"}</definedName>
    <definedName name="jnbghjbg" localSheetId="8" hidden="1">{"ANAR",#N/A,FALSE,"Dist total";"MARGEN",#N/A,FALSE,"Dist total";"COMENTARIO",#N/A,FALSE,"Ficha CODICE";"CONSEJO",#N/A,FALSE,"Dist p0";"uno",#N/A,FALSE,"Dist total"}</definedName>
    <definedName name="jnbghjbg" hidden="1">{"ANAR",#N/A,FALSE,"Dist total";"MARGEN",#N/A,FALSE,"Dist total";"COMENTARIO",#N/A,FALSE,"Ficha CODICE";"CONSEJO",#N/A,FALSE,"Dist p0";"uno",#N/A,FALSE,"Dist total"}</definedName>
    <definedName name="jp" localSheetId="8" hidden="1">{"uno",#N/A,FALSE,"Dist total";"COMENTARIO",#N/A,FALSE,"Ficha CODICE"}</definedName>
    <definedName name="jp" hidden="1">{"uno",#N/A,FALSE,"Dist total";"COMENTARIO",#N/A,FALSE,"Ficha CODICE"}</definedName>
    <definedName name="jrtyhdf" localSheetId="4" hidden="1">{"Investor",#N/A,FALSE,"Model";"Property",#N/A,FALSE,"Model";"Incentive Taxes",#N/A,FALSE,"Model"}</definedName>
    <definedName name="jrtyhdf" localSheetId="6" hidden="1">{"Investor",#N/A,FALSE,"Model";"Property",#N/A,FALSE,"Model";"Incentive Taxes",#N/A,FALSE,"Model"}</definedName>
    <definedName name="jrtyhdf" hidden="1">{"Investor",#N/A,FALSE,"Model";"Property",#N/A,FALSE,"Model";"Incentive Taxes",#N/A,FALSE,"Model"}</definedName>
    <definedName name="jsrj" localSheetId="4" hidden="1">{"Investor",#N/A,FALSE,"Model";"Property",#N/A,FALSE,"Model";"Incentive Taxes",#N/A,FALSE,"Model"}</definedName>
    <definedName name="jsrj" localSheetId="6" hidden="1">{"Investor",#N/A,FALSE,"Model";"Property",#N/A,FALSE,"Model";"Incentive Taxes",#N/A,FALSE,"Model"}</definedName>
    <definedName name="jsrj" hidden="1">{"Investor",#N/A,FALSE,"Model";"Property",#N/A,FALSE,"Model";"Incentive Taxes",#N/A,FALSE,"Model"}</definedName>
    <definedName name="jtyt" localSheetId="4" hidden="1">{"Investor",#N/A,FALSE,"Model";"Property",#N/A,FALSE,"Model";"Incentive Taxes",#N/A,FALSE,"Model"}</definedName>
    <definedName name="jtyt" localSheetId="6" hidden="1">{"Investor",#N/A,FALSE,"Model";"Property",#N/A,FALSE,"Model";"Incentive Taxes",#N/A,FALSE,"Model"}</definedName>
    <definedName name="jtyt" hidden="1">{"Investor",#N/A,FALSE,"Model";"Property",#N/A,FALSE,"Model";"Incentive Taxes",#N/A,FALSE,"Model"}</definedName>
    <definedName name="juafhidhfai" localSheetId="8" hidden="1">{"ANAR",#N/A,FALSE,"Dist total";"MARGEN",#N/A,FALSE,"Dist total";"COMENTARIO",#N/A,FALSE,"Ficha CODICE";"CONSEJO",#N/A,FALSE,"Dist p0";"uno",#N/A,FALSE,"Dist total"}</definedName>
    <definedName name="juafhidhfai" hidden="1">{"ANAR",#N/A,FALSE,"Dist total";"MARGEN",#N/A,FALSE,"Dist total";"COMENTARIO",#N/A,FALSE,"Ficha CODICE";"CONSEJO",#N/A,FALSE,"Dist p0";"uno",#N/A,FALSE,"Dist total"}</definedName>
    <definedName name="JUNK" localSheetId="4" hidden="1">{"SCHEDULE",#N/A,FALSE,"Fin_sched"}</definedName>
    <definedName name="JUNK" localSheetId="8" hidden="1">{"SCHEDULE",#N/A,FALSE,"Fin_sched"}</definedName>
    <definedName name="JUNK" localSheetId="6" hidden="1">{"SCHEDULE",#N/A,FALSE,"Fin_sched"}</definedName>
    <definedName name="JUNK" hidden="1">{"SCHEDULE",#N/A,FALSE,"Fin_sched"}</definedName>
    <definedName name="Junk_condo" localSheetId="4" hidden="1">{"SCHEDULE",#N/A,FALSE,"Fin_sched"}</definedName>
    <definedName name="Junk_condo" localSheetId="8" hidden="1">{"SCHEDULE",#N/A,FALSE,"Fin_sched"}</definedName>
    <definedName name="Junk_condo" localSheetId="6" hidden="1">{"SCHEDULE",#N/A,FALSE,"Fin_sched"}</definedName>
    <definedName name="Junk_condo" hidden="1">{"SCHEDULE",#N/A,FALSE,"Fin_sched"}</definedName>
    <definedName name="JUNK2" localSheetId="4" hidden="1">{"SUMMARY",#N/A,FALSE,"Fin_sched"}</definedName>
    <definedName name="JUNK2" localSheetId="8" hidden="1">{"SUMMARY",#N/A,FALSE,"Fin_sched"}</definedName>
    <definedName name="JUNK2" localSheetId="6" hidden="1">{"SUMMARY",#N/A,FALSE,"Fin_sched"}</definedName>
    <definedName name="JUNK2" hidden="1">{"SUMMARY",#N/A,FALSE,"Fin_sched"}</definedName>
    <definedName name="k" localSheetId="2" hidden="1">#REF!</definedName>
    <definedName name="k" localSheetId="4" hidden="1">#REF!</definedName>
    <definedName name="k" localSheetId="8" hidden="1">#REF!</definedName>
    <definedName name="k" hidden="1">#REF!</definedName>
    <definedName name="K2_WBEVMODE" hidden="1">-1</definedName>
    <definedName name="ke" localSheetId="2" hidden="1">#REF!</definedName>
    <definedName name="ke" localSheetId="4" hidden="1">#REF!</definedName>
    <definedName name="ke" localSheetId="8" hidden="1">#REF!</definedName>
    <definedName name="ke" hidden="1">#REF!</definedName>
    <definedName name="key">'[60]Summary Sheet'!$C$9</definedName>
    <definedName name="kjjjjkjhk" localSheetId="4" hidden="1">{"sheet a",#N/A,FALSE,"A";"sheet b 1",#N/A,FALSE,"B";"sheet b 2",#N/A,FALSE,"B"}</definedName>
    <definedName name="kjjjjkjhk" localSheetId="8" hidden="1">{"sheet a",#N/A,FALSE,"A";"sheet b 1",#N/A,FALSE,"B";"sheet b 2",#N/A,FALSE,"B"}</definedName>
    <definedName name="kjjjjkjhk" localSheetId="6" hidden="1">{"sheet a",#N/A,FALSE,"A";"sheet b 1",#N/A,FALSE,"B";"sheet b 2",#N/A,FALSE,"B"}</definedName>
    <definedName name="kjjjjkjhk" hidden="1">{"sheet a",#N/A,FALSE,"A";"sheet b 1",#N/A,FALSE,"B";"sheet b 2",#N/A,FALSE,"B"}</definedName>
    <definedName name="kjljl" localSheetId="4" hidden="1">{"page1",#N/A,FALSE,"Model";"page2",#N/A,FALSE,"Model";"page3",#N/A,FALSE,"Model";"page4",#N/A,FALSE,"Model";"page5",#N/A,FALSE,"Model";"page6",#N/A,FALSE,"Model"}</definedName>
    <definedName name="kjljl" localSheetId="6" hidden="1">{"page1",#N/A,FALSE,"Model";"page2",#N/A,FALSE,"Model";"page3",#N/A,FALSE,"Model";"page4",#N/A,FALSE,"Model";"page5",#N/A,FALSE,"Model";"page6",#N/A,FALSE,"Model"}</definedName>
    <definedName name="kjljl" hidden="1">{"page1",#N/A,FALSE,"Model";"page2",#N/A,FALSE,"Model";"page3",#N/A,FALSE,"Model";"page4",#N/A,FALSE,"Model";"page5",#N/A,FALSE,"Model";"page6",#N/A,FALSE,"Model"}</definedName>
    <definedName name="kjshdkjd" localSheetId="8"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kjshdkjd"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kkjjj" localSheetId="4" hidden="1">{#N/A,#N/A,FALSE,"Common Area Accrual";#N/A,#N/A,FALSE,"Unit One LaSalle";#N/A,#N/A,FALSE,"Unit One CW";#N/A,#N/A,FALSE,"Unit One LaSallle + C &amp; W";#N/A,#N/A,FALSE,"Consolidated Accrual"}</definedName>
    <definedName name="kkjjj" localSheetId="8" hidden="1">{#N/A,#N/A,FALSE,"Common Area Accrual";#N/A,#N/A,FALSE,"Unit One LaSalle";#N/A,#N/A,FALSE,"Unit One CW";#N/A,#N/A,FALSE,"Unit One LaSallle + C &amp; W";#N/A,#N/A,FALSE,"Consolidated Accrual"}</definedName>
    <definedName name="kkjjj" localSheetId="6" hidden="1">{#N/A,#N/A,FALSE,"Common Area Accrual";#N/A,#N/A,FALSE,"Unit One LaSalle";#N/A,#N/A,FALSE,"Unit One CW";#N/A,#N/A,FALSE,"Unit One LaSallle + C &amp; W";#N/A,#N/A,FALSE,"Consolidated Accrual"}</definedName>
    <definedName name="kkjjj" hidden="1">{#N/A,#N/A,FALSE,"Common Area Accrual";#N/A,#N/A,FALSE,"Unit One LaSalle";#N/A,#N/A,FALSE,"Unit One CW";#N/A,#N/A,FALSE,"Unit One LaSallle + C &amp; W";#N/A,#N/A,FALSE,"Consolidated Accrual"}</definedName>
    <definedName name="kkkk" localSheetId="2" hidden="1">#REF!</definedName>
    <definedName name="kkkk" localSheetId="4" hidden="1">#REF!</definedName>
    <definedName name="kkkk" localSheetId="8" hidden="1">#REF!</definedName>
    <definedName name="kkkk" hidden="1">#REF!</definedName>
    <definedName name="kljkl" localSheetId="2" hidden="1">#REF!</definedName>
    <definedName name="kljkl" localSheetId="8" hidden="1">#REF!</definedName>
    <definedName name="kljkl" hidden="1">#REF!</definedName>
    <definedName name="Kljl7" localSheetId="4" hidden="1">{"page1",#N/A,FALSE,"Model";"page2",#N/A,FALSE,"Model";"page3",#N/A,FALSE,"Model";"page4",#N/A,FALSE,"Model";"page5",#N/A,FALSE,"Model";"page6",#N/A,FALSE,"Model"}</definedName>
    <definedName name="Kljl7" localSheetId="6" hidden="1">{"page1",#N/A,FALSE,"Model";"page2",#N/A,FALSE,"Model";"page3",#N/A,FALSE,"Model";"page4",#N/A,FALSE,"Model";"page5",#N/A,FALSE,"Model";"page6",#N/A,FALSE,"Model"}</definedName>
    <definedName name="Kljl7" hidden="1">{"page1",#N/A,FALSE,"Model";"page2",#N/A,FALSE,"Model";"page3",#N/A,FALSE,"Model";"page4",#N/A,FALSE,"Model";"page5",#N/A,FALSE,"Model";"page6",#N/A,FALSE,"Model"}</definedName>
    <definedName name="ktyk" localSheetId="4" hidden="1">{"Investor",#N/A,FALSE,"Model";"Property",#N/A,FALSE,"Model";"Incentive Taxes",#N/A,FALSE,"Model"}</definedName>
    <definedName name="ktyk" localSheetId="6" hidden="1">{"Investor",#N/A,FALSE,"Model";"Property",#N/A,FALSE,"Model";"Incentive Taxes",#N/A,FALSE,"Model"}</definedName>
    <definedName name="ktyk" hidden="1">{"Investor",#N/A,FALSE,"Model";"Property",#N/A,FALSE,"Model";"Incentive Taxes",#N/A,FALSE,"Model"}</definedName>
    <definedName name="kyd.ChngCell.01." hidden="1">#N/A</definedName>
    <definedName name="kyd.CounterLimitCell.01." hidden="1">"x"</definedName>
    <definedName name="kyd.Dim.01." hidden="1">"tm1serv:company"</definedName>
    <definedName name="kyd.ElementList.01." hidden="1">#N/A</definedName>
    <definedName name="kyd.ElementType.01." hidden="1">1</definedName>
    <definedName name="kyd.FileSaveDir.">""</definedName>
    <definedName name="kyd.ItemType.01." hidden="1">2</definedName>
    <definedName name="kyd.KillLinks.">-4146</definedName>
    <definedName name="kyd.MacroAtEnd." hidden="1">""</definedName>
    <definedName name="kyd.MacroEachCycle." hidden="1">""</definedName>
    <definedName name="kyd.MacroEndOfEachCycle." hidden="1">""</definedName>
    <definedName name="kyd.MemoSortHide.">FALSE</definedName>
    <definedName name="kyd.NumLevels.01." hidden="1">999</definedName>
    <definedName name="kyd.PanicStop." hidden="1">FALSE</definedName>
    <definedName name="kyd.ParentName.01." hidden="1">""</definedName>
    <definedName name="kyd.Password.">""</definedName>
    <definedName name="kyd.PreScreenData." hidden="1">FALSE</definedName>
    <definedName name="kyd.PrintMemo.">FALSE</definedName>
    <definedName name="kyd.PrintParent.01." hidden="1">TRUE</definedName>
    <definedName name="kyd.PrintStdWhen." hidden="1">1</definedName>
    <definedName name="kyd.ProtWbkStruct.">-4146</definedName>
    <definedName name="kyd.ProtWbkWin.">-4146</definedName>
    <definedName name="kyd.ReplaceFile.">-4146</definedName>
    <definedName name="kyd.SaveAsFile." hidden="1">FALSE</definedName>
    <definedName name="kyd.SaveCopy.">3</definedName>
    <definedName name="kyd.SaveMemo.">FALSE</definedName>
    <definedName name="kyd.SelectString.01." hidden="1">"*"</definedName>
    <definedName name="kyd.StdSortHide." hidden="1">FALSE</definedName>
    <definedName name="kyd.StopRow.">65536</definedName>
    <definedName name="kyd.WriteMemWhenOptn.">3</definedName>
    <definedName name="l" localSheetId="4" hidden="1">{"sheet a",#N/A,FALSE,"A";"2 9 casflow",#N/A,FALSE,"B"}</definedName>
    <definedName name="l" localSheetId="8" hidden="1">{"sheet a",#N/A,FALSE,"A";"2 9 casflow",#N/A,FALSE,"B"}</definedName>
    <definedName name="l" localSheetId="6" hidden="1">{"sheet a",#N/A,FALSE,"A";"2 9 casflow",#N/A,FALSE,"B"}</definedName>
    <definedName name="l" hidden="1">{"sheet a",#N/A,FALSE,"A";"2 9 casflow",#N/A,FALSE,"B"}</definedName>
    <definedName name="lank" localSheetId="2" hidden="1">[61]ASSETS!#REF!</definedName>
    <definedName name="lank" localSheetId="4" hidden="1">[61]ASSETS!#REF!</definedName>
    <definedName name="lank" localSheetId="8" hidden="1">[61]ASSETS!#REF!</definedName>
    <definedName name="lank" localSheetId="6" hidden="1">[61]ASSETS!#REF!</definedName>
    <definedName name="lank" hidden="1">[61]ASSETS!#REF!</definedName>
    <definedName name="Last_Row" localSheetId="2">IF('Monthly USD Model'!Values_Entered,Header_Row+'Monthly USD Model'!Number_of_Payments,Header_Row)</definedName>
    <definedName name="Last_Row" localSheetId="4">IF('OpEx Budget'!Values_Entered,Header_Row+'OpEx Budget'!Number_of_Payments,Header_Row)</definedName>
    <definedName name="Last_Row" localSheetId="8">IF(Performance!Values_Entered,Header_Row+Performance!Number_of_Payments,Header_Row)</definedName>
    <definedName name="Last_Row" localSheetId="6">IF(UnitMix!Values_Entered,Header_Row+UnitMix!Number_of_Payments,Header_Row)</definedName>
    <definedName name="Last_Row">IF([0]!Values_Entered,Header_Row+[0]!Number_of_Payments,Header_Row)</definedName>
    <definedName name="ldsfkkladsfk" localSheetId="2" hidden="1">'[10]Annual Report'!#REF!</definedName>
    <definedName name="ldsfkkladsfk" localSheetId="4" hidden="1">'[10]Annual Report'!#REF!</definedName>
    <definedName name="ldsfkkladsfk" localSheetId="8" hidden="1">'[10]Annual Report'!#REF!</definedName>
    <definedName name="ldsfkkladsfk" localSheetId="6" hidden="1">'[10]Annual Report'!#REF!</definedName>
    <definedName name="ldsfkkladsfk" hidden="1">'[10]Annual Report'!#REF!</definedName>
    <definedName name="leek" localSheetId="2" hidden="1">#REF!</definedName>
    <definedName name="leek" localSheetId="4" hidden="1">#REF!</definedName>
    <definedName name="leek" localSheetId="8" hidden="1">#REF!</definedName>
    <definedName name="leek" hidden="1">#REF!</definedName>
    <definedName name="lfl" localSheetId="8" hidden="1">{"uno",#N/A,FALSE,"Dist total";"COMENTARIO",#N/A,FALSE,"Ficha CODICE"}</definedName>
    <definedName name="lfl" hidden="1">{"uno",#N/A,FALSE,"Dist total";"COMENTARIO",#N/A,FALSE,"Ficha CODICE"}</definedName>
    <definedName name="lfyu" localSheetId="4" hidden="1">{"Investor",#N/A,FALSE,"Model";"Property",#N/A,FALSE,"Model";"Incentive Taxes",#N/A,FALSE,"Model"}</definedName>
    <definedName name="lfyu" localSheetId="6" hidden="1">{"Investor",#N/A,FALSE,"Model";"Property",#N/A,FALSE,"Model";"Incentive Taxes",#N/A,FALSE,"Model"}</definedName>
    <definedName name="lfyu" hidden="1">{"Investor",#N/A,FALSE,"Model";"Property",#N/A,FALSE,"Model";"Incentive Taxes",#N/A,FALSE,"Model"}</definedName>
    <definedName name="limcount" hidden="1">1</definedName>
    <definedName name="lisa" localSheetId="4" hidden="1">{"Main",#N/A,FALSE,"Wacker";"Main2",#N/A,FALSE,"Wacker";"Value",#N/A,FALSE,"Wacker";"Sensitivity",#N/A,FALSE,"Wacker";"Paine",#N/A,FALSE,"Wacker";"Quaker",#N/A,FALSE,"Wacker";"Wacker",#N/A,FALSE,"Wacker";"1900",#N/A,FALSE,"Wacker";"1901",#N/A,FALSE,"Wacker"}</definedName>
    <definedName name="lisa" localSheetId="6" hidden="1">{"Main",#N/A,FALSE,"Wacker";"Main2",#N/A,FALSE,"Wacker";"Value",#N/A,FALSE,"Wacker";"Sensitivity",#N/A,FALSE,"Wacker";"Paine",#N/A,FALSE,"Wacker";"Quaker",#N/A,FALSE,"Wacker";"Wacker",#N/A,FALSE,"Wacker";"1900",#N/A,FALSE,"Wacker";"1901",#N/A,FALSE,"Wacker"}</definedName>
    <definedName name="lisa" hidden="1">{"Main",#N/A,FALSE,"Wacker";"Main2",#N/A,FALSE,"Wacker";"Value",#N/A,FALSE,"Wacker";"Sensitivity",#N/A,FALSE,"Wacker";"Paine",#N/A,FALSE,"Wacker";"Quaker",#N/A,FALSE,"Wacker";"Wacker",#N/A,FALSE,"Wacker";"1900",#N/A,FALSE,"Wacker";"1901",#N/A,FALSE,"Wacker"}</definedName>
    <definedName name="lisa2" localSheetId="4" hidden="1">{"View1",#N/A,FALSE,"Sheet1";"View2",#N/A,FALSE,"Sheet1"}</definedName>
    <definedName name="lisa2" localSheetId="6" hidden="1">{"View1",#N/A,FALSE,"Sheet1";"View2",#N/A,FALSE,"Sheet1"}</definedName>
    <definedName name="lisa2" hidden="1">{"View1",#N/A,FALSE,"Sheet1";"View2",#N/A,FALSE,"Sheet1"}</definedName>
    <definedName name="lisa3" localSheetId="4" hidden="1">{"View1",#N/A,FALSE,"Sheet1";"View2",#N/A,FALSE,"Sheet1"}</definedName>
    <definedName name="lisa3" localSheetId="6" hidden="1">{"View1",#N/A,FALSE,"Sheet1";"View2",#N/A,FALSE,"Sheet1"}</definedName>
    <definedName name="lisa3" hidden="1">{"View1",#N/A,FALSE,"Sheet1";"View2",#N/A,FALSE,"Sheet1"}</definedName>
    <definedName name="LIST" localSheetId="2">#REF!</definedName>
    <definedName name="LIST" localSheetId="4">#REF!</definedName>
    <definedName name="LIST" localSheetId="8">#REF!</definedName>
    <definedName name="LIST">#REF!</definedName>
    <definedName name="ljl" localSheetId="4" hidden="1">{#N/A,#N/A,FALSE,"Expense Detail ";#N/A,#N/A,FALSE,"Worksheet";#N/A,#N/A,FALSE,"Audit";#N/A,#N/A,FALSE,"Exclusions";#N/A,#N/A,FALSE,"Variance";#N/A,#N/A,FALSE,"Reconciliation"}</definedName>
    <definedName name="ljl" localSheetId="8" hidden="1">{#N/A,#N/A,FALSE,"Expense Detail ";#N/A,#N/A,FALSE,"Worksheet";#N/A,#N/A,FALSE,"Audit";#N/A,#N/A,FALSE,"Exclusions";#N/A,#N/A,FALSE,"Variance";#N/A,#N/A,FALSE,"Reconciliation"}</definedName>
    <definedName name="ljl" localSheetId="6" hidden="1">{#N/A,#N/A,FALSE,"Expense Detail ";#N/A,#N/A,FALSE,"Worksheet";#N/A,#N/A,FALSE,"Audit";#N/A,#N/A,FALSE,"Exclusions";#N/A,#N/A,FALSE,"Variance";#N/A,#N/A,FALSE,"Reconciliation"}</definedName>
    <definedName name="ljl" hidden="1">{#N/A,#N/A,FALSE,"Expense Detail ";#N/A,#N/A,FALSE,"Worksheet";#N/A,#N/A,FALSE,"Audit";#N/A,#N/A,FALSE,"Exclusions";#N/A,#N/A,FALSE,"Variance";#N/A,#N/A,FALSE,"Reconciliation"}</definedName>
    <definedName name="lk" localSheetId="4" hidden="1">{#N/A,#N/A,FALSE,"CAPREIT"}</definedName>
    <definedName name="lk" localSheetId="6" hidden="1">{#N/A,#N/A,FALSE,"CAPREIT"}</definedName>
    <definedName name="lk" hidden="1">{#N/A,#N/A,FALSE,"CAPREIT"}</definedName>
    <definedName name="lkjsd" localSheetId="2" hidden="1">#REF!</definedName>
    <definedName name="lkjsd" localSheetId="8" hidden="1">#REF!</definedName>
    <definedName name="lkjsd" hidden="1">#REF!</definedName>
    <definedName name="ll" localSheetId="0" hidden="1">{"uno",#N/A,FALSE,"Dist total";"COMENTARIO",#N/A,FALSE,"Ficha CODICE"}</definedName>
    <definedName name="ll" localSheetId="4" hidden="1">{#N/A,#N/A,TRUE,"Maritime Park Arena PCD";#N/A,#N/A,TRUE,"Maritime Park Arena IOR"}</definedName>
    <definedName name="ll" localSheetId="6" hidden="1">{#N/A,#N/A,TRUE,"Maritime Park Arena PCD";#N/A,#N/A,TRUE,"Maritime Park Arena IOR"}</definedName>
    <definedName name="ll" hidden="1">{#N/A,#N/A,TRUE,"Maritime Park Arena PCD";#N/A,#N/A,TRUE,"Maritime Park Arena IOR"}</definedName>
    <definedName name="lll" localSheetId="0" hidden="1">{"CONSEJO",#N/A,FALSE,"Dist p0";"CONSEJO",#N/A,FALSE,"Ficha CODICE"}</definedName>
    <definedName name="LLL" localSheetId="2" hidden="1">#REF!</definedName>
    <definedName name="LLL" localSheetId="4" hidden="1">#REF!</definedName>
    <definedName name="LLL" localSheetId="8" hidden="1">#REF!</definedName>
    <definedName name="LLL" hidden="1">#REF!</definedName>
    <definedName name="lllll" localSheetId="4" hidden="1">{"sheet a",#N/A,FALSE,"A";"sheet b 1",#N/A,FALSE,"B";"sheet b 2",#N/A,FALSE,"B"}</definedName>
    <definedName name="lllll" localSheetId="8" hidden="1">{"sheet a",#N/A,FALSE,"A";"sheet b 1",#N/A,FALSE,"B";"sheet b 2",#N/A,FALSE,"B"}</definedName>
    <definedName name="lllll" localSheetId="6" hidden="1">{"sheet a",#N/A,FALSE,"A";"sheet b 1",#N/A,FALSE,"B";"sheet b 2",#N/A,FALSE,"B"}</definedName>
    <definedName name="lllll" hidden="1">{"sheet a",#N/A,FALSE,"A";"sheet b 1",#N/A,FALSE,"B";"sheet b 2",#N/A,FALSE,"B"}</definedName>
    <definedName name="llllllllllllllllllllllllllllll" localSheetId="4" hidden="1">{#N/A,#N/A,FALSE,"LP Exp";#N/A,#N/A,FALSE,"Salary";#N/A,#N/A,FALSE,"Admin Exp";#N/A,#N/A,FALSE,"QTS Bud";#N/A,#N/A,FALSE,"Marketing"}</definedName>
    <definedName name="llllllllllllllllllllllllllllll" localSheetId="8" hidden="1">{#N/A,#N/A,FALSE,"LP Exp";#N/A,#N/A,FALSE,"Salary";#N/A,#N/A,FALSE,"Admin Exp";#N/A,#N/A,FALSE,"QTS Bud";#N/A,#N/A,FALSE,"Marketing"}</definedName>
    <definedName name="llllllllllllllllllllllllllllll" localSheetId="6" hidden="1">{#N/A,#N/A,FALSE,"LP Exp";#N/A,#N/A,FALSE,"Salary";#N/A,#N/A,FALSE,"Admin Exp";#N/A,#N/A,FALSE,"QTS Bud";#N/A,#N/A,FALSE,"Marketing"}</definedName>
    <definedName name="llllllllllllllllllllllllllllll" hidden="1">{#N/A,#N/A,FALSE,"LP Exp";#N/A,#N/A,FALSE,"Salary";#N/A,#N/A,FALSE,"Admin Exp";#N/A,#N/A,FALSE,"QTS Bud";#N/A,#N/A,FALSE,"Marketing"}</definedName>
    <definedName name="Loan_Not_Paid" localSheetId="2">IF('Monthly USD Model'!Payment_Number&lt;='Monthly USD Model'!Number_of_Payments,1,0)</definedName>
    <definedName name="Loan_Not_Paid" localSheetId="4">IF('OpEx Budget'!Payment_Number&lt;='OpEx Budget'!Number_of_Payments,1,0)</definedName>
    <definedName name="Loan_Not_Paid" localSheetId="8">IF(Performance!Payment_Number&lt;=Performance!Number_of_Payments,1,0)</definedName>
    <definedName name="Loan_Not_Paid" localSheetId="6">IF(UnitMix!Payment_Number&lt;=UnitMix!Number_of_Payments,1,0)</definedName>
    <definedName name="Loan_Not_Paid">IF([0]!Payment_Number&lt;=[0]!Number_of_Payments,1,0)</definedName>
    <definedName name="LoanTerm">[35]Lev!$B$10:$DY$28</definedName>
    <definedName name="LoanTermIndex">[35]Lev!$B$10:$DY$10</definedName>
    <definedName name="Louvers" localSheetId="4" hidden="1">{#N/A,#N/A,TRUE,"Ericsson Stadium PCD ";#N/A,#N/A,TRUE,"Ericsson Stadium IOR"}</definedName>
    <definedName name="Louvers" localSheetId="8" hidden="1">{#N/A,#N/A,TRUE,"Ericsson Stadium PCD ";#N/A,#N/A,TRUE,"Ericsson Stadium IOR"}</definedName>
    <definedName name="Louvers" localSheetId="6" hidden="1">{#N/A,#N/A,TRUE,"Ericsson Stadium PCD ";#N/A,#N/A,TRUE,"Ericsson Stadium IOR"}</definedName>
    <definedName name="Louvers" hidden="1">{#N/A,#N/A,TRUE,"Ericsson Stadium PCD ";#N/A,#N/A,TRUE,"Ericsson Stadium IOR"}</definedName>
    <definedName name="Louversa" localSheetId="4" hidden="1">{#N/A,#N/A,TRUE,"Ericsson Stadium PCD ";#N/A,#N/A,TRUE,"Ericsson Stadium IOR"}</definedName>
    <definedName name="Louversa" localSheetId="8" hidden="1">{#N/A,#N/A,TRUE,"Ericsson Stadium PCD ";#N/A,#N/A,TRUE,"Ericsson Stadium IOR"}</definedName>
    <definedName name="Louversa" localSheetId="6" hidden="1">{#N/A,#N/A,TRUE,"Ericsson Stadium PCD ";#N/A,#N/A,TRUE,"Ericsson Stadium IOR"}</definedName>
    <definedName name="Louversa" hidden="1">{#N/A,#N/A,TRUE,"Ericsson Stadium PCD ";#N/A,#N/A,TRUE,"Ericsson Stadium IOR"}</definedName>
    <definedName name="lsl" localSheetId="8" hidden="1">{"ANAR",#N/A,FALSE,"Dist total";"MARGEN",#N/A,FALSE,"Dist total";"COMENTARIO",#N/A,FALSE,"Ficha CODICE";"CONSEJO",#N/A,FALSE,"Dist p0";"uno",#N/A,FALSE,"Dist total"}</definedName>
    <definedName name="lsl" hidden="1">{"ANAR",#N/A,FALSE,"Dist total";"MARGEN",#N/A,FALSE,"Dist total";"COMENTARIO",#N/A,FALSE,"Ficha CODICE";"CONSEJO",#N/A,FALSE,"Dist p0";"uno",#N/A,FALSE,"Dist total"}</definedName>
    <definedName name="LTA_Market">[62]Dashboard!$I$85</definedName>
    <definedName name="lui" localSheetId="8" hidden="1">{"uno",#N/A,FALSE,"Dist total";"COMENTARIO",#N/A,FALSE,"Ficha CODICE"}</definedName>
    <definedName name="lui" hidden="1">{"uno",#N/A,FALSE,"Dist total";"COMENTARIO",#N/A,FALSE,"Ficha CODICE"}</definedName>
    <definedName name="luis" localSheetId="8" hidden="1">{"CONSEJO",#N/A,FALSE,"Dist p0";"CONSEJO",#N/A,FALSE,"Ficha CODICE"}</definedName>
    <definedName name="luis" hidden="1">{"CONSEJO",#N/A,FALSE,"Dist p0";"CONSEJO",#N/A,FALSE,"Ficha CODICE"}</definedName>
    <definedName name="luisin" localSheetId="8" hidden="1">{"uno",#N/A,FALSE,"Dist total";"COMENTARIO",#N/A,FALSE,"Ficha CODICE"}</definedName>
    <definedName name="luisin" hidden="1">{"uno",#N/A,FALSE,"Dist total";"COMENTARIO",#N/A,FALSE,"Ficha CODICE"}</definedName>
    <definedName name="m" localSheetId="4" hidden="1">{#N/A,#N/A,FALSE,"matx B4 DS";#N/A,#N/A,FALSE,"matx B4 DS Hac";#N/A,#N/A,FALSE,"matx B4 DS Chabot";#N/A,#N/A,FALSE,"matx B4 DS Diablo"}</definedName>
    <definedName name="m" localSheetId="6" hidden="1">{#N/A,#N/A,FALSE,"matx B4 DS";#N/A,#N/A,FALSE,"matx B4 DS Hac";#N/A,#N/A,FALSE,"matx B4 DS Chabot";#N/A,#N/A,FALSE,"matx B4 DS Diablo"}</definedName>
    <definedName name="m" hidden="1">{#N/A,#N/A,FALSE,"matx B4 DS";#N/A,#N/A,FALSE,"matx B4 DS Hac";#N/A,#N/A,FALSE,"matx B4 DS Chabot";#N/A,#N/A,FALSE,"matx B4 DS Diablo"}</definedName>
    <definedName name="M_PlaceofPath" hidden="1">"\\SNYCEQT0100\HOME\DANDERS\COMPANY\IGT\IGT_VDF.xls"</definedName>
    <definedName name="mal" localSheetId="2">#REF!</definedName>
    <definedName name="mal" localSheetId="4">#REF!</definedName>
    <definedName name="mal" localSheetId="8">#REF!</definedName>
    <definedName name="mal">#REF!</definedName>
    <definedName name="margin">'[54]Income Summary'!$C$227</definedName>
    <definedName name="market1" localSheetId="4" hidden="1">{"Zone1",#N/A,FALSE,"Parameters";"Zone2",#N/A,FALSE,"Parameters"}</definedName>
    <definedName name="market1" localSheetId="8" hidden="1">{"Zone1",#N/A,FALSE,"Parameters";"Zone2",#N/A,FALSE,"Parameters"}</definedName>
    <definedName name="market1" localSheetId="6" hidden="1">{"Zone1",#N/A,FALSE,"Parameters";"Zone2",#N/A,FALSE,"Parameters"}</definedName>
    <definedName name="market1" hidden="1">{"Zone1",#N/A,FALSE,"Parameters";"Zone2",#N/A,FALSE,"Parameters"}</definedName>
    <definedName name="matrices" localSheetId="4" hidden="1">{#N/A,#N/A,FALSE,"Assumptions";#N/A,#N/A,FALSE,"Consol CF";#N/A,#N/A,FALSE,"matx B4 DS";#N/A,#N/A,FALSE,"Hacienda CF";#N/A,#N/A,FALSE,"matx B4 DS Hac";#N/A,#N/A,FALSE,"Chabot CF";#N/A,#N/A,FALSE,"matx B4 DS Chabot";#N/A,#N/A,FALSE,"Diablo CF";#N/A,#N/A,FALSE,"matx B4 DS Diablo"}</definedName>
    <definedName name="matrices" localSheetId="8" hidden="1">{#N/A,#N/A,FALSE,"Assumptions";#N/A,#N/A,FALSE,"Consol CF";#N/A,#N/A,FALSE,"matx B4 DS";#N/A,#N/A,FALSE,"Hacienda CF";#N/A,#N/A,FALSE,"matx B4 DS Hac";#N/A,#N/A,FALSE,"Chabot CF";#N/A,#N/A,FALSE,"matx B4 DS Chabot";#N/A,#N/A,FALSE,"Diablo CF";#N/A,#N/A,FALSE,"matx B4 DS Diablo"}</definedName>
    <definedName name="matrices" localSheetId="6" hidden="1">{#N/A,#N/A,FALSE,"Assumptions";#N/A,#N/A,FALSE,"Consol CF";#N/A,#N/A,FALSE,"matx B4 DS";#N/A,#N/A,FALSE,"Hacienda CF";#N/A,#N/A,FALSE,"matx B4 DS Hac";#N/A,#N/A,FALSE,"Chabot CF";#N/A,#N/A,FALSE,"matx B4 DS Chabot";#N/A,#N/A,FALSE,"Diablo CF";#N/A,#N/A,FALSE,"matx B4 DS Diablo"}</definedName>
    <definedName name="matrices" hidden="1">{#N/A,#N/A,FALSE,"Assumptions";#N/A,#N/A,FALSE,"Consol CF";#N/A,#N/A,FALSE,"matx B4 DS";#N/A,#N/A,FALSE,"Hacienda CF";#N/A,#N/A,FALSE,"matx B4 DS Hac";#N/A,#N/A,FALSE,"Chabot CF";#N/A,#N/A,FALSE,"matx B4 DS Chabot";#N/A,#N/A,FALSE,"Diablo CF";#N/A,#N/A,FALSE,"matx B4 DS Diablo"}</definedName>
    <definedName name="matricies" localSheetId="4" hidden="1">{#N/A,#N/A,FALSE,"matx B4 DS";#N/A,#N/A,FALSE,"matx B4 DS Hac";#N/A,#N/A,FALSE,"matx B4 DS Chabot";#N/A,#N/A,FALSE,"matx B4 DS Diablo"}</definedName>
    <definedName name="matricies" localSheetId="8" hidden="1">{#N/A,#N/A,FALSE,"matx B4 DS";#N/A,#N/A,FALSE,"matx B4 DS Hac";#N/A,#N/A,FALSE,"matx B4 DS Chabot";#N/A,#N/A,FALSE,"matx B4 DS Diablo"}</definedName>
    <definedName name="matricies" localSheetId="6" hidden="1">{#N/A,#N/A,FALSE,"matx B4 DS";#N/A,#N/A,FALSE,"matx B4 DS Hac";#N/A,#N/A,FALSE,"matx B4 DS Chabot";#N/A,#N/A,FALSE,"matx B4 DS Diablo"}</definedName>
    <definedName name="matricies" hidden="1">{#N/A,#N/A,FALSE,"matx B4 DS";#N/A,#N/A,FALSE,"matx B4 DS Hac";#N/A,#N/A,FALSE,"matx B4 DS Chabot";#N/A,#N/A,FALSE,"matx B4 DS Diablo"}</definedName>
    <definedName name="MCUwork1" localSheetId="4" hidden="1">{#N/A,#N/A,TRUE,"Summary";#N/A,#N/A,TRUE,"Program Scheme";#N/A,#N/A,TRUE,"Assumptions";#N/A,#N/A,TRUE,"Development Budget &amp; Timing";#N/A,#N/A,TRUE,"Cash Flow";#N/A,#N/A,TRUE,"Cash Flow to Debt &amp; Equity"}</definedName>
    <definedName name="MCUwork1" localSheetId="8" hidden="1">{#N/A,#N/A,TRUE,"Summary";#N/A,#N/A,TRUE,"Program Scheme";#N/A,#N/A,TRUE,"Assumptions";#N/A,#N/A,TRUE,"Development Budget &amp; Timing";#N/A,#N/A,TRUE,"Cash Flow";#N/A,#N/A,TRUE,"Cash Flow to Debt &amp; Equity"}</definedName>
    <definedName name="MCUwork1" localSheetId="6" hidden="1">{#N/A,#N/A,TRUE,"Summary";#N/A,#N/A,TRUE,"Program Scheme";#N/A,#N/A,TRUE,"Assumptions";#N/A,#N/A,TRUE,"Development Budget &amp; Timing";#N/A,#N/A,TRUE,"Cash Flow";#N/A,#N/A,TRUE,"Cash Flow to Debt &amp; Equity"}</definedName>
    <definedName name="MCUwork1" hidden="1">{#N/A,#N/A,TRUE,"Summary";#N/A,#N/A,TRUE,"Program Scheme";#N/A,#N/A,TRUE,"Assumptions";#N/A,#N/A,TRUE,"Development Budget &amp; Timing";#N/A,#N/A,TRUE,"Cash Flow";#N/A,#N/A,TRUE,"Cash Flow to Debt &amp; Equity"}</definedName>
    <definedName name="MENU" localSheetId="2">#REF!</definedName>
    <definedName name="MENU" localSheetId="4">#REF!</definedName>
    <definedName name="MENU" localSheetId="8">#REF!</definedName>
    <definedName name="MENU">#REF!</definedName>
    <definedName name="MGDV_IRR" localSheetId="4" hidden="1">{"Zone1",#N/A,FALSE,"Parameters";"Zone2",#N/A,FALSE,"Parameters"}</definedName>
    <definedName name="MGDV_IRR" localSheetId="8" hidden="1">{"Zone1",#N/A,FALSE,"Parameters";"Zone2",#N/A,FALSE,"Parameters"}</definedName>
    <definedName name="MGDV_IRR" localSheetId="6" hidden="1">{"Zone1",#N/A,FALSE,"Parameters";"Zone2",#N/A,FALSE,"Parameters"}</definedName>
    <definedName name="MGDV_IRR" hidden="1">{"Zone1",#N/A,FALSE,"Parameters";"Zone2",#N/A,FALSE,"Parameters"}</definedName>
    <definedName name="MLNK03c87c6eb4ab4d41908c016f70ed4231" hidden="1" xml:space="preserve">    '[63]85 Jay - Charts'!$B$29:$F$44</definedName>
    <definedName name="MLNK0becca97c36a42f7938a85beae8f8181" hidden="1" xml:space="preserve">    '[63]85 Jay - Charts'!$B$2:$F$7</definedName>
    <definedName name="MLNK175208027e8c4dbaac07cb5f1f6a2692" hidden="1" xml:space="preserve">    '[63]85 Jay - Charts'!$B$29:$F$44</definedName>
    <definedName name="MLNK1d425448f53643e9983a32d1853d5b7e" hidden="1" xml:space="preserve">    '[63]85 Jay - Charts'!$B$377:$F$381</definedName>
    <definedName name="MLNK2e96153c3f0d4bb49779f4be7c41bdee" hidden="1" xml:space="preserve">    '[63]85 Jay - Charts'!$B$377:$F$381</definedName>
    <definedName name="MLNK428f83a116684377a2ecf0080ab0df1f" hidden="1" xml:space="preserve">    '[63]85 Jay - Charts'!$B$377:$F$381</definedName>
    <definedName name="MLNK45276ccf1b454f33a74daa2a93eee923" hidden="1" xml:space="preserve">    '[63]85 Jay - Charts'!$B$2:$F$7</definedName>
    <definedName name="MLNK460603c058d74f83bddb9f7d2320fe43" hidden="1" xml:space="preserve">    '[63]85 Jay - Charts'!$B$29:$F$44</definedName>
    <definedName name="MLNK490cda714acb449d850d3f68b95f26bd" hidden="1" xml:space="preserve">    '[63]85 Jay - Charts'!$B$377:$F$381</definedName>
    <definedName name="MLNK6bbfe438bb474e368985cbfacc61728a" hidden="1" xml:space="preserve">    '[63]85 Jay - Charts'!$B$377:$F$381</definedName>
    <definedName name="MLNK94fb57a5f62940c29b3d70881f7b9497" hidden="1" xml:space="preserve">    '[63]85 Jay - Charts'!$B$2:$F$7</definedName>
    <definedName name="MLNK990c14e266c34417a93c34b7369a0208" hidden="1" xml:space="preserve">    '[63]85 Jay - Charts'!$B$377:$F$381</definedName>
    <definedName name="MLNKafbcd2bde7bf4bf0bf85e3a802f8240b" hidden="1" xml:space="preserve">    '[63]85 Jay - Charts'!$B$29:$F$44</definedName>
    <definedName name="MLNKb4e7dd3827254c5a9bb5e0f555d4744b" hidden="1" xml:space="preserve">    '[63]85 Jay - Charts'!$B$377:$F$381</definedName>
    <definedName name="MLNKc8a93ed27140497fa40799fe53890bbd" hidden="1" xml:space="preserve">    '[63]85 Jay - Charts'!$B$2:$F$7</definedName>
    <definedName name="MLNKd01b864febfa4d49adf4f1b10e1596d2" hidden="1" xml:space="preserve">    '[63]85 Jay - Charts'!$B$29:$F$44</definedName>
    <definedName name="MLNKd546f825ecf44535a47a0756db6b1227" hidden="1" xml:space="preserve">    '[63]85 Jay - Charts'!$B$2:$F$7</definedName>
    <definedName name="MLNKdc88a5bb3eae404396930e697538ff3a" hidden="1" xml:space="preserve">    '[63]85 Jay - Charts'!$B$377:$F$381</definedName>
    <definedName name="MLNKe239bda8fe264040acc05f4f3f8e57e4" hidden="1" xml:space="preserve">    '[63]85 Jay - Charts'!$B$377:$F$381</definedName>
    <definedName name="MLNKf83f4d271ccc4383b1fbfb80b08fe0b9" hidden="1" xml:space="preserve">    '[63]85 Jay - Charts'!$B$29:$F$44</definedName>
    <definedName name="MLNKfe121f24fd594226888533c7f523cc48" hidden="1" xml:space="preserve">    '[63]85 Jay - Charts'!$B$2:$F$7</definedName>
    <definedName name="MLNKfee75fa8c2a04f64b8ac0cebb1ef75e0" localSheetId="2" hidden="1">'[64]Summary Output'!#REF!</definedName>
    <definedName name="MLNKfee75fa8c2a04f64b8ac0cebb1ef75e0" localSheetId="4" hidden="1">'[64]Summary Output'!#REF!</definedName>
    <definedName name="MLNKfee75fa8c2a04f64b8ac0cebb1ef75e0" localSheetId="8" hidden="1">'[64]Summary Output'!#REF!</definedName>
    <definedName name="MLNKfee75fa8c2a04f64b8ac0cebb1ef75e0" localSheetId="6" hidden="1">'[64]Summary Output'!#REF!</definedName>
    <definedName name="MLNKfee75fa8c2a04f64b8ac0cebb1ef75e0" hidden="1">'[64]Summary Output'!#REF!</definedName>
    <definedName name="mmmmm" localSheetId="2" hidden="1">'[65]2004 Op Exp'!#REF!</definedName>
    <definedName name="mmmmm" localSheetId="4" hidden="1">'[65]2004 Op Exp'!#REF!</definedName>
    <definedName name="mmmmm" localSheetId="8" hidden="1">'[65]2004 Op Exp'!#REF!</definedName>
    <definedName name="mmmmm" localSheetId="6" hidden="1">'[65]2004 Op Exp'!#REF!</definedName>
    <definedName name="mmmmm" hidden="1">'[65]2004 Op Exp'!#REF!</definedName>
    <definedName name="monday" localSheetId="4" hidden="1">{"Main",#N/A,FALSE,"Wacker";"Main2",#N/A,FALSE,"Wacker";"Value",#N/A,FALSE,"Wacker";"Sensitivity",#N/A,FALSE,"Wacker";"Paine",#N/A,FALSE,"Wacker";"Quaker",#N/A,FALSE,"Wacker";"Wacker",#N/A,FALSE,"Wacker";"1900",#N/A,FALSE,"Wacker";"1901",#N/A,FALSE,"Wacker"}</definedName>
    <definedName name="monday" localSheetId="6" hidden="1">{"Main",#N/A,FALSE,"Wacker";"Main2",#N/A,FALSE,"Wacker";"Value",#N/A,FALSE,"Wacker";"Sensitivity",#N/A,FALSE,"Wacker";"Paine",#N/A,FALSE,"Wacker";"Quaker",#N/A,FALSE,"Wacker";"Wacker",#N/A,FALSE,"Wacker";"1900",#N/A,FALSE,"Wacker";"1901",#N/A,FALSE,"Wacker"}</definedName>
    <definedName name="monday" hidden="1">{"Main",#N/A,FALSE,"Wacker";"Main2",#N/A,FALSE,"Wacker";"Value",#N/A,FALSE,"Wacker";"Sensitivity",#N/A,FALSE,"Wacker";"Paine",#N/A,FALSE,"Wacker";"Quaker",#N/A,FALSE,"Wacker";"Wacker",#N/A,FALSE,"Wacker";"1900",#N/A,FALSE,"Wacker";"1901",#N/A,FALSE,"Wacker"}</definedName>
    <definedName name="mondayjvcopy" localSheetId="4" hidden="1">{"View1",#N/A,FALSE,"Sheet1";"View2",#N/A,FALSE,"Sheet1"}</definedName>
    <definedName name="mondayjvcopy" localSheetId="6" hidden="1">{"View1",#N/A,FALSE,"Sheet1";"View2",#N/A,FALSE,"Sheet1"}</definedName>
    <definedName name="mondayjvcopy" hidden="1">{"View1",#N/A,FALSE,"Sheet1";"View2",#N/A,FALSE,"Sheet1"}</definedName>
    <definedName name="mondaypark" localSheetId="4" hidden="1">{"View1",#N/A,FALSE,"Sheet1";"View2",#N/A,FALSE,"Sheet1"}</definedName>
    <definedName name="mondaypark" localSheetId="6" hidden="1">{"View1",#N/A,FALSE,"Sheet1";"View2",#N/A,FALSE,"Sheet1"}</definedName>
    <definedName name="mondaypark" hidden="1">{"View1",#N/A,FALSE,"Sheet1";"View2",#N/A,FALSE,"Sheet1"}</definedName>
    <definedName name="mondaytest" localSheetId="4" hidden="1">{"Main",#N/A,FALSE,"Wacker";"Main2",#N/A,FALSE,"Wacker";"Value",#N/A,FALSE,"Wacker";"Sensitivity",#N/A,FALSE,"Wacker";"Paine",#N/A,FALSE,"Wacker";"Quaker",#N/A,FALSE,"Wacker";"Wacker",#N/A,FALSE,"Wacker";"1900",#N/A,FALSE,"Wacker";"1901",#N/A,FALSE,"Wacker"}</definedName>
    <definedName name="mondaytest" localSheetId="6" hidden="1">{"Main",#N/A,FALSE,"Wacker";"Main2",#N/A,FALSE,"Wacker";"Value",#N/A,FALSE,"Wacker";"Sensitivity",#N/A,FALSE,"Wacker";"Paine",#N/A,FALSE,"Wacker";"Quaker",#N/A,FALSE,"Wacker";"Wacker",#N/A,FALSE,"Wacker";"1900",#N/A,FALSE,"Wacker";"1901",#N/A,FALSE,"Wacker"}</definedName>
    <definedName name="mondaytest" hidden="1">{"Main",#N/A,FALSE,"Wacker";"Main2",#N/A,FALSE,"Wacker";"Value",#N/A,FALSE,"Wacker";"Sensitivity",#N/A,FALSE,"Wacker";"Paine",#N/A,FALSE,"Wacker";"Quaker",#N/A,FALSE,"Wacker";"Wacker",#N/A,FALSE,"Wacker";"1900",#N/A,FALSE,"Wacker";"1901",#N/A,FALSE,"Wacker"}</definedName>
    <definedName name="MONTH" localSheetId="2">#REF!</definedName>
    <definedName name="MONTH" localSheetId="4">#REF!</definedName>
    <definedName name="MONTH" localSheetId="8">#REF!</definedName>
    <definedName name="MONTH">#REF!</definedName>
    <definedName name="Monthly_Payment" localSheetId="2">-PMT([0]!Interest_Rate/12,'Monthly USD Model'!Number_of_Payments,[0]!Loan_Amount)</definedName>
    <definedName name="Monthly_Payment" localSheetId="4">-PMT([0]!Interest_Rate/12,'OpEx Budget'!Number_of_Payments,[0]!Loan_Amount)</definedName>
    <definedName name="Monthly_Payment" localSheetId="8">-PMT([0]!Interest_Rate/12,Performance!Number_of_Payments,[0]!Loan_Amount)</definedName>
    <definedName name="Monthly_Payment" localSheetId="6">-PMT([0]!Interest_Rate/12,UnitMix!Number_of_Payments,[0]!Loan_Amount)</definedName>
    <definedName name="Monthly_Payment">-PMT([0]!Interest_Rate/12,[0]!Number_of_Payments,[0]!Loan_Amount)</definedName>
    <definedName name="Morosidade1" localSheetId="8" hidden="1">{"ANAR",#N/A,FALSE,"Dist total";"MARGEN",#N/A,FALSE,"Dist total";"COMENTARIO",#N/A,FALSE,"Ficha CODICE";"CONSEJO",#N/A,FALSE,"Dist p0";"uno",#N/A,FALSE,"Dist total"}</definedName>
    <definedName name="Morosidade1" hidden="1">{"ANAR",#N/A,FALSE,"Dist total";"MARGEN",#N/A,FALSE,"Dist total";"COMENTARIO",#N/A,FALSE,"Ficha CODICE";"CONSEJO",#N/A,FALSE,"Dist p0";"uno",#N/A,FALSE,"Dist total"}</definedName>
    <definedName name="MUAM" localSheetId="2" hidden="1">[4]P2000!#REF!</definedName>
    <definedName name="MUAM" localSheetId="8" hidden="1">[4]P2000!#REF!</definedName>
    <definedName name="MUAM" hidden="1">[4]P2000!#REF!</definedName>
    <definedName name="na" localSheetId="0" hidden="1">#REF!</definedName>
    <definedName name="NA" localSheetId="2" hidden="1">#REF!</definedName>
    <definedName name="NA" localSheetId="4" hidden="1">#REF!</definedName>
    <definedName name="NA" localSheetId="8" hidden="1">#REF!</definedName>
    <definedName name="NA" hidden="1">#REF!</definedName>
    <definedName name="name1" localSheetId="4" hidden="1">{"SIMPLIFD_P1",#N/A,FALSE,"SIMPLIFD"}</definedName>
    <definedName name="name1" localSheetId="8" hidden="1">{"SIMPLIFD_P1",#N/A,FALSE,"SIMPLIFD"}</definedName>
    <definedName name="name1" localSheetId="6" hidden="1">{"SIMPLIFD_P1",#N/A,FALSE,"SIMPLIFD"}</definedName>
    <definedName name="name1" hidden="1">{"SIMPLIFD_P1",#N/A,FALSE,"SIMPLIFD"}</definedName>
    <definedName name="Nane2" localSheetId="4" hidden="1">{"TEST1",#N/A,FALSE,"SIMPLIFD"}</definedName>
    <definedName name="Nane2" localSheetId="8" hidden="1">{"TEST1",#N/A,FALSE,"SIMPLIFD"}</definedName>
    <definedName name="Nane2" localSheetId="6" hidden="1">{"TEST1",#N/A,FALSE,"SIMPLIFD"}</definedName>
    <definedName name="Nane2" hidden="1">{"TEST1",#N/A,FALSE,"SIMPLIFD"}</definedName>
    <definedName name="nb" localSheetId="2" hidden="1">#REF!</definedName>
    <definedName name="nb" localSheetId="4" hidden="1">#REF!</definedName>
    <definedName name="nb" localSheetId="8" hidden="1">#REF!</definedName>
    <definedName name="nb" hidden="1">#REF!</definedName>
    <definedName name="nbvn" localSheetId="4" hidden="1">{#N/A,#N/A,TRUE,"CostSumm";#N/A,#N/A,TRUE,"Land";#N/A,#N/A,TRUE,"Construction";#N/A,#N/A,TRUE,"A&amp;E";#N/A,#N/A,TRUE,"Indirect";#N/A,#N/A,TRUE,"Marketing";#N/A,#N/A,TRUE,"Finance";#N/A,#N/A,TRUE,"Gen and Admin"}</definedName>
    <definedName name="nbvn" localSheetId="8" hidden="1">{#N/A,#N/A,TRUE,"CostSumm";#N/A,#N/A,TRUE,"Land";#N/A,#N/A,TRUE,"Construction";#N/A,#N/A,TRUE,"A&amp;E";#N/A,#N/A,TRUE,"Indirect";#N/A,#N/A,TRUE,"Marketing";#N/A,#N/A,TRUE,"Finance";#N/A,#N/A,TRUE,"Gen and Admin"}</definedName>
    <definedName name="nbvn" localSheetId="6" hidden="1">{#N/A,#N/A,TRUE,"CostSumm";#N/A,#N/A,TRUE,"Land";#N/A,#N/A,TRUE,"Construction";#N/A,#N/A,TRUE,"A&amp;E";#N/A,#N/A,TRUE,"Indirect";#N/A,#N/A,TRUE,"Marketing";#N/A,#N/A,TRUE,"Finance";#N/A,#N/A,TRUE,"Gen and Admin"}</definedName>
    <definedName name="nbvn" hidden="1">{#N/A,#N/A,TRUE,"CostSumm";#N/A,#N/A,TRUE,"Land";#N/A,#N/A,TRUE,"Construction";#N/A,#N/A,TRUE,"A&amp;E";#N/A,#N/A,TRUE,"Indirect";#N/A,#N/A,TRUE,"Marketing";#N/A,#N/A,TRUE,"Finance";#N/A,#N/A,TRUE,"Gen and Admin"}</definedName>
    <definedName name="NEW" localSheetId="2" hidden="1">#REF!</definedName>
    <definedName name="NEW" localSheetId="4" hidden="1">#REF!</definedName>
    <definedName name="NEW" localSheetId="8" hidden="1">#REF!</definedName>
    <definedName name="NEW" hidden="1">#REF!</definedName>
    <definedName name="new_w" localSheetId="8" hidden="1">{"comps1_1",#N/A,FALSE,"Comps1";"comps1_2",#N/A,FALSE,"Comps1";"comps1_3",#N/A,FALSE,"Comps1";"comps1_4",#N/A,FALSE,"Comps1";"comps1_5",#N/A,FALSE,"Comps1"}</definedName>
    <definedName name="new_w" hidden="1">{"comps1_1",#N/A,FALSE,"Comps1";"comps1_2",#N/A,FALSE,"Comps1";"comps1_3",#N/A,FALSE,"Comps1";"comps1_4",#N/A,FALSE,"Comps1";"comps1_5",#N/A,FALSE,"Comps1"}</definedName>
    <definedName name="newhtml" localSheetId="4" hidden="1">{"'Assump'!$F$6:$J$6"}</definedName>
    <definedName name="newhtml" localSheetId="8" hidden="1">{"'Assump'!$F$6:$J$6"}</definedName>
    <definedName name="newhtml" localSheetId="6" hidden="1">{"'Assump'!$F$6:$J$6"}</definedName>
    <definedName name="newhtml" hidden="1">{"'Assump'!$F$6:$J$6"}</definedName>
    <definedName name="newname" localSheetId="4" hidden="1">{"Zone1",#N/A,FALSE,"Parameters";"Zone2",#N/A,FALSE,"Parameters"}</definedName>
    <definedName name="newname" localSheetId="8" hidden="1">{"Zone1",#N/A,FALSE,"Parameters";"Zone2",#N/A,FALSE,"Parameters"}</definedName>
    <definedName name="newname" localSheetId="6" hidden="1">{"Zone1",#N/A,FALSE,"Parameters";"Zone2",#N/A,FALSE,"Parameters"}</definedName>
    <definedName name="newname" hidden="1">{"Zone1",#N/A,FALSE,"Parameters";"Zone2",#N/A,FALSE,"Parameters"}</definedName>
    <definedName name="nnn" localSheetId="4" hidden="1">{#N/A,#N/A,FALSE,"CCC Variance";#N/A,#N/A,FALSE,"CCC Notes"}</definedName>
    <definedName name="nnn" localSheetId="8" hidden="1">{#N/A,#N/A,FALSE,"CCC Variance";#N/A,#N/A,FALSE,"CCC Notes"}</definedName>
    <definedName name="nnn" localSheetId="6" hidden="1">{#N/A,#N/A,FALSE,"CCC Variance";#N/A,#N/A,FALSE,"CCC Notes"}</definedName>
    <definedName name="nnn" hidden="1">{#N/A,#N/A,FALSE,"CCC Variance";#N/A,#N/A,FALSE,"CCC Notes"}</definedName>
    <definedName name="nnnn" localSheetId="4" hidden="1">{#N/A,#N/A,FALSE,"A";#N/A,#N/A,FALSE,"C"}</definedName>
    <definedName name="nnnn" localSheetId="8" hidden="1">{#N/A,#N/A,FALSE,"A";#N/A,#N/A,FALSE,"C"}</definedName>
    <definedName name="nnnn" localSheetId="6" hidden="1">{#N/A,#N/A,FALSE,"A";#N/A,#N/A,FALSE,"C"}</definedName>
    <definedName name="nnnn" hidden="1">{#N/A,#N/A,FALSE,"A";#N/A,#N/A,FALSE,"C"}</definedName>
    <definedName name="nnnnnnn" localSheetId="4"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nnnnnnn" localSheetId="8"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nnnnnnn" localSheetId="6"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nnnnnnn"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no" localSheetId="4" hidden="1">{#N/A,#N/A,FALSE,"Expense Detail ";#N/A,#N/A,FALSE,"Worksheet";#N/A,#N/A,FALSE,"Audit";#N/A,#N/A,FALSE,"Exclusions";#N/A,#N/A,FALSE,"Variance";#N/A,#N/A,FALSE,"Reconciliation"}</definedName>
    <definedName name="no" localSheetId="6" hidden="1">{#N/A,#N/A,FALSE,"Expense Detail ";#N/A,#N/A,FALSE,"Worksheet";#N/A,#N/A,FALSE,"Audit";#N/A,#N/A,FALSE,"Exclusions";#N/A,#N/A,FALSE,"Variance";#N/A,#N/A,FALSE,"Reconciliation"}</definedName>
    <definedName name="no" hidden="1">{#N/A,#N/A,FALSE,"Expense Detail ";#N/A,#N/A,FALSE,"Worksheet";#N/A,#N/A,FALSE,"Audit";#N/A,#N/A,FALSE,"Exclusions";#N/A,#N/A,FALSE,"Variance";#N/A,#N/A,FALSE,"Reconciliation"}</definedName>
    <definedName name="noidea" localSheetId="8" hidden="1">{#N/A,#N/A,FALSE,"Calc";#N/A,#N/A,FALSE,"Sensitivity";#N/A,#N/A,FALSE,"LT Earn.Dil.";#N/A,#N/A,FALSE,"Dil. AVP"}</definedName>
    <definedName name="noidea" hidden="1">{#N/A,#N/A,FALSE,"Calc";#N/A,#N/A,FALSE,"Sensitivity";#N/A,#N/A,FALSE,"LT Earn.Dil.";#N/A,#N/A,FALSE,"Dil. AVP"}</definedName>
    <definedName name="NOIDEA2" localSheetId="8" hidden="1">{#N/A,#N/A,FALSE,"Calc";#N/A,#N/A,FALSE,"Sensitivity";#N/A,#N/A,FALSE,"LT Earn.Dil.";#N/A,#N/A,FALSE,"Dil. AVP"}</definedName>
    <definedName name="NOIDEA2" hidden="1">{#N/A,#N/A,FALSE,"Calc";#N/A,#N/A,FALSE,"Sensitivity";#N/A,#N/A,FALSE,"LT Earn.Dil.";#N/A,#N/A,FALSE,"Dil. AVP"}</definedName>
    <definedName name="noijnio" localSheetId="4"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noijnio" localSheetId="8"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noijnio" localSheetId="6"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noijnio"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notgood" localSheetId="2" hidden="1">#REF!</definedName>
    <definedName name="notgood" localSheetId="4" hidden="1">#REF!</definedName>
    <definedName name="notgood" localSheetId="8" hidden="1">#REF!</definedName>
    <definedName name="notgood" hidden="1">#REF!</definedName>
    <definedName name="NPV_Equity_12" localSheetId="2">[45]Sensitivities!#REF!</definedName>
    <definedName name="NPV_Equity_12" localSheetId="8">[45]Sensitivities!#REF!</definedName>
    <definedName name="NPV_Equity_12">[45]Sensitivities!#REF!</definedName>
    <definedName name="NPV_Equity_13" localSheetId="2">[45]Sensitivities!#REF!</definedName>
    <definedName name="NPV_Equity_13" localSheetId="8">[45]Sensitivities!#REF!</definedName>
    <definedName name="NPV_Equity_13">[45]Sensitivities!#REF!</definedName>
    <definedName name="NPV_FCF_10_Central">[45]Sensitivities!$G$37</definedName>
    <definedName name="NPV_FCF_11">[45]Sensitivities!$I$38</definedName>
    <definedName name="NPV_FCF_11_Central">[45]Sensitivities!$G$38</definedName>
    <definedName name="NPV_FCF_12_Central">[45]Sensitivities!$G$39</definedName>
    <definedName name="NPV_FCF_13_Central">[45]Sensitivities!$G$40</definedName>
    <definedName name="NPV_FCF_WACC_Central">[45]Sensitivities!$G$36</definedName>
    <definedName name="NRSF">'[54]Income Summary'!$C$9</definedName>
    <definedName name="NSF">[55]Dashboard!$E$10</definedName>
    <definedName name="NSFR3">[55]Dashboard!$E$85</definedName>
    <definedName name="Number_of_Payments" localSheetId="2">MATCH(0.01,End_Bal,-1)+1</definedName>
    <definedName name="Number_of_Payments" localSheetId="4">MATCH(0.01,End_Bal,-1)+1</definedName>
    <definedName name="Number_of_Payments" localSheetId="8">MATCH(0.01,End_Bal,-1)+1</definedName>
    <definedName name="Number_of_Payments" localSheetId="6">MATCH(0.01,End_Bal,-1)+1</definedName>
    <definedName name="Number_of_Payments">MATCH(0.01,End_Bal,-1)+1</definedName>
    <definedName name="NvsASD">"V2010-12-31"</definedName>
    <definedName name="NvsAutoDrillOk">"VY"</definedName>
    <definedName name="NvsElapsedTime">0.00122685185488081</definedName>
    <definedName name="NvsEndTime">40570.4588310185</definedName>
    <definedName name="NvsInstLang">"VENG"</definedName>
    <definedName name="NvsInstSpec">"%,FBP_BUDGET_VERSION,V1,FBUSINESS_UNIT,VNALOC,FOPERATING_UNIT,V311DY"</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"%,X,RZF..,CZF.."</definedName>
    <definedName name="NvsPanelBusUnit">"V"</definedName>
    <definedName name="NvsPanelEffdt">"V2050-12-31"</definedName>
    <definedName name="NvsPanelSetid">"VMIDIV"</definedName>
    <definedName name="NvsReqBU">"VNALOC"</definedName>
    <definedName name="NvsReqBUOnly">"VY"</definedName>
    <definedName name="NvsTransLed">"VN"</definedName>
    <definedName name="NvsTreeASD">"V2011-01-01"</definedName>
    <definedName name="NvsValTbl.ACCOUNT">"GL_ACCOUNT_TBL"</definedName>
    <definedName name="NvsValTbl.CURRENCY_CD">"CURRENCY_CD_TBL"</definedName>
    <definedName name="NvsValTbl.PRODUCT">"MI_GL_PRODCT_VW"</definedName>
    <definedName name="NvsValTbl.RESOURCE_CATEGORY">"PROJ_CATG_TBL"</definedName>
    <definedName name="NvsValTbl.SCENARIO">"BD_SCENARIO_TBL"</definedName>
    <definedName name="NvsValTbl.STATISTICS_CODE">"STAT_TBL"</definedName>
    <definedName name="NW" localSheetId="2" hidden="1">#REF!</definedName>
    <definedName name="NW" localSheetId="4" hidden="1">#REF!</definedName>
    <definedName name="NW" localSheetId="8" hidden="1">#REF!</definedName>
    <definedName name="NW" hidden="1">#REF!</definedName>
    <definedName name="ñ" localSheetId="8" hidden="1">{"ANAR",#N/A,FALSE,"Dist total";"MARGEN",#N/A,FALSE,"Dist total";"COMENTARIO",#N/A,FALSE,"Ficha CODICE";"CONSEJO",#N/A,FALSE,"Dist p0";"uno",#N/A,FALSE,"Dist total"}</definedName>
    <definedName name="ñ" hidden="1">{"ANAR",#N/A,FALSE,"Dist total";"MARGEN",#N/A,FALSE,"Dist total";"COMENTARIO",#N/A,FALSE,"Ficha CODICE";"CONSEJO",#N/A,FALSE,"Dist p0";"uno",#N/A,FALSE,"Dist total"}</definedName>
    <definedName name="o" localSheetId="4" hidden="1">{"sheet a",#N/A,FALSE,"A";"2 9 casflow",#N/A,FALSE,"B"}</definedName>
    <definedName name="o" localSheetId="8" hidden="1">{"sheet a",#N/A,FALSE,"A";"2 9 casflow",#N/A,FALSE,"B"}</definedName>
    <definedName name="o" localSheetId="6" hidden="1">{"sheet a",#N/A,FALSE,"A";"2 9 casflow",#N/A,FALSE,"B"}</definedName>
    <definedName name="o" hidden="1">{"sheet a",#N/A,FALSE,"A";"2 9 casflow",#N/A,FALSE,"B"}</definedName>
    <definedName name="O.F" localSheetId="8" hidden="1">{#N/A,#N/A,FALSE,"P o G";#N/A,#N/A,FALSE,"BALANCE";#N/A,#N/A,FALSE,"Indicadores";#N/A,#N/A,FALSE,"Capital Trab. (2)";#N/A,#N/A,FALSE,"Camb. Sit. Financ. (2)";#N/A,#N/A,FALSE,"ROTABCIUD"}</definedName>
    <definedName name="O.F" hidden="1">{#N/A,#N/A,FALSE,"P o G";#N/A,#N/A,FALSE,"BALANCE";#N/A,#N/A,FALSE,"Indicadores";#N/A,#N/A,FALSE,"Capital Trab. (2)";#N/A,#N/A,FALSE,"Camb. Sit. Financ. (2)";#N/A,#N/A,FALSE,"ROTABCIUD"}</definedName>
    <definedName name="office1" localSheetId="4" hidden="1">{#N/A,#N/A,FALSE,"Cashflow Analysis";#N/A,#N/A,FALSE,"Sensitivity Analysis";#N/A,#N/A,FALSE,"PV";#N/A,#N/A,FALSE,"Pro Forma"}</definedName>
    <definedName name="office1" localSheetId="6" hidden="1">{#N/A,#N/A,FALSE,"Cashflow Analysis";#N/A,#N/A,FALSE,"Sensitivity Analysis";#N/A,#N/A,FALSE,"PV";#N/A,#N/A,FALSE,"Pro Forma"}</definedName>
    <definedName name="office1" hidden="1">{#N/A,#N/A,FALSE,"Cashflow Analysis";#N/A,#N/A,FALSE,"Sensitivity Analysis";#N/A,#N/A,FALSE,"PV";#N/A,#N/A,FALSE,"Pro Forma"}</definedName>
    <definedName name="ok" localSheetId="0" hidden="1">{#N/A,#N/A,TRUE,"Julio";#N/A,#N/A,TRUE,"Agosto";#N/A,#N/A,TRUE,"BHCo";#N/A,#N/A,TRUE,"Abril";#N/A,#N/A,TRUE,"Pro Forma"}</definedName>
    <definedName name="OK" localSheetId="2" hidden="1">#REF!</definedName>
    <definedName name="OK" localSheetId="4" hidden="1">#REF!</definedName>
    <definedName name="OK" localSheetId="8" hidden="1">#REF!</definedName>
    <definedName name="OK" hidden="1">#REF!</definedName>
    <definedName name="OKAY" localSheetId="2" hidden="1">#REF!</definedName>
    <definedName name="OKAY" localSheetId="4" hidden="1">#REF!</definedName>
    <definedName name="OKAY" localSheetId="8" hidden="1">#REF!</definedName>
    <definedName name="OKAY" hidden="1">#REF!</definedName>
    <definedName name="oldhtl" localSheetId="4" hidden="1">{"'Assump'!$F$6:$J$6"}</definedName>
    <definedName name="oldhtl" localSheetId="8" hidden="1">{"'Assump'!$F$6:$J$6"}</definedName>
    <definedName name="oldhtl" localSheetId="6" hidden="1">{"'Assump'!$F$6:$J$6"}</definedName>
    <definedName name="oldhtl" hidden="1">{"'Assump'!$F$6:$J$6"}</definedName>
    <definedName name="One" localSheetId="4"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One" localSheetId="8"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One" localSheetId="6"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One"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oo" localSheetId="2" hidden="1">#REF!</definedName>
    <definedName name="oo" localSheetId="4" hidden="1">#REF!</definedName>
    <definedName name="oo" localSheetId="8" hidden="1">#REF!</definedName>
    <definedName name="oo" hidden="1">#REF!</definedName>
    <definedName name="oooo" localSheetId="4" hidden="1">{TRUE,TRUE,-1.41610738255034,-14.9463087248322,497.718120805369,308.295302013423,FALSE,TRUE,TRUE,TRUE,0,1,1,1,1,3,2.91836734693878,4,TRUE,TRUE,3,TRUE,1,FALSE,100,"Swvu.offsite.","ACwvu.offsite.",#N/A,FALSE,FALSE,0.5,0.5,0.5,0.5,1,"","&amp;L&amp;""Palatino,Regular""&amp;8&amp;F&amp;C&amp;""Palatino,Regular""&amp;8SHARED COSTS&amp;R&amp;""Palatino,Regular""&amp;8&amp;D   &amp;T",TRUE,FALSE,FALSE,FALSE,1,#N/A,1,1,#DIV/0!,"=R1:R2","Rwvu.offsite.",#N/A,FALSE,FALSE,FALSE,1,4294967292,300,FALSE,FALSE,TRUE,TRUE,TRUE}</definedName>
    <definedName name="oooo" localSheetId="6" hidden="1">{TRUE,TRUE,-1.41610738255034,-14.9463087248322,497.718120805369,308.295302013423,FALSE,TRUE,TRUE,TRUE,0,1,1,1,1,3,2.91836734693878,4,TRUE,TRUE,3,TRUE,1,FALSE,100,"Swvu.offsite.","ACwvu.offsite.",#N/A,FALSE,FALSE,0.5,0.5,0.5,0.5,1,"","&amp;L&amp;""Palatino,Regular""&amp;8&amp;F&amp;C&amp;""Palatino,Regular""&amp;8SHARED COSTS&amp;R&amp;""Palatino,Regular""&amp;8&amp;D   &amp;T",TRUE,FALSE,FALSE,FALSE,1,#N/A,1,1,#DIV/0!,"=R1:R2","Rwvu.offsite.",#N/A,FALSE,FALSE,FALSE,1,4294967292,300,FALSE,FALSE,TRUE,TRUE,TRUE}</definedName>
    <definedName name="oooo" hidden="1">{TRUE,TRUE,-1.41610738255034,-14.9463087248322,497.718120805369,308.295302013423,FALSE,TRUE,TRUE,TRUE,0,1,1,1,1,3,2.91836734693878,4,TRUE,TRUE,3,TRUE,1,FALSE,100,"Swvu.offsite.","ACwvu.offsite.",#N/A,FALSE,FALSE,0.5,0.5,0.5,0.5,1,"","&amp;L&amp;""Palatino,Regular""&amp;8&amp;F&amp;C&amp;""Palatino,Regular""&amp;8SHARED COSTS&amp;R&amp;""Palatino,Regular""&amp;8&amp;D   &amp;T",TRUE,FALSE,FALSE,FALSE,1,#N/A,1,1,#DIV/0!,"=R1:R2","Rwvu.offsite.",#N/A,FALSE,FALSE,FALSE,1,4294967292,300,FALSE,FALSE,TRUE,TRUE,TRUE}</definedName>
    <definedName name="OP" localSheetId="8" hidden="1">{#N/A,#N/A,FALSE,"Operations";#N/A,#N/A,FALSE,"Financials"}</definedName>
    <definedName name="OP" hidden="1">{#N/A,#N/A,FALSE,"Operations";#N/A,#N/A,FALSE,"Financials"}</definedName>
    <definedName name="othername" localSheetId="4" hidden="1">{#N/A,#N/A,FALSE,"ExecSum";#N/A,#N/A,FALSE,"Budget";#N/A,#N/A,FALSE,"Summary1";#N/A,#N/A,FALSE,"CashFlow"}</definedName>
    <definedName name="othername" localSheetId="6" hidden="1">{#N/A,#N/A,FALSE,"ExecSum";#N/A,#N/A,FALSE,"Budget";#N/A,#N/A,FALSE,"Summary1";#N/A,#N/A,FALSE,"CashFlow"}</definedName>
    <definedName name="othername" hidden="1">{#N/A,#N/A,FALSE,"ExecSum";#N/A,#N/A,FALSE,"Budget";#N/A,#N/A,FALSE,"Summary1";#N/A,#N/A,FALSE,"CashFlow"}</definedName>
    <definedName name="Output" localSheetId="0" hidden="1">{"comps1_1",#N/A,FALSE,"Comps1";"comps1_2",#N/A,FALSE,"Comps1";"comps1_3",#N/A,FALSE,"Comps1";"comps1_4",#N/A,FALSE,"Comps1";"comps1_5",#N/A,FALSE,"Comps1"}</definedName>
    <definedName name="output" localSheetId="4" hidden="1">{#N/A,#N/A,FALSE,"Matrix";#N/A,#N/A,FALSE,"Cash Flow";#N/A,#N/A,FALSE,"10 Year Cost Analysis"}</definedName>
    <definedName name="output" localSheetId="6" hidden="1">{#N/A,#N/A,FALSE,"Matrix";#N/A,#N/A,FALSE,"Cash Flow";#N/A,#N/A,FALSE,"10 Year Cost Analysis"}</definedName>
    <definedName name="output" hidden="1">{#N/A,#N/A,FALSE,"Matrix";#N/A,#N/A,FALSE,"Cash Flow";#N/A,#N/A,FALSE,"10 Year Cost Analysis"}</definedName>
    <definedName name="p" localSheetId="0" hidden="1">{"uno",#N/A,FALSE,"Dist total";"COMENTARIO",#N/A,FALSE,"Ficha CODICE"}</definedName>
    <definedName name="p" localSheetId="4" hidden="1">{#N/A,#N/A,FALSE,"Lse-ex";#N/A,#N/A,FALSE,"Rollover";#N/A,#N/A,FALSE,"Hist Sales";#N/A,#N/A,FALSE,"97 Occup Cst";#N/A,#N/A,FALSE,"Breakpoint";#N/A,#N/A,FALSE,"Rentroll";#N/A,#N/A,FALSE,"Hst I&amp;E";#N/A,#N/A,FALSE,"Owners";#N/A,#N/A,FALSE,"PROPS96";#N/A,#N/A,FALSE,"Props on mkt";#N/A,#N/A,FALSE,"Portfolios on mkt"}</definedName>
    <definedName name="p" localSheetId="6" hidden="1">{#N/A,#N/A,FALSE,"Lse-ex";#N/A,#N/A,FALSE,"Rollover";#N/A,#N/A,FALSE,"Hist Sales";#N/A,#N/A,FALSE,"97 Occup Cst";#N/A,#N/A,FALSE,"Breakpoint";#N/A,#N/A,FALSE,"Rentroll";#N/A,#N/A,FALSE,"Hst I&amp;E";#N/A,#N/A,FALSE,"Owners";#N/A,#N/A,FALSE,"PROPS96";#N/A,#N/A,FALSE,"Props on mkt";#N/A,#N/A,FALSE,"Portfolios on mkt"}</definedName>
    <definedName name="p" hidden="1">{#N/A,#N/A,FALSE,"Lse-ex";#N/A,#N/A,FALSE,"Rollover";#N/A,#N/A,FALSE,"Hist Sales";#N/A,#N/A,FALSE,"97 Occup Cst";#N/A,#N/A,FALSE,"Breakpoint";#N/A,#N/A,FALSE,"Rentroll";#N/A,#N/A,FALSE,"Hst I&amp;E";#N/A,#N/A,FALSE,"Owners";#N/A,#N/A,FALSE,"PROPS96";#N/A,#N/A,FALSE,"Props on mkt";#N/A,#N/A,FALSE,"Portfolios on mkt"}</definedName>
    <definedName name="palisades" localSheetId="4" hidden="1">{#N/A,#N/A,FALSE,"WATCHDSC";#N/A,#N/A,FALSE,"2LOSSMOD";#N/A,#N/A,FALSE,"2LOSS";#N/A,#N/A,FALSE,"DSC";#N/A,#N/A,FALSE,"OPERAT";#N/A,#N/A,FALSE,"ADJUST";#N/A,#N/A,FALSE,"LEASE EXPIRE"}</definedName>
    <definedName name="palisades" localSheetId="8" hidden="1">{#N/A,#N/A,FALSE,"WATCHDSC";#N/A,#N/A,FALSE,"2LOSSMOD";#N/A,#N/A,FALSE,"2LOSS";#N/A,#N/A,FALSE,"DSC";#N/A,#N/A,FALSE,"OPERAT";#N/A,#N/A,FALSE,"ADJUST";#N/A,#N/A,FALSE,"LEASE EXPIRE"}</definedName>
    <definedName name="palisades" localSheetId="6" hidden="1">{#N/A,#N/A,FALSE,"WATCHDSC";#N/A,#N/A,FALSE,"2LOSSMOD";#N/A,#N/A,FALSE,"2LOSS";#N/A,#N/A,FALSE,"DSC";#N/A,#N/A,FALSE,"OPERAT";#N/A,#N/A,FALSE,"ADJUST";#N/A,#N/A,FALSE,"LEASE EXPIRE"}</definedName>
    <definedName name="palisades" hidden="1">{#N/A,#N/A,FALSE,"WATCHDSC";#N/A,#N/A,FALSE,"2LOSSMOD";#N/A,#N/A,FALSE,"2LOSS";#N/A,#N/A,FALSE,"DSC";#N/A,#N/A,FALSE,"OPERAT";#N/A,#N/A,FALSE,"ADJUST";#N/A,#N/A,FALSE,"LEASE EXPIRE"}</definedName>
    <definedName name="parkavecopy" localSheetId="4" hidden="1">{"View1",#N/A,FALSE,"Sheet1";"View2",#N/A,FALSE,"Sheet1"}</definedName>
    <definedName name="parkavecopy" localSheetId="6" hidden="1">{"View1",#N/A,FALSE,"Sheet1";"View2",#N/A,FALSE,"Sheet1"}</definedName>
    <definedName name="parkavecopy" hidden="1">{"View1",#N/A,FALSE,"Sheet1";"View2",#N/A,FALSE,"Sheet1"}</definedName>
    <definedName name="parkcopy" localSheetId="4" hidden="1">{"Main",#N/A,FALSE,"Wacker";"Main2",#N/A,FALSE,"Wacker";"Value",#N/A,FALSE,"Wacker";"Sensitivity",#N/A,FALSE,"Wacker";"Paine",#N/A,FALSE,"Wacker";"Quaker",#N/A,FALSE,"Wacker";"Wacker",#N/A,FALSE,"Wacker";"1900",#N/A,FALSE,"Wacker";"1901",#N/A,FALSE,"Wacker"}</definedName>
    <definedName name="parkcopy" localSheetId="6" hidden="1">{"Main",#N/A,FALSE,"Wacker";"Main2",#N/A,FALSE,"Wacker";"Value",#N/A,FALSE,"Wacker";"Sensitivity",#N/A,FALSE,"Wacker";"Paine",#N/A,FALSE,"Wacker";"Quaker",#N/A,FALSE,"Wacker";"Wacker",#N/A,FALSE,"Wacker";"1900",#N/A,FALSE,"Wacker";"1901",#N/A,FALSE,"Wacker"}</definedName>
    <definedName name="parkcopy" hidden="1">{"Main",#N/A,FALSE,"Wacker";"Main2",#N/A,FALSE,"Wacker";"Value",#N/A,FALSE,"Wacker";"Sensitivity",#N/A,FALSE,"Wacker";"Paine",#N/A,FALSE,"Wacker";"Quaker",#N/A,FALSE,"Wacker";"Wacker",#N/A,FALSE,"Wacker";"1900",#N/A,FALSE,"Wacker";"1901",#N/A,FALSE,"Wacker"}</definedName>
    <definedName name="Parking">[62]Dashboard!$E$14</definedName>
    <definedName name="parkjvcopy" localSheetId="4" hidden="1">{"Main",#N/A,FALSE,"Wacker";"Main2",#N/A,FALSE,"Wacker";"Value",#N/A,FALSE,"Wacker";"Sensitivity",#N/A,FALSE,"Wacker";"Paine",#N/A,FALSE,"Wacker";"Quaker",#N/A,FALSE,"Wacker";"Wacker",#N/A,FALSE,"Wacker";"1900",#N/A,FALSE,"Wacker";"1901",#N/A,FALSE,"Wacker"}</definedName>
    <definedName name="parkjvcopy" localSheetId="6" hidden="1">{"Main",#N/A,FALSE,"Wacker";"Main2",#N/A,FALSE,"Wacker";"Value",#N/A,FALSE,"Wacker";"Sensitivity",#N/A,FALSE,"Wacker";"Paine",#N/A,FALSE,"Wacker";"Quaker",#N/A,FALSE,"Wacker";"Wacker",#N/A,FALSE,"Wacker";"1900",#N/A,FALSE,"Wacker";"1901",#N/A,FALSE,"Wacker"}</definedName>
    <definedName name="parkjvcopy" hidden="1">{"Main",#N/A,FALSE,"Wacker";"Main2",#N/A,FALSE,"Wacker";"Value",#N/A,FALSE,"Wacker";"Sensitivity",#N/A,FALSE,"Wacker";"Paine",#N/A,FALSE,"Wacker";"Quaker",#N/A,FALSE,"Wacker";"Wacker",#N/A,FALSE,"Wacker";"1900",#N/A,FALSE,"Wacker";"1901",#N/A,FALSE,"Wacker"}</definedName>
    <definedName name="parktest" localSheetId="4" hidden="1">{"View1",#N/A,FALSE,"Sheet1";"View2",#N/A,FALSE,"Sheet1"}</definedName>
    <definedName name="parktest" localSheetId="6" hidden="1">{"View1",#N/A,FALSE,"Sheet1";"View2",#N/A,FALSE,"Sheet1"}</definedName>
    <definedName name="parktest" hidden="1">{"View1",#N/A,FALSE,"Sheet1";"View2",#N/A,FALSE,"Sheet1"}</definedName>
    <definedName name="parktestave" localSheetId="4" hidden="1">{"Main",#N/A,FALSE,"Wacker";"Main2",#N/A,FALSE,"Wacker";"Value",#N/A,FALSE,"Wacker";"Sensitivity",#N/A,FALSE,"Wacker";"Paine",#N/A,FALSE,"Wacker";"Quaker",#N/A,FALSE,"Wacker";"Wacker",#N/A,FALSE,"Wacker";"1900",#N/A,FALSE,"Wacker";"1901",#N/A,FALSE,"Wacker"}</definedName>
    <definedName name="parktestave" localSheetId="6" hidden="1">{"Main",#N/A,FALSE,"Wacker";"Main2",#N/A,FALSE,"Wacker";"Value",#N/A,FALSE,"Wacker";"Sensitivity",#N/A,FALSE,"Wacker";"Paine",#N/A,FALSE,"Wacker";"Quaker",#N/A,FALSE,"Wacker";"Wacker",#N/A,FALSE,"Wacker";"1900",#N/A,FALSE,"Wacker";"1901",#N/A,FALSE,"Wacker"}</definedName>
    <definedName name="parktestave" hidden="1">{"Main",#N/A,FALSE,"Wacker";"Main2",#N/A,FALSE,"Wacker";"Value",#N/A,FALSE,"Wacker";"Sensitivity",#N/A,FALSE,"Wacker";"Paine",#N/A,FALSE,"Wacker";"Quaker",#N/A,FALSE,"Wacker";"Wacker",#N/A,FALSE,"Wacker";"1900",#N/A,FALSE,"Wacker";"1901",#N/A,FALSE,"Wacker"}</definedName>
    <definedName name="Payment_Date" localSheetId="2">DATE(YEAR(Loan_Start),MONTH(Loan_Start)+'Monthly USD Model'!Payment_Number,DAY(Loan_Start))</definedName>
    <definedName name="Payment_Date" localSheetId="4">DATE(YEAR(Loan_Start),MONTH(Loan_Start)+'OpEx Budget'!Payment_Number,DAY(Loan_Start))</definedName>
    <definedName name="Payment_Date" localSheetId="8">DATE(YEAR(Loan_Start),MONTH(Loan_Start)+Performance!Payment_Number,DAY(Loan_Start))</definedName>
    <definedName name="Payment_Date" localSheetId="6">DATE(YEAR(Loan_Start),MONTH(Loan_Start)+UnitMix!Payment_Number,DAY(Loan_Start))</definedName>
    <definedName name="Payment_Date">DATE(YEAR(Loan_Start),MONTH(Loan_Start)+[0]!Payment_Number,DAY(Loan_Start))</definedName>
    <definedName name="Payment_Number" localSheetId="2">ROW()-[0]!Header_Row</definedName>
    <definedName name="Payment_Number" localSheetId="4">ROW()-[0]!Header_Row</definedName>
    <definedName name="Payment_Number" localSheetId="8">ROW()-[0]!Header_Row</definedName>
    <definedName name="Payment_Number" localSheetId="6">ROW()-[0]!Header_Row</definedName>
    <definedName name="Payment_Number">ROW()-[0]!Header_Row</definedName>
    <definedName name="pda" localSheetId="8" hidden="1">{#N/A,#N/A,FALSE,"Caratula";#N/A,#N/A,FALSE,"Maniobra";#N/A,#N/A,FALSE,"LlenVac";#N/A,#N/A,FALSE,"Almacen";#N/A,#N/A,FALSE,"Consolas";#N/A,#N/A,FALSE,"ProyRes";#N/A,#N/A,FALSE,"OrigApl";#N/A,#N/A,FALSE,"Inversio";#N/A,#N/A,FALSE,"Financiam";#N/A,#N/A,FALSE,"CapTrab";#N/A,#N/A,FALSE,"EscalaVar"}</definedName>
    <definedName name="pda" hidden="1">{#N/A,#N/A,FALSE,"Caratula";#N/A,#N/A,FALSE,"Maniobra";#N/A,#N/A,FALSE,"LlenVac";#N/A,#N/A,FALSE,"Almacen";#N/A,#N/A,FALSE,"Consolas";#N/A,#N/A,FALSE,"ProyRes";#N/A,#N/A,FALSE,"OrigApl";#N/A,#N/A,FALSE,"Inversio";#N/A,#N/A,FALSE,"Financiam";#N/A,#N/A,FALSE,"CapTrab";#N/A,#N/A,FALSE,"EscalaVar"}</definedName>
    <definedName name="pier90" localSheetId="4" hidden="1">{"excavation",#N/A,FALSE,"DETAIL.XLS"}</definedName>
    <definedName name="pier90" localSheetId="8" hidden="1">{"excavation",#N/A,FALSE,"DETAIL.XLS"}</definedName>
    <definedName name="pier90" localSheetId="6" hidden="1">{"excavation",#N/A,FALSE,"DETAIL.XLS"}</definedName>
    <definedName name="pier90" hidden="1">{"excavation",#N/A,FALSE,"DETAIL.XLS"}</definedName>
    <definedName name="pii" localSheetId="2" hidden="1">#REF!</definedName>
    <definedName name="pii" localSheetId="4" hidden="1">#REF!</definedName>
    <definedName name="pii" localSheetId="8" hidden="1">#REF!</definedName>
    <definedName name="pii" hidden="1">#REF!</definedName>
    <definedName name="pio" localSheetId="2" hidden="1">#REF!</definedName>
    <definedName name="pio" localSheetId="4" hidden="1">#REF!</definedName>
    <definedName name="pio" localSheetId="8" hidden="1">#REF!</definedName>
    <definedName name="pio" hidden="1">#REF!</definedName>
    <definedName name="pl" localSheetId="2" hidden="1">#REF!</definedName>
    <definedName name="pl" localSheetId="4" hidden="1">#REF!</definedName>
    <definedName name="pl" localSheetId="8">#REF!</definedName>
    <definedName name="pl" hidden="1">#REF!</definedName>
    <definedName name="Plan">"Plan"</definedName>
    <definedName name="platform" localSheetId="4" hidden="1">{#N/A,#N/A,TRUE,"Ericsson Stadium PCD ";#N/A,#N/A,TRUE,"Ericsson Stadium IOR"}</definedName>
    <definedName name="platform" localSheetId="8" hidden="1">{#N/A,#N/A,TRUE,"Ericsson Stadium PCD ";#N/A,#N/A,TRUE,"Ericsson Stadium IOR"}</definedName>
    <definedName name="platform" localSheetId="6" hidden="1">{#N/A,#N/A,TRUE,"Ericsson Stadium PCD ";#N/A,#N/A,TRUE,"Ericsson Stadium IOR"}</definedName>
    <definedName name="platform" hidden="1">{#N/A,#N/A,TRUE,"Ericsson Stadium PCD ";#N/A,#N/A,TRUE,"Ericsson Stadium IOR"}</definedName>
    <definedName name="platforma" localSheetId="4" hidden="1">{#N/A,#N/A,TRUE,"Ericsson Stadium PCD ";#N/A,#N/A,TRUE,"Ericsson Stadium IOR"}</definedName>
    <definedName name="platforma" localSheetId="8" hidden="1">{#N/A,#N/A,TRUE,"Ericsson Stadium PCD ";#N/A,#N/A,TRUE,"Ericsson Stadium IOR"}</definedName>
    <definedName name="platforma" localSheetId="6" hidden="1">{#N/A,#N/A,TRUE,"Ericsson Stadium PCD ";#N/A,#N/A,TRUE,"Ericsson Stadium IOR"}</definedName>
    <definedName name="platforma" hidden="1">{#N/A,#N/A,TRUE,"Ericsson Stadium PCD ";#N/A,#N/A,TRUE,"Ericsson Stadium IOR"}</definedName>
    <definedName name="Podatek" localSheetId="8" hidden="1">{#N/A,#N/A,FALSE,"F-01";#N/A,#N/A,FALSE,"F-01";#N/A,#N/A,FALSE,"F-01"}</definedName>
    <definedName name="Podatek" hidden="1">{#N/A,#N/A,FALSE,"F-01";#N/A,#N/A,FALSE,"F-01";#N/A,#N/A,FALSE,"F-01"}</definedName>
    <definedName name="pou" localSheetId="2" hidden="1">#REF!</definedName>
    <definedName name="pou" localSheetId="4" hidden="1">#REF!</definedName>
    <definedName name="pou" localSheetId="8" hidden="1">#REF!</definedName>
    <definedName name="pou" hidden="1">#REF!</definedName>
    <definedName name="pp" localSheetId="8" hidden="1">{"ANAR",#N/A,FALSE,"Dist total";"MARGEN",#N/A,FALSE,"Dist total";"COMENTARIO",#N/A,FALSE,"Ficha CODICE";"CONSEJO",#N/A,FALSE,"Dist p0";"uno",#N/A,FALSE,"Dist total"}</definedName>
    <definedName name="pp" hidden="1">{"ANAR",#N/A,FALSE,"Dist total";"MARGEN",#N/A,FALSE,"Dist total";"COMENTARIO",#N/A,FALSE,"Ficha CODICE";"CONSEJO",#N/A,FALSE,"Dist p0";"uno",#N/A,FALSE,"Dist total"}</definedName>
    <definedName name="ppp" localSheetId="8" hidden="1">{"uno",#N/A,FALSE,"Dist total";"COMENTARIO",#N/A,FALSE,"Ficha CODICE"}</definedName>
    <definedName name="ppp" hidden="1">{"uno",#N/A,FALSE,"Dist total";"COMENTARIO",#N/A,FALSE,"Ficha CODICE"}</definedName>
    <definedName name="pppp" localSheetId="4" hidden="1">{TRUE,TRUE,-1.41610738255034,-14.9463087248322,497.718120805369,308.295302013423,FALSE,TRUE,TRUE,TRUE,0,1,1,1,1,3,2.83673469387755,4,TRUE,TRUE,3,TRUE,1,FALSE,100,"Swvu.onsite.","ACwvu.onsite.",#N/A,FALSE,FALSE,0.5,0.5,0.5,0.5,1,"","&amp;L&amp;""Palatino,Regular""&amp;8&amp;F&amp;C&amp;""Palatino,Regular""&amp;8SHARED COSTS&amp;R&amp;""Palatino,Regular""&amp;8&amp;D   &amp;T",TRUE,FALSE,FALSE,FALSE,1,#N/A,1,1,#DIV/0!,"=R1:R2","Rwvu.onsite.",#N/A,FALSE,FALSE,FALSE,1,4294967292,300,FALSE,FALSE,TRUE,TRUE,TRUE}</definedName>
    <definedName name="pppp" localSheetId="6" hidden="1">{TRUE,TRUE,-1.41610738255034,-14.9463087248322,497.718120805369,308.295302013423,FALSE,TRUE,TRUE,TRUE,0,1,1,1,1,3,2.83673469387755,4,TRUE,TRUE,3,TRUE,1,FALSE,100,"Swvu.onsite.","ACwvu.onsite.",#N/A,FALSE,FALSE,0.5,0.5,0.5,0.5,1,"","&amp;L&amp;""Palatino,Regular""&amp;8&amp;F&amp;C&amp;""Palatino,Regular""&amp;8SHARED COSTS&amp;R&amp;""Palatino,Regular""&amp;8&amp;D   &amp;T",TRUE,FALSE,FALSE,FALSE,1,#N/A,1,1,#DIV/0!,"=R1:R2","Rwvu.onsite.",#N/A,FALSE,FALSE,FALSE,1,4294967292,300,FALSE,FALSE,TRUE,TRUE,TRUE}</definedName>
    <definedName name="pppp" hidden="1">{TRUE,TRUE,-1.41610738255034,-14.9463087248322,497.718120805369,308.295302013423,FALSE,TRUE,TRUE,TRUE,0,1,1,1,1,3,2.83673469387755,4,TRUE,TRUE,3,TRUE,1,FALSE,100,"Swvu.onsite.","ACwvu.onsite.",#N/A,FALSE,FALSE,0.5,0.5,0.5,0.5,1,"","&amp;L&amp;""Palatino,Regular""&amp;8&amp;F&amp;C&amp;""Palatino,Regular""&amp;8SHARED COSTS&amp;R&amp;""Palatino,Regular""&amp;8&amp;D   &amp;T",TRUE,FALSE,FALSE,FALSE,1,#N/A,1,1,#DIV/0!,"=R1:R2","Rwvu.onsite.",#N/A,FALSE,FALSE,FALSE,1,4294967292,300,FALSE,FALSE,TRUE,TRUE,TRUE}</definedName>
    <definedName name="PPT" localSheetId="4" hidden="1">{#N/A,#N/A,FALSE,"Chart 2 by Prop Type"}</definedName>
    <definedName name="PPT" localSheetId="8" hidden="1">{#N/A,#N/A,FALSE,"Chart 2 by Prop Type"}</definedName>
    <definedName name="PPT" localSheetId="6" hidden="1">{#N/A,#N/A,FALSE,"Chart 2 by Prop Type"}</definedName>
    <definedName name="PPT" hidden="1">{#N/A,#N/A,FALSE,"Chart 2 by Prop Type"}</definedName>
    <definedName name="ppto" localSheetId="8">[48]PurchaseP!$E$13</definedName>
    <definedName name="ppto">[49]PurchaseP!$E$13</definedName>
    <definedName name="Pref">[66]MWC_BlockG_TrueUp_Calc!$E$8</definedName>
    <definedName name="Price_Book">'[67]Price Book'!$A$2:$D$1373</definedName>
    <definedName name="PRIN" localSheetId="2">#REF!</definedName>
    <definedName name="PRIN" localSheetId="4">#REF!</definedName>
    <definedName name="PRIN" localSheetId="8">#REF!</definedName>
    <definedName name="PRIN">#REF!</definedName>
    <definedName name="Print_Area_Reset" localSheetId="2">OFFSET(Full_Print,0,0,'Monthly USD Model'!Last_Row)</definedName>
    <definedName name="Print_Area_Reset" localSheetId="4">OFFSET(Full_Print,0,0,'OpEx Budget'!Last_Row)</definedName>
    <definedName name="Print_Area_Reset" localSheetId="8">OFFSET(Full_Print,0,0,Performance!Last_Row)</definedName>
    <definedName name="Print_Area_Reset" localSheetId="6">OFFSET(Full_Print,0,0,UnitMix!Last_Row)</definedName>
    <definedName name="Print_Area_Reset">OFFSET(Full_Print,0,0,Last_Row)</definedName>
    <definedName name="print99" localSheetId="8" hidden="1">{#N/A,#N/A,FALSE,"Resid CPRIV";#N/A,#N/A,FALSE,"Comer_CPRIVKsum";#N/A,#N/A,FALSE,"General (2)";#N/A,#N/A,FALSE,"Oficial";#N/A,#N/A,FALSE,"Resumen";#N/A,#N/A,FALSE,"Escenarios"}</definedName>
    <definedName name="print99" hidden="1">{#N/A,#N/A,FALSE,"Resid CPRIV";#N/A,#N/A,FALSE,"Comer_CPRIVKsum";#N/A,#N/A,FALSE,"General (2)";#N/A,#N/A,FALSE,"Oficial";#N/A,#N/A,FALSE,"Resumen";#N/A,#N/A,FALSE,"Escenarios"}</definedName>
    <definedName name="PRINTMENU" localSheetId="2">#REF!</definedName>
    <definedName name="PRINTMENU" localSheetId="4">#REF!</definedName>
    <definedName name="PRINTMENU" localSheetId="8">#REF!</definedName>
    <definedName name="PRINTMENU">#REF!</definedName>
    <definedName name="prntall" localSheetId="4" hidden="1">{#N/A,#N/A,FALSE,"Land";#N/A,#N/A,FALSE,"Cost Analysis";"Summary",#N/A,FALSE,"Equipment"}</definedName>
    <definedName name="prntall" localSheetId="8" hidden="1">{#N/A,#N/A,FALSE,"Land";#N/A,#N/A,FALSE,"Cost Analysis";"Summary",#N/A,FALSE,"Equipment"}</definedName>
    <definedName name="prntall" localSheetId="6" hidden="1">{#N/A,#N/A,FALSE,"Land";#N/A,#N/A,FALSE,"Cost Analysis";"Summary",#N/A,FALSE,"Equipment"}</definedName>
    <definedName name="prntall" hidden="1">{#N/A,#N/A,FALSE,"Land";#N/A,#N/A,FALSE,"Cost Analysis";"Summary",#N/A,FALSE,"Equipment"}</definedName>
    <definedName name="problem" localSheetId="4" hidden="1">{"View1",#N/A,FALSE,"Sheet1";"View2",#N/A,FALSE,"Sheet1"}</definedName>
    <definedName name="problem" localSheetId="6" hidden="1">{"View1",#N/A,FALSE,"Sheet1";"View2",#N/A,FALSE,"Sheet1"}</definedName>
    <definedName name="problem" hidden="1">{"View1",#N/A,FALSE,"Sheet1";"View2",#N/A,FALSE,"Sheet1"}</definedName>
    <definedName name="Project">[35]Assumptions!$D$6:$D$56</definedName>
    <definedName name="ProjectName" localSheetId="4">{"Client Name or Project Name"}</definedName>
    <definedName name="ProjectName" localSheetId="6">{"Client Name or Project Name"}</definedName>
    <definedName name="ProjectName">{"Client Name or Project Name"}</definedName>
    <definedName name="ProjectName1" localSheetId="4">{"Client Name or Project Name"}</definedName>
    <definedName name="ProjectName1" localSheetId="6">{"Client Name or Project Name"}</definedName>
    <definedName name="ProjectName1">{"Client Name or Project Name"}</definedName>
    <definedName name="promote" localSheetId="4" hidden="1">{"Investor",#N/A,FALSE,"Model";"Property",#N/A,FALSE,"Model";"Incentive Taxes",#N/A,FALSE,"Model"}</definedName>
    <definedName name="promote" localSheetId="6" hidden="1">{"Investor",#N/A,FALSE,"Model";"Property",#N/A,FALSE,"Model";"Incentive Taxes",#N/A,FALSE,"Model"}</definedName>
    <definedName name="promote" hidden="1">{"Investor",#N/A,FALSE,"Model";"Property",#N/A,FALSE,"Model";"Incentive Taxes",#N/A,FALSE,"Model"}</definedName>
    <definedName name="proxy1" localSheetId="4" hidden="1">{"Full Sheet",#N/A,FALSE,"Expense Comparison"}</definedName>
    <definedName name="proxy1" localSheetId="8" hidden="1">{"Full Sheet",#N/A,FALSE,"Expense Comparison"}</definedName>
    <definedName name="proxy1" localSheetId="6" hidden="1">{"Full Sheet",#N/A,FALSE,"Expense Comparison"}</definedName>
    <definedName name="proxy1" hidden="1">{"Full Sheet",#N/A,FALSE,"Expense Comparison"}</definedName>
    <definedName name="proxy2" localSheetId="4" hidden="1">{#N/A,#N/A,FALSE,"Expense Comparison"}</definedName>
    <definedName name="proxy2" localSheetId="8" hidden="1">{#N/A,#N/A,FALSE,"Expense Comparison"}</definedName>
    <definedName name="proxy2" localSheetId="6" hidden="1">{#N/A,#N/A,FALSE,"Expense Comparison"}</definedName>
    <definedName name="proxy2" hidden="1">{#N/A,#N/A,FALSE,"Expense Comparison"}</definedName>
    <definedName name="proxy3" localSheetId="4" hidden="1">{"Full Sheet",#N/A,FALSE,"Expense Comparison"}</definedName>
    <definedName name="proxy3" localSheetId="8" hidden="1">{"Full Sheet",#N/A,FALSE,"Expense Comparison"}</definedName>
    <definedName name="proxy3" localSheetId="6" hidden="1">{"Full Sheet",#N/A,FALSE,"Expense Comparison"}</definedName>
    <definedName name="proxy3" hidden="1">{"Full Sheet",#N/A,FALSE,"Expense Comparison"}</definedName>
    <definedName name="proxy4" localSheetId="4" hidden="1">{#N/A,#N/A,FALSE,"Expense Comparison"}</definedName>
    <definedName name="proxy4" localSheetId="8" hidden="1">{#N/A,#N/A,FALSE,"Expense Comparison"}</definedName>
    <definedName name="proxy4" localSheetId="6" hidden="1">{#N/A,#N/A,FALSE,"Expense Comparison"}</definedName>
    <definedName name="proxy4" hidden="1">{#N/A,#N/A,FALSE,"Expense Comparison"}</definedName>
    <definedName name="q" localSheetId="0" hidden="1">{#N/A,#N/A,FALSE,"P o G";#N/A,#N/A,FALSE,"BALANCE";#N/A,#N/A,FALSE,"Indicadores";#N/A,#N/A,FALSE,"Capital Trab. (2)";#N/A,#N/A,FALSE,"Camb. Sit. Financ. (2)";#N/A,#N/A,FALSE,"ROTABCIUD"}</definedName>
    <definedName name="q" localSheetId="4" hidden="1">{"BB1",#N/A,TRUE,"B-B (R)";"BB2",#N/A,TRUE,"B-B (R)"}</definedName>
    <definedName name="q" localSheetId="6" hidden="1">{"BB1",#N/A,TRUE,"B-B (R)";"BB2",#N/A,TRUE,"B-B (R)"}</definedName>
    <definedName name="q" hidden="1">{"BB1",#N/A,TRUE,"B-B (R)";"BB2",#N/A,TRUE,"B-B (R)"}</definedName>
    <definedName name="qq" localSheetId="0" hidden="1">{#N/A,#N/A,FALSE,"CBE";#N/A,#N/A,FALSE,"SWK"}</definedName>
    <definedName name="qq" localSheetId="4" hidden="1">{"ed1",#N/A,TRUE,"E-D";"ed2",#N/A,TRUE,"E-D"}</definedName>
    <definedName name="qq" localSheetId="8" hidden="1">{"ed1",#N/A,TRUE,"E-D";"ed2",#N/A,TRUE,"E-D"}</definedName>
    <definedName name="qq" localSheetId="6" hidden="1">{"ed1",#N/A,TRUE,"E-D";"ed2",#N/A,TRUE,"E-D"}</definedName>
    <definedName name="qq" hidden="1">{"ed1",#N/A,TRUE,"E-D";"ed2",#N/A,TRUE,"E-D"}</definedName>
    <definedName name="qqq" localSheetId="0" hidden="1">{"ANAR",#N/A,FALSE,"Dist total";"MARGEN",#N/A,FALSE,"Dist total";"COMENTARIO",#N/A,FALSE,"Ficha CODICE";"CONSEJO",#N/A,FALSE,"Dist p0";"uno",#N/A,FALSE,"Dist total"}</definedName>
    <definedName name="qqq" localSheetId="4" hidden="1">{"TEST1",#N/A,FALSE,"SIMPLIFD"}</definedName>
    <definedName name="qqq" localSheetId="6" hidden="1">{"TEST1",#N/A,FALSE,"SIMPLIFD"}</definedName>
    <definedName name="qqq" hidden="1">{"TEST1",#N/A,FALSE,"SIMPLIFD"}</definedName>
    <definedName name="qqqq" localSheetId="4" hidden="1">{#N/A,#N/A,FALSE,"Chart 2 by Prop Type"}</definedName>
    <definedName name="qqqq" localSheetId="8" hidden="1">{#N/A,#N/A,FALSE,"Chart 2 by Prop Type"}</definedName>
    <definedName name="qqqq" localSheetId="6" hidden="1">{#N/A,#N/A,FALSE,"Chart 2 by Prop Type"}</definedName>
    <definedName name="qqqq" hidden="1">{#N/A,#N/A,FALSE,"Chart 2 by Prop Type"}</definedName>
    <definedName name="QQQQQ" localSheetId="8" hidden="1">{"uno",#N/A,FALSE,"Dist total";"COMENTARIO",#N/A,FALSE,"Ficha CODICE"}</definedName>
    <definedName name="QQQQQ" hidden="1">{"uno",#N/A,FALSE,"Dist total";"COMENTARIO",#N/A,FALSE,"Ficha CODICE"}</definedName>
    <definedName name="QrtProd">[35]Curve!$B$27:$DK$30</definedName>
    <definedName name="QrtProdIndex">[35]Curve!$B$27:$DK$27</definedName>
    <definedName name="querer" localSheetId="2" hidden="1">[21]Max_D._Set_2002!#REF!</definedName>
    <definedName name="querer" localSheetId="8" hidden="1">[21]Max_D._Set_2002!#REF!</definedName>
    <definedName name="querer" hidden="1">[21]Max_D._Set_2002!#REF!</definedName>
    <definedName name="question" localSheetId="4" hidden="1">{"CF",#N/A,FALSE,"Cash Flow";"RET",#N/A,FALSE,"Returns";"NPV",#N/A,FALSE,"Values";"ASMPT",#N/A,FALSE,"Assumptions"}</definedName>
    <definedName name="question" localSheetId="6" hidden="1">{"CF",#N/A,FALSE,"Cash Flow";"RET",#N/A,FALSE,"Returns";"NPV",#N/A,FALSE,"Values";"ASMPT",#N/A,FALSE,"Assumptions"}</definedName>
    <definedName name="question" hidden="1">{"CF",#N/A,FALSE,"Cash Flow";"RET",#N/A,FALSE,"Returns";"NPV",#N/A,FALSE,"Values";"ASMPT",#N/A,FALSE,"Assumptions"}</definedName>
    <definedName name="qwe" localSheetId="4" hidden="1">{"new",#N/A,FALSE,"D";"PROFORMA",#N/A,FALSE,"A";"partial 1",#N/A,FALSE,"B";"partial 2",#N/A,FALSE,"B";"partial 3",#N/A,FALSE,"B";"SMALL CF 1",#N/A,FALSE,"C"}</definedName>
    <definedName name="qwe" localSheetId="8" hidden="1">{"new",#N/A,FALSE,"D";"PROFORMA",#N/A,FALSE,"A";"partial 1",#N/A,FALSE,"B";"partial 2",#N/A,FALSE,"B";"partial 3",#N/A,FALSE,"B";"SMALL CF 1",#N/A,FALSE,"C"}</definedName>
    <definedName name="qwe" localSheetId="6" hidden="1">{"new",#N/A,FALSE,"D";"PROFORMA",#N/A,FALSE,"A";"partial 1",#N/A,FALSE,"B";"partial 2",#N/A,FALSE,"B";"partial 3",#N/A,FALSE,"B";"SMALL CF 1",#N/A,FALSE,"C"}</definedName>
    <definedName name="qwe" hidden="1">{"new",#N/A,FALSE,"D";"PROFORMA",#N/A,FALSE,"A";"partial 1",#N/A,FALSE,"B";"partial 2",#N/A,FALSE,"B";"partial 3",#N/A,FALSE,"B";"SMALL CF 1",#N/A,FALSE,"C"}</definedName>
    <definedName name="rachunek" localSheetId="8" hidden="1">{#N/A,#N/A,FALSE,"F-01";#N/A,#N/A,FALSE,"F-01";#N/A,#N/A,FALSE,"F-01"}</definedName>
    <definedName name="rachunek" hidden="1">{#N/A,#N/A,FALSE,"F-01";#N/A,#N/A,FALSE,"F-01";#N/A,#N/A,FALSE,"F-01"}</definedName>
    <definedName name="RangeChange" localSheetId="2" hidden="1">[38]!RangeChange</definedName>
    <definedName name="RangeChange" localSheetId="8" hidden="1">[38]!RangeChange</definedName>
    <definedName name="RangeChange" hidden="1">[38]!RangeChange</definedName>
    <definedName name="RCIII" localSheetId="4" hidden="1">{"ba1",#N/A,TRUE,"B-A";"ba2",#N/A,TRUE,"B-A"}</definedName>
    <definedName name="RCIII" localSheetId="8" hidden="1">{"ba1",#N/A,TRUE,"B-A";"ba2",#N/A,TRUE,"B-A"}</definedName>
    <definedName name="RCIII" localSheetId="6" hidden="1">{"ba1",#N/A,TRUE,"B-A";"ba2",#N/A,TRUE,"B-A"}</definedName>
    <definedName name="RCIII" hidden="1">{"ba1",#N/A,TRUE,"B-A";"ba2",#N/A,TRUE,"B-A"}</definedName>
    <definedName name="re" localSheetId="0" hidden="1">{"test2",#N/A,TRUE,"Prices"}</definedName>
    <definedName name="re" localSheetId="2" hidden="1">#REF!</definedName>
    <definedName name="re" localSheetId="4" hidden="1">#REF!</definedName>
    <definedName name="re" localSheetId="8" hidden="1">#REF!</definedName>
    <definedName name="re" hidden="1">#REF!</definedName>
    <definedName name="Reconcilation" localSheetId="2" hidden="1">[68]RENTANAL!#REF!</definedName>
    <definedName name="Reconcilation" localSheetId="4" hidden="1">[68]RENTANAL!#REF!</definedName>
    <definedName name="Reconcilation" localSheetId="8" hidden="1">[68]RENTANAL!#REF!</definedName>
    <definedName name="Reconcilation" localSheetId="6" hidden="1">[68]RENTANAL!#REF!</definedName>
    <definedName name="Reconcilation" hidden="1">[68]RENTANAL!#REF!</definedName>
    <definedName name="RENT601" localSheetId="2" hidden="1">#REF!</definedName>
    <definedName name="RENT601" localSheetId="4" hidden="1">#REF!</definedName>
    <definedName name="RENT601" localSheetId="8" hidden="1">#REF!</definedName>
    <definedName name="RENT601" hidden="1">#REF!</definedName>
    <definedName name="rentctrl">"Check Box 3"</definedName>
    <definedName name="rentctrlno">"Check Box 4"</definedName>
    <definedName name="rentctrlyes">"Check Box 3"</definedName>
    <definedName name="report" localSheetId="4" hidden="1">{#N/A,#N/A,FALSE,"Summary";#N/A,#N/A,FALSE,"Assumptions";#N/A,#N/A,FALSE,"Cash Flow";#N/A,#N/A,FALSE,"Residual Calculation";#N/A,#N/A,FALSE,"Pricing Matrix";#N/A,#N/A,FALSE,"Pricing Matrix II";#N/A,#N/A,FALSE,"Expiration Schedule"}</definedName>
    <definedName name="report" localSheetId="6" hidden="1">{#N/A,#N/A,FALSE,"Summary";#N/A,#N/A,FALSE,"Assumptions";#N/A,#N/A,FALSE,"Cash Flow";#N/A,#N/A,FALSE,"Residual Calculation";#N/A,#N/A,FALSE,"Pricing Matrix";#N/A,#N/A,FALSE,"Pricing Matrix II";#N/A,#N/A,FALSE,"Expiration Schedule"}</definedName>
    <definedName name="report" hidden="1">{#N/A,#N/A,FALSE,"Summary";#N/A,#N/A,FALSE,"Assumptions";#N/A,#N/A,FALSE,"Cash Flow";#N/A,#N/A,FALSE,"Residual Calculation";#N/A,#N/A,FALSE,"Pricing Matrix";#N/A,#N/A,FALSE,"Pricing Matrix II";#N/A,#N/A,FALSE,"Expiration Schedule"}</definedName>
    <definedName name="report99" localSheetId="8" hidden="1">{"Rep 1",#N/A,FALSE,"Reports";"Rep 2",#N/A,FALSE,"Reports";"Rep 3",#N/A,FALSE,"Reports";"Rep 4",#N/A,FALSE,"Reports"}</definedName>
    <definedName name="report99" hidden="1">{"Rep 1",#N/A,FALSE,"Reports";"Rep 2",#N/A,FALSE,"Reports";"Rep 3",#N/A,FALSE,"Reports";"Rep 4",#N/A,FALSE,"Reports"}</definedName>
    <definedName name="ReportingPeriod">"0903"</definedName>
    <definedName name="ResiNSF">[62]Dashboard!$E$11</definedName>
    <definedName name="RetailGSF">[62]Dashboard!$E$9</definedName>
    <definedName name="RetailNSF">[62]Dashboard!$E$12</definedName>
    <definedName name="retha" localSheetId="2" hidden="1">#REF!</definedName>
    <definedName name="retha" localSheetId="4" hidden="1">#REF!</definedName>
    <definedName name="retha" localSheetId="8" hidden="1">#REF!</definedName>
    <definedName name="retha" hidden="1">#REF!</definedName>
    <definedName name="Revision_1_1997">TRUE</definedName>
    <definedName name="Revision_2">TRUE</definedName>
    <definedName name="Revision_2_1997">TRUE</definedName>
    <definedName name="Revision_3_1997">TRUE</definedName>
    <definedName name="rgdhgsrt" localSheetId="4" hidden="1">{"Assump",#N/A,TRUE,"Proforma";"first",#N/A,TRUE,"Proforma";"second",#N/A,TRUE,"Proforma";"lease1",#N/A,TRUE,"Proforma";"lease2",#N/A,TRUE,"Proforma"}</definedName>
    <definedName name="rgdhgsrt" localSheetId="6" hidden="1">{"Assump",#N/A,TRUE,"Proforma";"first",#N/A,TRUE,"Proforma";"second",#N/A,TRUE,"Proforma";"lease1",#N/A,TRUE,"Proforma";"lease2",#N/A,TRUE,"Proforma"}</definedName>
    <definedName name="rgdhgsrt" hidden="1">{"Assump",#N/A,TRUE,"Proforma";"first",#N/A,TRUE,"Proforma";"second",#N/A,TRUE,"Proforma";"lease1",#N/A,TRUE,"Proforma";"lease2",#N/A,TRUE,"Proforma"}</definedName>
    <definedName name="rgerg" localSheetId="4" hidden="1">{"Investor",#N/A,FALSE,"Model";"Property",#N/A,FALSE,"Model";"Incentive Taxes",#N/A,FALSE,"Model"}</definedName>
    <definedName name="rgerg" localSheetId="6" hidden="1">{"Investor",#N/A,FALSE,"Model";"Property",#N/A,FALSE,"Model";"Incentive Taxes",#N/A,FALSE,"Model"}</definedName>
    <definedName name="rgerg" hidden="1">{"Investor",#N/A,FALSE,"Model";"Property",#N/A,FALSE,"Model";"Incentive Taxes",#N/A,FALSE,"Model"}</definedName>
    <definedName name="RiskAfterRecalcMacro" hidden="1">""</definedName>
    <definedName name="RiskAfterSimMacro" hidden="1">""</definedName>
    <definedName name="RiskAutoStopPercChange">1.5</definedName>
    <definedName name="RiskBeforeRecalcMacro" hidden="1">""</definedName>
    <definedName name="RiskBeforeSimMacro" hidden="1">""</definedName>
    <definedName name="RiskCollectDistributionSamples">2</definedName>
    <definedName name="RiskExcelReportsGoInNewWorkbook">FALSE</definedName>
    <definedName name="RiskExcelReportsToGenerate">1001</definedName>
    <definedName name="RiskFixedSeed">1</definedName>
    <definedName name="RiskGenerateExcelReportsAtEndOfSimulation">TRUE</definedName>
    <definedName name="RiskHasSettings" localSheetId="0" hidden="1">5</definedName>
    <definedName name="RiskHasSettings">TRUE</definedName>
    <definedName name="RiskMinimizeOnStart">FALSE</definedName>
    <definedName name="RiskMonitorConvergence">FALSE</definedName>
    <definedName name="RiskNumIterations" localSheetId="0" hidden="1">100</definedName>
    <definedName name="RiskNumIterations">300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 localSheetId="0" hidden="1">3</definedName>
    <definedName name="RiskSamplingType">2</definedName>
    <definedName name="RiskShowRiskWindowAtEndOfSimulation">TRUE</definedName>
    <definedName name="RiskStandardRecalc">1</definedName>
    <definedName name="RiskTemplateSheetName">"myTemplate"</definedName>
    <definedName name="RiskUpdateDisplay">FALSE</definedName>
    <definedName name="RiskUseDifferentSeedForEachSim">FALSE</definedName>
    <definedName name="RiskUseFixedSeed">FALSE</definedName>
    <definedName name="RiskUseMultipleCPUs">FALSE</definedName>
    <definedName name="rk" localSheetId="8" hidden="1">{#N/A,#N/A,FALSE,"F-01";#N/A,#N/A,FALSE,"F-01";#N/A,#N/A,FALSE,"F-01"}</definedName>
    <definedName name="rk" hidden="1">{#N/A,#N/A,FALSE,"F-01";#N/A,#N/A,FALSE,"F-01";#N/A,#N/A,FALSE,"F-01"}</definedName>
    <definedName name="RM_Corrected?">TRUE</definedName>
    <definedName name="rosner2" localSheetId="2" hidden="1">#REF!</definedName>
    <definedName name="rosner2" localSheetId="4" hidden="1">#REF!</definedName>
    <definedName name="rosner2" localSheetId="8" hidden="1">#REF!</definedName>
    <definedName name="rosner2" hidden="1">#REF!</definedName>
    <definedName name="rr" localSheetId="8" hidden="1">{"ANAR",#N/A,FALSE,"Dist total";"MARGEN",#N/A,FALSE,"Dist total";"COMENTARIO",#N/A,FALSE,"Ficha CODICE";"CONSEJO",#N/A,FALSE,"Dist p0";"uno",#N/A,FALSE,"Dist total"}</definedName>
    <definedName name="rr" hidden="1">{"ANAR",#N/A,FALSE,"Dist total";"MARGEN",#N/A,FALSE,"Dist total";"COMENTARIO",#N/A,FALSE,"Ficha CODICE";"CONSEJO",#N/A,FALSE,"Dist p0";"uno",#N/A,FALSE,"Dist total"}</definedName>
    <definedName name="rrLast" localSheetId="2">ROW()-ROW(rrFirstRow)-1</definedName>
    <definedName name="rrLast" localSheetId="4">ROW()-ROW(rrFirstRow)-1</definedName>
    <definedName name="rrLast" localSheetId="8">ROW()-ROW(rrFirstRow)-1</definedName>
    <definedName name="rrLast" localSheetId="6">ROW()-ROW(rrFirstRow)-1</definedName>
    <definedName name="rrLast">ROW()-ROW(rrFirstRow)-1</definedName>
    <definedName name="rrr" localSheetId="0" hidden="1">{"ANAR",#N/A,FALSE,"Dist total";"MARGEN",#N/A,FALSE,"Dist total";"COMENTARIO",#N/A,FALSE,"Ficha CODICE";"CONSEJO",#N/A,FALSE,"Dist p0";"uno",#N/A,FALSE,"Dist total"}</definedName>
    <definedName name="rrr" localSheetId="4" hidden="1">{#N/A,#N/A,FALSE,"ExecutiveSummary";#N/A,#N/A,FALSE,"CostDetail";#N/A,#N/A,FALSE,"IncomeDetail"}</definedName>
    <definedName name="rrr" localSheetId="8" hidden="1">{#N/A,#N/A,FALSE,"ExecutiveSummary";#N/A,#N/A,FALSE,"CostDetail";#N/A,#N/A,FALSE,"IncomeDetail"}</definedName>
    <definedName name="rrr" localSheetId="6" hidden="1">{#N/A,#N/A,FALSE,"ExecutiveSummary";#N/A,#N/A,FALSE,"CostDetail";#N/A,#N/A,FALSE,"IncomeDetail"}</definedName>
    <definedName name="rrr" hidden="1">{#N/A,#N/A,FALSE,"ExecutiveSummary";#N/A,#N/A,FALSE,"CostDetail";#N/A,#N/A,FALSE,"IncomeDetail"}</definedName>
    <definedName name="rrrr" localSheetId="4" hidden="1">{TRUE,TRUE,-1.41610738255034,-14.9463087248322,497.718120805369,308.295302013423,FALSE,TRUE,TRUE,TRUE,0,1,1,1,280,1,2.17391304347826,4,TRUE,TRUE,3,TRUE,1,FALSE,100,"Swvu.bottom._.line.","ACwvu.bottom._.line.",#N/A,FALSE,FALSE,0.5,0.5,0.5,0.5,2,"","&amp;L&amp;8&amp;F   &amp;A&amp;R&amp;8&amp;D   &amp;T",TRUE,FALSE,FALSE,FALSE,2,#N/A,1,#N/A,#DIV/0!,"=R1:R2","Rwvu.bottom._.line.","Cwvu.bottom._.line.",FALSE,FALSE,FALSE,1,4294967292,300,FALSE,FALSE,TRUE,TRUE,TRUE}</definedName>
    <definedName name="rrrr" localSheetId="6" hidden="1">{TRUE,TRUE,-1.41610738255034,-14.9463087248322,497.718120805369,308.295302013423,FALSE,TRUE,TRUE,TRUE,0,1,1,1,280,1,2.17391304347826,4,TRUE,TRUE,3,TRUE,1,FALSE,100,"Swvu.bottom._.line.","ACwvu.bottom._.line.",#N/A,FALSE,FALSE,0.5,0.5,0.5,0.5,2,"","&amp;L&amp;8&amp;F   &amp;A&amp;R&amp;8&amp;D   &amp;T",TRUE,FALSE,FALSE,FALSE,2,#N/A,1,#N/A,#DIV/0!,"=R1:R2","Rwvu.bottom._.line.","Cwvu.bottom._.line.",FALSE,FALSE,FALSE,1,4294967292,300,FALSE,FALSE,TRUE,TRUE,TRUE}</definedName>
    <definedName name="rrrr" hidden="1">{TRUE,TRUE,-1.41610738255034,-14.9463087248322,497.718120805369,308.295302013423,FALSE,TRUE,TRUE,TRUE,0,1,1,1,280,1,2.17391304347826,4,TRUE,TRUE,3,TRUE,1,FALSE,100,"Swvu.bottom._.line.","ACwvu.bottom._.line.",#N/A,FALSE,FALSE,0.5,0.5,0.5,0.5,2,"","&amp;L&amp;8&amp;F   &amp;A&amp;R&amp;8&amp;D   &amp;T",TRUE,FALSE,FALSE,FALSE,2,#N/A,1,#N/A,#DIV/0!,"=R1:R2","Rwvu.bottom._.line.","Cwvu.bottom._.line.",FALSE,FALSE,FALSE,1,4294967292,300,FALSE,FALSE,TRUE,TRUE,TRUE}</definedName>
    <definedName name="rtha" localSheetId="2" hidden="1">#REF!</definedName>
    <definedName name="rtha" localSheetId="4" hidden="1">#REF!</definedName>
    <definedName name="rtha" localSheetId="8" hidden="1">#REF!</definedName>
    <definedName name="rtha" hidden="1">#REF!</definedName>
    <definedName name="rther" localSheetId="4" hidden="1">{"Investor",#N/A,FALSE,"Model";"Property",#N/A,FALSE,"Model";"Incentive Taxes",#N/A,FALSE,"Model"}</definedName>
    <definedName name="rther" localSheetId="6" hidden="1">{"Investor",#N/A,FALSE,"Model";"Property",#N/A,FALSE,"Model";"Incentive Taxes",#N/A,FALSE,"Model"}</definedName>
    <definedName name="rther" hidden="1">{"Investor",#N/A,FALSE,"Model";"Property",#N/A,FALSE,"Model";"Incentive Taxes",#N/A,FALSE,"Model"}</definedName>
    <definedName name="rthsrth" localSheetId="2" hidden="1">#REF!</definedName>
    <definedName name="rthsrth" localSheetId="4" hidden="1">#REF!</definedName>
    <definedName name="rthsrth" localSheetId="8" hidden="1">#REF!</definedName>
    <definedName name="rthsrth" hidden="1">#REF!</definedName>
    <definedName name="rtxfdgth" localSheetId="2" hidden="1">#REF!</definedName>
    <definedName name="rtxfdgth" localSheetId="4" hidden="1">#REF!</definedName>
    <definedName name="rtxfdgth" localSheetId="8" hidden="1">#REF!</definedName>
    <definedName name="rtxfdgth" hidden="1">#REF!</definedName>
    <definedName name="rtyf" localSheetId="8" hidden="1">{"ANAR",#N/A,FALSE,"Dist total";"MARGEN",#N/A,FALSE,"Dist total";"COMENTARIO",#N/A,FALSE,"Ficha CODICE";"CONSEJO",#N/A,FALSE,"Dist p0";"uno",#N/A,FALSE,"Dist total"}</definedName>
    <definedName name="rtyf" hidden="1">{"ANAR",#N/A,FALSE,"Dist total";"MARGEN",#N/A,FALSE,"Dist total";"COMENTARIO",#N/A,FALSE,"Ficha CODICE";"CONSEJO",#N/A,FALSE,"Dist p0";"uno",#N/A,FALSE,"Dist total"}</definedName>
    <definedName name="RType">"ComboBox3"</definedName>
    <definedName name="rtyr" localSheetId="4" hidden="1">{"sheet a",#N/A,FALSE,"A";"sheet b 1",#N/A,FALSE,"B";"sheet b 2",#N/A,FALSE,"B"}</definedName>
    <definedName name="rtyr" localSheetId="8" hidden="1">{"sheet a",#N/A,FALSE,"A";"sheet b 1",#N/A,FALSE,"B";"sheet b 2",#N/A,FALSE,"B"}</definedName>
    <definedName name="rtyr" localSheetId="6" hidden="1">{"sheet a",#N/A,FALSE,"A";"sheet b 1",#N/A,FALSE,"B";"sheet b 2",#N/A,FALSE,"B"}</definedName>
    <definedName name="rtyr" hidden="1">{"sheet a",#N/A,FALSE,"A";"sheet b 1",#N/A,FALSE,"B";"sheet b 2",#N/A,FALSE,"B"}</definedName>
    <definedName name="Rwvu.allocations." localSheetId="2" hidden="1">#REF!</definedName>
    <definedName name="Rwvu.allocations." localSheetId="4" hidden="1">#REF!</definedName>
    <definedName name="Rwvu.allocations." localSheetId="8" hidden="1">#REF!</definedName>
    <definedName name="Rwvu.allocations." hidden="1">#REF!</definedName>
    <definedName name="Rwvu.annual._.hotel." localSheetId="2" hidden="1">[32]development!#REF!</definedName>
    <definedName name="Rwvu.annual._.hotel." localSheetId="4" hidden="1">[32]development!#REF!</definedName>
    <definedName name="Rwvu.annual._.hotel." localSheetId="8" hidden="1">[32]development!#REF!</definedName>
    <definedName name="Rwvu.annual._.hotel." localSheetId="6" hidden="1">[32]development!#REF!</definedName>
    <definedName name="Rwvu.annual._.hotel." hidden="1">[32]development!#REF!</definedName>
    <definedName name="Rwvu.bottom._.line." localSheetId="2" hidden="1">[32]development!#REF!</definedName>
    <definedName name="Rwvu.bottom._.line." localSheetId="4" hidden="1">[32]development!#REF!</definedName>
    <definedName name="Rwvu.bottom._.line." localSheetId="8" hidden="1">[32]development!#REF!</definedName>
    <definedName name="Rwvu.bottom._.line." localSheetId="6" hidden="1">[32]development!#REF!</definedName>
    <definedName name="Rwvu.bottom._.line." hidden="1">[32]development!#REF!</definedName>
    <definedName name="Rwvu.cash._.flow." localSheetId="2" hidden="1">#REF!</definedName>
    <definedName name="Rwvu.cash._.flow." localSheetId="4" hidden="1">#REF!</definedName>
    <definedName name="Rwvu.cash._.flow." localSheetId="8" hidden="1">#REF!</definedName>
    <definedName name="Rwvu.cash._.flow." hidden="1">#REF!</definedName>
    <definedName name="Rwvu.combo." localSheetId="2" hidden="1">[32]development!#REF!</definedName>
    <definedName name="Rwvu.combo." localSheetId="4" hidden="1">[32]development!#REF!</definedName>
    <definedName name="Rwvu.combo." localSheetId="8" hidden="1">[32]development!#REF!</definedName>
    <definedName name="Rwvu.combo." localSheetId="6" hidden="1">[32]development!#REF!</definedName>
    <definedName name="Rwvu.combo." hidden="1">[32]development!#REF!</definedName>
    <definedName name="Rwvu.offsite." localSheetId="2" hidden="1">#REF!</definedName>
    <definedName name="Rwvu.offsite." localSheetId="4" hidden="1">#REF!</definedName>
    <definedName name="Rwvu.offsite." localSheetId="8" hidden="1">#REF!</definedName>
    <definedName name="Rwvu.offsite." hidden="1">#REF!</definedName>
    <definedName name="Rwvu.onsite." localSheetId="2" hidden="1">#REF!</definedName>
    <definedName name="Rwvu.onsite." localSheetId="4" hidden="1">#REF!</definedName>
    <definedName name="Rwvu.onsite." localSheetId="8" hidden="1">#REF!</definedName>
    <definedName name="Rwvu.onsite." hidden="1">#REF!</definedName>
    <definedName name="Rwvu.Sommaire." localSheetId="2" hidden="1">'[25]#REF'!#REF!,'[25]#REF'!#REF!,'[25]#REF'!$C$1:$C$65536,'[25]#REF'!$D$1:$D$65536,'[25]#REF'!#REF!</definedName>
    <definedName name="Rwvu.Sommaire." localSheetId="4" hidden="1">'[25]#REF'!#REF!,'[25]#REF'!#REF!,'[25]#REF'!$C$1:$C$65536,'[25]#REF'!$D$1:$D$65536,'[25]#REF'!#REF!</definedName>
    <definedName name="Rwvu.Sommaire." localSheetId="8" hidden="1">'[25]#REF'!#REF!,'[25]#REF'!#REF!,'[25]#REF'!$C$1:$C$65536,'[25]#REF'!$D$1:$D$65536,'[25]#REF'!#REF!</definedName>
    <definedName name="Rwvu.Sommaire." localSheetId="6" hidden="1">'[25]#REF'!#REF!,'[25]#REF'!#REF!,'[25]#REF'!$C$1:$C$65536,'[25]#REF'!$D$1:$D$65536,'[25]#REF'!#REF!</definedName>
    <definedName name="Rwvu.Sommaire." hidden="1">'[25]#REF'!#REF!,'[25]#REF'!#REF!,'[25]#REF'!$C$1:$C$65536,'[25]#REF'!$D$1:$D$65536,'[25]#REF'!#REF!</definedName>
    <definedName name="s" localSheetId="0" hidden="1">Word</definedName>
    <definedName name="s" localSheetId="4" hidden="1">{#N/A,#N/A,FALSE,"A";#N/A,#N/A,FALSE,"C"}</definedName>
    <definedName name="s" localSheetId="6" hidden="1">{#N/A,#N/A,FALSE,"A";#N/A,#N/A,FALSE,"C"}</definedName>
    <definedName name="s" hidden="1">{#N/A,#N/A,FALSE,"A";#N/A,#N/A,FALSE,"C"}</definedName>
    <definedName name="sa" localSheetId="4"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sa" localSheetId="6"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sa"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sad" localSheetId="4" hidden="1">{"Assump",#N/A,TRUE,"Proforma";"first",#N/A,TRUE,"Proforma";"second",#N/A,TRUE,"Proforma";"lease1",#N/A,TRUE,"Proforma";"lease2",#N/A,TRUE,"Proforma"}</definedName>
    <definedName name="sad" localSheetId="6" hidden="1">{"Assump",#N/A,TRUE,"Proforma";"first",#N/A,TRUE,"Proforma";"second",#N/A,TRUE,"Proforma";"lease1",#N/A,TRUE,"Proforma";"lease2",#N/A,TRUE,"Proforma"}</definedName>
    <definedName name="sad" hidden="1">{"Assump",#N/A,TRUE,"Proforma";"first",#N/A,TRUE,"Proforma";"second",#N/A,TRUE,"Proforma";"lease1",#N/A,TRUE,"Proforma";"lease2",#N/A,TRUE,"Proforma"}</definedName>
    <definedName name="sadsadsa" localSheetId="4" hidden="1">{"'Assump'!$F$6:$J$6"}</definedName>
    <definedName name="sadsadsa" localSheetId="8" hidden="1">{"'Assump'!$F$6:$J$6"}</definedName>
    <definedName name="sadsadsa" localSheetId="6" hidden="1">{"'Assump'!$F$6:$J$6"}</definedName>
    <definedName name="sadsadsa" hidden="1">{"'Assump'!$F$6:$J$6"}</definedName>
    <definedName name="saery" localSheetId="4" hidden="1">{"Investor",#N/A,FALSE,"Model";"Property",#N/A,FALSE,"Model";"Incentive Taxes",#N/A,FALSE,"Model"}</definedName>
    <definedName name="saery" localSheetId="6" hidden="1">{"Investor",#N/A,FALSE,"Model";"Property",#N/A,FALSE,"Model";"Incentive Taxes",#N/A,FALSE,"Model"}</definedName>
    <definedName name="saery" hidden="1">{"Investor",#N/A,FALSE,"Model";"Property",#N/A,FALSE,"Model";"Incentive Taxes",#N/A,FALSE,"Model"}</definedName>
    <definedName name="SAPBEXdnldView" hidden="1">"9UZG9Z549I8IFGUC36VLG9WU4"</definedName>
    <definedName name="SAPBEXhrIndnt" hidden="1">1</definedName>
    <definedName name="SAPBEXrevision" localSheetId="0" hidden="1">18</definedName>
    <definedName name="SAPBEXrevision" hidden="1">1</definedName>
    <definedName name="SAPBEXsysID" hidden="1">"BWP"</definedName>
    <definedName name="SAPBEXwbID" localSheetId="0" hidden="1">"4ZUOE77O1HF840EF45K3PLCV5"</definedName>
    <definedName name="SAPBEXwbID" hidden="1">"6SKS7FBJ10YG7PB0SMOHV6V5A"</definedName>
    <definedName name="scen" localSheetId="2">[69]Inputs!#REF!</definedName>
    <definedName name="scen" localSheetId="4">[69]Inputs!#REF!</definedName>
    <definedName name="scen" localSheetId="8">[70]Assumptions!#REF!</definedName>
    <definedName name="scen" localSheetId="6">[69]Inputs!#REF!</definedName>
    <definedName name="scen">[69]Inputs!#REF!</definedName>
    <definedName name="scen2" localSheetId="2">#REF!</definedName>
    <definedName name="scen2" localSheetId="4">#REF!</definedName>
    <definedName name="scen2" localSheetId="8">#REF!</definedName>
    <definedName name="scen2">#REF!</definedName>
    <definedName name="sd" localSheetId="0" hidden="1">{"CONSEJO",#N/A,FALSE,"Dist p0";"CONSEJO",#N/A,FALSE,"Ficha CODICE"}</definedName>
    <definedName name="sd" localSheetId="4" hidden="1">{"Assump",#N/A,TRUE,"Proforma";"first",#N/A,TRUE,"Proforma";"second",#N/A,TRUE,"Proforma";"lease1",#N/A,TRUE,"Proforma";"lease2",#N/A,TRUE,"Proforma"}</definedName>
    <definedName name="sd" localSheetId="6" hidden="1">{"Assump",#N/A,TRUE,"Proforma";"first",#N/A,TRUE,"Proforma";"second",#N/A,TRUE,"Proforma";"lease1",#N/A,TRUE,"Proforma";"lease2",#N/A,TRUE,"Proforma"}</definedName>
    <definedName name="sd" hidden="1">{"Assump",#N/A,TRUE,"Proforma";"first",#N/A,TRUE,"Proforma";"second",#N/A,TRUE,"Proforma";"lease1",#N/A,TRUE,"Proforma";"lease2",#N/A,TRUE,"Proforma"}</definedName>
    <definedName name="sdas">[71]GenAss!$E$8</definedName>
    <definedName name="sdcds" localSheetId="4" hidden="1">{"'Assump'!$F$6:$J$6"}</definedName>
    <definedName name="sdcds" localSheetId="8" hidden="1">{"'Assump'!$F$6:$J$6"}</definedName>
    <definedName name="sdcds" localSheetId="6" hidden="1">{"'Assump'!$F$6:$J$6"}</definedName>
    <definedName name="sdcds" hidden="1">{"'Assump'!$F$6:$J$6"}</definedName>
    <definedName name="sdf" localSheetId="0" hidden="1">{#N/A,#N/A,FALSE,"Calc";#N/A,#N/A,FALSE,"Sensitivity";#N/A,#N/A,FALSE,"LT Earn.Dil.";#N/A,#N/A,FALSE,"Dil. AVP"}</definedName>
    <definedName name="sdf" localSheetId="4" hidden="1">{"Assump",#N/A,TRUE,"Proforma";"first",#N/A,TRUE,"Proforma";"second",#N/A,TRUE,"Proforma";"lease1",#N/A,TRUE,"Proforma";"lease2",#N/A,TRUE,"Proforma"}</definedName>
    <definedName name="sdf" localSheetId="6" hidden="1">{"Assump",#N/A,TRUE,"Proforma";"first",#N/A,TRUE,"Proforma";"second",#N/A,TRUE,"Proforma";"lease1",#N/A,TRUE,"Proforma";"lease2",#N/A,TRUE,"Proforma"}</definedName>
    <definedName name="sdf" hidden="1">{"Assump",#N/A,TRUE,"Proforma";"first",#N/A,TRUE,"Proforma";"second",#N/A,TRUE,"Proforma";"lease1",#N/A,TRUE,"Proforma";"lease2",#N/A,TRUE,"Proforma"}</definedName>
    <definedName name="sdfc" localSheetId="8" hidden="1">{"'PXR_6500'!$A$1:$I$124"}</definedName>
    <definedName name="sdfc" hidden="1">{"'PXR_6500'!$A$1:$I$124"}</definedName>
    <definedName name="sdfh2wh" localSheetId="4"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sdfh2wh" localSheetId="8"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sdfh2wh" localSheetId="6"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sdfh2wh"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sdfsd" localSheetId="8" hidden="1">{"ANAR",#N/A,FALSE,"Dist total";"MARGEN",#N/A,FALSE,"Dist total";"COMENTARIO",#N/A,FALSE,"Ficha CODICE";"CONSEJO",#N/A,FALSE,"Dist p0";"uno",#N/A,FALSE,"Dist total"}</definedName>
    <definedName name="sdfsd" hidden="1">{"ANAR",#N/A,FALSE,"Dist total";"MARGEN",#N/A,FALSE,"Dist total";"COMENTARIO",#N/A,FALSE,"Ficha CODICE";"CONSEJO",#N/A,FALSE,"Dist p0";"uno",#N/A,FALSE,"Dist total"}</definedName>
    <definedName name="SDFSDF" localSheetId="4" hidden="1">{"Page One",#N/A,FALSE,"Model";"Page 2",#N/A,FALSE,"Model";"Page 3",#N/A,FALSE,"Model"}</definedName>
    <definedName name="SDFSDF" localSheetId="8" hidden="1">{"Page One",#N/A,FALSE,"Model";"Page 2",#N/A,FALSE,"Model";"Page 3",#N/A,FALSE,"Model"}</definedName>
    <definedName name="SDFSDF" localSheetId="6" hidden="1">{"Page One",#N/A,FALSE,"Model";"Page 2",#N/A,FALSE,"Model";"Page 3",#N/A,FALSE,"Model"}</definedName>
    <definedName name="SDFSDF" hidden="1">{"Page One",#N/A,FALSE,"Model";"Page 2",#N/A,FALSE,"Model";"Page 3",#N/A,FALSE,"Model"}</definedName>
    <definedName name="sdfsdfs" localSheetId="8" hidden="1">{"ANAR",#N/A,FALSE,"Dist total";"MARGEN",#N/A,FALSE,"Dist total";"COMENTARIO",#N/A,FALSE,"Ficha CODICE";"CONSEJO",#N/A,FALSE,"Dist p0";"uno",#N/A,FALSE,"Dist total"}</definedName>
    <definedName name="sdfsdfs" hidden="1">{"ANAR",#N/A,FALSE,"Dist total";"MARGEN",#N/A,FALSE,"Dist total";"COMENTARIO",#N/A,FALSE,"Ficha CODICE";"CONSEJO",#N/A,FALSE,"Dist p0";"uno",#N/A,FALSE,"Dist total"}</definedName>
    <definedName name="sdfsss" localSheetId="8" hidden="1">{"uno",#N/A,FALSE,"Dist total";"COMENTARIO",#N/A,FALSE,"Ficha CODICE"}</definedName>
    <definedName name="sdfsss" hidden="1">{"uno",#N/A,FALSE,"Dist total";"COMENTARIO",#N/A,FALSE,"Ficha CODICE"}</definedName>
    <definedName name="sdgdfg" localSheetId="4" hidden="1">{"new",#N/A,FALSE,"D";"PROFORMA",#N/A,FALSE,"A";"partial 1",#N/A,FALSE,"B";"partial 2",#N/A,FALSE,"B";"partial 3",#N/A,FALSE,"B";"SMALL CF 1",#N/A,FALSE,"C"}</definedName>
    <definedName name="sdgdfg" localSheetId="8" hidden="1">{"new",#N/A,FALSE,"D";"PROFORMA",#N/A,FALSE,"A";"partial 1",#N/A,FALSE,"B";"partial 2",#N/A,FALSE,"B";"partial 3",#N/A,FALSE,"B";"SMALL CF 1",#N/A,FALSE,"C"}</definedName>
    <definedName name="sdgdfg" localSheetId="6" hidden="1">{"new",#N/A,FALSE,"D";"PROFORMA",#N/A,FALSE,"A";"partial 1",#N/A,FALSE,"B";"partial 2",#N/A,FALSE,"B";"partial 3",#N/A,FALSE,"B";"SMALL CF 1",#N/A,FALSE,"C"}</definedName>
    <definedName name="sdgdfg" hidden="1">{"new",#N/A,FALSE,"D";"PROFORMA",#N/A,FALSE,"A";"partial 1",#N/A,FALSE,"B";"partial 2",#N/A,FALSE,"B";"partial 3",#N/A,FALSE,"B";"SMALL CF 1",#N/A,FALSE,"C"}</definedName>
    <definedName name="sdgfr" localSheetId="4" hidden="1">{"sheet a",#N/A,FALSE,"A";"sheet b 1",#N/A,FALSE,"B";"sheet b 2",#N/A,FALSE,"B"}</definedName>
    <definedName name="sdgfr" localSheetId="8" hidden="1">{"sheet a",#N/A,FALSE,"A";"sheet b 1",#N/A,FALSE,"B";"sheet b 2",#N/A,FALSE,"B"}</definedName>
    <definedName name="sdgfr" localSheetId="6" hidden="1">{"sheet a",#N/A,FALSE,"A";"sheet b 1",#N/A,FALSE,"B";"sheet b 2",#N/A,FALSE,"B"}</definedName>
    <definedName name="sdgfr" hidden="1">{"sheet a",#N/A,FALSE,"A";"sheet b 1",#N/A,FALSE,"B";"sheet b 2",#N/A,FALSE,"B"}</definedName>
    <definedName name="se" localSheetId="2">#REF!</definedName>
    <definedName name="se" localSheetId="8">#REF!</definedName>
    <definedName name="se">#REF!</definedName>
    <definedName name="sencount" hidden="1">1</definedName>
    <definedName name="sf" localSheetId="0" hidden="1">{"CONSEJO",#N/A,FALSE,"Dist p0";"CONSEJO",#N/A,FALSE,"Ficha CODICE"}</definedName>
    <definedName name="sf" localSheetId="4">[39]GenAss!$E$9</definedName>
    <definedName name="Sf" localSheetId="8">#REF!</definedName>
    <definedName name="Sf">#REF!</definedName>
    <definedName name="sfg." localSheetId="4" hidden="1">{"Construction_Short",#N/A,FALSE,"Construction"}</definedName>
    <definedName name="sfg." localSheetId="8" hidden="1">{"Construction_Short",#N/A,FALSE,"Construction"}</definedName>
    <definedName name="sfg." localSheetId="6" hidden="1">{"Construction_Short",#N/A,FALSE,"Construction"}</definedName>
    <definedName name="sfg." hidden="1">{"Construction_Short",#N/A,FALSE,"Construction"}</definedName>
    <definedName name="sfghsfgh" localSheetId="4" hidden="1">{"CF",#N/A,FALSE,"Cash Flow";"RET",#N/A,FALSE,"Returns";"NPV",#N/A,FALSE,"Values";"ASMPT",#N/A,FALSE,"Assumptions"}</definedName>
    <definedName name="sfghsfgh" localSheetId="6" hidden="1">{"CF",#N/A,FALSE,"Cash Flow";"RET",#N/A,FALSE,"Returns";"NPV",#N/A,FALSE,"Values";"ASMPT",#N/A,FALSE,"Assumptions"}</definedName>
    <definedName name="sfghsfgh" hidden="1">{"CF",#N/A,FALSE,"Cash Flow";"RET",#N/A,FALSE,"Returns";"NPV",#N/A,FALSE,"Values";"ASMPT",#N/A,FALSE,"Assumptions"}</definedName>
    <definedName name="sfs" localSheetId="8" hidden="1">{"uno",#N/A,FALSE,"Dist total";"COMENTARIO",#N/A,FALSE,"Ficha CODICE"}</definedName>
    <definedName name="sfs" hidden="1">{"uno",#N/A,FALSE,"Dist total";"COMENTARIO",#N/A,FALSE,"Ficha CODICE"}</definedName>
    <definedName name="sheet2" localSheetId="4" hidden="1">{"CF",#N/A,FALSE,"Cash Flow";"RET",#N/A,FALSE,"Returns";"NPV",#N/A,FALSE,"Values";"ASMPT",#N/A,FALSE,"Assumptions"}</definedName>
    <definedName name="sheet2" localSheetId="6" hidden="1">{"CF",#N/A,FALSE,"Cash Flow";"RET",#N/A,FALSE,"Returns";"NPV",#N/A,FALSE,"Values";"ASMPT",#N/A,FALSE,"Assumptions"}</definedName>
    <definedName name="sheet2" hidden="1">{"CF",#N/A,FALSE,"Cash Flow";"RET",#N/A,FALSE,"Returns";"NPV",#N/A,FALSE,"Values";"ASMPT",#N/A,FALSE,"Assumptions"}</definedName>
    <definedName name="SMEGSF">[55]Dashboard!$E$66</definedName>
    <definedName name="SMENSF">[55]Dashboard!$E$67</definedName>
    <definedName name="SMEResiGSF">[55]Dashboard!$E$57</definedName>
    <definedName name="SMEResiNSF">[55]Dashboard!$E$59</definedName>
    <definedName name="SMERetailGSF">[55]Dashboard!$E$52</definedName>
    <definedName name="SMERetailNSF">[55]Dashboard!$E$53</definedName>
    <definedName name="SMEUnits">[55]Dashboard!$E$60</definedName>
    <definedName name="SMWGSF">[55]Dashboard!$E$37</definedName>
    <definedName name="SMWNSF">[55]Dashboard!$E$38</definedName>
    <definedName name="SMWResiGSF">[55]Dashboard!$E$28</definedName>
    <definedName name="SMWResiNSF">[55]Dashboard!$E$30</definedName>
    <definedName name="SMWRetailGSF">[55]Dashboard!$E$23</definedName>
    <definedName name="SMWRetailNSF">[55]Dashboard!$E$24</definedName>
    <definedName name="SMWUnits">[55]Dashboard!$E$31</definedName>
    <definedName name="solver_adj" localSheetId="1" hidden="1">Inputs!#REF!</definedName>
    <definedName name="solver_adj" localSheetId="3" hidden="1">'Monthly UF Model'!$D$368</definedName>
    <definedName name="solver_adj" localSheetId="4" hidden="1">'OpEx Budget'!$J$139</definedName>
    <definedName name="solver_cvg" localSheetId="0" hidden="1">0.0001</definedName>
    <definedName name="solver_cvg" localSheetId="1" hidden="1">0.0001</definedName>
    <definedName name="solver_cvg" localSheetId="3" hidden="1">"""""""0,0001"""""""</definedName>
    <definedName name="solver_cvg" localSheetId="4" hidden="1">"0,0001"</definedName>
    <definedName name="solver_cvg" hidden="1">0.001</definedName>
    <definedName name="solver_drv" localSheetId="1" hidden="1">1</definedName>
    <definedName name="solver_drv" localSheetId="3" hidden="1">1</definedName>
    <definedName name="solver_drv" localSheetId="4" hidden="1">1</definedName>
    <definedName name="solver_drv" hidden="1">1</definedName>
    <definedName name="solver_eng" localSheetId="1" hidden="1">1</definedName>
    <definedName name="solver_eng" localSheetId="3" hidden="1">1</definedName>
    <definedName name="solver_eng" localSheetId="4" hidden="1">1</definedName>
    <definedName name="solver_est" localSheetId="1" hidden="1">1</definedName>
    <definedName name="solver_est" localSheetId="3" hidden="1">1</definedName>
    <definedName name="solver_est" localSheetId="4" hidden="1">1</definedName>
    <definedName name="solver_est" hidden="1">1</definedName>
    <definedName name="solver_itr" localSheetId="1" hidden="1">2147483647</definedName>
    <definedName name="solver_itr" localSheetId="3" hidden="1">2147483647</definedName>
    <definedName name="solver_itr" localSheetId="4" hidden="1">2147483647</definedName>
    <definedName name="solver_itr" hidden="1">100</definedName>
    <definedName name="solver_lin" hidden="1">1</definedName>
    <definedName name="solver_mip" localSheetId="1" hidden="1">2147483647</definedName>
    <definedName name="solver_mip" localSheetId="3" hidden="1">2147483647</definedName>
    <definedName name="solver_mip" localSheetId="4" hidden="1">2147483647</definedName>
    <definedName name="solver_mni" localSheetId="1" hidden="1">30</definedName>
    <definedName name="solver_mni" localSheetId="3" hidden="1">30</definedName>
    <definedName name="solver_mni" localSheetId="4" hidden="1">30</definedName>
    <definedName name="solver_mrt" localSheetId="1" hidden="1">0.075</definedName>
    <definedName name="solver_mrt" localSheetId="3" hidden="1">"""""""0,075"""""""</definedName>
    <definedName name="solver_mrt" localSheetId="4" hidden="1">"0,075"</definedName>
    <definedName name="solver_msl" localSheetId="1" hidden="1">2</definedName>
    <definedName name="solver_msl" localSheetId="3" hidden="1">2</definedName>
    <definedName name="solver_msl" localSheetId="4" hidden="1">2</definedName>
    <definedName name="solver_neg" localSheetId="1" hidden="1">1</definedName>
    <definedName name="solver_neg" localSheetId="3" hidden="1">1</definedName>
    <definedName name="solver_neg" localSheetId="4" hidden="1">1</definedName>
    <definedName name="solver_neg" hidden="1">2</definedName>
    <definedName name="solver_nod" localSheetId="1" hidden="1">2147483647</definedName>
    <definedName name="solver_nod" localSheetId="3" hidden="1">2147483647</definedName>
    <definedName name="solver_nod" localSheetId="4" hidden="1">2147483647</definedName>
    <definedName name="solver_num" localSheetId="1" hidden="1">0</definedName>
    <definedName name="solver_num" localSheetId="3" hidden="1">0</definedName>
    <definedName name="solver_num" localSheetId="4" hidden="1">0</definedName>
    <definedName name="solver_num" hidden="1">0</definedName>
    <definedName name="solver_nwt" localSheetId="1" hidden="1">1</definedName>
    <definedName name="solver_nwt" localSheetId="3" hidden="1">1</definedName>
    <definedName name="solver_nwt" localSheetId="4" hidden="1">1</definedName>
    <definedName name="solver_nwt" hidden="1">1</definedName>
    <definedName name="solver_opt" localSheetId="1" hidden="1">Inputs!$L$11</definedName>
    <definedName name="solver_opt" localSheetId="3" hidden="1">'Monthly UF Model'!$B$8</definedName>
    <definedName name="solver_opt" localSheetId="2" hidden="1">'[72]14-2010'!#REF!</definedName>
    <definedName name="solver_opt" localSheetId="4" hidden="1">'OpEx Budget'!$K$139</definedName>
    <definedName name="solver_opt" localSheetId="8" hidden="1">'[72]14-2010'!#REF!</definedName>
    <definedName name="solver_opt" localSheetId="6" hidden="1">'[72]14-2010'!#REF!</definedName>
    <definedName name="solver_opt" hidden="1">'[72]14-2010'!#REF!</definedName>
    <definedName name="solver_pre" localSheetId="1" hidden="1">0.000001</definedName>
    <definedName name="solver_pre" localSheetId="3" hidden="1">"""""""0,000001"""""""</definedName>
    <definedName name="solver_pre" localSheetId="4" hidden="1">"0,000001"</definedName>
    <definedName name="solver_pre" hidden="1">0.000001</definedName>
    <definedName name="solver_rbv" localSheetId="1" hidden="1">1</definedName>
    <definedName name="solver_rbv" localSheetId="3" hidden="1">1</definedName>
    <definedName name="solver_rbv" localSheetId="4" hidden="1">1</definedName>
    <definedName name="solver_rlx" localSheetId="1" hidden="1">2</definedName>
    <definedName name="solver_rlx" localSheetId="3" hidden="1">2</definedName>
    <definedName name="solver_rlx" localSheetId="4" hidden="1">2</definedName>
    <definedName name="solver_rsd" localSheetId="1" hidden="1">0</definedName>
    <definedName name="solver_rsd" localSheetId="3" hidden="1">0</definedName>
    <definedName name="solver_rsd" localSheetId="4" hidden="1">0</definedName>
    <definedName name="solver_scl" localSheetId="0" hidden="1">2</definedName>
    <definedName name="solver_scl" localSheetId="1" hidden="1">1</definedName>
    <definedName name="solver_scl" localSheetId="3" hidden="1">1</definedName>
    <definedName name="solver_scl" localSheetId="4" hidden="1">1</definedName>
    <definedName name="solver_scl" hidden="1">0</definedName>
    <definedName name="solver_sho" localSheetId="0" hidden="1">2</definedName>
    <definedName name="solver_sho" localSheetId="1" hidden="1">2</definedName>
    <definedName name="solver_sho" localSheetId="3" hidden="1">2</definedName>
    <definedName name="solver_sho" localSheetId="4" hidden="1">2</definedName>
    <definedName name="solver_sho" hidden="1">0</definedName>
    <definedName name="solver_ssz" localSheetId="1" hidden="1">100</definedName>
    <definedName name="solver_ssz" localSheetId="3" hidden="1">100</definedName>
    <definedName name="solver_ssz" localSheetId="4" hidden="1">100</definedName>
    <definedName name="solver_tim" localSheetId="1" hidden="1">2147483647</definedName>
    <definedName name="solver_tim" localSheetId="3" hidden="1">2147483647</definedName>
    <definedName name="solver_tim" localSheetId="4" hidden="1">2147483647</definedName>
    <definedName name="solver_tim" hidden="1">100</definedName>
    <definedName name="solver_tmp" hidden="1">#NULL!</definedName>
    <definedName name="solver_tol" localSheetId="1" hidden="1">1</definedName>
    <definedName name="solver_tol" localSheetId="3" hidden="1">1</definedName>
    <definedName name="solver_tol" localSheetId="4" hidden="1">0.01</definedName>
    <definedName name="solver_tol" hidden="1">0.05</definedName>
    <definedName name="solver_typ" localSheetId="0" hidden="1">3</definedName>
    <definedName name="solver_typ" localSheetId="1" hidden="1">3</definedName>
    <definedName name="solver_typ" localSheetId="3" hidden="1">3</definedName>
    <definedName name="solver_typ" localSheetId="4" hidden="1">3</definedName>
    <definedName name="solver_typ" hidden="1">1</definedName>
    <definedName name="solver_val" localSheetId="0" hidden="1">0.8</definedName>
    <definedName name="solver_val" localSheetId="1" hidden="1">0.1527</definedName>
    <definedName name="solver_val" localSheetId="3" hidden="1">0.1679</definedName>
    <definedName name="solver_val" localSheetId="4" hidden="1">243070</definedName>
    <definedName name="solver_val" hidden="1">0</definedName>
    <definedName name="solver_ver" localSheetId="1" hidden="1">3</definedName>
    <definedName name="solver_ver" localSheetId="3" hidden="1">3</definedName>
    <definedName name="solver_ver" localSheetId="4" hidden="1">3</definedName>
    <definedName name="srghs" localSheetId="4" hidden="1">{"CF",#N/A,FALSE,"Cash Flow";"RET",#N/A,FALSE,"Returns";"NPV",#N/A,FALSE,"Values";"ASMPT",#N/A,FALSE,"Assumptions"}</definedName>
    <definedName name="srghs" localSheetId="6" hidden="1">{"CF",#N/A,FALSE,"Cash Flow";"RET",#N/A,FALSE,"Returns";"NPV",#N/A,FALSE,"Values";"ASMPT",#N/A,FALSE,"Assumptions"}</definedName>
    <definedName name="srghs" hidden="1">{"CF",#N/A,FALSE,"Cash Flow";"RET",#N/A,FALSE,"Returns";"NPV",#N/A,FALSE,"Values";"ASMPT",#N/A,FALSE,"Assumptions"}</definedName>
    <definedName name="ss" localSheetId="8" hidden="1">{"uno",#N/A,FALSE,"Dist total";"COMENTARIO",#N/A,FALSE,"Ficha CODICE"}</definedName>
    <definedName name="ss" hidden="1">{"uno",#N/A,FALSE,"Dist total";"COMENTARIO",#N/A,FALSE,"Ficha CODICE"}</definedName>
    <definedName name="SSO" localSheetId="4" hidden="1">{#N/A,#N/A,FALSE,"CF Consolidated 2";#N/A,#N/A,FALSE,"Retail Assump";#N/A,#N/A,FALSE,"CF Retail";#N/A,#N/A,FALSE,"Garage Assumpt 1";#N/A,#N/A,FALSE,"Garage Op Proj";#N/A,#N/A,FALSE,"Hist I&amp;E";#N/A,#N/A,FALSE,"Rent Roll";#N/A,#N/A,FALSE,"RE Taxes";#N/A,#N/A,FALSE,"CAM - BH";#N/A,#N/A,FALSE,"Comm.Condo CAM"}</definedName>
    <definedName name="SSO" localSheetId="6" hidden="1">{#N/A,#N/A,FALSE,"CF Consolidated 2";#N/A,#N/A,FALSE,"Retail Assump";#N/A,#N/A,FALSE,"CF Retail";#N/A,#N/A,FALSE,"Garage Assumpt 1";#N/A,#N/A,FALSE,"Garage Op Proj";#N/A,#N/A,FALSE,"Hist I&amp;E";#N/A,#N/A,FALSE,"Rent Roll";#N/A,#N/A,FALSE,"RE Taxes";#N/A,#N/A,FALSE,"CAM - BH";#N/A,#N/A,FALSE,"Comm.Condo CAM"}</definedName>
    <definedName name="SSO" hidden="1">{#N/A,#N/A,FALSE,"CF Consolidated 2";#N/A,#N/A,FALSE,"Retail Assump";#N/A,#N/A,FALSE,"CF Retail";#N/A,#N/A,FALSE,"Garage Assumpt 1";#N/A,#N/A,FALSE,"Garage Op Proj";#N/A,#N/A,FALSE,"Hist I&amp;E";#N/A,#N/A,FALSE,"Rent Roll";#N/A,#N/A,FALSE,"RE Taxes";#N/A,#N/A,FALSE,"CAM - BH";#N/A,#N/A,FALSE,"Comm.Condo CAM"}</definedName>
    <definedName name="sss" localSheetId="8" hidden="1">{"CONSEJO",#N/A,FALSE,"Dist p0";"CONSEJO",#N/A,FALSE,"Ficha CODICE"}</definedName>
    <definedName name="sss" hidden="1">{"CONSEJO",#N/A,FALSE,"Dist p0";"CONSEJO",#N/A,FALSE,"Ficha CODICE"}</definedName>
    <definedName name="ssss" localSheetId="8" hidden="1">{"ANAR",#N/A,FALSE,"Dist total";"MARGEN",#N/A,FALSE,"Dist total";"COMENTARIO",#N/A,FALSE,"Ficha CODICE";"CONSEJO",#N/A,FALSE,"Dist p0";"uno",#N/A,FALSE,"Dist total"}</definedName>
    <definedName name="ssss" hidden="1">{"ANAR",#N/A,FALSE,"Dist total";"MARGEN",#N/A,FALSE,"Dist total";"COMENTARIO",#N/A,FALSE,"Ficha CODICE";"CONSEJO",#N/A,FALSE,"Dist p0";"uno",#N/A,FALSE,"Dist total"}</definedName>
    <definedName name="ssssssssssss" localSheetId="8"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ssssssssssss"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SSSSSVS" localSheetId="4" hidden="1">{"print annual inc. statement",#N/A,FALSE,"Summary";"print annual stats",#N/A,FALSE,"Summary";"print quarterly inc. statement",#N/A,FALSE,"Summary";"print quarterly stats",#N/A,FALSE,"Summary"}</definedName>
    <definedName name="SSSSSVS" localSheetId="8" hidden="1">{"print annual inc. statement",#N/A,FALSE,"Summary";"print annual stats",#N/A,FALSE,"Summary";"print quarterly inc. statement",#N/A,FALSE,"Summary";"print quarterly stats",#N/A,FALSE,"Summary"}</definedName>
    <definedName name="SSSSSVS" localSheetId="6" hidden="1">{"print annual inc. statement",#N/A,FALSE,"Summary";"print annual stats",#N/A,FALSE,"Summary";"print quarterly inc. statement",#N/A,FALSE,"Summary";"print quarterly stats",#N/A,FALSE,"Summary"}</definedName>
    <definedName name="SSSSSVS" hidden="1">{"print annual inc. statement",#N/A,FALSE,"Summary";"print annual stats",#N/A,FALSE,"Summary";"print quarterly inc. statement",#N/A,FALSE,"Summary";"print quarterly stats",#N/A,FALSE,"Summary"}</definedName>
    <definedName name="Stadium" localSheetId="4" hidden="1">{#N/A,#N/A,TRUE,"Ericsson Stadium PCD ";#N/A,#N/A,TRUE,"Ericsson Stadium IOR"}</definedName>
    <definedName name="Stadium" localSheetId="8" hidden="1">{#N/A,#N/A,TRUE,"Ericsson Stadium PCD ";#N/A,#N/A,TRUE,"Ericsson Stadium IOR"}</definedName>
    <definedName name="Stadium" localSheetId="6" hidden="1">{#N/A,#N/A,TRUE,"Ericsson Stadium PCD ";#N/A,#N/A,TRUE,"Ericsson Stadium IOR"}</definedName>
    <definedName name="Stadium" hidden="1">{#N/A,#N/A,TRUE,"Ericsson Stadium PCD ";#N/A,#N/A,TRUE,"Ericsson Stadium IOR"}</definedName>
    <definedName name="stadiuma" localSheetId="4" hidden="1">{#N/A,#N/A,TRUE,"Ericsson Stadium PCD ";#N/A,#N/A,TRUE,"Ericsson Stadium IOR"}</definedName>
    <definedName name="stadiuma" localSheetId="8" hidden="1">{#N/A,#N/A,TRUE,"Ericsson Stadium PCD ";#N/A,#N/A,TRUE,"Ericsson Stadium IOR"}</definedName>
    <definedName name="stadiuma" localSheetId="6" hidden="1">{#N/A,#N/A,TRUE,"Ericsson Stadium PCD ";#N/A,#N/A,TRUE,"Ericsson Stadium IOR"}</definedName>
    <definedName name="stadiuma" hidden="1">{#N/A,#N/A,TRUE,"Ericsson Stadium PCD ";#N/A,#N/A,TRUE,"Ericsson Stadium IOR"}</definedName>
    <definedName name="STARTA" localSheetId="2">#REF!</definedName>
    <definedName name="STARTA" localSheetId="4">#REF!</definedName>
    <definedName name="STARTA" localSheetId="8">#REF!</definedName>
    <definedName name="STARTA">#REF!</definedName>
    <definedName name="STARTB" localSheetId="2">#REF!</definedName>
    <definedName name="STARTB" localSheetId="4">#REF!</definedName>
    <definedName name="STARTB" localSheetId="8">#REF!</definedName>
    <definedName name="STARTB">#REF!</definedName>
    <definedName name="STARTC" localSheetId="2">#REF!</definedName>
    <definedName name="STARTC" localSheetId="4">#REF!</definedName>
    <definedName name="STARTC" localSheetId="8">#REF!</definedName>
    <definedName name="STARTC">#REF!</definedName>
    <definedName name="Statements" localSheetId="4" hidden="1">{"CF",#N/A,FALSE,"Cash Flow";"RET",#N/A,FALSE,"Returns";"NPV",#N/A,FALSE,"Values";"ASMPT",#N/A,FALSE,"Assumptions"}</definedName>
    <definedName name="Statements" localSheetId="6" hidden="1">{"CF",#N/A,FALSE,"Cash Flow";"RET",#N/A,FALSE,"Returns";"NPV",#N/A,FALSE,"Values";"ASMPT",#N/A,FALSE,"Assumptions"}</definedName>
    <definedName name="Statements" hidden="1">{"CF",#N/A,FALSE,"Cash Flow";"RET",#N/A,FALSE,"Returns";"NPV",#N/A,FALSE,"Values";"ASMPT",#N/A,FALSE,"Assumptions"}</definedName>
    <definedName name="STWBD_StatToolsConfidenceInterval_AnalysisType" hidden="1">" 0"</definedName>
    <definedName name="STWBD_StatToolsConfidenceInterval_CalculateMeanInterval" hidden="1">"TRUE"</definedName>
    <definedName name="STWBD_StatToolsConfidenceInterval_CalculateStdDevInterval" hidden="1">"TRUE"</definedName>
    <definedName name="STWBD_StatToolsConfidenceInterval_DefaultDataFormat" hidden="1">" 0"</definedName>
    <definedName name="STWBD_StatToolsConfidenceInterval_HasDefaultInfo" hidden="1">"TRUE"</definedName>
    <definedName name="STWBD_StatToolsConfidenceInterval_MeanConfidenceLevel" hidden="1">" .95"</definedName>
    <definedName name="STWBD_StatToolsConfidenceInterval_StdDevConfidenceLevel" hidden="1">" .95"</definedName>
    <definedName name="STWBD_StatToolsConfidenceInterval_VariableList" hidden="1">1</definedName>
    <definedName name="STWBD_StatToolsConfidenceInterval_VariableList_1" hidden="1">"U_x0001_VG18C68F7C_x0001_"</definedName>
    <definedName name="STWBD_StatToolsConfidenceInterval_VarSelectorDefaultDataSet" hidden="1">"DG1557C622"</definedName>
    <definedName name="STWBD_StatToolsOneVarSummary_Count" hidden="1">"TRUE"</definedName>
    <definedName name="STWBD_StatToolsOneVarSummary_DefaultDataFormat" hidden="1">" 0"</definedName>
    <definedName name="STWBD_StatToolsOneVarSummary_FirstQuartile" hidden="1">"TRUE"</definedName>
    <definedName name="STWBD_StatToolsOneVarSummary_HasDefaultInfo" hidden="1">"TRUE"</definedName>
    <definedName name="STWBD_StatToolsOneVarSummary_InterQuartileRange" hidden="1">"TRUE"</definedName>
    <definedName name="STWBD_StatToolsOneVarSummary_Kurtosis" hidden="1">"TRUE"</definedName>
    <definedName name="STWBD_StatToolsOneVarSummary_Maximum" hidden="1">"TRUE"</definedName>
    <definedName name="STWBD_StatToolsOneVarSummary_Mean" hidden="1">"TRUE"</definedName>
    <definedName name="STWBD_StatToolsOneVarSummary_MeanAbsDeviation" hidden="1">"TRUE"</definedName>
    <definedName name="STWBD_StatToolsOneVarSummary_Median" hidden="1">"TRUE"</definedName>
    <definedName name="STWBD_StatToolsOneVarSummary_Minimum" hidden="1">"TRUE"</definedName>
    <definedName name="STWBD_StatToolsOneVarSummary_OtherPercentiles" hidden="1">"TRUE"</definedName>
    <definedName name="STWBD_StatToolsOneVarSummary_PercentileList" hidden="1">" .01, .025, .05, .1, .2, .8, .9, .95, .975, .99"</definedName>
    <definedName name="STWBD_StatToolsOneVarSummary_Range" hidden="1">"TRUE"</definedName>
    <definedName name="STWBD_StatToolsOneVarSummary_Skewness" hidden="1">"TRUE"</definedName>
    <definedName name="STWBD_StatToolsOneVarSummary_StandardDeviation" hidden="1">"TRUE"</definedName>
    <definedName name="STWBD_StatToolsOneVarSummary_Sum" hidden="1">"TRUE"</definedName>
    <definedName name="STWBD_StatToolsOneVarSummary_ThirdQuartile" hidden="1">"TRUE"</definedName>
    <definedName name="STWBD_StatToolsOneVarSummary_VariableList" hidden="1">4</definedName>
    <definedName name="STWBD_StatToolsOneVarSummary_VariableList_1" hidden="1">"U_x0001_VG2D1B584C_x0001_"</definedName>
    <definedName name="STWBD_StatToolsOneVarSummary_VariableList_2" hidden="1">"U_x0001_VG421EEB3_x0001_"</definedName>
    <definedName name="STWBD_StatToolsOneVarSummary_VariableList_3" hidden="1">"U_x0001_VG2000A935_x0001_"</definedName>
    <definedName name="STWBD_StatToolsOneVarSummary_VariableList_4" hidden="1">"U_x0001_VG330F36D6_x0001_"</definedName>
    <definedName name="STWBD_StatToolsOneVarSummary_Variance" hidden="1">"TRUE"</definedName>
    <definedName name="STWBD_StatToolsOneVarSummary_VarSelectorDefaultDataSet" hidden="1">"ALL DATA SETS"</definedName>
    <definedName name="STWBD_StatToolsRegression_blockList" hidden="1">"-1"</definedName>
    <definedName name="STWBD_StatToolsRegression_FValueToEnter" hidden="1">" 2.2"</definedName>
    <definedName name="STWBD_StatToolsRegression_FValueToLeave" hidden="1">" 1.1"</definedName>
    <definedName name="STWBD_StatToolsRegression_GraphFittedValueVsActualYValue" hidden="1">"TRUE"</definedName>
    <definedName name="STWBD_StatToolsRegression_GraphFittedValueVsXValue" hidden="1">"FALSE"</definedName>
    <definedName name="STWBD_StatToolsRegression_GraphResidualVsFittedValue" hidden="1">"TRUE"</definedName>
    <definedName name="STWBD_StatToolsRegression_GraphResidualVsXValue" hidden="1">"FALSE"</definedName>
    <definedName name="STWBD_StatToolsRegression_HasDefaultInfo" hidden="1">"TRUE"</definedName>
    <definedName name="STWBD_StatToolsRegression_IncludePrediction" hidden="1">"FALSE"</definedName>
    <definedName name="STWBD_StatToolsRegression_IncludeSteps" hidden="1">"FALSE"</definedName>
    <definedName name="STWBD_StatToolsRegression_NumberOfBlocks" hidden="1">" 0"</definedName>
    <definedName name="STWBD_StatToolsRegression_pValueToEnter" hidden="1">" .05"</definedName>
    <definedName name="STWBD_StatToolsRegression_pValueToLeave" hidden="1">" .1"</definedName>
    <definedName name="STWBD_StatToolsRegression_RegressionType" hidden="1">" 0"</definedName>
    <definedName name="STWBD_StatToolsRegression_useFValue" hidden="1">"FALSE"</definedName>
    <definedName name="STWBD_StatToolsRegression_usePValue" hidden="1">"TRUE"</definedName>
    <definedName name="STWBD_StatToolsRegression_VariableDependent" hidden="1">"U_x0001_VG2D35B001_x0001_"</definedName>
    <definedName name="STWBD_StatToolsRegression_VariableListIndependent" hidden="1">1</definedName>
    <definedName name="STWBD_StatToolsRegression_VariableListIndependent_1" hidden="1">"U_x0001_VG18C68F7C_x0001_"</definedName>
    <definedName name="STWBD_StatToolsRegression_VarSelectorDefaultDataSet" hidden="1">"ALL DATA SETS"</definedName>
    <definedName name="SubCode">""</definedName>
    <definedName name="SUPPORT" localSheetId="2">#REF!</definedName>
    <definedName name="SUPPORT" localSheetId="4">#REF!</definedName>
    <definedName name="SUPPORT" localSheetId="8">#REF!</definedName>
    <definedName name="SUPPORT">#REF!</definedName>
    <definedName name="Swvu.allocations." localSheetId="2" hidden="1">#REF!</definedName>
    <definedName name="Swvu.allocations." localSheetId="4" hidden="1">#REF!</definedName>
    <definedName name="Swvu.allocations." localSheetId="8" hidden="1">#REF!</definedName>
    <definedName name="Swvu.allocations." hidden="1">#REF!</definedName>
    <definedName name="Swvu.annual._.hotel." hidden="1">[32]development!$C$5</definedName>
    <definedName name="Swvu.bottom._.line." localSheetId="2" hidden="1">[32]development!#REF!</definedName>
    <definedName name="Swvu.bottom._.line." localSheetId="4" hidden="1">[32]development!#REF!</definedName>
    <definedName name="Swvu.bottom._.line." localSheetId="8" hidden="1">[32]development!#REF!</definedName>
    <definedName name="Swvu.bottom._.line." localSheetId="6" hidden="1">[32]development!#REF!</definedName>
    <definedName name="Swvu.bottom._.line." hidden="1">[32]development!#REF!</definedName>
    <definedName name="Swvu.cash._.flow." localSheetId="2" hidden="1">#REF!</definedName>
    <definedName name="Swvu.cash._.flow." localSheetId="4" hidden="1">#REF!</definedName>
    <definedName name="Swvu.cash._.flow." localSheetId="8" hidden="1">#REF!</definedName>
    <definedName name="Swvu.cash._.flow." hidden="1">#REF!</definedName>
    <definedName name="Swvu.combo." hidden="1">[32]development!$B$89</definedName>
    <definedName name="Swvu.full." localSheetId="2" hidden="1">#REF!</definedName>
    <definedName name="Swvu.full." localSheetId="4" hidden="1">#REF!</definedName>
    <definedName name="Swvu.full." localSheetId="8" hidden="1">#REF!</definedName>
    <definedName name="Swvu.full." hidden="1">#REF!</definedName>
    <definedName name="Swvu.inputs._.raw._.data." localSheetId="2" hidden="1">#REF!</definedName>
    <definedName name="Swvu.inputs._.raw._.data." localSheetId="8" hidden="1">#REF!</definedName>
    <definedName name="Swvu.inputs._.raw._.data." hidden="1">#REF!</definedName>
    <definedName name="Swvu.offsite." localSheetId="2" hidden="1">#REF!</definedName>
    <definedName name="Swvu.offsite." localSheetId="4" hidden="1">#REF!</definedName>
    <definedName name="Swvu.offsite." localSheetId="8" hidden="1">#REF!</definedName>
    <definedName name="Swvu.offsite." hidden="1">#REF!</definedName>
    <definedName name="Swvu.onsite." localSheetId="2" hidden="1">#REF!</definedName>
    <definedName name="Swvu.onsite." localSheetId="4" hidden="1">#REF!</definedName>
    <definedName name="Swvu.onsite." localSheetId="8" hidden="1">#REF!</definedName>
    <definedName name="Swvu.onsite." hidden="1">#REF!</definedName>
    <definedName name="Swvu.Sommaire." localSheetId="2" hidden="1">'[25]#REF'!#REF!,'[25]#REF'!#REF!,'[25]#REF'!#REF!,'[25]#REF'!$C$1:$C$65536,'[25]#REF'!$D$1:$D$65536,'[25]#REF'!#REF!</definedName>
    <definedName name="Swvu.Sommaire." localSheetId="4" hidden="1">'[25]#REF'!#REF!,'[25]#REF'!#REF!,'[25]#REF'!#REF!,'[25]#REF'!$C$1:$C$65536,'[25]#REF'!$D$1:$D$65536,'[25]#REF'!#REF!</definedName>
    <definedName name="Swvu.Sommaire." localSheetId="8" hidden="1">'[25]#REF'!#REF!,'[25]#REF'!#REF!,'[25]#REF'!#REF!,'[25]#REF'!$C$1:$C$65536,'[25]#REF'!$D$1:$D$65536,'[25]#REF'!#REF!</definedName>
    <definedName name="Swvu.Sommaire." localSheetId="6" hidden="1">'[25]#REF'!#REF!,'[25]#REF'!#REF!,'[25]#REF'!#REF!,'[25]#REF'!$C$1:$C$65536,'[25]#REF'!$D$1:$D$65536,'[25]#REF'!#REF!</definedName>
    <definedName name="Swvu.Sommaire." hidden="1">'[25]#REF'!#REF!,'[25]#REF'!#REF!,'[25]#REF'!#REF!,'[25]#REF'!$C$1:$C$65536,'[25]#REF'!$D$1:$D$65536,'[25]#REF'!#REF!</definedName>
    <definedName name="Swvu.STANDARD." localSheetId="2" hidden="1">[33]Caja!#REF!</definedName>
    <definedName name="Swvu.STANDARD." localSheetId="8" hidden="1">[33]Caja!#REF!</definedName>
    <definedName name="Swvu.STANDARD." hidden="1">[33]Caja!#REF!</definedName>
    <definedName name="Swvu.summary1." localSheetId="2" hidden="1">#REF!</definedName>
    <definedName name="Swvu.summary1." localSheetId="8" hidden="1">#REF!</definedName>
    <definedName name="Swvu.summary1." hidden="1">#REF!</definedName>
    <definedName name="Swvu.summary2." localSheetId="2" hidden="1">#REF!</definedName>
    <definedName name="Swvu.summary2." localSheetId="8" hidden="1">#REF!</definedName>
    <definedName name="Swvu.summary2." hidden="1">#REF!</definedName>
    <definedName name="Swvu.summary3." localSheetId="2" hidden="1">#REF!</definedName>
    <definedName name="Swvu.summary3." localSheetId="8" hidden="1">#REF!</definedName>
    <definedName name="Swvu.summary3." hidden="1">#REF!</definedName>
    <definedName name="sxdfrtxdft" localSheetId="4" hidden="1">{#N/A,#N/A,FALSE,"CCC ACC Budget";#N/A,#N/A,FALSE,"Variance";#N/A,#N/A,FALSE,"CCC Rent Detail";#N/A,#N/A,FALSE,"COMMON AREA";#N/A,#N/A,FALSE,"CCC Electric Inclusion";#N/A,#N/A,FALSE,"CCC Opex Detail";#N/A,#N/A,FALSE,"CCC RE Tax Detail";#N/A,#N/A,FALSE,"CCC Chilled Wtr Inclusion";#N/A,#N/A,FALSE,"CCC OTHVAC ";#N/A,#N/A,FALSE,"CCC INPUT"}</definedName>
    <definedName name="sxdfrtxdft" localSheetId="8" hidden="1">{#N/A,#N/A,FALSE,"CCC ACC Budget";#N/A,#N/A,FALSE,"Variance";#N/A,#N/A,FALSE,"CCC Rent Detail";#N/A,#N/A,FALSE,"COMMON AREA";#N/A,#N/A,FALSE,"CCC Electric Inclusion";#N/A,#N/A,FALSE,"CCC Opex Detail";#N/A,#N/A,FALSE,"CCC RE Tax Detail";#N/A,#N/A,FALSE,"CCC Chilled Wtr Inclusion";#N/A,#N/A,FALSE,"CCC OTHVAC ";#N/A,#N/A,FALSE,"CCC INPUT"}</definedName>
    <definedName name="sxdfrtxdft" localSheetId="6" hidden="1">{#N/A,#N/A,FALSE,"CCC ACC Budget";#N/A,#N/A,FALSE,"Variance";#N/A,#N/A,FALSE,"CCC Rent Detail";#N/A,#N/A,FALSE,"COMMON AREA";#N/A,#N/A,FALSE,"CCC Electric Inclusion";#N/A,#N/A,FALSE,"CCC Opex Detail";#N/A,#N/A,FALSE,"CCC RE Tax Detail";#N/A,#N/A,FALSE,"CCC Chilled Wtr Inclusion";#N/A,#N/A,FALSE,"CCC OTHVAC ";#N/A,#N/A,FALSE,"CCC INPUT"}</definedName>
    <definedName name="sxdfrtxdft" hidden="1">{#N/A,#N/A,FALSE,"CCC ACC Budget";#N/A,#N/A,FALSE,"Variance";#N/A,#N/A,FALSE,"CCC Rent Detail";#N/A,#N/A,FALSE,"COMMON AREA";#N/A,#N/A,FALSE,"CCC Electric Inclusion";#N/A,#N/A,FALSE,"CCC Opex Detail";#N/A,#N/A,FALSE,"CCC RE Tax Detail";#N/A,#N/A,FALSE,"CCC Chilled Wtr Inclusion";#N/A,#N/A,FALSE,"CCC OTHVAC ";#N/A,#N/A,FALSE,"CCC INPUT"}</definedName>
    <definedName name="szd" localSheetId="4" hidden="1">{#N/A,#N/A,FALSE,"CAPREIT"}</definedName>
    <definedName name="szd" localSheetId="6" hidden="1">{#N/A,#N/A,FALSE,"CAPREIT"}</definedName>
    <definedName name="szd" hidden="1">{#N/A,#N/A,FALSE,"CAPREIT"}</definedName>
    <definedName name="t" localSheetId="0" hidden="1">{"'TG'!$A$1:$L$37"}</definedName>
    <definedName name="t" localSheetId="4" hidden="1">{#N/A,#N/A,FALSE,"Summary";#N/A,#N/A,FALSE,"Analysis";#N/A,#N/A,FALSE,"Leases";#N/A,#N/A,FALSE,"Operating History"}</definedName>
    <definedName name="t" localSheetId="8" hidden="1">{#N/A,#N/A,FALSE,"Summary";#N/A,#N/A,FALSE,"Analysis";#N/A,#N/A,FALSE,"Leases";#N/A,#N/A,FALSE,"Operating History"}</definedName>
    <definedName name="t" localSheetId="6" hidden="1">{#N/A,#N/A,FALSE,"Summary";#N/A,#N/A,FALSE,"Analysis";#N/A,#N/A,FALSE,"Leases";#N/A,#N/A,FALSE,"Operating History"}</definedName>
    <definedName name="t" hidden="1">{#N/A,#N/A,FALSE,"Summary";#N/A,#N/A,FALSE,"Analysis";#N/A,#N/A,FALSE,"Leases";#N/A,#N/A,FALSE,"Operating History"}</definedName>
    <definedName name="ta" localSheetId="4"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ta" localSheetId="6"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ta"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table" localSheetId="2" hidden="1">[73]HOTComps!#REF!</definedName>
    <definedName name="table" localSheetId="4" hidden="1">[73]HOTComps!#REF!</definedName>
    <definedName name="table" localSheetId="8" hidden="1">[73]HOTComps!#REF!</definedName>
    <definedName name="table" localSheetId="6" hidden="1">[73]HOTComps!#REF!</definedName>
    <definedName name="table" hidden="1">[73]HOTComps!#REF!</definedName>
    <definedName name="Table2" localSheetId="2" hidden="1">[74]Assumptions!#REF!</definedName>
    <definedName name="Table2" localSheetId="4" hidden="1">[74]Assumptions!#REF!</definedName>
    <definedName name="Table2" localSheetId="8" hidden="1">[74]Assumptions!#REF!</definedName>
    <definedName name="Table2" localSheetId="6" hidden="1">[74]Assumptions!#REF!</definedName>
    <definedName name="Table2" hidden="1">[74]Assumptions!#REF!</definedName>
    <definedName name="Tables" localSheetId="4">{8}</definedName>
    <definedName name="Tables" localSheetId="6">{8}</definedName>
    <definedName name="Tables">{8}</definedName>
    <definedName name="tdyjdtyj" localSheetId="4" hidden="1">{"Investor",#N/A,FALSE,"Model";"Property",#N/A,FALSE,"Model";"Incentive Taxes",#N/A,FALSE,"Model"}</definedName>
    <definedName name="tdyjdtyj" localSheetId="6" hidden="1">{"Investor",#N/A,FALSE,"Model";"Property",#N/A,FALSE,"Model";"Incentive Taxes",#N/A,FALSE,"Model"}</definedName>
    <definedName name="tdyjdtyj" hidden="1">{"Investor",#N/A,FALSE,"Model";"Property",#N/A,FALSE,"Model";"Incentive Taxes",#N/A,FALSE,"Model"}</definedName>
    <definedName name="TECNOFIBRAS" localSheetId="8" hidden="1">{"'PXR_6500'!$A$1:$I$124"}</definedName>
    <definedName name="TECNOFIBRAS" hidden="1">{"'PXR_6500'!$A$1:$I$124"}</definedName>
    <definedName name="TECNOFIBRAS2" localSheetId="8" hidden="1">{"'PXR_6500'!$A$1:$I$124"}</definedName>
    <definedName name="TECNOFIBRAS2" hidden="1">{"'PXR_6500'!$A$1:$I$124"}</definedName>
    <definedName name="temp" localSheetId="4" hidden="1">{"Print CRXLAND Assumptions",#N/A,FALSE,"CRXLAND Openings";"Print CRXLAND Openings",#N/A,FALSE,"CRXLAND Openings"}</definedName>
    <definedName name="temp" localSheetId="8" hidden="1">{"Print CRXLAND Assumptions",#N/A,FALSE,"CRXLAND Openings";"Print CRXLAND Openings",#N/A,FALSE,"CRXLAND Openings"}</definedName>
    <definedName name="temp" localSheetId="6" hidden="1">{"Print CRXLAND Assumptions",#N/A,FALSE,"CRXLAND Openings";"Print CRXLAND Openings",#N/A,FALSE,"CRXLAND Openings"}</definedName>
    <definedName name="temp" hidden="1">{"Print CRXLAND Assumptions",#N/A,FALSE,"CRXLAND Openings";"Print CRXLAND Openings",#N/A,FALSE,"CRXLAND Openings"}</definedName>
    <definedName name="temp2" localSheetId="4" hidden="1">{"Print CRXLAND Assumptions",#N/A,FALSE,"CRXLAND Openings";"Print CRXLAND Openings",#N/A,FALSE,"CRXLAND Openings"}</definedName>
    <definedName name="temp2" localSheetId="8" hidden="1">{"Print CRXLAND Assumptions",#N/A,FALSE,"CRXLAND Openings";"Print CRXLAND Openings",#N/A,FALSE,"CRXLAND Openings"}</definedName>
    <definedName name="temp2" localSheetId="6" hidden="1">{"Print CRXLAND Assumptions",#N/A,FALSE,"CRXLAND Openings";"Print CRXLAND Openings",#N/A,FALSE,"CRXLAND Openings"}</definedName>
    <definedName name="temp2" hidden="1">{"Print CRXLAND Assumptions",#N/A,FALSE,"CRXLAND Openings";"Print CRXLAND Openings",#N/A,FALSE,"CRXLAND Openings"}</definedName>
    <definedName name="tempor" localSheetId="4"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tempor" localSheetId="8"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tempor" localSheetId="6"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tempor"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TenantType" localSheetId="4">{8}</definedName>
    <definedName name="TenantType" localSheetId="6">{8}</definedName>
    <definedName name="TenantType">{8}</definedName>
    <definedName name="test" localSheetId="8" hidden="1">{"'PXR_6500'!$A$1:$I$124"}</definedName>
    <definedName name="test" hidden="1">{"'PXR_6500'!$A$1:$I$124"}</definedName>
    <definedName name="test1" localSheetId="4" hidden="1">{"P1",#N/A,FALSE,"Proforma";"P1CF",#N/A,FALSE,"Proforma";"P1EquityCF",#N/A,FALSE,"Proforma"}</definedName>
    <definedName name="test1" localSheetId="6" hidden="1">{"P1",#N/A,FALSE,"Proforma";"P1CF",#N/A,FALSE,"Proforma";"P1EquityCF",#N/A,FALSE,"Proforma"}</definedName>
    <definedName name="test1" hidden="1">{"P1",#N/A,FALSE,"Proforma";"P1CF",#N/A,FALSE,"Proforma";"P1EquityCF",#N/A,FALSE,"Proforma"}</definedName>
    <definedName name="test100" localSheetId="4" hidden="1">{"View1",#N/A,FALSE,"Sheet1";"View2",#N/A,FALSE,"Sheet1"}</definedName>
    <definedName name="test100" localSheetId="6" hidden="1">{"View1",#N/A,FALSE,"Sheet1";"View2",#N/A,FALSE,"Sheet1"}</definedName>
    <definedName name="test100" hidden="1">{"View1",#N/A,FALSE,"Sheet1";"View2",#N/A,FALSE,"Sheet1"}</definedName>
    <definedName name="test2" localSheetId="4" hidden="1">{"View1",#N/A,FALSE,"Sheet1";"View2",#N/A,FALSE,"Sheet1"}</definedName>
    <definedName name="test2" localSheetId="6" hidden="1">{"View1",#N/A,FALSE,"Sheet1";"View2",#N/A,FALSE,"Sheet1"}</definedName>
    <definedName name="test2" hidden="1">{"View1",#N/A,FALSE,"Sheet1";"View2",#N/A,FALSE,"Sheet1"}</definedName>
    <definedName name="test3" localSheetId="4" hidden="1">{FALSE,FALSE,1.75,1,600,351,FALSE,FALSE,TRUE,TRUE,0,30,#N/A,41,#N/A,9.57777777777778,18.9166666666667,1,FALSE,FALSE,1,TRUE,1,FALSE,100,"Swvu.As._.Is._.Value.","ACwvu.As._.Is._.Value.",1,FALSE,FALSE,1,1,1,1,1,"","",FALSE,FALSE,FALSE,FALSE,1,#N/A,1,1,FALSE,FALSE,FALSE,FALSE,FALSE,FALSE}</definedName>
    <definedName name="test3" localSheetId="8" hidden="1">{FALSE,FALSE,1.75,1,600,351,FALSE,FALSE,TRUE,TRUE,0,30,#N/A,41,#N/A,9.57777777777778,18.9166666666667,1,FALSE,FALSE,1,TRUE,1,FALSE,100,"Swvu.As._.Is._.Value.","ACwvu.As._.Is._.Value.",1,FALSE,FALSE,1,1,1,1,1,"","",FALSE,FALSE,FALSE,FALSE,1,#N/A,1,1,FALSE,FALSE,FALSE,FALSE,FALSE,FALSE}</definedName>
    <definedName name="test3" localSheetId="6" hidden="1">{FALSE,FALSE,1.75,1,600,351,FALSE,FALSE,TRUE,TRUE,0,30,#N/A,41,#N/A,9.57777777777778,18.9166666666667,1,FALSE,FALSE,1,TRUE,1,FALSE,100,"Swvu.As._.Is._.Value.","ACwvu.As._.Is._.Value.",1,FALSE,FALSE,1,1,1,1,1,"","",FALSE,FALSE,FALSE,FALSE,1,#N/A,1,1,FALSE,FALSE,FALSE,FALSE,FALSE,FALSE}</definedName>
    <definedName name="test3" hidden="1">{FALSE,FALSE,1.75,1,600,351,FALSE,FALSE,TRUE,TRUE,0,30,#N/A,41,#N/A,9.57777777777778,18.9166666666667,1,FALSE,FALSE,1,TRUE,1,FALSE,100,"Swvu.As._.Is._.Value.","ACwvu.As._.Is._.Value.",1,FALSE,FALSE,1,1,1,1,1,"","",FALSE,FALSE,FALSE,FALSE,1,#N/A,1,1,FALSE,FALSE,FALSE,FALSE,FALSE,FALSE}</definedName>
    <definedName name="test4" localSheetId="4" hidden="1">{#N/A,#N/A,TRUE,"Dev Summ";"P1-2 Quarterly",#N/A,TRUE,"CF Summ";"P1-Quarterly",#N/A,TRUE,"CF Summ";"P2-Quarterly",#N/A,TRUE,"CF Summ";#N/A,#N/A,TRUE,"Proj. Cost Summ";#N/A,#N/A,TRUE,"P1 Cost Summ";#N/A,#N/A,TRUE,"P2 Cost Summ";#N/A,#N/A,TRUE,"General";#N/A,#N/A,TRUE,"Rates";#N/A,#N/A,TRUE,"Abs_Sale"}</definedName>
    <definedName name="test4" localSheetId="6" hidden="1">{#N/A,#N/A,TRUE,"Dev Summ";"P1-2 Quarterly",#N/A,TRUE,"CF Summ";"P1-Quarterly",#N/A,TRUE,"CF Summ";"P2-Quarterly",#N/A,TRUE,"CF Summ";#N/A,#N/A,TRUE,"Proj. Cost Summ";#N/A,#N/A,TRUE,"P1 Cost Summ";#N/A,#N/A,TRUE,"P2 Cost Summ";#N/A,#N/A,TRUE,"General";#N/A,#N/A,TRUE,"Rates";#N/A,#N/A,TRUE,"Abs_Sale"}</definedName>
    <definedName name="test4" hidden="1">{#N/A,#N/A,TRUE,"Dev Summ";"P1-2 Quarterly",#N/A,TRUE,"CF Summ";"P1-Quarterly",#N/A,TRUE,"CF Summ";"P2-Quarterly",#N/A,TRUE,"CF Summ";#N/A,#N/A,TRUE,"Proj. Cost Summ";#N/A,#N/A,TRUE,"P1 Cost Summ";#N/A,#N/A,TRUE,"P2 Cost Summ";#N/A,#N/A,TRUE,"General";#N/A,#N/A,TRUE,"Rates";#N/A,#N/A,TRUE,"Abs_Sale"}</definedName>
    <definedName name="test5" localSheetId="4" hidden="1">{#N/A,#N/A,TRUE,"Dev Summ";"P1-3Quarterly",#N/A,TRUE,"CF Summ";"P1-Quarterly",#N/A,TRUE,"CF Summ";"P2-Quarterly",#N/A,TRUE,"CF Summ";"P3-Quarterly",#N/A,TRUE,"CF Summ";#N/A,#N/A,TRUE,"Proj. Cost Summ";#N/A,#N/A,TRUE,"P1 Cost Summ";#N/A,#N/A,TRUE,"P2 Cost Summ";#N/A,#N/A,TRUE,"P3 Cost Summ";#N/A,#N/A,TRUE,"General";#N/A,#N/A,TRUE,"Rates";#N/A,#N/A,TRUE,"Abs_Sale"}</definedName>
    <definedName name="test5" localSheetId="6" hidden="1">{#N/A,#N/A,TRUE,"Dev Summ";"P1-3Quarterly",#N/A,TRUE,"CF Summ";"P1-Quarterly",#N/A,TRUE,"CF Summ";"P2-Quarterly",#N/A,TRUE,"CF Summ";"P3-Quarterly",#N/A,TRUE,"CF Summ";#N/A,#N/A,TRUE,"Proj. Cost Summ";#N/A,#N/A,TRUE,"P1 Cost Summ";#N/A,#N/A,TRUE,"P2 Cost Summ";#N/A,#N/A,TRUE,"P3 Cost Summ";#N/A,#N/A,TRUE,"General";#N/A,#N/A,TRUE,"Rates";#N/A,#N/A,TRUE,"Abs_Sale"}</definedName>
    <definedName name="test5" hidden="1">{#N/A,#N/A,TRUE,"Dev Summ";"P1-3Quarterly",#N/A,TRUE,"CF Summ";"P1-Quarterly",#N/A,TRUE,"CF Summ";"P2-Quarterly",#N/A,TRUE,"CF Summ";"P3-Quarterly",#N/A,TRUE,"CF Summ";#N/A,#N/A,TRUE,"Proj. Cost Summ";#N/A,#N/A,TRUE,"P1 Cost Summ";#N/A,#N/A,TRUE,"P2 Cost Summ";#N/A,#N/A,TRUE,"P3 Cost Summ";#N/A,#N/A,TRUE,"General";#N/A,#N/A,TRUE,"Rates";#N/A,#N/A,TRUE,"Abs_Sale"}</definedName>
    <definedName name="test6" localSheetId="4" hidden="1">{"P1",#N/A,FALSE,"Proforma";"P2",#N/A,FALSE,"Proforma";"P3",#N/A,FALSE,"Proforma"}</definedName>
    <definedName name="test6" localSheetId="6" hidden="1">{"P1",#N/A,FALSE,"Proforma";"P2",#N/A,FALSE,"Proforma";"P3",#N/A,FALSE,"Proforma"}</definedName>
    <definedName name="test6" hidden="1">{"P1",#N/A,FALSE,"Proforma";"P2",#N/A,FALSE,"Proforma";"P3",#N/A,FALSE,"Proforma"}</definedName>
    <definedName name="test7" localSheetId="4" hidden="1">{#N/A,#N/A,FALSE,"FOR_SUM";#N/A,#N/A,FALSE,"FA";#N/A,#N/A,FALSE,"PTRANS_TAX"}</definedName>
    <definedName name="test7" localSheetId="6" hidden="1">{#N/A,#N/A,FALSE,"FOR_SUM";#N/A,#N/A,FALSE,"FA";#N/A,#N/A,FALSE,"PTRANS_TAX"}</definedName>
    <definedName name="test7" hidden="1">{#N/A,#N/A,FALSE,"FOR_SUM";#N/A,#N/A,FALSE,"FA";#N/A,#N/A,FALSE,"PTRANS_TAX"}</definedName>
    <definedName name="test8" localSheetId="4" hidden="1">{"P1-3Quarterly",#N/A,TRUE,"CF Summ";"P1-Quarterly",#N/A,TRUE,"CF Summ";"P2-Quarterly",#N/A,TRUE,"CF Summ";"P3-Quarterly",#N/A,TRUE,"CF Summ"}</definedName>
    <definedName name="test8" localSheetId="6" hidden="1">{"P1-3Quarterly",#N/A,TRUE,"CF Summ";"P1-Quarterly",#N/A,TRUE,"CF Summ";"P2-Quarterly",#N/A,TRUE,"CF Summ";"P3-Quarterly",#N/A,TRUE,"CF Summ"}</definedName>
    <definedName name="test8" hidden="1">{"P1-3Quarterly",#N/A,TRUE,"CF Summ";"P1-Quarterly",#N/A,TRUE,"CF Summ";"P2-Quarterly",#N/A,TRUE,"CF Summ";"P3-Quarterly",#N/A,TRUE,"CF Summ"}</definedName>
    <definedName name="test9" localSheetId="4" hidden="1">{#N/A,#N/A,TRUE,"Dev Summ";#N/A,#N/A,TRUE,"General";#N/A,#N/A,TRUE,"Rates";#N/A,#N/A,TRUE,"Abs_Sale";#N/A,#N/A,TRUE,"P1 Cost Summ";#N/A,#N/A,TRUE,"P2 Cost Summ";#N/A,#N/A,TRUE,"P3 Cost Summ"}</definedName>
    <definedName name="test9" localSheetId="6" hidden="1">{#N/A,#N/A,TRUE,"Dev Summ";#N/A,#N/A,TRUE,"General";#N/A,#N/A,TRUE,"Rates";#N/A,#N/A,TRUE,"Abs_Sale";#N/A,#N/A,TRUE,"P1 Cost Summ";#N/A,#N/A,TRUE,"P2 Cost Summ";#N/A,#N/A,TRUE,"P3 Cost Summ"}</definedName>
    <definedName name="test9" hidden="1">{#N/A,#N/A,TRUE,"Dev Summ";#N/A,#N/A,TRUE,"General";#N/A,#N/A,TRUE,"Rates";#N/A,#N/A,TRUE,"Abs_Sale";#N/A,#N/A,TRUE,"P1 Cost Summ";#N/A,#N/A,TRUE,"P2 Cost Summ";#N/A,#N/A,TRUE,"P3 Cost Summ"}</definedName>
    <definedName name="TestAdd">"Test RefersTo1"</definedName>
    <definedName name="testcopy3" localSheetId="4" hidden="1">{"Main",#N/A,FALSE,"Wacker";"Main2",#N/A,FALSE,"Wacker";"Value",#N/A,FALSE,"Wacker";"Sensitivity",#N/A,FALSE,"Wacker";"Paine",#N/A,FALSE,"Wacker";"Quaker",#N/A,FALSE,"Wacker";"Wacker",#N/A,FALSE,"Wacker";"1900",#N/A,FALSE,"Wacker";"1901",#N/A,FALSE,"Wacker"}</definedName>
    <definedName name="testcopy3" localSheetId="6" hidden="1">{"Main",#N/A,FALSE,"Wacker";"Main2",#N/A,FALSE,"Wacker";"Value",#N/A,FALSE,"Wacker";"Sensitivity",#N/A,FALSE,"Wacker";"Paine",#N/A,FALSE,"Wacker";"Quaker",#N/A,FALSE,"Wacker";"Wacker",#N/A,FALSE,"Wacker";"1900",#N/A,FALSE,"Wacker";"1901",#N/A,FALSE,"Wacker"}</definedName>
    <definedName name="testcopy3" hidden="1">{"Main",#N/A,FALSE,"Wacker";"Main2",#N/A,FALSE,"Wacker";"Value",#N/A,FALSE,"Wacker";"Sensitivity",#N/A,FALSE,"Wacker";"Paine",#N/A,FALSE,"Wacker";"Quaker",#N/A,FALSE,"Wacker";"Wacker",#N/A,FALSE,"Wacker";"1900",#N/A,FALSE,"Wacker";"1901",#N/A,FALSE,"Wacker"}</definedName>
    <definedName name="teste" localSheetId="8" hidden="1">{"CONSEJO",#N/A,FALSE,"Dist p0";"CONSEJO",#N/A,FALSE,"Ficha CODICE"}</definedName>
    <definedName name="teste" hidden="1">{"CONSEJO",#N/A,FALSE,"Dist p0";"CONSEJO",#N/A,FALSE,"Ficha CODICE"}</definedName>
    <definedName name="testes" localSheetId="8" hidden="1">{"uno",#N/A,FALSE,"Dist total";"COMENTARIO",#N/A,FALSE,"Ficha CODICE"}</definedName>
    <definedName name="testes" hidden="1">{"uno",#N/A,FALSE,"Dist total";"COMENTARIO",#N/A,FALSE,"Ficha CODICE"}</definedName>
    <definedName name="testing2" localSheetId="4" hidden="1">{"View1",#N/A,FALSE,"Sheet1";"View2",#N/A,FALSE,"Sheet1"}</definedName>
    <definedName name="testing2" localSheetId="6" hidden="1">{"View1",#N/A,FALSE,"Sheet1";"View2",#N/A,FALSE,"Sheet1"}</definedName>
    <definedName name="testing2" hidden="1">{"View1",#N/A,FALSE,"Sheet1";"View2",#N/A,FALSE,"Sheet1"}</definedName>
    <definedName name="testparkave" localSheetId="4" hidden="1">{"Main",#N/A,FALSE,"Wacker";"Main2",#N/A,FALSE,"Wacker";"Value",#N/A,FALSE,"Wacker";"Sensitivity",#N/A,FALSE,"Wacker";"Paine",#N/A,FALSE,"Wacker";"Quaker",#N/A,FALSE,"Wacker";"Wacker",#N/A,FALSE,"Wacker";"1900",#N/A,FALSE,"Wacker";"1901",#N/A,FALSE,"Wacker"}</definedName>
    <definedName name="testparkave" localSheetId="6" hidden="1">{"Main",#N/A,FALSE,"Wacker";"Main2",#N/A,FALSE,"Wacker";"Value",#N/A,FALSE,"Wacker";"Sensitivity",#N/A,FALSE,"Wacker";"Paine",#N/A,FALSE,"Wacker";"Quaker",#N/A,FALSE,"Wacker";"Wacker",#N/A,FALSE,"Wacker";"1900",#N/A,FALSE,"Wacker";"1901",#N/A,FALSE,"Wacker"}</definedName>
    <definedName name="testparkave" hidden="1">{"Main",#N/A,FALSE,"Wacker";"Main2",#N/A,FALSE,"Wacker";"Value",#N/A,FALSE,"Wacker";"Sensitivity",#N/A,FALSE,"Wacker";"Paine",#N/A,FALSE,"Wacker";"Quaker",#N/A,FALSE,"Wacker";"Wacker",#N/A,FALSE,"Wacker";"1900",#N/A,FALSE,"Wacker";"1901",#N/A,FALSE,"Wacker"}</definedName>
    <definedName name="TextRefCopyRangeCount" hidden="1">91</definedName>
    <definedName name="th" localSheetId="8">#REF!</definedName>
    <definedName name="th">#REF!</definedName>
    <definedName name="thh" localSheetId="8">#REF!</definedName>
    <definedName name="thh">#REF!</definedName>
    <definedName name="TI" hidden="1">[75]BASE!$A$18:$C$98</definedName>
    <definedName name="_xlnm.Print_Titles" localSheetId="1">Inputs!$2:$6</definedName>
    <definedName name="_xlnm.Print_Titles" localSheetId="2">#REF!</definedName>
    <definedName name="_xlnm.Print_Titles" localSheetId="4">#REF!</definedName>
    <definedName name="_xlnm.Print_Titles" localSheetId="8">#REF!</definedName>
    <definedName name="_xlnm.Print_Titles">#REF!</definedName>
    <definedName name="tobias" hidden="1">#N/A</definedName>
    <definedName name="toby" localSheetId="8" hidden="1">{"comps1_1",#N/A,FALSE,"Comps1";"comps1_2",#N/A,FALSE,"Comps1";"comps1_3",#N/A,FALSE,"Comps1";"comps1_4",#N/A,FALSE,"Comps1";"comps1_5",#N/A,FALSE,"Comps1"}</definedName>
    <definedName name="toby" hidden="1">{"comps1_1",#N/A,FALSE,"Comps1";"comps1_2",#N/A,FALSE,"Comps1";"comps1_3",#N/A,FALSE,"Comps1";"comps1_4",#N/A,FALSE,"Comps1";"comps1_5",#N/A,FALSE,"Comps1"}</definedName>
    <definedName name="Total_Payment" localSheetId="2">Scheduled_Payment+Extra_Payment</definedName>
    <definedName name="Total_Payment" localSheetId="4">Scheduled_Payment+Extra_Payment</definedName>
    <definedName name="Total_Payment" localSheetId="8">Scheduled_Payment+Extra_Payment</definedName>
    <definedName name="Total_Payment" localSheetId="6">Scheduled_Payment+Extra_Payment</definedName>
    <definedName name="Total_Payment">Scheduled_Payment+Extra_Payment</definedName>
    <definedName name="Tranche">[35]Assumptions!$B$6:$B$56</definedName>
    <definedName name="trc_XLS_DATASHEET_ProtectDate">36888.4816550926</definedName>
    <definedName name="tsm" localSheetId="8">'[76]Project Layout'!$G$49</definedName>
    <definedName name="tsm">'[77]Project Layout'!$G$49</definedName>
    <definedName name="TTT" localSheetId="8" hidden="1">{"CONSEJO",#N/A,FALSE,"Dist p0";"CONSEJO",#N/A,FALSE,"Ficha CODICE"}</definedName>
    <definedName name="TTT" hidden="1">{"CONSEJO",#N/A,FALSE,"Dist p0";"CONSEJO",#N/A,FALSE,"Ficha CODICE"}</definedName>
    <definedName name="tttt" localSheetId="4" hidden="1">{"data",#N/A,FALSE,"INPUT"}</definedName>
    <definedName name="tttt" localSheetId="8" hidden="1">{"data",#N/A,FALSE,"INPUT"}</definedName>
    <definedName name="tttt" localSheetId="6" hidden="1">{"data",#N/A,FALSE,"INPUT"}</definedName>
    <definedName name="tttt" hidden="1">{"data",#N/A,FALSE,"INPUT"}</definedName>
    <definedName name="ttttt" localSheetId="4" hidden="1">{FALSE,FALSE,1.75,1,600,351,FALSE,FALSE,TRUE,TRUE,0,30,#N/A,41,#N/A,9.57777777777778,18.9166666666667,1,FALSE,FALSE,1,TRUE,1,FALSE,100,"Swvu.As._.Is._.Value.","ACwvu.As._.Is._.Value.",1,FALSE,FALSE,1,1,1,1,1,"","",FALSE,FALSE,FALSE,FALSE,1,#N/A,1,1,FALSE,FALSE,FALSE,FALSE,FALSE,FALSE}</definedName>
    <definedName name="ttttt" localSheetId="8" hidden="1">{FALSE,FALSE,1.75,1,600,351,FALSE,FALSE,TRUE,TRUE,0,30,#N/A,41,#N/A,9.57777777777778,18.9166666666667,1,FALSE,FALSE,1,TRUE,1,FALSE,100,"Swvu.As._.Is._.Value.","ACwvu.As._.Is._.Value.",1,FALSE,FALSE,1,1,1,1,1,"","",FALSE,FALSE,FALSE,FALSE,1,#N/A,1,1,FALSE,FALSE,FALSE,FALSE,FALSE,FALSE}</definedName>
    <definedName name="ttttt" localSheetId="6" hidden="1">{FALSE,FALSE,1.75,1,600,351,FALSE,FALSE,TRUE,TRUE,0,30,#N/A,41,#N/A,9.57777777777778,18.9166666666667,1,FALSE,FALSE,1,TRUE,1,FALSE,100,"Swvu.As._.Is._.Value.","ACwvu.As._.Is._.Value.",1,FALSE,FALSE,1,1,1,1,1,"","",FALSE,FALSE,FALSE,FALSE,1,#N/A,1,1,FALSE,FALSE,FALSE,FALSE,FALSE,FALSE}</definedName>
    <definedName name="ttttt" hidden="1">{FALSE,FALSE,1.75,1,600,351,FALSE,FALSE,TRUE,TRUE,0,30,#N/A,41,#N/A,9.57777777777778,18.9166666666667,1,FALSE,FALSE,1,TRUE,1,FALSE,100,"Swvu.As._.Is._.Value.","ACwvu.As._.Is._.Value.",1,FALSE,FALSE,1,1,1,1,1,"","",FALSE,FALSE,FALSE,FALSE,1,#N/A,1,1,FALSE,FALSE,FALSE,FALSE,FALSE,FALSE}</definedName>
    <definedName name="ttttttt" localSheetId="4" hidden="1">{FALSE,FALSE,1.75,1,600,351,FALSE,FALSE,TRUE,TRUE,0,30,#N/A,41,#N/A,9.57777777777778,18.9166666666667,1,FALSE,FALSE,1,TRUE,1,FALSE,100,"Swvu.As._.Is._.Value.","ACwvu.As._.Is._.Value.",1,FALSE,FALSE,1,1,1,1,1,"","",FALSE,FALSE,FALSE,FALSE,1,#N/A,1,1,FALSE,FALSE,FALSE,FALSE,FALSE,FALSE}</definedName>
    <definedName name="ttttttt" localSheetId="8" hidden="1">{FALSE,FALSE,1.75,1,600,351,FALSE,FALSE,TRUE,TRUE,0,30,#N/A,41,#N/A,9.57777777777778,18.9166666666667,1,FALSE,FALSE,1,TRUE,1,FALSE,100,"Swvu.As._.Is._.Value.","ACwvu.As._.Is._.Value.",1,FALSE,FALSE,1,1,1,1,1,"","",FALSE,FALSE,FALSE,FALSE,1,#N/A,1,1,FALSE,FALSE,FALSE,FALSE,FALSE,FALSE}</definedName>
    <definedName name="ttttttt" localSheetId="6" hidden="1">{FALSE,FALSE,1.75,1,600,351,FALSE,FALSE,TRUE,TRUE,0,30,#N/A,41,#N/A,9.57777777777778,18.9166666666667,1,FALSE,FALSE,1,TRUE,1,FALSE,100,"Swvu.As._.Is._.Value.","ACwvu.As._.Is._.Value.",1,FALSE,FALSE,1,1,1,1,1,"","",FALSE,FALSE,FALSE,FALSE,1,#N/A,1,1,FALSE,FALSE,FALSE,FALSE,FALSE,FALSE}</definedName>
    <definedName name="ttttttt" hidden="1">{FALSE,FALSE,1.75,1,600,351,FALSE,FALSE,TRUE,TRUE,0,30,#N/A,41,#N/A,9.57777777777778,18.9166666666667,1,FALSE,FALSE,1,TRUE,1,FALSE,100,"Swvu.As._.Is._.Value.","ACwvu.As._.Is._.Value.",1,FALSE,FALSE,1,1,1,1,1,"","",FALSE,FALSE,FALSE,FALSE,1,#N/A,1,1,FALSE,FALSE,FALSE,FALSE,FALSE,FALSE}</definedName>
    <definedName name="TTTTTTTT" localSheetId="4" hidden="1">{FALSE,FALSE,1.75,1,600,351,FALSE,FALSE,TRUE,TRUE,0,30,#N/A,41,#N/A,9.57777777777778,18.9166666666667,1,FALSE,FALSE,1,TRUE,1,FALSE,100,"Swvu.As._.Is._.Value.","ACwvu.As._.Is._.Value.",1,FALSE,FALSE,1,1,1,1,1,"","",FALSE,FALSE,FALSE,FALSE,1,#N/A,1,1,FALSE,FALSE,FALSE,FALSE,FALSE,FALSE}</definedName>
    <definedName name="TTTTTTTT" localSheetId="8" hidden="1">{FALSE,FALSE,1.75,1,600,351,FALSE,FALSE,TRUE,TRUE,0,30,#N/A,41,#N/A,9.57777777777778,18.9166666666667,1,FALSE,FALSE,1,TRUE,1,FALSE,100,"Swvu.As._.Is._.Value.","ACwvu.As._.Is._.Value.",1,FALSE,FALSE,1,1,1,1,1,"","",FALSE,FALSE,FALSE,FALSE,1,#N/A,1,1,FALSE,FALSE,FALSE,FALSE,FALSE,FALSE}</definedName>
    <definedName name="TTTTTTTT" localSheetId="6" hidden="1">{FALSE,FALSE,1.75,1,600,351,FALSE,FALSE,TRUE,TRUE,0,30,#N/A,41,#N/A,9.57777777777778,18.9166666666667,1,FALSE,FALSE,1,TRUE,1,FALSE,100,"Swvu.As._.Is._.Value.","ACwvu.As._.Is._.Value.",1,FALSE,FALSE,1,1,1,1,1,"","",FALSE,FALSE,FALSE,FALSE,1,#N/A,1,1,FALSE,FALSE,FALSE,FALSE,FALSE,FALSE}</definedName>
    <definedName name="TTTTTTTT" hidden="1">{FALSE,FALSE,1.75,1,600,351,FALSE,FALSE,TRUE,TRUE,0,30,#N/A,41,#N/A,9.57777777777778,18.9166666666667,1,FALSE,FALSE,1,TRUE,1,FALSE,100,"Swvu.As._.Is._.Value.","ACwvu.As._.Is._.Value.",1,FALSE,FALSE,1,1,1,1,1,"","",FALSE,FALSE,FALSE,FALSE,1,#N/A,1,1,FALSE,FALSE,FALSE,FALSE,FALSE,FALSE}</definedName>
    <definedName name="tttttttttttttt" localSheetId="4" hidden="1">{FALSE,FALSE,1.75,1,600,351,FALSE,FALSE,TRUE,TRUE,0,30,#N/A,41,#N/A,9.57777777777778,18.9166666666667,1,FALSE,FALSE,1,TRUE,1,FALSE,100,"Swvu.As._.Is._.Value.","ACwvu.As._.Is._.Value.",1,FALSE,FALSE,1,1,1,1,1,"","",FALSE,FALSE,FALSE,FALSE,1,#N/A,1,1,FALSE,FALSE,FALSE,FALSE,FALSE,FALSE}</definedName>
    <definedName name="tttttttttttttt" localSheetId="8" hidden="1">{FALSE,FALSE,1.75,1,600,351,FALSE,FALSE,TRUE,TRUE,0,30,#N/A,41,#N/A,9.57777777777778,18.9166666666667,1,FALSE,FALSE,1,TRUE,1,FALSE,100,"Swvu.As._.Is._.Value.","ACwvu.As._.Is._.Value.",1,FALSE,FALSE,1,1,1,1,1,"","",FALSE,FALSE,FALSE,FALSE,1,#N/A,1,1,FALSE,FALSE,FALSE,FALSE,FALSE,FALSE}</definedName>
    <definedName name="tttttttttttttt" localSheetId="6" hidden="1">{FALSE,FALSE,1.75,1,600,351,FALSE,FALSE,TRUE,TRUE,0,30,#N/A,41,#N/A,9.57777777777778,18.9166666666667,1,FALSE,FALSE,1,TRUE,1,FALSE,100,"Swvu.As._.Is._.Value.","ACwvu.As._.Is._.Value.",1,FALSE,FALSE,1,1,1,1,1,"","",FALSE,FALSE,FALSE,FALSE,1,#N/A,1,1,FALSE,FALSE,FALSE,FALSE,FALSE,FALSE}</definedName>
    <definedName name="tttttttttttttt" hidden="1">{FALSE,FALSE,1.75,1,600,351,FALSE,FALSE,TRUE,TRUE,0,30,#N/A,41,#N/A,9.57777777777778,18.9166666666667,1,FALSE,FALSE,1,TRUE,1,FALSE,100,"Swvu.As._.Is._.Value.","ACwvu.As._.Is._.Value.",1,FALSE,FALSE,1,1,1,1,1,"","",FALSE,FALSE,FALSE,FALSE,1,#N/A,1,1,FALSE,FALSE,FALSE,FALSE,FALSE,FALSE}</definedName>
    <definedName name="TY" hidden="1">[47]PROFIT!$A$43:$G$49</definedName>
    <definedName name="tyjsrty" localSheetId="4" hidden="1">{"Investor",#N/A,FALSE,"Model";"Property",#N/A,FALSE,"Model";"Incentive Taxes",#N/A,FALSE,"Model"}</definedName>
    <definedName name="tyjsrty" localSheetId="6" hidden="1">{"Investor",#N/A,FALSE,"Model";"Property",#N/A,FALSE,"Model";"Incentive Taxes",#N/A,FALSE,"Model"}</definedName>
    <definedName name="tyjsrty" hidden="1">{"Investor",#N/A,FALSE,"Model";"Property",#N/A,FALSE,"Model";"Incentive Taxes",#N/A,FALSE,"Model"}</definedName>
    <definedName name="tykjthk" localSheetId="4" hidden="1">{"Investor",#N/A,FALSE,"Model";"Property",#N/A,FALSE,"Model";"Incentive Taxes",#N/A,FALSE,"Model"}</definedName>
    <definedName name="tykjthk" localSheetId="6" hidden="1">{"Investor",#N/A,FALSE,"Model";"Property",#N/A,FALSE,"Model";"Incentive Taxes",#N/A,FALSE,"Model"}</definedName>
    <definedName name="tykjthk" hidden="1">{"Investor",#N/A,FALSE,"Model";"Property",#N/A,FALSE,"Model";"Incentive Taxes",#N/A,FALSE,"Model"}</definedName>
    <definedName name="u" localSheetId="0" hidden="1">{#N/A,#N/A,FALSE,"P o G";#N/A,#N/A,FALSE,"BALANCE";#N/A,#N/A,FALSE,"Indicadores";#N/A,#N/A,FALSE,"Capital Trab. (2)";#N/A,#N/A,FALSE,"Camb. Sit. Financ. (2)";#N/A,#N/A,FALSE,"ROTABCIUD"}</definedName>
    <definedName name="u" localSheetId="2" hidden="1">#REF!</definedName>
    <definedName name="u" localSheetId="4" hidden="1">#REF!</definedName>
    <definedName name="u" localSheetId="8" hidden="1">#REF!</definedName>
    <definedName name="u" hidden="1">#REF!</definedName>
    <definedName name="U.F.1978_1991">[78]UF_diaria!$B$2:$Q$294,[78]UF_diaria!$R$2:$AS$230</definedName>
    <definedName name="uf" localSheetId="4">[39]GenAss!$E$8</definedName>
    <definedName name="UF" localSheetId="8">#REF!</definedName>
    <definedName name="uf" localSheetId="6">[41]GenAss!$E$8</definedName>
    <definedName name="UF">#REF!</definedName>
    <definedName name="ugyi" localSheetId="8" hidden="1">{#N/A,#N/A,FALSE,"output";#N/A,#N/A,FALSE,"contrib";#N/A,#N/A,FALSE,"profile";#N/A,#N/A,FALSE,"comps"}</definedName>
    <definedName name="ugyi" hidden="1">{#N/A,#N/A,FALSE,"output";#N/A,#N/A,FALSE,"contrib";#N/A,#N/A,FALSE,"profile";#N/A,#N/A,FALSE,"comps"}</definedName>
    <definedName name="uioiuo" localSheetId="4" hidden="1">{#N/A,#N/A,FALSE,"Highridge Return Analysis";#N/A,#N/A,FALSE,"Sale @ end of year 3 (4yr Plan)";#N/A,#N/A,FALSE,"Highridge Assumption Page"}</definedName>
    <definedName name="uioiuo" localSheetId="8" hidden="1">{#N/A,#N/A,FALSE,"Highridge Return Analysis";#N/A,#N/A,FALSE,"Sale @ end of year 3 (4yr Plan)";#N/A,#N/A,FALSE,"Highridge Assumption Page"}</definedName>
    <definedName name="uioiuo" localSheetId="6" hidden="1">{#N/A,#N/A,FALSE,"Highridge Return Analysis";#N/A,#N/A,FALSE,"Sale @ end of year 3 (4yr Plan)";#N/A,#N/A,FALSE,"Highridge Assumption Page"}</definedName>
    <definedName name="uioiuo" hidden="1">{#N/A,#N/A,FALSE,"Highridge Return Analysis";#N/A,#N/A,FALSE,"Sale @ end of year 3 (4yr Plan)";#N/A,#N/A,FALSE,"Highridge Assumption Page"}</definedName>
    <definedName name="uiyui" localSheetId="4" hidden="1">{"sheet a",#N/A,FALSE,"A";"2 9 casflow",#N/A,FALSE,"B"}</definedName>
    <definedName name="uiyui" localSheetId="8" hidden="1">{"sheet a",#N/A,FALSE,"A";"2 9 casflow",#N/A,FALSE,"B"}</definedName>
    <definedName name="uiyui" localSheetId="6" hidden="1">{"sheet a",#N/A,FALSE,"A";"2 9 casflow",#N/A,FALSE,"B"}</definedName>
    <definedName name="uiyui" hidden="1">{"sheet a",#N/A,FALSE,"A";"2 9 casflow",#N/A,FALSE,"B"}</definedName>
    <definedName name="umy" localSheetId="8" hidden="1">{"comps",#N/A,FALSE,"comps";"notes",#N/A,FALSE,"comps"}</definedName>
    <definedName name="umy" hidden="1">{"comps",#N/A,FALSE,"comps";"notes",#N/A,FALSE,"comps"}</definedName>
    <definedName name="unit">'[60]Summary Sheet'!$C$11</definedName>
    <definedName name="units">9</definedName>
    <definedName name="UnitsR3">[55]Dashboard!$E$79</definedName>
    <definedName name="utt" localSheetId="8" hidden="1">{"ANAR",#N/A,FALSE,"Dist total";"MARGEN",#N/A,FALSE,"Dist total";"COMENTARIO",#N/A,FALSE,"Ficha CODICE";"CONSEJO",#N/A,FALSE,"Dist p0";"uno",#N/A,FALSE,"Dist total"}</definedName>
    <definedName name="utt" hidden="1">{"ANAR",#N/A,FALSE,"Dist total";"MARGEN",#N/A,FALSE,"Dist total";"COMENTARIO",#N/A,FALSE,"Ficha CODICE";"CONSEJO",#N/A,FALSE,"Dist p0";"uno",#N/A,FALSE,"Dist total"}</definedName>
    <definedName name="uuuu" localSheetId="4" hidden="1">{TRUE,TRUE,-1.41610738255034,-14.9463087248322,497.718120805369,308.295302013423,FALSE,TRUE,TRUE,TRUE,0,1,3,1,170,1,1.07142857142857,3,TRUE,TRUE,3,TRUE,1,FALSE,100,"Swvu.combo.","ACwvu.combo.",#N/A,FALSE,FALSE,0.5,0.5,0.5,0.5,2,"","&amp;L&amp;8&amp;F   &amp;A&amp;R&amp;8&amp;D   &amp;T",TRUE,FALSE,FALSE,FALSE,2,#N/A,1,#N/A,#DIV/0!,"=R1:R2","Rwvu.combo.","Cwvu.combo.",FALSE,FALSE,FALSE,1,4294967292,300,FALSE,FALSE,TRUE,TRUE,TRUE}</definedName>
    <definedName name="uuuu" localSheetId="6" hidden="1">{TRUE,TRUE,-1.41610738255034,-14.9463087248322,497.718120805369,308.295302013423,FALSE,TRUE,TRUE,TRUE,0,1,3,1,170,1,1.07142857142857,3,TRUE,TRUE,3,TRUE,1,FALSE,100,"Swvu.combo.","ACwvu.combo.",#N/A,FALSE,FALSE,0.5,0.5,0.5,0.5,2,"","&amp;L&amp;8&amp;F   &amp;A&amp;R&amp;8&amp;D   &amp;T",TRUE,FALSE,FALSE,FALSE,2,#N/A,1,#N/A,#DIV/0!,"=R1:R2","Rwvu.combo.","Cwvu.combo.",FALSE,FALSE,FALSE,1,4294967292,300,FALSE,FALSE,TRUE,TRUE,TRUE}</definedName>
    <definedName name="uuuu" hidden="1">{TRUE,TRUE,-1.41610738255034,-14.9463087248322,497.718120805369,308.295302013423,FALSE,TRUE,TRUE,TRUE,0,1,3,1,170,1,1.07142857142857,3,TRUE,TRUE,3,TRUE,1,FALSE,100,"Swvu.combo.","ACwvu.combo.",#N/A,FALSE,FALSE,0.5,0.5,0.5,0.5,2,"","&amp;L&amp;8&amp;F   &amp;A&amp;R&amp;8&amp;D   &amp;T",TRUE,FALSE,FALSE,FALSE,2,#N/A,1,#N/A,#DIV/0!,"=R1:R2","Rwvu.combo.","Cwvu.combo.",FALSE,FALSE,FALSE,1,4294967292,300,FALSE,FALSE,TRUE,TRUE,TRUE}</definedName>
    <definedName name="uw4u" localSheetId="4" hidden="1">{"Investor",#N/A,FALSE,"Model";"Property",#N/A,FALSE,"Model";"Incentive Taxes",#N/A,FALSE,"Model"}</definedName>
    <definedName name="uw4u" localSheetId="6" hidden="1">{"Investor",#N/A,FALSE,"Model";"Property",#N/A,FALSE,"Model";"Incentive Taxes",#N/A,FALSE,"Model"}</definedName>
    <definedName name="uw4u" hidden="1">{"Investor",#N/A,FALSE,"Model";"Property",#N/A,FALSE,"Model";"Incentive Taxes",#N/A,FALSE,"Model"}</definedName>
    <definedName name="V.uf" localSheetId="2">#REF!</definedName>
    <definedName name="V.uf" localSheetId="8">#REF!</definedName>
    <definedName name="V.uf">#REF!</definedName>
    <definedName name="V.usd" localSheetId="2">#REF!</definedName>
    <definedName name="V.usd" localSheetId="8">#REF!</definedName>
    <definedName name="V.usd">#REF!</definedName>
    <definedName name="Value" localSheetId="4" hidden="1">{#N/A,#N/A,FALSE,"Cashflow Analysis";#N/A,#N/A,FALSE,"Sensitivity Analysis";#N/A,#N/A,FALSE,"PV";#N/A,#N/A,FALSE,"Pro Forma"}</definedName>
    <definedName name="Value" localSheetId="6" hidden="1">{#N/A,#N/A,FALSE,"Cashflow Analysis";#N/A,#N/A,FALSE,"Sensitivity Analysis";#N/A,#N/A,FALSE,"PV";#N/A,#N/A,FALSE,"Pro Forma"}</definedName>
    <definedName name="Value" hidden="1">{#N/A,#N/A,FALSE,"Cashflow Analysis";#N/A,#N/A,FALSE,"Sensitivity Analysis";#N/A,#N/A,FALSE,"PV";#N/A,#N/A,FALSE,"Pro Forma"}</definedName>
    <definedName name="value1" localSheetId="4" hidden="1">{#N/A,#N/A,FALSE,"Cashflow Analysis";#N/A,#N/A,FALSE,"Sensitivity Analysis";#N/A,#N/A,FALSE,"PV";#N/A,#N/A,FALSE,"Pro Forma"}</definedName>
    <definedName name="value1" localSheetId="6" hidden="1">{#N/A,#N/A,FALSE,"Cashflow Analysis";#N/A,#N/A,FALSE,"Sensitivity Analysis";#N/A,#N/A,FALSE,"PV";#N/A,#N/A,FALSE,"Pro Forma"}</definedName>
    <definedName name="value1" hidden="1">{#N/A,#N/A,FALSE,"Cashflow Analysis";#N/A,#N/A,FALSE,"Sensitivity Analysis";#N/A,#N/A,FALSE,"PV";#N/A,#N/A,FALSE,"Pro Forma"}</definedName>
    <definedName name="Values_Entered" localSheetId="2">IF(Loan_Amount*Interest_Rate*Loan_Years*Loan_Start&gt;0,1,0)</definedName>
    <definedName name="Values_Entered" localSheetId="4">IF(Loan_Amount*Interest_Rate*Loan_Years*Loan_Start&gt;0,1,0)</definedName>
    <definedName name="Values_Entered" localSheetId="8">IF(Loan_Amount*Interest_Rate*Loan_Years*Loan_Start&gt;0,1,0)</definedName>
    <definedName name="Values_Entered" localSheetId="6">IF(Loan_Amount*Interest_Rate*Loan_Years*Loan_Start&gt;0,1,0)</definedName>
    <definedName name="Values_Entered">IF(Loan_Amount*Interest_Rate*Loan_Years*Loan_Start&gt;0,1,0)</definedName>
    <definedName name="Vat">[52]GenAss!$E$11</definedName>
    <definedName name="vc" localSheetId="2" hidden="1">#REF!</definedName>
    <definedName name="vc" localSheetId="4" hidden="1">#REF!</definedName>
    <definedName name="vc" localSheetId="8" hidden="1">#REF!</definedName>
    <definedName name="vc" hidden="1">#REF!</definedName>
    <definedName name="vghjkvgh" localSheetId="4" hidden="1">{#N/A,#N/A,FALSE,"Expense Detail ";#N/A,#N/A,FALSE,"Worksheet";#N/A,#N/A,FALSE,"Audit";#N/A,#N/A,FALSE,"Exclusions";#N/A,#N/A,FALSE,"Variance";#N/A,#N/A,FALSE,"Reconciliation"}</definedName>
    <definedName name="vghjkvgh" localSheetId="8" hidden="1">{#N/A,#N/A,FALSE,"Expense Detail ";#N/A,#N/A,FALSE,"Worksheet";#N/A,#N/A,FALSE,"Audit";#N/A,#N/A,FALSE,"Exclusions";#N/A,#N/A,FALSE,"Variance";#N/A,#N/A,FALSE,"Reconciliation"}</definedName>
    <definedName name="vghjkvgh" localSheetId="6" hidden="1">{#N/A,#N/A,FALSE,"Expense Detail ";#N/A,#N/A,FALSE,"Worksheet";#N/A,#N/A,FALSE,"Audit";#N/A,#N/A,FALSE,"Exclusions";#N/A,#N/A,FALSE,"Variance";#N/A,#N/A,FALSE,"Reconciliation"}</definedName>
    <definedName name="vghjkvgh" hidden="1">{#N/A,#N/A,FALSE,"Expense Detail ";#N/A,#N/A,FALSE,"Worksheet";#N/A,#N/A,FALSE,"Audit";#N/A,#N/A,FALSE,"Exclusions";#N/A,#N/A,FALSE,"Variance";#N/A,#N/A,FALSE,"Reconciliation"}</definedName>
    <definedName name="vghvgh" localSheetId="4"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vghvgh" localSheetId="8"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vghvgh" localSheetId="6"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vghvgh" hidden="1">{#N/A,#N/A,FALSE,"399 ACC Budget";#N/A,#N/A,FALSE,"Variance";#N/A,#N/A,FALSE,"399 Park RPSF";#N/A,#N/A,FALSE,"399 Rent Detail";#N/A,#N/A,FALSE,"Common";#N/A,#N/A,FALSE,"RH";#N/A,#N/A,FALSE,"R&amp;H";#N/A,#N/A,FALSE,"399 Opex Detail";#N/A,#N/A,FALSE,"399 RE Tax Detail";#N/A,#N/A,FALSE,"399 Electric Inclusion";#N/A,#N/A,FALSE,"Subelect";#N/A,#N/A,FALSE,"Wtr";#N/A,#N/A,FALSE,"OTHVAC"}</definedName>
    <definedName name="vhjh" localSheetId="4" hidden="1">{#N/A,#N/A,FALSE,"CCC ACC Budget";#N/A,#N/A,FALSE,"Variance";#N/A,#N/A,FALSE,"CCC Rent Detail";#N/A,#N/A,FALSE,"COMMON AREA";#N/A,#N/A,FALSE,"CCC Electric Inclusion";#N/A,#N/A,FALSE,"CCC Opex Detail";#N/A,#N/A,FALSE,"CCC RE Tax Detail";#N/A,#N/A,FALSE,"CCC Chilled Wtr Inclusion";#N/A,#N/A,FALSE,"CCC OTHVAC ";#N/A,#N/A,FALSE,"CCC INPUT"}</definedName>
    <definedName name="vhjh" localSheetId="8" hidden="1">{#N/A,#N/A,FALSE,"CCC ACC Budget";#N/A,#N/A,FALSE,"Variance";#N/A,#N/A,FALSE,"CCC Rent Detail";#N/A,#N/A,FALSE,"COMMON AREA";#N/A,#N/A,FALSE,"CCC Electric Inclusion";#N/A,#N/A,FALSE,"CCC Opex Detail";#N/A,#N/A,FALSE,"CCC RE Tax Detail";#N/A,#N/A,FALSE,"CCC Chilled Wtr Inclusion";#N/A,#N/A,FALSE,"CCC OTHVAC ";#N/A,#N/A,FALSE,"CCC INPUT"}</definedName>
    <definedName name="vhjh" localSheetId="6" hidden="1">{#N/A,#N/A,FALSE,"CCC ACC Budget";#N/A,#N/A,FALSE,"Variance";#N/A,#N/A,FALSE,"CCC Rent Detail";#N/A,#N/A,FALSE,"COMMON AREA";#N/A,#N/A,FALSE,"CCC Electric Inclusion";#N/A,#N/A,FALSE,"CCC Opex Detail";#N/A,#N/A,FALSE,"CCC RE Tax Detail";#N/A,#N/A,FALSE,"CCC Chilled Wtr Inclusion";#N/A,#N/A,FALSE,"CCC OTHVAC ";#N/A,#N/A,FALSE,"CCC INPUT"}</definedName>
    <definedName name="vhjh" hidden="1">{#N/A,#N/A,FALSE,"CCC ACC Budget";#N/A,#N/A,FALSE,"Variance";#N/A,#N/A,FALSE,"CCC Rent Detail";#N/A,#N/A,FALSE,"COMMON AREA";#N/A,#N/A,FALSE,"CCC Electric Inclusion";#N/A,#N/A,FALSE,"CCC Opex Detail";#N/A,#N/A,FALSE,"CCC RE Tax Detail";#N/A,#N/A,FALSE,"CCC Chilled Wtr Inclusion";#N/A,#N/A,FALSE,"CCC OTHVAC ";#N/A,#N/A,FALSE,"CCC INPUT"}</definedName>
    <definedName name="viasat" localSheetId="4" hidden="1">{"Main",#N/A,FALSE,"Wacker";"Main2",#N/A,FALSE,"Wacker";"Value",#N/A,FALSE,"Wacker";"Sensitivity",#N/A,FALSE,"Wacker";"Paine",#N/A,FALSE,"Wacker";"Quaker",#N/A,FALSE,"Wacker";"Wacker",#N/A,FALSE,"Wacker";"1900",#N/A,FALSE,"Wacker";"1901",#N/A,FALSE,"Wacker"}</definedName>
    <definedName name="viasat" localSheetId="6" hidden="1">{"Main",#N/A,FALSE,"Wacker";"Main2",#N/A,FALSE,"Wacker";"Value",#N/A,FALSE,"Wacker";"Sensitivity",#N/A,FALSE,"Wacker";"Paine",#N/A,FALSE,"Wacker";"Quaker",#N/A,FALSE,"Wacker";"Wacker",#N/A,FALSE,"Wacker";"1900",#N/A,FALSE,"Wacker";"1901",#N/A,FALSE,"Wacker"}</definedName>
    <definedName name="viasat" hidden="1">{"Main",#N/A,FALSE,"Wacker";"Main2",#N/A,FALSE,"Wacker";"Value",#N/A,FALSE,"Wacker";"Sensitivity",#N/A,FALSE,"Wacker";"Paine",#N/A,FALSE,"Wacker";"Quaker",#N/A,FALSE,"Wacker";"Wacker",#N/A,FALSE,"Wacker";"1900",#N/A,FALSE,"Wacker";"1901",#N/A,FALSE,"Wacker"}</definedName>
    <definedName name="vj" localSheetId="4" hidden="1">{#N/A,#N/A,FALSE,"Assumptions";#N/A,#N/A,FALSE,"10-Yr - detail";#N/A,#N/A,FALSE,"Rent Roll";#N/A,#N/A,FALSE,"Historical (2)";#N/A,#N/A,FALSE,"RET's";#N/A,#N/A,FALSE,"Lse-Exp.";#N/A,#N/A,FALSE,"Lease Rollover";#N/A,#N/A,FALSE,"Service Contracts"}</definedName>
    <definedName name="vj" localSheetId="6" hidden="1">{#N/A,#N/A,FALSE,"Assumptions";#N/A,#N/A,FALSE,"10-Yr - detail";#N/A,#N/A,FALSE,"Rent Roll";#N/A,#N/A,FALSE,"Historical (2)";#N/A,#N/A,FALSE,"RET's";#N/A,#N/A,FALSE,"Lse-Exp.";#N/A,#N/A,FALSE,"Lease Rollover";#N/A,#N/A,FALSE,"Service Contracts"}</definedName>
    <definedName name="vj" hidden="1">{#N/A,#N/A,FALSE,"Assumptions";#N/A,#N/A,FALSE,"10-Yr - detail";#N/A,#N/A,FALSE,"Rent Roll";#N/A,#N/A,FALSE,"Historical (2)";#N/A,#N/A,FALSE,"RET's";#N/A,#N/A,FALSE,"Lse-Exp.";#N/A,#N/A,FALSE,"Lease Rollover";#N/A,#N/A,FALSE,"Service Contracts"}</definedName>
    <definedName name="w" localSheetId="0" hidden="1">{"Rep 1",#N/A,FALSE,"Reports";"Rep 2",#N/A,FALSE,"Reports";"Rep 3",#N/A,FALSE,"Reports";"Rep 4",#N/A,FALSE,"Reports"}</definedName>
    <definedName name="w" localSheetId="4" hidden="1">{"Print CRXLAND Assumptions",#N/A,FALSE,"CRXLAND Openings";"Print CRXLAND Openings",#N/A,FALSE,"CRXLAND Openings"}</definedName>
    <definedName name="w" localSheetId="6" hidden="1">{"Print CRXLAND Assumptions",#N/A,FALSE,"CRXLAND Openings";"Print CRXLAND Openings",#N/A,FALSE,"CRXLAND Openings"}</definedName>
    <definedName name="w" hidden="1">{"Print CRXLAND Assumptions",#N/A,FALSE,"CRXLAND Openings";"Print CRXLAND Openings",#N/A,FALSE,"CRXLAND Openings"}</definedName>
    <definedName name="we" hidden="1">#N/A</definedName>
    <definedName name="wertwert" localSheetId="4" hidden="1">{0,0,0,0;0,0,0,0;0,0,0,0;0,0,0,0;0,0,0,0}</definedName>
    <definedName name="wertwert" localSheetId="8" hidden="1">{0,0,0,0;0,0,0,0;0,0,0,0;0,0,0,0;0,0,0,0}</definedName>
    <definedName name="wertwert" localSheetId="6" hidden="1">{0,0,0,0;0,0,0,0;0,0,0,0;0,0,0,0;0,0,0,0}</definedName>
    <definedName name="wertwert" hidden="1">{0,0,0,0;0,0,0,0;0,0,0,0;0,0,0,0;0,0,0,0}</definedName>
    <definedName name="werw" localSheetId="4" hidden="1">{#N/A,#N/A,TRUE,"COVER";#N/A,#N/A,TRUE,"PROFORMA";#N/A,#N/A,TRUE,"Construction CF";#N/A,#N/A,TRUE,"CASHFLOW"}</definedName>
    <definedName name="werw" localSheetId="8" hidden="1">{#N/A,#N/A,TRUE,"COVER";#N/A,#N/A,TRUE,"PROFORMA";#N/A,#N/A,TRUE,"Construction CF";#N/A,#N/A,TRUE,"CASHFLOW"}</definedName>
    <definedName name="werw" localSheetId="6" hidden="1">{#N/A,#N/A,TRUE,"COVER";#N/A,#N/A,TRUE,"PROFORMA";#N/A,#N/A,TRUE,"Construction CF";#N/A,#N/A,TRUE,"CASHFLOW"}</definedName>
    <definedName name="werw" hidden="1">{#N/A,#N/A,TRUE,"COVER";#N/A,#N/A,TRUE,"PROFORMA";#N/A,#N/A,TRUE,"Construction CF";#N/A,#N/A,TRUE,"CASHFLOW"}</definedName>
    <definedName name="werwer" hidden="1">#N/A</definedName>
    <definedName name="werwerw" hidden="1">#N/A</definedName>
    <definedName name="wetadf" localSheetId="4" hidden="1">{"Assump",#N/A,TRUE,"Proforma";"first",#N/A,TRUE,"Proforma";"second",#N/A,TRUE,"Proforma";"lease1",#N/A,TRUE,"Proforma";"lease2",#N/A,TRUE,"Proforma"}</definedName>
    <definedName name="wetadf" localSheetId="6" hidden="1">{"Assump",#N/A,TRUE,"Proforma";"first",#N/A,TRUE,"Proforma";"second",#N/A,TRUE,"Proforma";"lease1",#N/A,TRUE,"Proforma";"lease2",#N/A,TRUE,"Proforma"}</definedName>
    <definedName name="wetadf" hidden="1">{"Assump",#N/A,TRUE,"Proforma";"first",#N/A,TRUE,"Proforma";"second",#N/A,TRUE,"Proforma";"lease1",#N/A,TRUE,"Proforma";"lease2",#N/A,TRUE,"Proforma"}</definedName>
    <definedName name="what" localSheetId="4" hidden="1">{"Page1",#N/A,FALSE,"7979";"Page2",#N/A,FALSE,"7979";"Page3",#N/A,FALSE,"7979"}</definedName>
    <definedName name="what" localSheetId="8" hidden="1">{"Page1",#N/A,FALSE,"7979";"Page2",#N/A,FALSE,"7979";"Page3",#N/A,FALSE,"7979"}</definedName>
    <definedName name="what" localSheetId="6" hidden="1">{"Page1",#N/A,FALSE,"7979";"Page2",#N/A,FALSE,"7979";"Page3",#N/A,FALSE,"7979"}</definedName>
    <definedName name="what" hidden="1">{"Page1",#N/A,FALSE,"7979";"Page2",#N/A,FALSE,"7979";"Page3",#N/A,FALSE,"7979"}</definedName>
    <definedName name="whatwhat" localSheetId="4" hidden="1">{"Page1",#N/A,FALSE,"7979";"Page2",#N/A,FALSE,"7979";"Page3",#N/A,FALSE,"7979"}</definedName>
    <definedName name="whatwhat" localSheetId="6" hidden="1">{"Page1",#N/A,FALSE,"7979";"Page2",#N/A,FALSE,"7979";"Page3",#N/A,FALSE,"7979"}</definedName>
    <definedName name="whatwhat" hidden="1">{"Page1",#N/A,FALSE,"7979";"Page2",#N/A,FALSE,"7979";"Page3",#N/A,FALSE,"7979"}</definedName>
    <definedName name="wq" localSheetId="8" hidden="1">{"'PXR_6500'!$A$1:$I$124"}</definedName>
    <definedName name="wq" hidden="1">{"'PXR_6500'!$A$1:$I$124"}</definedName>
    <definedName name="wrn.1." localSheetId="8" hidden="1">{#N/A,#N/A,FALSE,"Calc";#N/A,#N/A,FALSE,"Sensitivity";#N/A,#N/A,FALSE,"LT Earn.Dil.";#N/A,#N/A,FALSE,"Dil. AVP"}</definedName>
    <definedName name="wrn.1." hidden="1">{#N/A,#N/A,FALSE,"Calc";#N/A,#N/A,FALSE,"Sensitivity";#N/A,#N/A,FALSE,"LT Earn.Dil.";#N/A,#N/A,FALSE,"Dil. AVP"}</definedName>
    <definedName name="wrn.10._.Year._.Analysis." localSheetId="4" hidden="1">{"Data Input",#N/A,TRUE,"Data Input";"10-Yr Cash Flow",#N/A,TRUE,"Cash Flow";"10-Yr Value",#N/A,TRUE,"Value "}</definedName>
    <definedName name="wrn.10._.Year._.Analysis." localSheetId="6" hidden="1">{"Data Input",#N/A,TRUE,"Data Input";"10-Yr Cash Flow",#N/A,TRUE,"Cash Flow";"10-Yr Value",#N/A,TRUE,"Value "}</definedName>
    <definedName name="wrn.10._.Year._.Analysis." hidden="1">{"Data Input",#N/A,TRUE,"Data Input";"10-Yr Cash Flow",#N/A,TRUE,"Cash Flow";"10-Yr Value",#N/A,TRUE,"Value "}</definedName>
    <definedName name="wrn.12._.MONTH._.SPREAD." localSheetId="4" hidden="1">{#N/A,#N/A,FALSE,"CPM";#N/A,#N/A,FALSE,"CVI";#N/A,#N/A,FALSE,"RNL";#N/A,#N/A,FALSE,"HAL";#N/A,#N/A,FALSE,"WPL";#N/A,#N/A,FALSE,"RPL";#N/A,#N/A,FALSE,"GVA";#N/A,#N/A,FALSE,"LRJKL";#N/A,#N/A,FALSE,"LPCVI";#N/A,#N/A,FALSE,"RGW and RGW2";#N/A,#N/A,FALSE,"RHL";#N/A,#N/A,FALSE,"HRP";#N/A,#N/A,FALSE,"WPE";#N/A,#N/A,FALSE,"DEL";#N/A,#N/A,FALSE,"PCA";#N/A,#N/A,FALSE,"PBL";#N/A,#N/A,FALSE,"KLL";#N/A,#N/A,FALSE,"RCR";#N/A,#N/A,FALSE,"LRJ#1";#N/A,#N/A,FALSE,"LRJ#2";#N/A,#N/A,FALSE,"OPL"}</definedName>
    <definedName name="wrn.12._.MONTH._.SPREAD." localSheetId="6" hidden="1">{#N/A,#N/A,FALSE,"CPM";#N/A,#N/A,FALSE,"CVI";#N/A,#N/A,FALSE,"RNL";#N/A,#N/A,FALSE,"HAL";#N/A,#N/A,FALSE,"WPL";#N/A,#N/A,FALSE,"RPL";#N/A,#N/A,FALSE,"GVA";#N/A,#N/A,FALSE,"LRJKL";#N/A,#N/A,FALSE,"LPCVI";#N/A,#N/A,FALSE,"RGW and RGW2";#N/A,#N/A,FALSE,"RHL";#N/A,#N/A,FALSE,"HRP";#N/A,#N/A,FALSE,"WPE";#N/A,#N/A,FALSE,"DEL";#N/A,#N/A,FALSE,"PCA";#N/A,#N/A,FALSE,"PBL";#N/A,#N/A,FALSE,"KLL";#N/A,#N/A,FALSE,"RCR";#N/A,#N/A,FALSE,"LRJ#1";#N/A,#N/A,FALSE,"LRJ#2";#N/A,#N/A,FALSE,"OPL"}</definedName>
    <definedName name="wrn.12._.MONTH._.SPREAD." hidden="1">{#N/A,#N/A,FALSE,"CPM";#N/A,#N/A,FALSE,"CVI";#N/A,#N/A,FALSE,"RNL";#N/A,#N/A,FALSE,"HAL";#N/A,#N/A,FALSE,"WPL";#N/A,#N/A,FALSE,"RPL";#N/A,#N/A,FALSE,"GVA";#N/A,#N/A,FALSE,"LRJKL";#N/A,#N/A,FALSE,"LPCVI";#N/A,#N/A,FALSE,"RGW and RGW2";#N/A,#N/A,FALSE,"RHL";#N/A,#N/A,FALSE,"HRP";#N/A,#N/A,FALSE,"WPE";#N/A,#N/A,FALSE,"DEL";#N/A,#N/A,FALSE,"PCA";#N/A,#N/A,FALSE,"PBL";#N/A,#N/A,FALSE,"KLL";#N/A,#N/A,FALSE,"RCR";#N/A,#N/A,FALSE,"LRJ#1";#N/A,#N/A,FALSE,"LRJ#2";#N/A,#N/A,FALSE,"OPL"}</definedName>
    <definedName name="wrn.15._.Year._.Analysis." localSheetId="4" hidden="1">{"Data Input",#N/A,TRUE,"Data Input";"15-Yr Cash Flow",#N/A,TRUE,"Cash Flow";"15-Yr Value",#N/A,TRUE,"Value "}</definedName>
    <definedName name="wrn.15._.Year._.Analysis." localSheetId="6" hidden="1">{"Data Input",#N/A,TRUE,"Data Input";"15-Yr Cash Flow",#N/A,TRUE,"Cash Flow";"15-Yr Value",#N/A,TRUE,"Value "}</definedName>
    <definedName name="wrn.15._.Year._.Analysis." hidden="1">{"Data Input",#N/A,TRUE,"Data Input";"15-Yr Cash Flow",#N/A,TRUE,"Cash Flow";"15-Yr Value",#N/A,TRUE,"Value "}</definedName>
    <definedName name="wrn.1995._.Analysis." localSheetId="4" hidden="1">{#N/A,#N/A,FALSE,"1995 Rev &amp; Exp"}</definedName>
    <definedName name="wrn.1995._.Analysis." localSheetId="8" hidden="1">{#N/A,#N/A,FALSE,"1995 Rev &amp; Exp"}</definedName>
    <definedName name="wrn.1995._.Analysis." localSheetId="6" hidden="1">{#N/A,#N/A,FALSE,"1995 Rev &amp; Exp"}</definedName>
    <definedName name="wrn.1995._.Analysis." hidden="1">{#N/A,#N/A,FALSE,"1995 Rev &amp; Exp"}</definedName>
    <definedName name="wrn.2" localSheetId="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2"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2"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2"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2." localSheetId="8" hidden="1">{#N/A,#N/A,FALSE,"Calc";#N/A,#N/A,FALSE,"Sensitivity";#N/A,#N/A,FALSE,"LT Earn.Dil.";#N/A,#N/A,FALSE,"Dil. AVP"}</definedName>
    <definedName name="WRN.2." hidden="1">{#N/A,#N/A,FALSE,"Calc";#N/A,#N/A,FALSE,"Sensitivity";#N/A,#N/A,FALSE,"LT Earn.Dil.";#N/A,#N/A,FALSE,"Dil. AVP"}</definedName>
    <definedName name="wrn.2002Budget." localSheetId="4" hidden="1">{"2002Budget",#N/A,FALSE,"PAYROLL"}</definedName>
    <definedName name="wrn.2002Budget." localSheetId="6" hidden="1">{"2002Budget",#N/A,FALSE,"PAYROLL"}</definedName>
    <definedName name="wrn.2002Budget." hidden="1">{"2002Budget",#N/A,FALSE,"PAYROLL"}</definedName>
    <definedName name="wrn.275PricingBook." localSheetId="4" hidden="1">{#N/A,#N/A,FALSE,"Assumptions";#N/A,#N/A,FALSE,"Impact Assumptions";#N/A,#N/A,FALSE,"10-Yr - detail";#N/A,#N/A,FALSE,"1,5,10 yr comp";#N/A,#N/A,FALSE,"Lse-Exp.";#N/A,#N/A,FALSE,"Rent Roll";#N/A,#N/A,FALSE,"Historical (2)";#N/A,#N/A,FALSE,"RET's";#N/A,#N/A,FALSE,"Lease Rollover"}</definedName>
    <definedName name="wrn.275PricingBook." localSheetId="6" hidden="1">{#N/A,#N/A,FALSE,"Assumptions";#N/A,#N/A,FALSE,"Impact Assumptions";#N/A,#N/A,FALSE,"10-Yr - detail";#N/A,#N/A,FALSE,"1,5,10 yr comp";#N/A,#N/A,FALSE,"Lse-Exp.";#N/A,#N/A,FALSE,"Rent Roll";#N/A,#N/A,FALSE,"Historical (2)";#N/A,#N/A,FALSE,"RET's";#N/A,#N/A,FALSE,"Lease Rollover"}</definedName>
    <definedName name="wrn.275PricingBook." hidden="1">{#N/A,#N/A,FALSE,"Assumptions";#N/A,#N/A,FALSE,"Impact Assumptions";#N/A,#N/A,FALSE,"10-Yr - detail";#N/A,#N/A,FALSE,"1,5,10 yr comp";#N/A,#N/A,FALSE,"Lse-Exp.";#N/A,#N/A,FALSE,"Rent Roll";#N/A,#N/A,FALSE,"Historical (2)";#N/A,#N/A,FALSE,"RET's";#N/A,#N/A,FALSE,"Lease Rollover"}</definedName>
    <definedName name="wrn.275Schedulles." localSheetId="4" hidden="1">{#N/A,#N/A,FALSE,"Assumptions";#N/A,#N/A,FALSE,"10-Yr - detail";#N/A,#N/A,FALSE,"Rent Roll";#N/A,#N/A,FALSE,"Historical (2)";#N/A,#N/A,FALSE,"RET's";#N/A,#N/A,FALSE,"Lse-Exp.";#N/A,#N/A,FALSE,"Lease Rollover";#N/A,#N/A,FALSE,"Service Contracts"}</definedName>
    <definedName name="wrn.275Schedulles." localSheetId="6" hidden="1">{#N/A,#N/A,FALSE,"Assumptions";#N/A,#N/A,FALSE,"10-Yr - detail";#N/A,#N/A,FALSE,"Rent Roll";#N/A,#N/A,FALSE,"Historical (2)";#N/A,#N/A,FALSE,"RET's";#N/A,#N/A,FALSE,"Lse-Exp.";#N/A,#N/A,FALSE,"Lease Rollover";#N/A,#N/A,FALSE,"Service Contracts"}</definedName>
    <definedName name="wrn.275Schedulles." hidden="1">{#N/A,#N/A,FALSE,"Assumptions";#N/A,#N/A,FALSE,"10-Yr - detail";#N/A,#N/A,FALSE,"Rent Roll";#N/A,#N/A,FALSE,"Historical (2)";#N/A,#N/A,FALSE,"RET's";#N/A,#N/A,FALSE,"Lse-Exp.";#N/A,#N/A,FALSE,"Lease Rollover";#N/A,#N/A,FALSE,"Service Contracts"}</definedName>
    <definedName name="wrn.3._.Year._.Summary." localSheetId="4" hidden="1">{#N/A,#N/A,FALSE,"3-Year Summary"}</definedName>
    <definedName name="wrn.3._.Year._.Summary." localSheetId="6" hidden="1">{#N/A,#N/A,FALSE,"3-Year Summary"}</definedName>
    <definedName name="wrn.3._.Year._.Summary." hidden="1">{#N/A,#N/A,FALSE,"3-Year Summary"}</definedName>
    <definedName name="wrn.399." localSheetId="4" hidden="1">{#N/A,#N/A,FALSE,"A";#N/A,#N/A,FALSE,"C"}</definedName>
    <definedName name="wrn.399." localSheetId="8" hidden="1">{#N/A,#N/A,FALSE,"A";#N/A,#N/A,FALSE,"C"}</definedName>
    <definedName name="wrn.399." localSheetId="6" hidden="1">{#N/A,#N/A,FALSE,"A";#N/A,#N/A,FALSE,"C"}</definedName>
    <definedName name="wrn.399." hidden="1">{#N/A,#N/A,FALSE,"A";#N/A,#N/A,FALSE,"C"}</definedName>
    <definedName name="wrn.50._.50." localSheetId="8" hidden="1">{"assumption 50 50",#N/A,TRUE,"Merger";"has gets cash",#N/A,TRUE,"Merger";"accretion dilution",#N/A,TRUE,"Merger";"comparison credit stats",#N/A,TRUE,"Merger";"pf credit stats",#N/A,TRUE,"Merger";"pf sheets",#N/A,TRUE,"Merger"}</definedName>
    <definedName name="wrn.50._.50." hidden="1">{"assumption 50 50",#N/A,TRUE,"Merger";"has gets cash",#N/A,TRUE,"Merger";"accretion dilution",#N/A,TRUE,"Merger";"comparison credit stats",#N/A,TRUE,"Merger";"pf credit stats",#N/A,TRUE,"Merger";"pf sheets",#N/A,TRUE,"Merger"}</definedName>
    <definedName name="wrn.98ESC." localSheetId="4" hidden="1">{#N/A,#N/A,FALSE,"ope";#N/A,#N/A,FALSE,"ret";#N/A,#N/A,FALSE,"expenses";#N/A,#N/A,FALSE,"BankExpenses";#N/A,#N/A,FALSE,"TennExpenses";#N/A,#N/A,FALSE,"Occupancy"}</definedName>
    <definedName name="wrn.98ESC." localSheetId="6" hidden="1">{#N/A,#N/A,FALSE,"ope";#N/A,#N/A,FALSE,"ret";#N/A,#N/A,FALSE,"expenses";#N/A,#N/A,FALSE,"BankExpenses";#N/A,#N/A,FALSE,"TennExpenses";#N/A,#N/A,FALSE,"Occupancy"}</definedName>
    <definedName name="wrn.98ESC." hidden="1">{#N/A,#N/A,FALSE,"ope";#N/A,#N/A,FALSE,"ret";#N/A,#N/A,FALSE,"expenses";#N/A,#N/A,FALSE,"BankExpenses";#N/A,#N/A,FALSE,"TennExpenses";#N/A,#N/A,FALSE,"Occupancy"}</definedName>
    <definedName name="wrn.abril." localSheetId="8" hidden="1">{"abril_dia",#N/A,FALSE,"flujo mensual";"abr_dia_graf",#N/A,FALSE,"flujo mensual"}</definedName>
    <definedName name="wrn.abril." hidden="1">{"abril_dia",#N/A,FALSE,"flujo mensual";"abr_dia_graf",#N/A,FALSE,"flujo mensual"}</definedName>
    <definedName name="wrn.AESreport." localSheetId="8" hidden="1">{#N/A,#N/A,FALSE,"Table of content";#N/A,#N/A,FALSE,"Assumptions";#N/A,#N/A,FALSE,"Economy";#N/A,#N/A,FALSE,"Revenue Detail";#N/A,#N/A,FALSE,"Energy fee";#N/A,#N/A,FALSE,"Capacity fee";#N/A,#N/A,FALSE,"Production Income";#N/A,#N/A,FALSE,"Fuel Costs";#N/A,#N/A,FALSE,"O&amp;M Cost";#N/A,#N/A,FALSE,"Profit Loss";#N/A,#N/A,FALSE,"Financing";#N/A,#N/A,FALSE,"Cash Flow";#N/A,#N/A,FALSE,"Sources&amp;Uses";#N/A,#N/A,FALSE,"Balance";#N/A,#N/A,FALSE,"Investment";#N/A,#N/A,FALSE,"Investment Cost";#N/A,#N/A,FALSE,"Investment Financing";#N/A,#N/A,FALSE,"Assets";#N/A,#N/A,FALSE,"IRR"}</definedName>
    <definedName name="wrn.AESreport." hidden="1">{#N/A,#N/A,FALSE,"Table of content";#N/A,#N/A,FALSE,"Assumptions";#N/A,#N/A,FALSE,"Economy";#N/A,#N/A,FALSE,"Revenue Detail";#N/A,#N/A,FALSE,"Energy fee";#N/A,#N/A,FALSE,"Capacity fee";#N/A,#N/A,FALSE,"Production Income";#N/A,#N/A,FALSE,"Fuel Costs";#N/A,#N/A,FALSE,"O&amp;M Cost";#N/A,#N/A,FALSE,"Profit Loss";#N/A,#N/A,FALSE,"Financing";#N/A,#N/A,FALSE,"Cash Flow";#N/A,#N/A,FALSE,"Sources&amp;Uses";#N/A,#N/A,FALSE,"Balance";#N/A,#N/A,FALSE,"Investment";#N/A,#N/A,FALSE,"Investment Cost";#N/A,#N/A,FALSE,"Investment Financing";#N/A,#N/A,FALSE,"Assets";#N/A,#N/A,FALSE,"IRR"}</definedName>
    <definedName name="wrn.Aging._.and._.Trend._.Analysis." localSheetId="8"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osto." localSheetId="8" hidden="1">{"agosto_dia",#N/A,FALSE,"flujo mensual";"ago_dia_graf",#N/A,FALSE,"flujo mensual"}</definedName>
    <definedName name="wrn.agosto." hidden="1">{"agosto_dia",#N/A,FALSE,"flujo mensual";"ago_dia_graf",#N/A,FALSE,"flujo mensual"}</definedName>
    <definedName name="wrn.ALAN." localSheetId="8" hidden="1">{"CREDIT STATISTICS",#N/A,FALSE,"STATS";"CF_AND_IS",#N/A,FALSE,"PLAN";"DEBT SCHEDULE",#N/A,FALSE,"PLAN";"SUBSCRIBERS",#N/A,FALSE,"PLAN";"DETAIL_REV",#N/A,FALSE,"PLAN";"DETAIL_EXPENSE",#N/A,FALSE,"PLAN";"SALES_AND EXP_DRIVERS",#N/A,FALSE,"PLAN";"FIXED ASSETS",#N/A,FALSE,"PLAN";"DEPRECIATION SCHEDULE",#N/A,FALSE,"PLAN"}</definedName>
    <definedName name="wrn.ALAN." hidden="1">{"CREDIT STATISTICS",#N/A,FALSE,"STATS";"CF_AND_IS",#N/A,FALSE,"PLAN";"DEBT SCHEDULE",#N/A,FALSE,"PLAN";"SUBSCRIBERS",#N/A,FALSE,"PLAN";"DETAIL_REV",#N/A,FALSE,"PLAN";"DETAIL_EXPENSE",#N/A,FALSE,"PLAN";"SALES_AND EXP_DRIVERS",#N/A,FALSE,"PLAN";"FIXED ASSETS",#N/A,FALSE,"PLAN";"DEPRECIATION SCHEDULE",#N/A,FALSE,"PLAN"}</definedName>
    <definedName name="wrn.ALL." localSheetId="0" hidden="1">{"CS",#N/A,FALSE,"STATS";"Inc",#N/A,FALSE,"PLAN";"CASH F",#N/A,FALSE,"PLAN";"Bal S",#N/A,FALSE,"BALANCE SHEET";"Subs",#N/A,FALSE,"PLAN";"Dep",#N/A,FALSE,"PLAN";"Debt",#N/A,FALSE,"PLAN";"Sales",#N/A,FALSE,"PLAN";"FA",#N/A,FALSE,"PLAN";"Rev",#N/A,FALSE,"PLAN";"Exp",#N/A,FALSE,"PLAN"}</definedName>
    <definedName name="wrn.ALL." localSheetId="4" hidden="1">{#N/A,#N/A,TRUE,"3-Gateway";#N/A,#N/A,TRUE,"4-ByrkitAve.Bus.Ctr.";#N/A,#N/A,TRUE,"5- 851 Marietta Assoc.";#N/A,#N/A,TRUE,"6-Fesslers";#N/A,#N/A,TRUE,"7- 3300 Sample";#N/A,#N/A,TRUE,"8-Blackthorn-Wells";#N/A,#N/A,TRUE,"9-BlackthornNimtz";#N/A,#N/A,TRUE,"10-Willow Trace II";#N/A,#N/A,TRUE,"11-Homeland";#N/A,#N/A,TRUE,"12-Dugdale";#N/A,#N/A,TRUE,"13-Park Center";#N/A,#N/A,TRUE,"14-Michiana";#N/A,#N/A,TRUE,"15-LTV (Niles)";#N/A,#N/A,TRUE,"16-Niles-Colfax";#N/A,#N/A,TRUE,"17-Colfax Place";#N/A,#N/A,TRUE,"18-Pru Office"}</definedName>
    <definedName name="wrn.ALL." localSheetId="8" hidden="1">{#N/A,#N/A,TRUE,"3-Gateway";#N/A,#N/A,TRUE,"4-ByrkitAve.Bus.Ctr.";#N/A,#N/A,TRUE,"5- 851 Marietta Assoc.";#N/A,#N/A,TRUE,"6-Fesslers";#N/A,#N/A,TRUE,"7- 3300 Sample";#N/A,#N/A,TRUE,"8-Blackthorn-Wells";#N/A,#N/A,TRUE,"9-BlackthornNimtz";#N/A,#N/A,TRUE,"10-Willow Trace II";#N/A,#N/A,TRUE,"11-Homeland";#N/A,#N/A,TRUE,"12-Dugdale";#N/A,#N/A,TRUE,"13-Park Center";#N/A,#N/A,TRUE,"14-Michiana";#N/A,#N/A,TRUE,"15-LTV (Niles)";#N/A,#N/A,TRUE,"16-Niles-Colfax";#N/A,#N/A,TRUE,"17-Colfax Place";#N/A,#N/A,TRUE,"18-Pru Office"}</definedName>
    <definedName name="wrn.ALL." localSheetId="6" hidden="1">{#N/A,#N/A,TRUE,"3-Gateway";#N/A,#N/A,TRUE,"4-ByrkitAve.Bus.Ctr.";#N/A,#N/A,TRUE,"5- 851 Marietta Assoc.";#N/A,#N/A,TRUE,"6-Fesslers";#N/A,#N/A,TRUE,"7- 3300 Sample";#N/A,#N/A,TRUE,"8-Blackthorn-Wells";#N/A,#N/A,TRUE,"9-BlackthornNimtz";#N/A,#N/A,TRUE,"10-Willow Trace II";#N/A,#N/A,TRUE,"11-Homeland";#N/A,#N/A,TRUE,"12-Dugdale";#N/A,#N/A,TRUE,"13-Park Center";#N/A,#N/A,TRUE,"14-Michiana";#N/A,#N/A,TRUE,"15-LTV (Niles)";#N/A,#N/A,TRUE,"16-Niles-Colfax";#N/A,#N/A,TRUE,"17-Colfax Place";#N/A,#N/A,TRUE,"18-Pru Office"}</definedName>
    <definedName name="wrn.ALL." hidden="1">{#N/A,#N/A,TRUE,"3-Gateway";#N/A,#N/A,TRUE,"4-ByrkitAve.Bus.Ctr.";#N/A,#N/A,TRUE,"5- 851 Marietta Assoc.";#N/A,#N/A,TRUE,"6-Fesslers";#N/A,#N/A,TRUE,"7- 3300 Sample";#N/A,#N/A,TRUE,"8-Blackthorn-Wells";#N/A,#N/A,TRUE,"9-BlackthornNimtz";#N/A,#N/A,TRUE,"10-Willow Trace II";#N/A,#N/A,TRUE,"11-Homeland";#N/A,#N/A,TRUE,"12-Dugdale";#N/A,#N/A,TRUE,"13-Park Center";#N/A,#N/A,TRUE,"14-Michiana";#N/A,#N/A,TRUE,"15-LTV (Niles)";#N/A,#N/A,TRUE,"16-Niles-Colfax";#N/A,#N/A,TRUE,"17-Colfax Place";#N/A,#N/A,TRUE,"18-Pru Office"}</definedName>
    <definedName name="wrn.All._.Budget._.Detail_Forecast." localSheetId="4" hidden="1">{"All Budget Detail-Forecast",#N/A,FALSE,"Forecast"}</definedName>
    <definedName name="wrn.All._.Budget._.Detail_Forecast." localSheetId="6" hidden="1">{"All Budget Detail-Forecast",#N/A,FALSE,"Forecast"}</definedName>
    <definedName name="wrn.All._.Budget._.Detail_Forecast." hidden="1">{"All Budget Detail-Forecast",#N/A,FALSE,"Forecast"}</definedName>
    <definedName name="wrn.All._.Budget._.Detail_Reit." localSheetId="4" hidden="1">{"All Budget Detail-Reit",#N/A,FALSE,"Forecast"}</definedName>
    <definedName name="wrn.All._.Budget._.Detail_Reit." localSheetId="6" hidden="1">{"All Budget Detail-Reit",#N/A,FALSE,"Forecast"}</definedName>
    <definedName name="wrn.All._.Budget._.Detail_Reit." hidden="1">{"All Budget Detail-Reit",#N/A,FALSE,"Forecast"}</definedName>
    <definedName name="wrn.All._.but._.Individual._.Accounts." localSheetId="4" hidden="1">{"Instructions",#N/A,FALSE,"Instructions";"RECAP1",#N/A,FALSE,"RECAP";"RECAP2",#N/A,FALSE,"RECAP";"Summary",#N/A,FALSE,"SUMMARY";"DETAIL1",#N/A,FALSE,"DETAIL";"DETAIL2",#N/A,FALSE,"DETAIL";"COA CONV",#N/A,FALSE,"DETAIL";"OCCADJ1",#N/A,FALSE,"OCC ADJ";"OCCADJ2",#N/A,FALSE,"OCC ADJ";"OCCADJ3",#N/A,FALSE,"OCC ADJ";"SQFT1",#N/A,FALSE,"TENANT";"SQFT2",#N/A,FALSE,"TENANT";"BASERENT",#N/A,FALSE,"TENANT";"ESCAL",#N/A,FALSE,"TENANT";"ADVALTAX",#N/A,FALSE,"TENANT";"INSRECOV",#N/A,FALSE,"TENANT";"PRIORYR",#N/A,FALSE,"TENANT"}</definedName>
    <definedName name="wrn.All._.but._.Individual._.Accounts." localSheetId="6" hidden="1">{"Instructions",#N/A,FALSE,"Instructions";"RECAP1",#N/A,FALSE,"RECAP";"RECAP2",#N/A,FALSE,"RECAP";"Summary",#N/A,FALSE,"SUMMARY";"DETAIL1",#N/A,FALSE,"DETAIL";"DETAIL2",#N/A,FALSE,"DETAIL";"COA CONV",#N/A,FALSE,"DETAIL";"OCCADJ1",#N/A,FALSE,"OCC ADJ";"OCCADJ2",#N/A,FALSE,"OCC ADJ";"OCCADJ3",#N/A,FALSE,"OCC ADJ";"SQFT1",#N/A,FALSE,"TENANT";"SQFT2",#N/A,FALSE,"TENANT";"BASERENT",#N/A,FALSE,"TENANT";"ESCAL",#N/A,FALSE,"TENANT";"ADVALTAX",#N/A,FALSE,"TENANT";"INSRECOV",#N/A,FALSE,"TENANT";"PRIORYR",#N/A,FALSE,"TENANT"}</definedName>
    <definedName name="wrn.All._.but._.Individual._.Accounts." hidden="1">{"Instructions",#N/A,FALSE,"Instructions";"RECAP1",#N/A,FALSE,"RECAP";"RECAP2",#N/A,FALSE,"RECAP";"Summary",#N/A,FALSE,"SUMMARY";"DETAIL1",#N/A,FALSE,"DETAIL";"DETAIL2",#N/A,FALSE,"DETAIL";"COA CONV",#N/A,FALSE,"DETAIL";"OCCADJ1",#N/A,FALSE,"OCC ADJ";"OCCADJ2",#N/A,FALSE,"OCC ADJ";"OCCADJ3",#N/A,FALSE,"OCC ADJ";"SQFT1",#N/A,FALSE,"TENANT";"SQFT2",#N/A,FALSE,"TENANT";"BASERENT",#N/A,FALSE,"TENANT";"ESCAL",#N/A,FALSE,"TENANT";"ADVALTAX",#N/A,FALSE,"TENANT";"INSRECOV",#N/A,FALSE,"TENANT";"PRIORYR",#N/A,FALSE,"TENANT"}</definedName>
    <definedName name="wrn.all._.comps." localSheetId="8" hidden="1">{"equity comps",#N/A,FALSE,"CS Comps";"equity comps",#N/A,FALSE,"PS Comps";"equity comps",#N/A,FALSE,"GIC_Comps";"equity comps",#N/A,FALSE,"GIC2_Comps";"debt comps",#N/A,FALSE,"CS Comps";"debt comps",#N/A,FALSE,"PS Comps";"debt comps",#N/A,FALSE,"GIC_Comps";"debt comps",#N/A,FALSE,"GIC2_Comps"}</definedName>
    <definedName name="wrn.all._.comps." hidden="1">{"equity comps",#N/A,FALSE,"CS Comps";"equity comps",#N/A,FALSE,"PS Comps";"equity comps",#N/A,FALSE,"GIC_Comps";"equity comps",#N/A,FALSE,"GIC2_Comps";"debt comps",#N/A,FALSE,"CS Comps";"debt comps",#N/A,FALSE,"PS Comps";"debt comps",#N/A,FALSE,"GIC_Comps";"debt comps",#N/A,FALSE,"GIC2_Comps"}</definedName>
    <definedName name="wrn.All._.Inputs." localSheetId="4" hidden="1">{#N/A,#N/A,FALSE,"Primary";#N/A,#N/A,FALSE,"Secondary";#N/A,#N/A,FALSE,"Latent";#N/A,#N/A,FALSE,"Demand Inputs";#N/A,#N/A,FALSE,"Supply Addn";#N/A,#N/A,FALSE,"Mkt Pen"}</definedName>
    <definedName name="wrn.All._.Inputs." localSheetId="8" hidden="1">{#N/A,#N/A,FALSE,"Primary";#N/A,#N/A,FALSE,"Secondary";#N/A,#N/A,FALSE,"Latent";#N/A,#N/A,FALSE,"Demand Inputs";#N/A,#N/A,FALSE,"Supply Addn";#N/A,#N/A,FALSE,"Mkt Pen"}</definedName>
    <definedName name="wrn.All._.Inputs." localSheetId="6" hidden="1">{#N/A,#N/A,FALSE,"Primary";#N/A,#N/A,FALSE,"Secondary";#N/A,#N/A,FALSE,"Latent";#N/A,#N/A,FALSE,"Demand Inputs";#N/A,#N/A,FALSE,"Supply Addn";#N/A,#N/A,FALSE,"Mkt Pen"}</definedName>
    <definedName name="wrn.All._.Inputs." hidden="1">{#N/A,#N/A,FALSE,"Primary";#N/A,#N/A,FALSE,"Secondary";#N/A,#N/A,FALSE,"Latent";#N/A,#N/A,FALSE,"Demand Inputs";#N/A,#N/A,FALSE,"Supply Addn";#N/A,#N/A,FALSE,"Mkt Pen"}</definedName>
    <definedName name="wrn.All._.Non._.Recov._.Op._.Exp_Forecast." localSheetId="4" hidden="1">{"All Non-Recov. Op. Exp-Forecast",#N/A,FALSE,"Forecast"}</definedName>
    <definedName name="wrn.All._.Non._.Recov._.Op._.Exp_Forecast." localSheetId="6" hidden="1">{"All Non-Recov. Op. Exp-Forecast",#N/A,FALSE,"Forecast"}</definedName>
    <definedName name="wrn.All._.Non._.Recov._.Op._.Exp_Forecast." hidden="1">{"All Non-Recov. Op. Exp-Forecast",#N/A,FALSE,"Forecast"}</definedName>
    <definedName name="wrn.All._.Non._.Recov._.Op._.Exp_Reit." localSheetId="4" hidden="1">{"All Non-Recov. Op. Exp-Reit",#N/A,FALSE,"Forecast"}</definedName>
    <definedName name="wrn.All._.Non._.Recov._.Op._.Exp_Reit." localSheetId="6" hidden="1">{"All Non-Recov. Op. Exp-Reit",#N/A,FALSE,"Forecast"}</definedName>
    <definedName name="wrn.All._.Non._.Recov._.Op._.Exp_Reit." hidden="1">{"All Non-Recov. Op. Exp-Reit",#N/A,FALSE,"Forecast"}</definedName>
    <definedName name="wrn.All._.Pro._.Forma." localSheetId="4" hidden="1">{#N/A,#N/A,FALSE,"DSCR Sum";#N/A,#N/A,FALSE,"Max  Allocation";#N/A,#N/A,FALSE,"Lake Davis";#N/A,#N/A,FALSE,"Lake Jennie I";#N/A,#N/A,FALSE,"Lake Jennie II";#N/A,#N/A,FALSE,"Gov Man";#N/A,#N/A,FALSE,"Mellonville";#N/A,#N/A,FALSE,"Total"}</definedName>
    <definedName name="wrn.All._.Pro._.Forma." localSheetId="8" hidden="1">{#N/A,#N/A,FALSE,"DSCR Sum";#N/A,#N/A,FALSE,"Max  Allocation";#N/A,#N/A,FALSE,"Lake Davis";#N/A,#N/A,FALSE,"Lake Jennie I";#N/A,#N/A,FALSE,"Lake Jennie II";#N/A,#N/A,FALSE,"Gov Man";#N/A,#N/A,FALSE,"Mellonville";#N/A,#N/A,FALSE,"Total"}</definedName>
    <definedName name="wrn.All._.Pro._.Forma." localSheetId="6" hidden="1">{#N/A,#N/A,FALSE,"DSCR Sum";#N/A,#N/A,FALSE,"Max  Allocation";#N/A,#N/A,FALSE,"Lake Davis";#N/A,#N/A,FALSE,"Lake Jennie I";#N/A,#N/A,FALSE,"Lake Jennie II";#N/A,#N/A,FALSE,"Gov Man";#N/A,#N/A,FALSE,"Mellonville";#N/A,#N/A,FALSE,"Total"}</definedName>
    <definedName name="wrn.All._.Pro._.Forma." hidden="1">{#N/A,#N/A,FALSE,"DSCR Sum";#N/A,#N/A,FALSE,"Max  Allocation";#N/A,#N/A,FALSE,"Lake Davis";#N/A,#N/A,FALSE,"Lake Jennie I";#N/A,#N/A,FALSE,"Lake Jennie II";#N/A,#N/A,FALSE,"Gov Man";#N/A,#N/A,FALSE,"Mellonville";#N/A,#N/A,FALSE,"Total"}</definedName>
    <definedName name="wrn.All._.Rental._.Income_Forecast." localSheetId="4" hidden="1">{"All Rental Income-Reforecast",#N/A,FALSE,"Forecast"}</definedName>
    <definedName name="wrn.All._.Rental._.Income_Forecast." localSheetId="6" hidden="1">{"All Rental Income-Reforecast",#N/A,FALSE,"Forecast"}</definedName>
    <definedName name="wrn.All._.Rental._.Income_Forecast." hidden="1">{"All Rental Income-Reforecast",#N/A,FALSE,"Forecast"}</definedName>
    <definedName name="wrn.All._.Rental._.Income_Reit." localSheetId="4" hidden="1">{"All Rental Income-Reit",#N/A,FALSE,"Forecast"}</definedName>
    <definedName name="wrn.All._.Rental._.Income_Reit." localSheetId="6" hidden="1">{"All Rental Income-Reit",#N/A,FALSE,"Forecast"}</definedName>
    <definedName name="wrn.All._.Rental._.Income_Reit." hidden="1">{"All Rental Income-Reit",#N/A,FALSE,"Forecast"}</definedName>
    <definedName name="wrn.All._.Schedules." localSheetId="4" hidden="1">{#N/A,#N/A,FALSE,"CF Consolidated 2";#N/A,#N/A,FALSE,"Retail Assump";#N/A,#N/A,FALSE,"CF Retail";#N/A,#N/A,FALSE,"Garage Assumpt 1";#N/A,#N/A,FALSE,"Garage Op Proj";#N/A,#N/A,FALSE,"Hist I&amp;E";#N/A,#N/A,FALSE,"Rent Roll";#N/A,#N/A,FALSE,"RE Taxes";#N/A,#N/A,FALSE,"CAM - BH";#N/A,#N/A,FALSE,"Comm.Condo CAM"}</definedName>
    <definedName name="wrn.All._.Schedules." localSheetId="8" hidden="1">{#N/A,#N/A,FALSE,"CF Consolidated 2";#N/A,#N/A,FALSE,"Retail Assump";#N/A,#N/A,FALSE,"CF Retail";#N/A,#N/A,FALSE,"Garage Assumpt 1";#N/A,#N/A,FALSE,"Garage Op Proj";#N/A,#N/A,FALSE,"Hist I&amp;E";#N/A,#N/A,FALSE,"Rent Roll";#N/A,#N/A,FALSE,"RE Taxes";#N/A,#N/A,FALSE,"CAM - BH";#N/A,#N/A,FALSE,"Comm.Condo CAM"}</definedName>
    <definedName name="wrn.All._.Schedules." localSheetId="6" hidden="1">{#N/A,#N/A,FALSE,"CF Consolidated 2";#N/A,#N/A,FALSE,"Retail Assump";#N/A,#N/A,FALSE,"CF Retail";#N/A,#N/A,FALSE,"Garage Assumpt 1";#N/A,#N/A,FALSE,"Garage Op Proj";#N/A,#N/A,FALSE,"Hist I&amp;E";#N/A,#N/A,FALSE,"Rent Roll";#N/A,#N/A,FALSE,"RE Taxes";#N/A,#N/A,FALSE,"CAM - BH";#N/A,#N/A,FALSE,"Comm.Condo CAM"}</definedName>
    <definedName name="wrn.All._.Schedules." hidden="1">{#N/A,#N/A,FALSE,"CF Consolidated 2";#N/A,#N/A,FALSE,"Retail Assump";#N/A,#N/A,FALSE,"CF Retail";#N/A,#N/A,FALSE,"Garage Assumpt 1";#N/A,#N/A,FALSE,"Garage Op Proj";#N/A,#N/A,FALSE,"Hist I&amp;E";#N/A,#N/A,FALSE,"Rent Roll";#N/A,#N/A,FALSE,"RE Taxes";#N/A,#N/A,FALSE,"CAM - BH";#N/A,#N/A,FALSE,"Comm.Condo CAM"}</definedName>
    <definedName name="wrn.All._.Sheets." localSheetId="8" hidden="1">{#N/A,#N/A,FALSE,"JA.1";#N/A,#N/A,FALSE,"JA.2";#N/A,#N/A,FALSE,"JA.3";#N/A,#N/A,FALSE,"JA.4";#N/A,#N/A,FALSE,"JA.5";#N/A,#N/A,FALSE,"JA.6";#N/A,#N/A,FALSE,"JA.7";#N/A,#N/A,FALSE,"JA.8";#N/A,#N/A,FALSE,"JA.9";#N/A,#N/A,FALSE,"JA.10";#N/A,#N/A,FALSE,"JB.1";#N/A,#N/A,FALSE,"JB.2";#N/A,#N/A,FALSE,"JB.3";#N/A,#N/A,FALSE,"JB.4";#N/A,#N/A,FALSE,"JB.5";#N/A,#N/A,FALSE,"JB.6";#N/A,#N/A,FALSE,"JB.7";#N/A,#N/A,FALSE,"JB.8";#N/A,#N/A,FALSE,"JB.9";#N/A,#N/A,FALSE,"JB.10";#N/A,#N/A,FALSE,"JC.1";#N/A,#N/A,FALSE,"JC.2";#N/A,#N/A,FALSE,"JC.3";#N/A,#N/A,FALSE,"JC.4";#N/A,#N/A,FALSE,"JC.5";#N/A,#N/A,FALSE,"JC.6";#N/A,#N/A,FALSE,"JC.7";#N/A,#N/A,FALSE,"JC.8";#N/A,#N/A,FALSE,"JC.9";#N/A,#N/A,FALSE,"JC.10";#N/A,#N/A,FALSE,"JD.1";#N/A,#N/A,FALSE,"JD.2";#N/A,#N/A,FALSE,"JD.3";#N/A,#N/A,FALSE,"JD.4";#N/A,#N/A,FALSE,"JD.5";#N/A,#N/A,FALSE,"JD.6";#N/A,#N/A,FALSE,"JD.7";#N/A,#N/A,FALSE,"JD.8";#N/A,#N/A,FALSE,"JD.9";#N/A,#N/A,FALSE,"JD.10"}</definedName>
    <definedName name="wrn.All._.Sheets." hidden="1">{#N/A,#N/A,FALSE,"JA.1";#N/A,#N/A,FALSE,"JA.2";#N/A,#N/A,FALSE,"JA.3";#N/A,#N/A,FALSE,"JA.4";#N/A,#N/A,FALSE,"JA.5";#N/A,#N/A,FALSE,"JA.6";#N/A,#N/A,FALSE,"JA.7";#N/A,#N/A,FALSE,"JA.8";#N/A,#N/A,FALSE,"JA.9";#N/A,#N/A,FALSE,"JA.10";#N/A,#N/A,FALSE,"JB.1";#N/A,#N/A,FALSE,"JB.2";#N/A,#N/A,FALSE,"JB.3";#N/A,#N/A,FALSE,"JB.4";#N/A,#N/A,FALSE,"JB.5";#N/A,#N/A,FALSE,"JB.6";#N/A,#N/A,FALSE,"JB.7";#N/A,#N/A,FALSE,"JB.8";#N/A,#N/A,FALSE,"JB.9";#N/A,#N/A,FALSE,"JB.10";#N/A,#N/A,FALSE,"JC.1";#N/A,#N/A,FALSE,"JC.2";#N/A,#N/A,FALSE,"JC.3";#N/A,#N/A,FALSE,"JC.4";#N/A,#N/A,FALSE,"JC.5";#N/A,#N/A,FALSE,"JC.6";#N/A,#N/A,FALSE,"JC.7";#N/A,#N/A,FALSE,"JC.8";#N/A,#N/A,FALSE,"JC.9";#N/A,#N/A,FALSE,"JC.10";#N/A,#N/A,FALSE,"JD.1";#N/A,#N/A,FALSE,"JD.2";#N/A,#N/A,FALSE,"JD.3";#N/A,#N/A,FALSE,"JD.4";#N/A,#N/A,FALSE,"JD.5";#N/A,#N/A,FALSE,"JD.6";#N/A,#N/A,FALSE,"JD.7";#N/A,#N/A,FALSE,"JD.8";#N/A,#N/A,FALSE,"JD.9";#N/A,#N/A,FALSE,"JD.10"}</definedName>
    <definedName name="wrn.all.2" localSheetId="4" hidden="1">{#N/A,#N/A,FALSE,"SCHEDULE A";"MINIMUM RENT",#N/A,FALSE,"SCHEDULES B &amp; C";"PERCENTAGE RENT",#N/A,FALSE,"SCHEDULES B &amp; C";#N/A,#N/A,FALSE,"SCHEDULE D";"SUMMARY SCHEDULE",#N/A,FALSE,"SCHEDULE E";#N/A,#N/A,FALSE,"SCHEDULE F";#N/A,#N/A,FALSE,"SCHEDULE G";"SUMMARY SCHEDULE",#N/A,FALSE,"SCHEDULE H";"SUMMARY SCHEDULE",#N/A,FALSE,"SCHEDULE I";#N/A,#N/A,FALSE,"SCHEDULE J";#N/A,#N/A,FALSE,"SCHEDULE 2";#N/A,#N/A,FALSE,"SCHEDULE 3";#N/A,#N/A,FALSE,"MARKETING I";#N/A,#N/A,FALSE,"MARKETING II";#N/A,#N/A,FALSE,"MARKETING III"}</definedName>
    <definedName name="wrn.all.2" localSheetId="6" hidden="1">{#N/A,#N/A,FALSE,"SCHEDULE A";"MINIMUM RENT",#N/A,FALSE,"SCHEDULES B &amp; C";"PERCENTAGE RENT",#N/A,FALSE,"SCHEDULES B &amp; C";#N/A,#N/A,FALSE,"SCHEDULE D";"SUMMARY SCHEDULE",#N/A,FALSE,"SCHEDULE E";#N/A,#N/A,FALSE,"SCHEDULE F";#N/A,#N/A,FALSE,"SCHEDULE G";"SUMMARY SCHEDULE",#N/A,FALSE,"SCHEDULE H";"SUMMARY SCHEDULE",#N/A,FALSE,"SCHEDULE I";#N/A,#N/A,FALSE,"SCHEDULE J";#N/A,#N/A,FALSE,"SCHEDULE 2";#N/A,#N/A,FALSE,"SCHEDULE 3";#N/A,#N/A,FALSE,"MARKETING I";#N/A,#N/A,FALSE,"MARKETING II";#N/A,#N/A,FALSE,"MARKETING III"}</definedName>
    <definedName name="wrn.all.2" hidden="1">{#N/A,#N/A,FALSE,"SCHEDULE A";"MINIMUM RENT",#N/A,FALSE,"SCHEDULES B &amp; C";"PERCENTAGE RENT",#N/A,FALSE,"SCHEDULES B &amp; C";#N/A,#N/A,FALSE,"SCHEDULE D";"SUMMARY SCHEDULE",#N/A,FALSE,"SCHEDULE E";#N/A,#N/A,FALSE,"SCHEDULE F";#N/A,#N/A,FALSE,"SCHEDULE G";"SUMMARY SCHEDULE",#N/A,FALSE,"SCHEDULE H";"SUMMARY SCHEDULE",#N/A,FALSE,"SCHEDULE I";#N/A,#N/A,FALSE,"SCHEDULE J";#N/A,#N/A,FALSE,"SCHEDULE 2";#N/A,#N/A,FALSE,"SCHEDULE 3";#N/A,#N/A,FALSE,"MARKETING I";#N/A,#N/A,FALSE,"MARKETING II";#N/A,#N/A,FALSE,"MARKETING III"}</definedName>
    <definedName name="wrn.all.sched" localSheetId="4" hidden="1">{#N/A,#N/A,FALSE,"CF Consolidated 2";#N/A,#N/A,FALSE,"Retail Assump";#N/A,#N/A,FALSE,"CF Retail";#N/A,#N/A,FALSE,"Garage Assumpt 1";#N/A,#N/A,FALSE,"Garage Op Proj";#N/A,#N/A,FALSE,"Hist I&amp;E";#N/A,#N/A,FALSE,"Rent Roll";#N/A,#N/A,FALSE,"RE Taxes";#N/A,#N/A,FALSE,"CAM - BH";#N/A,#N/A,FALSE,"Comm.Condo CAM"}</definedName>
    <definedName name="wrn.all.sched" localSheetId="8" hidden="1">{#N/A,#N/A,FALSE,"CF Consolidated 2";#N/A,#N/A,FALSE,"Retail Assump";#N/A,#N/A,FALSE,"CF Retail";#N/A,#N/A,FALSE,"Garage Assumpt 1";#N/A,#N/A,FALSE,"Garage Op Proj";#N/A,#N/A,FALSE,"Hist I&amp;E";#N/A,#N/A,FALSE,"Rent Roll";#N/A,#N/A,FALSE,"RE Taxes";#N/A,#N/A,FALSE,"CAM - BH";#N/A,#N/A,FALSE,"Comm.Condo CAM"}</definedName>
    <definedName name="wrn.all.sched" localSheetId="6" hidden="1">{#N/A,#N/A,FALSE,"CF Consolidated 2";#N/A,#N/A,FALSE,"Retail Assump";#N/A,#N/A,FALSE,"CF Retail";#N/A,#N/A,FALSE,"Garage Assumpt 1";#N/A,#N/A,FALSE,"Garage Op Proj";#N/A,#N/A,FALSE,"Hist I&amp;E";#N/A,#N/A,FALSE,"Rent Roll";#N/A,#N/A,FALSE,"RE Taxes";#N/A,#N/A,FALSE,"CAM - BH";#N/A,#N/A,FALSE,"Comm.Condo CAM"}</definedName>
    <definedName name="wrn.all.sched" hidden="1">{#N/A,#N/A,FALSE,"CF Consolidated 2";#N/A,#N/A,FALSE,"Retail Assump";#N/A,#N/A,FALSE,"CF Retail";#N/A,#N/A,FALSE,"Garage Assumpt 1";#N/A,#N/A,FALSE,"Garage Op Proj";#N/A,#N/A,FALSE,"Hist I&amp;E";#N/A,#N/A,FALSE,"Rent Roll";#N/A,#N/A,FALSE,"RE Taxes";#N/A,#N/A,FALSE,"CAM - BH";#N/A,#N/A,FALSE,"Comm.Condo CAM"}</definedName>
    <definedName name="wrn.Analisi._.completa." localSheetId="8" hidden="1">{#N/A,#N/A,TRUE,"Stato Patrimoniale Civilistico";#N/A,#N/A,TRUE,"Conto Economico Civilistico";#N/A,#N/A,TRUE,"Riclassifica SP";#N/A,#N/A,TRUE,"Riclassifica CE";#N/A,#N/A,TRUE,"Indici di Bilancio";#N/A,#N/A,TRUE,"Composizione SP";#N/A,#N/A,TRUE,"Liquidità";#N/A,#N/A,TRUE,"Solidità";#N/A,#N/A,TRUE,"Redditività";#N/A,#N/A,TRUE,"Sviluppo"}</definedName>
    <definedName name="wrn.Analisi._.completa." hidden="1">{#N/A,#N/A,TRUE,"Stato Patrimoniale Civilistico";#N/A,#N/A,TRUE,"Conto Economico Civilistico";#N/A,#N/A,TRUE,"Riclassifica SP";#N/A,#N/A,TRUE,"Riclassifica CE";#N/A,#N/A,TRUE,"Indici di Bilancio";#N/A,#N/A,TRUE,"Composizione SP";#N/A,#N/A,TRUE,"Liquidità";#N/A,#N/A,TRUE,"Solidità";#N/A,#N/A,TRUE,"Redditività";#N/A,#N/A,TRUE,"Sviluppo"}</definedName>
    <definedName name="wrn.ANALISIS." localSheetId="8" hidden="1">{"ANAR",#N/A,FALSE,"Dist total";"MARGEN",#N/A,FALSE,"Dist total";"COMENTARIO",#N/A,FALSE,"Ficha CODICE";"CONSEJO",#N/A,FALSE,"Dist p0";"uno",#N/A,FALSE,"Dist total"}</definedName>
    <definedName name="wrn.ANALISIS." hidden="1">{"ANAR",#N/A,FALSE,"Dist total";"MARGEN",#N/A,FALSE,"Dist total";"COMENTARIO",#N/A,FALSE,"Ficha CODICE";"CONSEJO",#N/A,FALSE,"Dist p0";"uno",#N/A,FALSE,"Dist total"}</definedName>
    <definedName name="wrn.annual." localSheetId="4" hidden="1">{"annual",#N/A,FALSE,"Pro Forma"}</definedName>
    <definedName name="wrn.annual." localSheetId="6" hidden="1">{"annual",#N/A,FALSE,"Pro Forma"}</definedName>
    <definedName name="wrn.annual." hidden="1">{"annual",#N/A,FALSE,"Pro Forma"}</definedName>
    <definedName name="wrn.Annual._.Detail." localSheetId="4" hidden="1">{"annualsum",#N/A,FALSE,"Cost Summary";"annual1",#N/A,FALSE,"Phase_1";"annual2",#N/A,FALSE,"Phase_2";"annual3",#N/A,FALSE,"Phase_3";"annual4",#N/A,FALSE,"Phase_4"}</definedName>
    <definedName name="wrn.Annual._.Detail." localSheetId="6" hidden="1">{"annualsum",#N/A,FALSE,"Cost Summary";"annual1",#N/A,FALSE,"Phase_1";"annual2",#N/A,FALSE,"Phase_2";"annual3",#N/A,FALSE,"Phase_3";"annual4",#N/A,FALSE,"Phase_4"}</definedName>
    <definedName name="wrn.Annual._.Detail." hidden="1">{"annualsum",#N/A,FALSE,"Cost Summary";"annual1",#N/A,FALSE,"Phase_1";"annual2",#N/A,FALSE,"Phase_2";"annual3",#N/A,FALSE,"Phase_3";"annual4",#N/A,FALSE,"Phase_4"}</definedName>
    <definedName name="wrn.Annual._.FS._.in._.Euro." localSheetId="8" hidden="1">{"BS_Euro_2003_2017",#N/A,FALSE,"Annual FS - Euro";"BS_Euro_2018_2030",#N/A,FALSE,"Annual FS - Euro";"IS_Euro_2003_2017",#N/A,FALSE,"Annual FS - Euro";"IS_Euro_2018_2030",#N/A,FALSE,"Annual FS - Euro";"CF_Euro_2003-2017A",#N/A,FALSE,"Annual FS - Euro";"CF_Euro_2018-2030A",#N/A,FALSE,"Annual FS - Euro";"CF_Euro_2003-2017B",#N/A,FALSE,"Annual FS - Euro";"CF_Euro_2018-2030B",#N/A,FALSE,"Annual FS - Euro"}</definedName>
    <definedName name="wrn.Annual._.FS._.in._.Euro." hidden="1">{"BS_Euro_2003_2017",#N/A,FALSE,"Annual FS - Euro";"BS_Euro_2018_2030",#N/A,FALSE,"Annual FS - Euro";"IS_Euro_2003_2017",#N/A,FALSE,"Annual FS - Euro";"IS_Euro_2018_2030",#N/A,FALSE,"Annual FS - Euro";"CF_Euro_2003-2017A",#N/A,FALSE,"Annual FS - Euro";"CF_Euro_2018-2030A",#N/A,FALSE,"Annual FS - Euro";"CF_Euro_2003-2017B",#N/A,FALSE,"Annual FS - Euro";"CF_Euro_2018-2030B",#N/A,FALSE,"Annual FS - Euro"}</definedName>
    <definedName name="wrn.Annual._.Golf." localSheetId="4" hidden="1">{"a_dev",#N/A,FALSE,"Golf Development";"a_memstats",#N/A,FALSE,"Golf Development";"a_opstats",#N/A,FALSE,"Golf Development";"a_rev",#N/A,FALSE,"Golf Development";"a_return",#N/A,FALSE,"Golf Development"}</definedName>
    <definedName name="wrn.Annual._.Golf." localSheetId="6" hidden="1">{"a_dev",#N/A,FALSE,"Golf Development";"a_memstats",#N/A,FALSE,"Golf Development";"a_opstats",#N/A,FALSE,"Golf Development";"a_rev",#N/A,FALSE,"Golf Development";"a_return",#N/A,FALSE,"Golf Development"}</definedName>
    <definedName name="wrn.Annual._.Golf." hidden="1">{"a_dev",#N/A,FALSE,"Golf Development";"a_memstats",#N/A,FALSE,"Golf Development";"a_opstats",#N/A,FALSE,"Golf Development";"a_rev",#N/A,FALSE,"Golf Development";"a_return",#N/A,FALSE,"Golf Development"}</definedName>
    <definedName name="wrn.Annual._.Hotel." localSheetId="4" hidden="1">{"annual hotel",#N/A,FALSE,"Hotel Development"}</definedName>
    <definedName name="wrn.Annual._.Hotel." localSheetId="6" hidden="1">{"annual hotel",#N/A,FALSE,"Hotel Development"}</definedName>
    <definedName name="wrn.Annual._.Hotel." hidden="1">{"annual hotel",#N/A,FALSE,"Hotel Development"}</definedName>
    <definedName name="wrn.Annual._.Land._.Sales." localSheetId="4" hidden="1">{"annual",#N/A,FALSE,"Land Sales"}</definedName>
    <definedName name="wrn.Annual._.Land._.Sales." localSheetId="6" hidden="1">{"annual",#N/A,FALSE,"Land Sales"}</definedName>
    <definedName name="wrn.Annual._.Land._.Sales." hidden="1">{"annual",#N/A,FALSE,"Land Sales"}</definedName>
    <definedName name="wrn.Annual._.Report." localSheetId="8" hidden="1">{"ARPandL",#N/A,FALSE,"Report Annual";"ARCashflow",#N/A,FALSE,"Report Annual";"ARBalanceSheet",#N/A,FALSE,"Report Annual";"ARRatios",#N/A,FALSE,"Report Annual"}</definedName>
    <definedName name="wrn.Annual._.Report." hidden="1">{"ARPandL",#N/A,FALSE,"Report Annual";"ARCashflow",#N/A,FALSE,"Report Annual";"ARBalanceSheet",#N/A,FALSE,"Report Annual";"ARRatios",#N/A,FALSE,"Report Annual"}</definedName>
    <definedName name="wrn.Annual._.Report._.no._.releases." localSheetId="4" hidden="1">{"a_sales",#N/A,FALSE,"Summary";"a_debt",#N/A,FALSE,"Summary";"a_cash",#N/A,FALSE,"Summary";"a_accrual",#N/A,FALSE,"Summary"}</definedName>
    <definedName name="wrn.Annual._.Report._.no._.releases." localSheetId="6" hidden="1">{"a_sales",#N/A,FALSE,"Summary";"a_debt",#N/A,FALSE,"Summary";"a_cash",#N/A,FALSE,"Summary";"a_accrual",#N/A,FALSE,"Summary"}</definedName>
    <definedName name="wrn.Annual._.Report._.no._.releases." hidden="1">{"a_sales",#N/A,FALSE,"Summary";"a_debt",#N/A,FALSE,"Summary";"a_cash",#N/A,FALSE,"Summary";"a_accrual",#N/A,FALSE,"Summary"}</definedName>
    <definedName name="wrn.Annual._.Report._.with._.releases." localSheetId="4" hidden="1">{"a_sales",#N/A,FALSE,"Summary";"a_debt",#N/A,FALSE,"Summary";"a_releases",#N/A,FALSE,"Summary";"a_cash",#N/A,FALSE,"Summary";"a_accrual",#N/A,FALSE,"Summary"}</definedName>
    <definedName name="wrn.Annual._.Report._.with._.releases." localSheetId="6" hidden="1">{"a_sales",#N/A,FALSE,"Summary";"a_debt",#N/A,FALSE,"Summary";"a_releases",#N/A,FALSE,"Summary";"a_cash",#N/A,FALSE,"Summary";"a_accrual",#N/A,FALSE,"Summary"}</definedName>
    <definedName name="wrn.Annual._.Report._.with._.releases." hidden="1">{"a_sales",#N/A,FALSE,"Summary";"a_debt",#N/A,FALSE,"Summary";"a_releases",#N/A,FALSE,"Summary";"a_cash",#N/A,FALSE,"Summary";"a_accrual",#N/A,FALSE,"Summary"}</definedName>
    <definedName name="wrn.Appendix._.A." localSheetId="4" hidden="1">{#N/A,#N/A,FALSE,"Proj Des";#N/A,#N/A,FALSE,"TABLE_A_2";#N/A,#N/A,FALSE,"TABLE_A_3";#N/A,#N/A,FALSE,"REV_1";#N/A,#N/A,FALSE,"EXP_1";#N/A,#N/A,FALSE,"PROP_TAX";#N/A,#N/A,FALSE,"Sales_Tax";#N/A,#N/A,FALSE,"Road_maint";#N/A,#N/A,FALSE,"Fire";#N/A,#N/A,FALSE,"Park_maint"}</definedName>
    <definedName name="wrn.Appendix._.A." localSheetId="6" hidden="1">{#N/A,#N/A,FALSE,"Proj Des";#N/A,#N/A,FALSE,"TABLE_A_2";#N/A,#N/A,FALSE,"TABLE_A_3";#N/A,#N/A,FALSE,"REV_1";#N/A,#N/A,FALSE,"EXP_1";#N/A,#N/A,FALSE,"PROP_TAX";#N/A,#N/A,FALSE,"Sales_Tax";#N/A,#N/A,FALSE,"Road_maint";#N/A,#N/A,FALSE,"Fire";#N/A,#N/A,FALSE,"Park_maint"}</definedName>
    <definedName name="wrn.Appendix._.A." hidden="1">{#N/A,#N/A,FALSE,"Proj Des";#N/A,#N/A,FALSE,"TABLE_A_2";#N/A,#N/A,FALSE,"TABLE_A_3";#N/A,#N/A,FALSE,"REV_1";#N/A,#N/A,FALSE,"EXP_1";#N/A,#N/A,FALSE,"PROP_TAX";#N/A,#N/A,FALSE,"Sales_Tax";#N/A,#N/A,FALSE,"Road_maint";#N/A,#N/A,FALSE,"Fire";#N/A,#N/A,FALSE,"Park_maint"}</definedName>
    <definedName name="wrn.Appraisal." localSheetId="4" hidden="1">{#N/A,#N/A,FALSE,"APPRAISAL";#N/A,#N/A,FALSE,"APPRAISAL 2";#N/A,#N/A,FALSE,"APPRAISAL 3"}</definedName>
    <definedName name="wrn.Appraisal." localSheetId="8" hidden="1">{#N/A,#N/A,FALSE,"APPRAISAL";#N/A,#N/A,FALSE,"APPRAISAL 2";#N/A,#N/A,FALSE,"APPRAISAL 3"}</definedName>
    <definedName name="wrn.Appraisal." localSheetId="6" hidden="1">{#N/A,#N/A,FALSE,"APPRAISAL";#N/A,#N/A,FALSE,"APPRAISAL 2";#N/A,#N/A,FALSE,"APPRAISAL 3"}</definedName>
    <definedName name="wrn.Appraisal." hidden="1">{#N/A,#N/A,FALSE,"APPRAISAL";#N/A,#N/A,FALSE,"APPRAISAL 2";#N/A,#N/A,FALSE,"APPRAISAL 3"}</definedName>
    <definedName name="wrn.Appraisal._.2." localSheetId="4" hidden="1">{#N/A,#N/A,FALSE,"Appraisal 2"}</definedName>
    <definedName name="wrn.Appraisal._.2." localSheetId="6" hidden="1">{#N/A,#N/A,FALSE,"Appraisal 2"}</definedName>
    <definedName name="wrn.Appraisal._.2." hidden="1">{#N/A,#N/A,FALSE,"Appraisal 2"}</definedName>
    <definedName name="wrn.Appraisal._.3." localSheetId="4" hidden="1">{#N/A,#N/A,FALSE,"Appraisal 3"}</definedName>
    <definedName name="wrn.Appraisal._.3." localSheetId="6" hidden="1">{#N/A,#N/A,FALSE,"Appraisal 3"}</definedName>
    <definedName name="wrn.Appraisal._.3." hidden="1">{#N/A,#N/A,FALSE,"Appraisal 3"}</definedName>
    <definedName name="wrn.Arena._.PCD." localSheetId="4" hidden="1">{#N/A,#N/A,TRUE,"Maritime Park Arena PCD";#N/A,#N/A,TRUE,"Maritime Park Arena IOR"}</definedName>
    <definedName name="wrn.Arena._.PCD." localSheetId="8" hidden="1">{#N/A,#N/A,TRUE,"Maritime Park Arena PCD";#N/A,#N/A,TRUE,"Maritime Park Arena IOR"}</definedName>
    <definedName name="wrn.Arena._.PCD." localSheetId="6" hidden="1">{#N/A,#N/A,TRUE,"Maritime Park Arena PCD";#N/A,#N/A,TRUE,"Maritime Park Arena IOR"}</definedName>
    <definedName name="wrn.Arena._.PCD." hidden="1">{#N/A,#N/A,TRUE,"Maritime Park Arena PCD";#N/A,#N/A,TRUE,"Maritime Park Arena IOR"}</definedName>
    <definedName name="wrn.Asia." localSheetId="8"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ia." hidden="1">{"rawdata",#N/A,TRUE,"HKT";"in",#N/A,TRUE,"HKT";"rawdata",#N/A,TRUE,"PTInd";"in",#N/A,TRUE,"PTInd";"rawdata",#N/A,TRUE,"NTT";"in",#N/A,TRUE,"NTT";"rawdata",#N/A,TRUE,"PLD";"in",#N/A,TRUE,"PLD";"rawdata",#N/A,TRUE,"PTTelk";"in",#N/A,TRUE,"PTTelk";"rawdata",#N/A,TRUE,"ST ";"in",#N/A,TRUE,"ST ";"rawdata",#N/A,TRUE,"TAsia";"in",#N/A,TRUE,"TAsia";"rawdata",#N/A,TRUE,"TNZ";"in",#N/A,TRUE,"TNZ";"rawdata",#N/A,TRUE,"TMal";"in",#N/A,TRUE,"TMal";"rawdata",#N/A,TRUE,"TTT";"in",#N/A,TRUE,"TTT";"rawdata",#N/A,TRUE,"Telst";"in",#N/A,TRUE,"Telst"}</definedName>
    <definedName name="wrn.Asset._.Management." localSheetId="4" hidden="1">{#N/A,#N/A,FALSE,"ASSET MGMT."}</definedName>
    <definedName name="wrn.Asset._.Management." localSheetId="8" hidden="1">{#N/A,#N/A,FALSE,"ASSET MGMT."}</definedName>
    <definedName name="wrn.Asset._.Management." localSheetId="6" hidden="1">{#N/A,#N/A,FALSE,"ASSET MGMT."}</definedName>
    <definedName name="wrn.Asset._.Management." hidden="1">{#N/A,#N/A,FALSE,"ASSET MGMT."}</definedName>
    <definedName name="wrn.assumptions." localSheetId="8" hidden="1">{"casespecific",#N/A,FALSE,"Assumptions"}</definedName>
    <definedName name="wrn.assumptions." hidden="1">{"casespecific",#N/A,FALSE,"Assumptions"}</definedName>
    <definedName name="wrn.Atrium." localSheetId="4" hidden="1">{"Atrium-Investor",#N/A,FALSE,"Atrium";"Atrium-Property",#N/A,FALSE,"Atrium"}</definedName>
    <definedName name="wrn.Atrium." localSheetId="6" hidden="1">{"Atrium-Investor",#N/A,FALSE,"Atrium";"Atrium-Property",#N/A,FALSE,"Atrium"}</definedName>
    <definedName name="wrn.Atrium." hidden="1">{"Atrium-Investor",#N/A,FALSE,"Atrium";"Atrium-Property",#N/A,FALSE,"Atrium"}</definedName>
    <definedName name="wrn.away." localSheetId="8" hidden="1">{"away stand alones",#N/A,FALSE,"Target"}</definedName>
    <definedName name="wrn.away." hidden="1">{"away stand alones",#N/A,FALSE,"Target"}</definedName>
    <definedName name="wrn.BA." localSheetId="4" hidden="1">{"ba1",#N/A,TRUE,"B-A";"ba2",#N/A,TRUE,"B-A"}</definedName>
    <definedName name="wrn.BA." localSheetId="8" hidden="1">{"ba1",#N/A,TRUE,"B-A";"ba2",#N/A,TRUE,"B-A"}</definedName>
    <definedName name="wrn.BA." localSheetId="6" hidden="1">{"ba1",#N/A,TRUE,"B-A";"ba2",#N/A,TRUE,"B-A"}</definedName>
    <definedName name="wrn.BA." hidden="1">{"ba1",#N/A,TRUE,"B-A";"ba2",#N/A,TRUE,"B-A"}</definedName>
    <definedName name="wrn.Base._.Case._.Print." localSheetId="4" hidden="1">{#N/A,#N/A,FALSE,"Assumptions";#N/A,#N/A,FALSE,"Ground Rent";#N/A,#N/A,FALSE,"SQFT SUMMARY";#N/A,#N/A,FALSE,"PROJECT COSTS";#N/A,#N/A,FALSE,"Financing";#N/A,#N/A,FALSE,"RE Tax Analysis";#N/A,#N/A,FALSE,"Oper Pro Forma";#N/A,#N/A,FALSE,"Sale and IRR";#N/A,#N/A,FALSE,"Int BackUP"}</definedName>
    <definedName name="wrn.Base._.Case._.Print." localSheetId="6" hidden="1">{#N/A,#N/A,FALSE,"Assumptions";#N/A,#N/A,FALSE,"Ground Rent";#N/A,#N/A,FALSE,"SQFT SUMMARY";#N/A,#N/A,FALSE,"PROJECT COSTS";#N/A,#N/A,FALSE,"Financing";#N/A,#N/A,FALSE,"RE Tax Analysis";#N/A,#N/A,FALSE,"Oper Pro Forma";#N/A,#N/A,FALSE,"Sale and IRR";#N/A,#N/A,FALSE,"Int BackUP"}</definedName>
    <definedName name="wrn.Base._.Case._.Print." hidden="1">{#N/A,#N/A,FALSE,"Assumptions";#N/A,#N/A,FALSE,"Ground Rent";#N/A,#N/A,FALSE,"SQFT SUMMARY";#N/A,#N/A,FALSE,"PROJECT COSTS";#N/A,#N/A,FALSE,"Financing";#N/A,#N/A,FALSE,"RE Tax Analysis";#N/A,#N/A,FALSE,"Oper Pro Forma";#N/A,#N/A,FALSE,"Sale and IRR";#N/A,#N/A,FALSE,"Int BackUP"}</definedName>
    <definedName name="wrn.BaseYearDemand." localSheetId="4" hidden="1">{"Base Year Demand",#N/A,FALSE,"Demand-Base Year"}</definedName>
    <definedName name="wrn.BaseYearDemand." localSheetId="8" hidden="1">{"Base Year Demand",#N/A,FALSE,"Demand-Base Year"}</definedName>
    <definedName name="wrn.BaseYearDemand." localSheetId="6" hidden="1">{"Base Year Demand",#N/A,FALSE,"Demand-Base Year"}</definedName>
    <definedName name="wrn.BaseYearDemand." hidden="1">{"Base Year Demand",#N/A,FALSE,"Demand-Base Year"}</definedName>
    <definedName name="wrn.Basic._.Forecast." localSheetId="4"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wrn.Basic._.Forecast." localSheetId="6"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wrn.Basic._.Forecast." hidden="1">{#N/A,#N/A,FALSE,"Assumptions";#N/A,#N/A,FALSE,"Input";#N/A,#N/A,FALSE,"S &amp; U - Total";#N/A,#N/A,FALSE,"S &amp; U - LIHC";#N/A,#N/A,FALSE,"S &amp; U - Market";#N/A,#N/A,FALSE,"NOI - Total";#N/A,#N/A,FALSE,"NOI - LIHC";#N/A,#N/A,FALSE,"NOI - Market";#N/A,#N/A,FALSE,"TI - Total";#N/A,#N/A,FALSE,"TI - LIHC";#N/A,#N/A,FALSE,"TI - Market";#N/A,#N/A,FALSE,"Costs";#N/A,#N/A,FALSE,"Credit";#N/A,#N/A,FALSE,"LP Rtn";#N/A,#N/A,FALSE,"One Pay-in-LP";#N/A,#N/A,FALSE,"Sale Cash-LP";#N/A,#N/A,FALSE,"Sale Gain-LP";#N/A,#N/A,FALSE,"704(b)-LP";#N/A,#N/A,FALSE,"GP Rtn";#N/A,#N/A,FALSE,"One Pay-in-GP";#N/A,#N/A,FALSE,"Sale Cash-GP";#N/A,#N/A,FALSE,"Sale Gain-GP";#N/A,#N/A,FALSE,"704(b)-GP"}</definedName>
    <definedName name="wrn.Benchmark._.Budget." localSheetId="4" hidden="1">{#N/A,#N/A,TRUE,"Executive Summary100%";#N/A,#N/A,TRUE,"Executive SummaryFC% (2)";#N/A,#N/A,TRUE,"Assumptions";#N/A,#N/A,TRUE,"Benchmark Budget";#N/A,#N/A,TRUE,"Contingency Management";#N/A,#N/A,TRUE,"Bank Budget comparison";#N/A,#N/A,TRUE,"PartnershipBudget";#N/A,#N/A,TRUE,"Cash Flow";#N/A,#N/A,TRUE,"Carry";#N/A,#N/A,TRUE,"IRR 7-YR";#N/A,#N/A,TRUE,"Lease Up";#N/A,#N/A,TRUE,"Waterfall@4%";#N/A,#N/A,TRUE,"Waterfall@5%"}</definedName>
    <definedName name="wrn.Benchmark._.Budget." localSheetId="6" hidden="1">{#N/A,#N/A,TRUE,"Executive Summary100%";#N/A,#N/A,TRUE,"Executive SummaryFC% (2)";#N/A,#N/A,TRUE,"Assumptions";#N/A,#N/A,TRUE,"Benchmark Budget";#N/A,#N/A,TRUE,"Contingency Management";#N/A,#N/A,TRUE,"Bank Budget comparison";#N/A,#N/A,TRUE,"PartnershipBudget";#N/A,#N/A,TRUE,"Cash Flow";#N/A,#N/A,TRUE,"Carry";#N/A,#N/A,TRUE,"IRR 7-YR";#N/A,#N/A,TRUE,"Lease Up";#N/A,#N/A,TRUE,"Waterfall@4%";#N/A,#N/A,TRUE,"Waterfall@5%"}</definedName>
    <definedName name="wrn.Benchmark._.Budget." hidden="1">{#N/A,#N/A,TRUE,"Executive Summary100%";#N/A,#N/A,TRUE,"Executive SummaryFC% (2)";#N/A,#N/A,TRUE,"Assumptions";#N/A,#N/A,TRUE,"Benchmark Budget";#N/A,#N/A,TRUE,"Contingency Management";#N/A,#N/A,TRUE,"Bank Budget comparison";#N/A,#N/A,TRUE,"PartnershipBudget";#N/A,#N/A,TRUE,"Cash Flow";#N/A,#N/A,TRUE,"Carry";#N/A,#N/A,TRUE,"IRR 7-YR";#N/A,#N/A,TRUE,"Lease Up";#N/A,#N/A,TRUE,"Waterfall@4%";#N/A,#N/A,TRUE,"Waterfall@5%"}</definedName>
    <definedName name="wrn.BIGGER." localSheetId="4" hidden="1">{"PROFORMA",#N/A,FALSE,"A";"BIGGER 1",#N/A,FALSE,"B";"BIGGER 2",#N/A,FALSE,"B";"BIGGER 3",#N/A,FALSE,"B";"SMALL CF 1",#N/A,FALSE,"C"}</definedName>
    <definedName name="wrn.BIGGER." localSheetId="8" hidden="1">{"PROFORMA",#N/A,FALSE,"A";"BIGGER 1",#N/A,FALSE,"B";"BIGGER 2",#N/A,FALSE,"B";"BIGGER 3",#N/A,FALSE,"B";"SMALL CF 1",#N/A,FALSE,"C"}</definedName>
    <definedName name="wrn.BIGGER." localSheetId="6" hidden="1">{"PROFORMA",#N/A,FALSE,"A";"BIGGER 1",#N/A,FALSE,"B";"BIGGER 2",#N/A,FALSE,"B";"BIGGER 3",#N/A,FALSE,"B";"SMALL CF 1",#N/A,FALSE,"C"}</definedName>
    <definedName name="wrn.BIGGER." hidden="1">{"PROFORMA",#N/A,FALSE,"A";"BIGGER 1",#N/A,FALSE,"B";"BIGGER 2",#N/A,FALSE,"B";"BIGGER 3",#N/A,FALSE,"B";"SMALL CF 1",#N/A,FALSE,"C"}</definedName>
    <definedName name="wrn.Birdie." localSheetId="4" hidden="1">{#N/A,#N/A,FALSE,"Trans Summary";#N/A,#N/A,FALSE,"Proforma Five Yr";#N/A,#N/A,FALSE,"Occ and Rate"}</definedName>
    <definedName name="wrn.Birdie." localSheetId="6" hidden="1">{#N/A,#N/A,FALSE,"Trans Summary";#N/A,#N/A,FALSE,"Proforma Five Yr";#N/A,#N/A,FALSE,"Occ and Rate"}</definedName>
    <definedName name="wrn.Birdie." hidden="1">{#N/A,#N/A,FALSE,"Trans Summary";#N/A,#N/A,FALSE,"Proforma Five Yr";#N/A,#N/A,FALSE,"Occ and Rate"}</definedName>
    <definedName name="wrn.BlackWhite." localSheetId="4" hidden="1">{#N/A,#N/A,FALSE,"NNN sum";#N/A,#N/A,FALSE,"10-yr Opt. A Sum";#N/A,#N/A,FALSE,"10-yr Opt A Other Costs";#N/A,#N/A,FALSE,"Purchase Sum";#N/A,#N/A,FALSE,"Purchase Other Costs"}</definedName>
    <definedName name="wrn.BlackWhite." localSheetId="6" hidden="1">{#N/A,#N/A,FALSE,"NNN sum";#N/A,#N/A,FALSE,"10-yr Opt. A Sum";#N/A,#N/A,FALSE,"10-yr Opt A Other Costs";#N/A,#N/A,FALSE,"Purchase Sum";#N/A,#N/A,FALSE,"Purchase Other Costs"}</definedName>
    <definedName name="wrn.BlackWhite." hidden="1">{#N/A,#N/A,FALSE,"NNN sum";#N/A,#N/A,FALSE,"10-yr Opt. A Sum";#N/A,#N/A,FALSE,"10-yr Opt A Other Costs";#N/A,#N/A,FALSE,"Purchase Sum";#N/A,#N/A,FALSE,"Purchase Other Costs"}</definedName>
    <definedName name="wrn.bleu4." localSheetId="4" hidden="1">{#N/A,#N/A,FALSE}</definedName>
    <definedName name="wrn.bleu4." localSheetId="8" hidden="1">{#N/A,#N/A,FALSE}</definedName>
    <definedName name="wrn.bleu4." localSheetId="6" hidden="1">{#N/A,#N/A,FALSE}</definedName>
    <definedName name="wrn.bleu4." hidden="1">{#N/A,#N/A,FALSE}</definedName>
    <definedName name="wrn.Blue._.Book._.Sections." localSheetId="4" hidden="1">{#N/A,#N/A,TRUE,"Summary";#N/A,#N/A,TRUE,"Program Scheme";#N/A,#N/A,TRUE,"Assumptions";#N/A,#N/A,TRUE,"Development Budget &amp; Timing";#N/A,#N/A,TRUE,"Cash Flow";#N/A,#N/A,TRUE,"Cash Flow to Debt &amp; Equity"}</definedName>
    <definedName name="wrn.Blue._.Book._.Sections." localSheetId="8" hidden="1">{#N/A,#N/A,TRUE,"Summary";#N/A,#N/A,TRUE,"Program Scheme";#N/A,#N/A,TRUE,"Assumptions";#N/A,#N/A,TRUE,"Development Budget &amp; Timing";#N/A,#N/A,TRUE,"Cash Flow";#N/A,#N/A,TRUE,"Cash Flow to Debt &amp; Equity"}</definedName>
    <definedName name="wrn.Blue._.Book._.Sections." localSheetId="6" hidden="1">{#N/A,#N/A,TRUE,"Summary";#N/A,#N/A,TRUE,"Program Scheme";#N/A,#N/A,TRUE,"Assumptions";#N/A,#N/A,TRUE,"Development Budget &amp; Timing";#N/A,#N/A,TRUE,"Cash Flow";#N/A,#N/A,TRUE,"Cash Flow to Debt &amp; Equity"}</definedName>
    <definedName name="wrn.Blue._.Book._.Sections." hidden="1">{#N/A,#N/A,TRUE,"Summary";#N/A,#N/A,TRUE,"Program Scheme";#N/A,#N/A,TRUE,"Assumptions";#N/A,#N/A,TRUE,"Development Budget &amp; Timing";#N/A,#N/A,TRUE,"Cash Flow";#N/A,#N/A,TRUE,"Cash Flow to Debt &amp; Equity"}</definedName>
    <definedName name="wrn.BofA." localSheetId="4" hidden="1">{"BofA-Investor",#N/A,FALSE,"BofA Tower";"BofA-Property",#N/A,FALSE,"BofA Tower"}</definedName>
    <definedName name="wrn.BofA." localSheetId="6" hidden="1">{"BofA-Investor",#N/A,FALSE,"BofA Tower";"BofA-Property",#N/A,FALSE,"BofA Tower"}</definedName>
    <definedName name="wrn.BofA." hidden="1">{"BofA-Investor",#N/A,FALSE,"BofA Tower";"BofA-Property",#N/A,FALSE,"BofA Tower"}</definedName>
    <definedName name="wrn.Bonds." localSheetId="4" hidden="1">{#N/A,#N/A,FALSE,"Bonds - Consol";#N/A,#N/A,FALSE,"Bonds - Lakes";#N/A,#N/A,FALSE,"Bonds - Chabot";#N/A,#N/A,FALSE,"Bonds - Diablo"}</definedName>
    <definedName name="wrn.Bonds." localSheetId="6" hidden="1">{#N/A,#N/A,FALSE,"Bonds - Consol";#N/A,#N/A,FALSE,"Bonds - Lakes";#N/A,#N/A,FALSE,"Bonds - Chabot";#N/A,#N/A,FALSE,"Bonds - Diablo"}</definedName>
    <definedName name="wrn.Bonds." hidden="1">{#N/A,#N/A,FALSE,"Bonds - Consol";#N/A,#N/A,FALSE,"Bonds - Lakes";#N/A,#N/A,FALSE,"Bonds - Chabot";#N/A,#N/A,FALSE,"Bonds - Diablo"}</definedName>
    <definedName name="wrn.Book." localSheetId="4" hidden="1">{#N/A,#N/A,FALSE,"Summary 1";#N/A,#N/A,FALSE,"Summary 2";#N/A,#N/A,FALSE,"Executive Summary";#N/A,#N/A,FALSE,"Variance";#N/A,#N/A,FALSE,"Budget";#N/A,#N/A,FALSE,"Assumptions";#N/A,#N/A,FALSE,"Cash Flow";#N/A,#N/A,FALSE,"Lease Up";#N/A,#N/A,FALSE,"IRR";#N/A,#N/A,FALSE,"Carry";#N/A,#N/A,FALSE,"Debt Service Summary"}</definedName>
    <definedName name="wrn.Book." localSheetId="6" hidden="1">{#N/A,#N/A,FALSE,"Summary 1";#N/A,#N/A,FALSE,"Summary 2";#N/A,#N/A,FALSE,"Executive Summary";#N/A,#N/A,FALSE,"Variance";#N/A,#N/A,FALSE,"Budget";#N/A,#N/A,FALSE,"Assumptions";#N/A,#N/A,FALSE,"Cash Flow";#N/A,#N/A,FALSE,"Lease Up";#N/A,#N/A,FALSE,"IRR";#N/A,#N/A,FALSE,"Carry";#N/A,#N/A,FALSE,"Debt Service Summary"}</definedName>
    <definedName name="wrn.Book." hidden="1">{#N/A,#N/A,FALSE,"Summary 1";#N/A,#N/A,FALSE,"Summary 2";#N/A,#N/A,FALSE,"Executive Summary";#N/A,#N/A,FALSE,"Variance";#N/A,#N/A,FALSE,"Budget";#N/A,#N/A,FALSE,"Assumptions";#N/A,#N/A,FALSE,"Cash Flow";#N/A,#N/A,FALSE,"Lease Up";#N/A,#N/A,FALSE,"IRR";#N/A,#N/A,FALSE,"Carry";#N/A,#N/A,FALSE,"Debt Service Summary"}</definedName>
    <definedName name="wrn.book7" localSheetId="4" hidden="1">{"page1",#N/A,FALSE,"net investor returns";"page2",#N/A,FALSE,"net investor returns"}</definedName>
    <definedName name="wrn.book7" localSheetId="6" hidden="1">{"page1",#N/A,FALSE,"net investor returns";"page2",#N/A,FALSE,"net investor returns"}</definedName>
    <definedName name="wrn.book7" hidden="1">{"page1",#N/A,FALSE,"net investor returns";"page2",#N/A,FALSE,"net investor returns"}</definedName>
    <definedName name="wrn.Both._.Outputs." localSheetId="4" hidden="1">{"LTV Output",#N/A,FALSE,"Output";"DCR Output",#N/A,FALSE,"Output"}</definedName>
    <definedName name="wrn.Both._.Outputs." localSheetId="8" hidden="1">{"LTV Output",#N/A,FALSE,"Output";"DCR Output",#N/A,FALSE,"Output"}</definedName>
    <definedName name="wrn.Both._.Outputs." localSheetId="6" hidden="1">{"LTV Output",#N/A,FALSE,"Output";"DCR Output",#N/A,FALSE,"Output"}</definedName>
    <definedName name="wrn.Both._.Outputs." hidden="1">{"LTV Output",#N/A,FALSE,"Output";"DCR Output",#N/A,FALSE,"Output"}</definedName>
    <definedName name="wrn.brian." localSheetId="8" hidden="1">{#N/A,#N/A,FALSE,"output";#N/A,#N/A,FALSE,"contrib";#N/A,#N/A,FALSE,"profile";#N/A,#N/A,FALSE,"comps"}</definedName>
    <definedName name="wrn.brian." hidden="1">{#N/A,#N/A,FALSE,"output";#N/A,#N/A,FALSE,"contrib";#N/A,#N/A,FALSE,"profile";#N/A,#N/A,FALSE,"comps"}</definedName>
    <definedName name="wrn.Budget." localSheetId="4" hidden="1">{"Spread Dollars",#N/A,FALSE,"Budget";"Spread Ratios",#N/A,FALSE,"Budget";"Target Comparison",#N/A,FALSE,"Summary"}</definedName>
    <definedName name="wrn.Budget." localSheetId="8" hidden="1">{"Spread Dollars",#N/A,FALSE,"Budget";"Spread Ratios",#N/A,FALSE,"Budget";"Target Comparison",#N/A,FALSE,"Summary"}</definedName>
    <definedName name="wrn.Budget." localSheetId="6" hidden="1">{"Spread Dollars",#N/A,FALSE,"Budget";"Spread Ratios",#N/A,FALSE,"Budget";"Target Comparison",#N/A,FALSE,"Summary"}</definedName>
    <definedName name="wrn.Budget." hidden="1">{"Spread Dollars",#N/A,FALSE,"Budget";"Spread Ratios",#N/A,FALSE,"Budget";"Target Comparison",#N/A,FALSE,"Summary"}</definedName>
    <definedName name="wrn.Buildups." localSheetId="8" hidden="1">{"ACQ",#N/A,FALSE,"ACQUISITIONS";"ACQF",#N/A,FALSE,"ACQUISITIONS";"PF",#N/A,FALSE,"PROYECTOVILA";"PV",#N/A,FALSE,"PROYECTOVILA";"Fee Dev",#N/A,FALSE,"DEVELOPMENT GROWTH";"gd",#N/A,FALSE,"DEVELOPMENT GROWTH"}</definedName>
    <definedName name="wrn.Buildups." hidden="1">{"ACQ",#N/A,FALSE,"ACQUISITIONS";"ACQF",#N/A,FALSE,"ACQUISITIONS";"PF",#N/A,FALSE,"PROYECTOVILA";"PV",#N/A,FALSE,"PROYECTOVILA";"Fee Dev",#N/A,FALSE,"DEVELOPMENT GROWTH";"gd",#N/A,FALSE,"DEVELOPMENT GROWTH"}</definedName>
    <definedName name="wrn.Calculations." localSheetId="8" hidden="1">{"Calc 1",#N/A,FALSE,"CAL";"Calc 2",#N/A,FALSE,"CAL";"Calc 3",#N/A,FALSE,"CAL";"Calc 4",#N/A,FALSE,"CAL";"Calc 5",#N/A,FALSE,"CAL";"Calc 6",#N/A,FALSE,"CAL";"Calc 7",#N/A,FALSE,"CAL";"Calc 8",#N/A,FALSE,"CAL";"Calc 9",#N/A,FALSE,"CAL";"Calc 10",#N/A,FALSE,"CAL";"Calc 11",#N/A,FALSE,"CAL";"Calc 12",#N/A,FALSE,"CAL";"Calc 13",#N/A,FALSE,"CAL";"Calc 14",#N/A,FALSE,"CAL";"Calc 15",#N/A,FALSE,"CAL";"Calc 16",#N/A,FALSE,"CAL";"Calc 17",#N/A,FALSE,"CAL";"Calc 18",#N/A,FALSE,"CAL"}</definedName>
    <definedName name="wrn.Calculations." hidden="1">{"Calc 1",#N/A,FALSE,"CAL";"Calc 2",#N/A,FALSE,"CAL";"Calc 3",#N/A,FALSE,"CAL";"Calc 4",#N/A,FALSE,"CAL";"Calc 5",#N/A,FALSE,"CAL";"Calc 6",#N/A,FALSE,"CAL";"Calc 7",#N/A,FALSE,"CAL";"Calc 8",#N/A,FALSE,"CAL";"Calc 9",#N/A,FALSE,"CAL";"Calc 10",#N/A,FALSE,"CAL";"Calc 11",#N/A,FALSE,"CAL";"Calc 12",#N/A,FALSE,"CAL";"Calc 13",#N/A,FALSE,"CAL";"Calc 14",#N/A,FALSE,"CAL";"Calc 15",#N/A,FALSE,"CAL";"Calc 16",#N/A,FALSE,"CAL";"Calc 17",#N/A,FALSE,"CAL";"Calc 18",#N/A,FALSE,"CAL"}</definedName>
    <definedName name="wrn.Capital_Increm.." localSheetId="4" hidden="1">{#N/A,#N/A,FALSE,"Capital-Incremental"}</definedName>
    <definedName name="wrn.Capital_Increm.." localSheetId="6" hidden="1">{#N/A,#N/A,FALSE,"Capital-Incremental"}</definedName>
    <definedName name="wrn.Capital_Increm.." hidden="1">{#N/A,#N/A,FALSE,"Capital-Incremental"}</definedName>
    <definedName name="wrn.Capital_Nonincre.." localSheetId="4" hidden="1">{#N/A,#N/A,FALSE,"Capital-Nonincremental"}</definedName>
    <definedName name="wrn.Capital_Nonincre.." localSheetId="6" hidden="1">{#N/A,#N/A,FALSE,"Capital-Nonincremental"}</definedName>
    <definedName name="wrn.Capital_Nonincre.." hidden="1">{#N/A,#N/A,FALSE,"Capital-Nonincremental"}</definedName>
    <definedName name="wrn.CAPREIT." localSheetId="4" hidden="1">{#N/A,#N/A,FALSE,"CAPREIT"}</definedName>
    <definedName name="wrn.CAPREIT." localSheetId="8" hidden="1">{#N/A,#N/A,FALSE,"CAPREIT"}</definedName>
    <definedName name="wrn.CAPREIT." localSheetId="6" hidden="1">{#N/A,#N/A,FALSE,"CAPREIT"}</definedName>
    <definedName name="wrn.CAPREIT." hidden="1">{#N/A,#N/A,FALSE,"CAPREIT"}</definedName>
    <definedName name="wrn.CAPREIT2" localSheetId="4" hidden="1">{#N/A,#N/A,FALSE,"CAPREIT"}</definedName>
    <definedName name="wrn.CAPREIT2" localSheetId="8" hidden="1">{#N/A,#N/A,FALSE,"CAPREIT"}</definedName>
    <definedName name="wrn.CAPREIT2" localSheetId="6" hidden="1">{#N/A,#N/A,FALSE,"CAPREIT"}</definedName>
    <definedName name="wrn.CAPREIT2" hidden="1">{#N/A,#N/A,FALSE,"CAPREIT"}</definedName>
    <definedName name="wrn.cash" localSheetId="4" hidden="1">{#N/A,#N/A,FALSE,"Matrix";#N/A,#N/A,FALSE,"Cash Flow";#N/A,#N/A,FALSE,"10 Year Cost Analysis"}</definedName>
    <definedName name="wrn.cash" localSheetId="8" hidden="1">{#N/A,#N/A,FALSE,"Matrix";#N/A,#N/A,FALSE,"Cash Flow";#N/A,#N/A,FALSE,"10 Year Cost Analysis"}</definedName>
    <definedName name="wrn.cash" localSheetId="6" hidden="1">{#N/A,#N/A,FALSE,"Matrix";#N/A,#N/A,FALSE,"Cash Flow";#N/A,#N/A,FALSE,"10 Year Cost Analysis"}</definedName>
    <definedName name="wrn.cash" hidden="1">{#N/A,#N/A,FALSE,"Matrix";#N/A,#N/A,FALSE,"Cash Flow";#N/A,#N/A,FALSE,"10 Year Cost Analysis"}</definedName>
    <definedName name="wrn.cash." localSheetId="8" hidden="1">{"assumption cash",#N/A,TRUE,"Merger";"has gets cash",#N/A,TRUE,"Merger";"accretion dilution",#N/A,TRUE,"Merger";"comparison credit stats",#N/A,TRUE,"Merger";"pf credit stats",#N/A,TRUE,"Merger";"pf sheets",#N/A,TRUE,"Merger"}</definedName>
    <definedName name="wrn.cash." hidden="1">{"assumption cash",#N/A,TRUE,"Merger";"has gets cash",#N/A,TRUE,"Merger";"accretion dilution",#N/A,TRUE,"Merger";"comparison credit stats",#N/A,TRUE,"Merger";"pf credit stats",#N/A,TRUE,"Merger";"pf sheets",#N/A,TRUE,"Merger"}</definedName>
    <definedName name="wrn.Cash._.and._.Accrual." localSheetId="4" hidden="1">{"a_cash",#N/A,FALSE,"Summary";"a_accrual",#N/A,FALSE,"Summary"}</definedName>
    <definedName name="wrn.Cash._.and._.Accrual." localSheetId="6" hidden="1">{"a_cash",#N/A,FALSE,"Summary";"a_accrual",#N/A,FALSE,"Summary"}</definedName>
    <definedName name="wrn.Cash._.and._.Accrual." hidden="1">{"a_cash",#N/A,FALSE,"Summary";"a_accrual",#N/A,FALSE,"Summary"}</definedName>
    <definedName name="wrn.Cash._.Flow." localSheetId="4" hidden="1">{#N/A,#N/A,TRUE,"CashFlowSummary";#N/A,#N/A,TRUE,"FinanceCashFlow";#N/A,#N/A,TRUE,"LandCashFlow";#N/A,#N/A,TRUE,"ConstCashFlow";#N/A,#N/A,TRUE,"A&amp;ECashFlow";#N/A,#N/A,TRUE,"IndirectCashFlow";#N/A,#N/A,TRUE,"MarketingCashFlow";#N/A,#N/A,TRUE,"LeaseUp";#N/A,#N/A,TRUE,"G&amp;ACashFlow"}</definedName>
    <definedName name="wrn.Cash._.Flow." localSheetId="8" hidden="1">{#N/A,#N/A,TRUE,"CashFlowSummary";#N/A,#N/A,TRUE,"FinanceCashFlow";#N/A,#N/A,TRUE,"LandCashFlow";#N/A,#N/A,TRUE,"ConstCashFlow";#N/A,#N/A,TRUE,"A&amp;ECashFlow";#N/A,#N/A,TRUE,"IndirectCashFlow";#N/A,#N/A,TRUE,"MarketingCashFlow";#N/A,#N/A,TRUE,"LeaseUp";#N/A,#N/A,TRUE,"G&amp;ACashFlow"}</definedName>
    <definedName name="wrn.Cash._.Flow." localSheetId="6" hidden="1">{#N/A,#N/A,TRUE,"CashFlowSummary";#N/A,#N/A,TRUE,"FinanceCashFlow";#N/A,#N/A,TRUE,"LandCashFlow";#N/A,#N/A,TRUE,"ConstCashFlow";#N/A,#N/A,TRUE,"A&amp;ECashFlow";#N/A,#N/A,TRUE,"IndirectCashFlow";#N/A,#N/A,TRUE,"MarketingCashFlow";#N/A,#N/A,TRUE,"LeaseUp";#N/A,#N/A,TRUE,"G&amp;ACashFlow"}</definedName>
    <definedName name="wrn.Cash._.Flow." hidden="1">{#N/A,#N/A,TRUE,"CashFlowSummary";#N/A,#N/A,TRUE,"FinanceCashFlow";#N/A,#N/A,TRUE,"LandCashFlow";#N/A,#N/A,TRUE,"ConstCashFlow";#N/A,#N/A,TRUE,"A&amp;ECashFlow";#N/A,#N/A,TRUE,"IndirectCashFlow";#N/A,#N/A,TRUE,"MarketingCashFlow";#N/A,#N/A,TRUE,"LeaseUp";#N/A,#N/A,TRUE,"G&amp;ACashFlow"}</definedName>
    <definedName name="wrn.Cash._.Flow._.Analysis." localSheetId="4" hidden="1">{"CF",#N/A,FALSE,"Cash Flow";"RET",#N/A,FALSE,"Returns";"NPV",#N/A,FALSE,"Values";"ASMPT",#N/A,FALSE,"Assumptions"}</definedName>
    <definedName name="wrn.Cash._.Flow._.Analysis." localSheetId="6" hidden="1">{"CF",#N/A,FALSE,"Cash Flow";"RET",#N/A,FALSE,"Returns";"NPV",#N/A,FALSE,"Values";"ASMPT",#N/A,FALSE,"Assumptions"}</definedName>
    <definedName name="wrn.Cash._.Flow._.Analysis." hidden="1">{"CF",#N/A,FALSE,"Cash Flow";"RET",#N/A,FALSE,"Returns";"NPV",#N/A,FALSE,"Values";"ASMPT",#N/A,FALSE,"Assumptions"}</definedName>
    <definedName name="wrn.Cash._.Flow._.Analysis7" localSheetId="4" hidden="1">{"CF",#N/A,FALSE,"Cash Flow";"RET",#N/A,FALSE,"Returns";"NPV",#N/A,FALSE,"Values";"ASMPT",#N/A,FALSE,"Assumptions"}</definedName>
    <definedName name="wrn.Cash._.Flow._.Analysis7" localSheetId="6" hidden="1">{"CF",#N/A,FALSE,"Cash Flow";"RET",#N/A,FALSE,"Returns";"NPV",#N/A,FALSE,"Values";"ASMPT",#N/A,FALSE,"Assumptions"}</definedName>
    <definedName name="wrn.Cash._.Flow._.Analysis7" hidden="1">{"CF",#N/A,FALSE,"Cash Flow";"RET",#N/A,FALSE,"Returns";"NPV",#N/A,FALSE,"Values";"ASMPT",#N/A,FALSE,"Assumptions"}</definedName>
    <definedName name="wrn.Cash._.Flow._.and._.Matrix." localSheetId="4" hidden="1">{#N/A,#N/A,FALSE,"Matrix";#N/A,#N/A,FALSE,"Cash Flow";#N/A,#N/A,FALSE,"10 Year Cost Analysis"}</definedName>
    <definedName name="wrn.Cash._.Flow._.and._.Matrix." localSheetId="8" hidden="1">{#N/A,#N/A,FALSE,"Matrix";#N/A,#N/A,FALSE,"Cash Flow";#N/A,#N/A,FALSE,"10 Year Cost Analysis"}</definedName>
    <definedName name="wrn.Cash._.Flow._.and._.Matrix." localSheetId="6" hidden="1">{#N/A,#N/A,FALSE,"Matrix";#N/A,#N/A,FALSE,"Cash Flow";#N/A,#N/A,FALSE,"10 Year Cost Analysis"}</definedName>
    <definedName name="wrn.Cash._.Flow._.and._.Matrix." hidden="1">{#N/A,#N/A,FALSE,"Matrix";#N/A,#N/A,FALSE,"Cash Flow";#N/A,#N/A,FALSE,"10 Year Cost Analysis"}</definedName>
    <definedName name="wrn.CASH._.FLOWS._.ONLY." localSheetId="4" hidden="1">{#N/A,#N/A,FALSE,"Assumptions";#N/A,#N/A,FALSE,"Consol CF";#N/A,#N/A,FALSE,"Hacienda CF";#N/A,#N/A,FALSE,"Chabot CF";#N/A,#N/A,FALSE,"Diablo CF"}</definedName>
    <definedName name="wrn.CASH._.FLOWS._.ONLY." localSheetId="8" hidden="1">{#N/A,#N/A,FALSE,"Assumptions";#N/A,#N/A,FALSE,"Consol CF";#N/A,#N/A,FALSE,"Hacienda CF";#N/A,#N/A,FALSE,"Chabot CF";#N/A,#N/A,FALSE,"Diablo CF"}</definedName>
    <definedName name="wrn.CASH._.FLOWS._.ONLY." localSheetId="6" hidden="1">{#N/A,#N/A,FALSE,"Assumptions";#N/A,#N/A,FALSE,"Consol CF";#N/A,#N/A,FALSE,"Hacienda CF";#N/A,#N/A,FALSE,"Chabot CF";#N/A,#N/A,FALSE,"Diablo CF"}</definedName>
    <definedName name="wrn.CASH._.FLOWS._.ONLY." hidden="1">{#N/A,#N/A,FALSE,"Assumptions";#N/A,#N/A,FALSE,"Consol CF";#N/A,#N/A,FALSE,"Hacienda CF";#N/A,#N/A,FALSE,"Chabot CF";#N/A,#N/A,FALSE,"Diablo CF"}</definedName>
    <definedName name="wrn.CCC." localSheetId="4" hidden="1">{#N/A,#N/A,FALSE,"A";#N/A,#N/A,FALSE,"B"}</definedName>
    <definedName name="wrn.CCC." localSheetId="8" hidden="1">{#N/A,#N/A,FALSE,"A";#N/A,#N/A,FALSE,"B"}</definedName>
    <definedName name="wrn.CCC." localSheetId="6" hidden="1">{#N/A,#N/A,FALSE,"A";#N/A,#N/A,FALSE,"B"}</definedName>
    <definedName name="wrn.CCC." hidden="1">{#N/A,#N/A,FALSE,"A";#N/A,#N/A,FALSE,"B"}</definedName>
    <definedName name="wrn.CCC._.OPEX." localSheetId="4"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wrn.CCC._.OPEX." localSheetId="8"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wrn.CCC._.OPEX." localSheetId="6"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wrn.CCC._.OPEX."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wrn.CD." localSheetId="4" hidden="1">{"CD1",#N/A,TRUE,"C-D (R)";"CD2",#N/A,TRUE,"C-D (R)"}</definedName>
    <definedName name="wrn.CD." localSheetId="8" hidden="1">{"CD1",#N/A,TRUE,"C-D (R)";"CD2",#N/A,TRUE,"C-D (R)"}</definedName>
    <definedName name="wrn.CD." localSheetId="6" hidden="1">{"CD1",#N/A,TRUE,"C-D (R)";"CD2",#N/A,TRUE,"C-D (R)"}</definedName>
    <definedName name="wrn.CD." hidden="1">{"CD1",#N/A,TRUE,"C-D (R)";"CD2",#N/A,TRUE,"C-D (R)"}</definedName>
    <definedName name="wrn.CF._.Print." localSheetId="4"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8"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localSheetId="6"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F._.Print." hidden="1">{#N/A,#N/A,FALSE,"Cash Flow";#N/A,#N/A,FALSE,"FFO";#N/A,#N/A,FALSE,"Dvlpt Assumptions";#N/A,#N/A,FALSE,"Equity &amp; Constr Financing";#N/A,#N/A,FALSE,"JV Fee Analysis - cash";#N/A,#N/A,FALSE,"JV Fee Analysis - GAAP";#N/A,#N/A,FALSE,"Prop CF Adj";#N/A,#N/A,FALSE,"Land Sales";#N/A,#N/A,FALSE,"Capex, existing";#N/A,#N/A,FALSE,"Capex,97 Budget";#N/A,#N/A,FALSE,"Capex, dvlpt";#N/A,#N/A,FALSE,"Cap overhead";#N/A,#N/A,FALSE,"Project Equity";#N/A,#N/A,FALSE,"Leasing Fees";#N/A,#N/A,FALSE,"Debt";#N/A,#N/A,FALSE,"Capitalized Interest";#N/A,#N/A,FALSE,"FF&amp; E Loan";#N/A,#N/A,FALSE,"Strip loan";#N/A,#N/A,FALSE,"Franklin Loan";#N/A,#N/A,FALSE,"Poto_Gurn Amortiz";#N/A,#N/A,FALSE,"Dividend Distr";#N/A,#N/A,FALSE,"Investment in Partnerships";#N/A,#N/A,FALSE,"JV Ops Cash Flow Adj.";#N/A,#N/A,FALSE,"Ontario";#N/A,#N/A,FALSE,"Ontario-Proj";#N/A,#N/A,FALSE,"Ont Debt";#N/A,#N/A,FALSE,"Grapevine";#N/A,#N/A,FALSE,"Grapevine-Proj";#N/A,#N/A,FALSE,"Arizona";#N/A,#N/A,FALSE,"Arizona - Proj";#N/A,#N/A,FALSE,"Sawgrass Ph III";#N/A,#N/A,FALSE,"Saw Phase III-Proj";#N/A,#N/A,FALSE,"City Center";#N/A,#N/A,FALSE,"City Center-Proj";#N/A,#N/A,FALSE,"Columbus";#N/A,#N/A,FALSE,"Columbus-Proj";#N/A,#N/A,FALSE,"Atlanta";#N/A,#N/A,FALSE,"Atlanta-Proj";#N/A,#N/A,FALSE,"Monee";#N/A,#N/A,FALSE,"Monee-Proj";#N/A,#N/A,FALSE,"Houston";#N/A,#N/A,FALSE,"Houston-Proj";#N/A,#N/A,FALSE,"San Francisco";#N/A,#N/A,FALSE,"San Francisco-Proj";#N/A,#N/A,FALSE,"Meadowlands";#N/A,#N/A,FALSE,"Meadowlands-Proj";#N/A,#N/A,FALSE,"Toronto";#N/A,#N/A,FALSE,"Toronto-Proj"}</definedName>
    <definedName name="wrn.CHART2._.detail." localSheetId="4" hidden="1">{#N/A,#N/A,FALSE,"Chart 2 by Prop Type"}</definedName>
    <definedName name="wrn.CHART2._.detail." localSheetId="8" hidden="1">{#N/A,#N/A,FALSE,"Chart 2 by Prop Type"}</definedName>
    <definedName name="wrn.CHART2._.detail." localSheetId="6" hidden="1">{#N/A,#N/A,FALSE,"Chart 2 by Prop Type"}</definedName>
    <definedName name="wrn.CHART2._.detail." hidden="1">{#N/A,#N/A,FALSE,"Chart 2 by Prop Type"}</definedName>
    <definedName name="wrn.check." localSheetId="4"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 localSheetId="8"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 localSheetId="6"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2" localSheetId="4"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2" localSheetId="8"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2" localSheetId="6"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heck.2" hidden="1">{#N/A,#N/A,FALSE,"Summary";#N/A,#N/A,FALSE,"Project Summary";#N/A,#N/A,FALSE,"Development Cost Summary";#N/A,#N/A,FALSE,"Development Cost Allocation";#N/A,#N/A,FALSE,"Pad Fees";#N/A,#N/A,FALSE,"Costs";#N/A,#N/A,FALSE,"Parking Budget";#N/A,#N/A,FALSE,"Retail Development Budget";#N/A,#N/A,FALSE,"Office Development Budget";#N/A,#N/A,FALSE,"Hotel Development Budget"}</definedName>
    <definedName name="wrn.Cleveland." localSheetId="4" hidden="1">{#N/A,#N/A,FALSE,"Exec. Summary";#N/A,#N/A,FALSE,"Budget";#N/A,#N/A,FALSE,"Assumptions";#N/A,#N/A,FALSE,"Cash Flow";#N/A,#N/A,FALSE,"Apt. Lease-up";#N/A,#N/A,FALSE,"Carry"}</definedName>
    <definedName name="wrn.Cleveland." localSheetId="6" hidden="1">{#N/A,#N/A,FALSE,"Exec. Summary";#N/A,#N/A,FALSE,"Budget";#N/A,#N/A,FALSE,"Assumptions";#N/A,#N/A,FALSE,"Cash Flow";#N/A,#N/A,FALSE,"Apt. Lease-up";#N/A,#N/A,FALSE,"Carry"}</definedName>
    <definedName name="wrn.Cleveland." hidden="1">{#N/A,#N/A,FALSE,"Exec. Summary";#N/A,#N/A,FALSE,"Budget";#N/A,#N/A,FALSE,"Assumptions";#N/A,#N/A,FALSE,"Cash Flow";#N/A,#N/A,FALSE,"Apt. Lease-up";#N/A,#N/A,FALSE,"Carry"}</definedName>
    <definedName name="wrn.combined." localSheetId="4" hidden="1">{#N/A,#N/A,FALSE,"Page 2";#N/A,#N/A,FALSE,"Page 1A";#N/A,#N/A,FALSE,"Page 1B";#N/A,#N/A,FALSE,"ExecSum";#N/A,#N/A,FALSE,"Variance";#N/A,#N/A,FALSE,"Budget";#N/A,#N/A,FALSE,"CashFlow";#N/A,#N/A,FALSE,"Lease Summary";#N/A,#N/A,FALSE,"Summary1";#N/A,#N/A,FALSE,"Page 3";#N/A,#N/A,FALSE,"Page 4";#N/A,#N/A,FALSE,"Carry";#N/A,#N/A,FALSE,"Promote";#N/A,#N/A,FALSE,"Promote bef Refi"}</definedName>
    <definedName name="wrn.combined." localSheetId="6" hidden="1">{#N/A,#N/A,FALSE,"Page 2";#N/A,#N/A,FALSE,"Page 1A";#N/A,#N/A,FALSE,"Page 1B";#N/A,#N/A,FALSE,"ExecSum";#N/A,#N/A,FALSE,"Variance";#N/A,#N/A,FALSE,"Budget";#N/A,#N/A,FALSE,"CashFlow";#N/A,#N/A,FALSE,"Lease Summary";#N/A,#N/A,FALSE,"Summary1";#N/A,#N/A,FALSE,"Page 3";#N/A,#N/A,FALSE,"Page 4";#N/A,#N/A,FALSE,"Carry";#N/A,#N/A,FALSE,"Promote";#N/A,#N/A,FALSE,"Promote bef Refi"}</definedName>
    <definedName name="wrn.combined." hidden="1">{#N/A,#N/A,FALSE,"Page 2";#N/A,#N/A,FALSE,"Page 1A";#N/A,#N/A,FALSE,"Page 1B";#N/A,#N/A,FALSE,"ExecSum";#N/A,#N/A,FALSE,"Variance";#N/A,#N/A,FALSE,"Budget";#N/A,#N/A,FALSE,"CashFlow";#N/A,#N/A,FALSE,"Lease Summary";#N/A,#N/A,FALSE,"Summary1";#N/A,#N/A,FALSE,"Page 3";#N/A,#N/A,FALSE,"Page 4";#N/A,#N/A,FALSE,"Carry";#N/A,#N/A,FALSE,"Promote";#N/A,#N/A,FALSE,"Promote bef Refi"}</definedName>
    <definedName name="wrn.Competition." localSheetId="4" hidden="1">{#N/A,#N/A,FALSE,"CompSummary";#N/A,#N/A,FALSE,"Comp1";#N/A,#N/A,FALSE,"Comp2";#N/A,#N/A,FALSE,"Comp3";#N/A,#N/A,FALSE,"Comp4";#N/A,#N/A,FALSE,"Comp5";#N/A,#N/A,FALSE,"Our Prop";#N/A,#N/A,FALSE,"Projection Sheet"}</definedName>
    <definedName name="wrn.Competition." localSheetId="8" hidden="1">{#N/A,#N/A,FALSE,"CompSummary";#N/A,#N/A,FALSE,"Comp1";#N/A,#N/A,FALSE,"Comp2";#N/A,#N/A,FALSE,"Comp3";#N/A,#N/A,FALSE,"Comp4";#N/A,#N/A,FALSE,"Comp5";#N/A,#N/A,FALSE,"Our Prop";#N/A,#N/A,FALSE,"Projection Sheet"}</definedName>
    <definedName name="wrn.Competition." localSheetId="6" hidden="1">{#N/A,#N/A,FALSE,"CompSummary";#N/A,#N/A,FALSE,"Comp1";#N/A,#N/A,FALSE,"Comp2";#N/A,#N/A,FALSE,"Comp3";#N/A,#N/A,FALSE,"Comp4";#N/A,#N/A,FALSE,"Comp5";#N/A,#N/A,FALSE,"Our Prop";#N/A,#N/A,FALSE,"Projection Sheet"}</definedName>
    <definedName name="wrn.Competition." hidden="1">{#N/A,#N/A,FALSE,"CompSummary";#N/A,#N/A,FALSE,"Comp1";#N/A,#N/A,FALSE,"Comp2";#N/A,#N/A,FALSE,"Comp3";#N/A,#N/A,FALSE,"Comp4";#N/A,#N/A,FALSE,"Comp5";#N/A,#N/A,FALSE,"Our Prop";#N/A,#N/A,FALSE,"Projection Sheet"}</definedName>
    <definedName name="wrn.COMPLETE." localSheetId="4" hidden="1">{#N/A,#N/A,FALSE,"COVER";#N/A,#N/A,FALSE,"PROFORMA";#N/A,#N/A,FALSE,"Construction CF";#N/A,#N/A,FALSE,"CASHFLOW";#N/A,#N/A,FALSE,"Sale &amp; IRR Analysis";#N/A,#N/A,FALSE,"Amortization Table";#N/A,#N/A,FALSE,"Amortization FEMA";#N/A,#N/A,FALSE,"INCOME"}</definedName>
    <definedName name="wrn.COMPLETE." localSheetId="8" hidden="1">{#N/A,#N/A,FALSE,"COVER";#N/A,#N/A,FALSE,"PROFORMA";#N/A,#N/A,FALSE,"Construction CF";#N/A,#N/A,FALSE,"CASHFLOW";#N/A,#N/A,FALSE,"Sale &amp; IRR Analysis";#N/A,#N/A,FALSE,"Amortization Table";#N/A,#N/A,FALSE,"Amortization FEMA";#N/A,#N/A,FALSE,"INCOME"}</definedName>
    <definedName name="wrn.COMPLETE." localSheetId="6" hidden="1">{#N/A,#N/A,FALSE,"COVER";#N/A,#N/A,FALSE,"PROFORMA";#N/A,#N/A,FALSE,"Construction CF";#N/A,#N/A,FALSE,"CASHFLOW";#N/A,#N/A,FALSE,"Sale &amp; IRR Analysis";#N/A,#N/A,FALSE,"Amortization Table";#N/A,#N/A,FALSE,"Amortization FEMA";#N/A,#N/A,FALSE,"INCOME"}</definedName>
    <definedName name="wrn.COMPLETE." hidden="1">{#N/A,#N/A,FALSE,"COVER";#N/A,#N/A,FALSE,"PROFORMA";#N/A,#N/A,FALSE,"Construction CF";#N/A,#N/A,FALSE,"CASHFLOW";#N/A,#N/A,FALSE,"Sale &amp; IRR Analysis";#N/A,#N/A,FALSE,"Amortization Table";#N/A,#N/A,FALSE,"Amortization FEMA";#N/A,#N/A,FALSE,"INCOME"}</definedName>
    <definedName name="wrn.Complete._.Review." localSheetId="4" hidden="1">{#N/A,#N/A,FALSE,"Occ and Rate";#N/A,#N/A,FALSE,"PF Input";#N/A,#N/A,FALSE,"Capital Input";#N/A,#N/A,FALSE,"Proforma Five Yr";#N/A,#N/A,FALSE,"Calculations";#N/A,#N/A,FALSE,"Transaction Summary-DTW"}</definedName>
    <definedName name="wrn.Complete._.Review." localSheetId="8" hidden="1">{#N/A,#N/A,FALSE,"Occ and Rate";#N/A,#N/A,FALSE,"PF Input";#N/A,#N/A,FALSE,"Capital Input";#N/A,#N/A,FALSE,"Proforma Five Yr";#N/A,#N/A,FALSE,"Calculations";#N/A,#N/A,FALSE,"Transaction Summary-DTW"}</definedName>
    <definedName name="wrn.Complete._.Review." localSheetId="6" hidden="1">{#N/A,#N/A,FALSE,"Occ and Rate";#N/A,#N/A,FALSE,"PF Input";#N/A,#N/A,FALSE,"Capital Input";#N/A,#N/A,FALSE,"Proforma Five Yr";#N/A,#N/A,FALSE,"Calculations";#N/A,#N/A,FALSE,"Transaction Summary-DTW"}</definedName>
    <definedName name="wrn.Complete._.Review." hidden="1">{#N/A,#N/A,FALSE,"Occ and Rate";#N/A,#N/A,FALSE,"PF Input";#N/A,#N/A,FALSE,"Capital Input";#N/A,#N/A,FALSE,"Proforma Five Yr";#N/A,#N/A,FALSE,"Calculations";#N/A,#N/A,FALSE,"Transaction Summary-DTW"}</definedName>
    <definedName name="wrn.comps." localSheetId="8" hidden="1">{"comps",#N/A,FALSE,"comps";"notes",#N/A,FALSE,"comps"}</definedName>
    <definedName name="wrn.comps." hidden="1">{"comps",#N/A,FALSE,"comps";"notes",#N/A,FALSE,"comps"}</definedName>
    <definedName name="wrn.Comps1_Printing." localSheetId="8" hidden="1">{"comps1_1",#N/A,FALSE,"Comps1";"comps1_2",#N/A,FALSE,"Comps1";"comps1_3",#N/A,FALSE,"Comps1";"comps1_4",#N/A,FALSE,"Comps1";"comps1_5",#N/A,FALSE,"Comps1"}</definedName>
    <definedName name="wrn.Comps1_Printing." hidden="1">{"comps1_1",#N/A,FALSE,"Comps1";"comps1_2",#N/A,FALSE,"Comps1";"comps1_3",#N/A,FALSE,"Comps1";"comps1_4",#N/A,FALSE,"Comps1";"comps1_5",#N/A,FALSE,"Comps1"}</definedName>
    <definedName name="wrn.Comps2_Printing." localSheetId="8" hidden="1">{"comps2_1",#N/A,FALSE,"Comps2";"comps2_2",#N/A,FALSE,"Comps2";"comps2_3",#N/A,FALSE,"Comps2";"comps2_4",#N/A,FALSE,"Comps2";"comps2_5",#N/A,FALSE,"Comps2"}</definedName>
    <definedName name="wrn.Comps2_Printing." hidden="1">{"comps2_1",#N/A,FALSE,"Comps2";"comps2_2",#N/A,FALSE,"Comps2";"comps2_3",#N/A,FALSE,"Comps2";"comps2_4",#N/A,FALSE,"Comps2";"comps2_5",#N/A,FALSE,"Comps2"}</definedName>
    <definedName name="wrn.Control._.Sheet." localSheetId="4" hidden="1">{#N/A,#N/A,FALSE,"CONTROL"}</definedName>
    <definedName name="wrn.Control._.Sheet." localSheetId="8" hidden="1">{#N/A,#N/A,FALSE,"CONTROL"}</definedName>
    <definedName name="wrn.Control._.Sheet." localSheetId="6" hidden="1">{#N/A,#N/A,FALSE,"CONTROL"}</definedName>
    <definedName name="wrn.Control._.Sheet." hidden="1">{#N/A,#N/A,FALSE,"CONTROL"}</definedName>
    <definedName name="wrn.cooper." localSheetId="8" hidden="1">{#N/A,#N/A,TRUE,"Pro Forma";#N/A,#N/A,TRUE,"PF_Bal";#N/A,#N/A,TRUE,"PF_INC";#N/A,#N/A,TRUE,"CBE";#N/A,#N/A,TRUE,"SWK"}</definedName>
    <definedName name="wrn.cooper." hidden="1">{#N/A,#N/A,TRUE,"Pro Forma";#N/A,#N/A,TRUE,"PF_Bal";#N/A,#N/A,TRUE,"PF_INC";#N/A,#N/A,TRUE,"CBE";#N/A,#N/A,TRUE,"SWK"}</definedName>
    <definedName name="wrn.Cost._.Report." localSheetId="4" hidden="1">{#N/A,#N/A,TRUE,"CostSumm";#N/A,#N/A,TRUE,"Land";#N/A,#N/A,TRUE,"Construction";#N/A,#N/A,TRUE,"A&amp;E";#N/A,#N/A,TRUE,"Indirect";#N/A,#N/A,TRUE,"Marketing";#N/A,#N/A,TRUE,"Finance";#N/A,#N/A,TRUE,"Gen and Admin"}</definedName>
    <definedName name="wrn.Cost._.Report." localSheetId="8" hidden="1">{#N/A,#N/A,TRUE,"CostSumm";#N/A,#N/A,TRUE,"Land";#N/A,#N/A,TRUE,"Construction";#N/A,#N/A,TRUE,"A&amp;E";#N/A,#N/A,TRUE,"Indirect";#N/A,#N/A,TRUE,"Marketing";#N/A,#N/A,TRUE,"Finance";#N/A,#N/A,TRUE,"Gen and Admin"}</definedName>
    <definedName name="wrn.Cost._.Report." localSheetId="6" hidden="1">{#N/A,#N/A,TRUE,"CostSumm";#N/A,#N/A,TRUE,"Land";#N/A,#N/A,TRUE,"Construction";#N/A,#N/A,TRUE,"A&amp;E";#N/A,#N/A,TRUE,"Indirect";#N/A,#N/A,TRUE,"Marketing";#N/A,#N/A,TRUE,"Finance";#N/A,#N/A,TRUE,"Gen and Admin"}</definedName>
    <definedName name="wrn.Cost._.Report." hidden="1">{#N/A,#N/A,TRUE,"CostSumm";#N/A,#N/A,TRUE,"Land";#N/A,#N/A,TRUE,"Construction";#N/A,#N/A,TRUE,"A&amp;E";#N/A,#N/A,TRUE,"Indirect";#N/A,#N/A,TRUE,"Marketing";#N/A,#N/A,TRUE,"Finance";#N/A,#N/A,TRUE,"Gen and Admin"}</definedName>
    <definedName name="wrn.Cover." localSheetId="8" hidden="1">{"coverall",#N/A,FALSE,"Definitions";"cover1",#N/A,FALSE,"Definitions";"cover2",#N/A,FALSE,"Definitions";"cover3",#N/A,FALSE,"Definitions";"cover4",#N/A,FALSE,"Definitions";"cover5",#N/A,FALSE,"Definitions";"blank",#N/A,FALSE,"Definitions"}</definedName>
    <definedName name="wrn.Cover." hidden="1">{"coverall",#N/A,FALSE,"Definitions";"cover1",#N/A,FALSE,"Definitions";"cover2",#N/A,FALSE,"Definitions";"cover3",#N/A,FALSE,"Definitions";"cover4",#N/A,FALSE,"Definitions";"cover5",#N/A,FALSE,"Definitions";"blank",#N/A,FALSE,"Definitions"}</definedName>
    <definedName name="wrn.Credit._.Summary." localSheetId="4" hidden="1">{#N/A,#N/A,FALSE,"CREDIT"}</definedName>
    <definedName name="wrn.Credit._.Summary." localSheetId="8" hidden="1">{#N/A,#N/A,FALSE,"CREDIT"}</definedName>
    <definedName name="wrn.Credit._.Summary." localSheetId="6" hidden="1">{#N/A,#N/A,FALSE,"CREDIT"}</definedName>
    <definedName name="wrn.Credit._.Summary." hidden="1">{#N/A,#N/A,FALSE,"CREDIT"}</definedName>
    <definedName name="wrn.cssa." localSheetId="4" hidden="1">{#N/A,#N/A,FALSE,"WATCHDSC";#N/A,#N/A,FALSE,"2LOSSMOD";#N/A,#N/A,FALSE,"2LOSS";#N/A,#N/A,FALSE,"DSC";#N/A,#N/A,FALSE,"OPERAT";#N/A,#N/A,FALSE,"ADJUST";#N/A,#N/A,FALSE,"LEASE EXPIRE"}</definedName>
    <definedName name="wrn.cssa." localSheetId="8" hidden="1">{#N/A,#N/A,FALSE,"WATCHDSC";#N/A,#N/A,FALSE,"2LOSSMOD";#N/A,#N/A,FALSE,"2LOSS";#N/A,#N/A,FALSE,"DSC";#N/A,#N/A,FALSE,"OPERAT";#N/A,#N/A,FALSE,"ADJUST";#N/A,#N/A,FALSE,"LEASE EXPIRE"}</definedName>
    <definedName name="wrn.cssa." localSheetId="6" hidden="1">{#N/A,#N/A,FALSE,"WATCHDSC";#N/A,#N/A,FALSE,"2LOSSMOD";#N/A,#N/A,FALSE,"2LOSS";#N/A,#N/A,FALSE,"DSC";#N/A,#N/A,FALSE,"OPERAT";#N/A,#N/A,FALSE,"ADJUST";#N/A,#N/A,FALSE,"LEASE EXPIRE"}</definedName>
    <definedName name="wrn.cssa." hidden="1">{#N/A,#N/A,FALSE,"WATCHDSC";#N/A,#N/A,FALSE,"2LOSSMOD";#N/A,#N/A,FALSE,"2LOSS";#N/A,#N/A,FALSE,"DSC";#N/A,#N/A,FALSE,"OPERAT";#N/A,#N/A,FALSE,"ADJUST";#N/A,#N/A,FALSE,"LEASE EXPIRE"}</definedName>
    <definedName name="wrn.daily." localSheetId="4" hidden="1">{#N/A,#N/A,FALSE,"Major v. River";#N/A,#N/A,FALSE,"Large Operators";#N/A,#N/A,FALSE,"Smaller Operators";#N/A,#N/A,FALSE,"Equip. Supply";#N/A,#N/A,FALSE,"EBITDA"}</definedName>
    <definedName name="wrn.daily." localSheetId="8" hidden="1">{#N/A,#N/A,FALSE,"Major v. River";#N/A,#N/A,FALSE,"Large Operators";#N/A,#N/A,FALSE,"Smaller Operators";#N/A,#N/A,FALSE,"Equip. Supply";#N/A,#N/A,FALSE,"EBITDA"}</definedName>
    <definedName name="wrn.daily." localSheetId="6" hidden="1">{#N/A,#N/A,FALSE,"Major v. River";#N/A,#N/A,FALSE,"Large Operators";#N/A,#N/A,FALSE,"Smaller Operators";#N/A,#N/A,FALSE,"Equip. Supply";#N/A,#N/A,FALSE,"EBITDA"}</definedName>
    <definedName name="wrn.daily." hidden="1">{#N/A,#N/A,FALSE,"Major v. River";#N/A,#N/A,FALSE,"Large Operators";#N/A,#N/A,FALSE,"Smaller Operators";#N/A,#N/A,FALSE,"Equip. Supply";#N/A,#N/A,FALSE,"EBITDA"}</definedName>
    <definedName name="wrn.Darwin." localSheetId="8" hidden="1">{#N/A,#N/A,FALSE,"Title";#N/A,#N/A,FALSE,"Assumptions";#N/A,#N/A,FALSE,"Bidder";#N/A,#N/A,FALSE,"Target";#N/A,#N/A,FALSE,"Curr";#N/A,#N/A,FALSE,"Prosp";#N/A,#N/A,FALSE,"Prosp+1";#N/A,#N/A,FALSE,"Summary";#N/A,#N/A,FALSE,"Debtsched";#N/A,#N/A,FALSE,"Sensitivities"}</definedName>
    <definedName name="wrn.Darwin." hidden="1">{#N/A,#N/A,FALSE,"Title";#N/A,#N/A,FALSE,"Assumptions";#N/A,#N/A,FALSE,"Bidder";#N/A,#N/A,FALSE,"Target";#N/A,#N/A,FALSE,"Curr";#N/A,#N/A,FALSE,"Prosp";#N/A,#N/A,FALSE,"Prosp+1";#N/A,#N/A,FALSE,"Summary";#N/A,#N/A,FALSE,"Debtsched";#N/A,#N/A,FALSE,"Sensitivities"}</definedName>
    <definedName name="wrn.data." localSheetId="4" hidden="1">{"data",#N/A,FALSE,"INPUT"}</definedName>
    <definedName name="wrn.data." localSheetId="8" hidden="1">{"data",#N/A,FALSE,"INPUT"}</definedName>
    <definedName name="wrn.data." localSheetId="6" hidden="1">{"data",#N/A,FALSE,"INPUT"}</definedName>
    <definedName name="wrn.data." hidden="1">{"data",#N/A,FALSE,"INPUT"}</definedName>
    <definedName name="wrn.data1" localSheetId="4" hidden="1">{"data",#N/A,FALSE,"INPUT"}</definedName>
    <definedName name="wrn.data1" localSheetId="8" hidden="1">{"data",#N/A,FALSE,"INPUT"}</definedName>
    <definedName name="wrn.data1" localSheetId="6" hidden="1">{"data",#N/A,FALSE,"INPUT"}</definedName>
    <definedName name="wrn.data1" hidden="1">{"data",#N/A,FALSE,"INPUT"}</definedName>
    <definedName name="wrn.DCR._.Output." localSheetId="4" hidden="1">{"DCR Output",#N/A,FALSE,"Output"}</definedName>
    <definedName name="wrn.DCR._.Output." localSheetId="8" hidden="1">{"DCR Output",#N/A,FALSE,"Output"}</definedName>
    <definedName name="wrn.DCR._.Output." localSheetId="6" hidden="1">{"DCR Output",#N/A,FALSE,"Output"}</definedName>
    <definedName name="wrn.DCR._.Output." hidden="1">{"DCR Output",#N/A,FALSE,"Output"}</definedName>
    <definedName name="wrn.Demand._.Calcs." localSheetId="4" hidden="1">{#N/A,#N/A,FALSE,"Demand Calcs"}</definedName>
    <definedName name="wrn.Demand._.Calcs." localSheetId="8" hidden="1">{#N/A,#N/A,FALSE,"Demand Calcs"}</definedName>
    <definedName name="wrn.Demand._.Calcs." localSheetId="6" hidden="1">{#N/A,#N/A,FALSE,"Demand Calcs"}</definedName>
    <definedName name="wrn.Demand._.Calcs." hidden="1">{#N/A,#N/A,FALSE,"Demand Calcs"}</definedName>
    <definedName name="wrn.Demand._.Inputs." localSheetId="4" hidden="1">{#N/A,#N/A,FALSE,"Demand Inputs"}</definedName>
    <definedName name="wrn.Demand._.Inputs." localSheetId="8" hidden="1">{#N/A,#N/A,FALSE,"Demand Inputs"}</definedName>
    <definedName name="wrn.Demand._.Inputs." localSheetId="6" hidden="1">{#N/A,#N/A,FALSE,"Demand Inputs"}</definedName>
    <definedName name="wrn.Demand._.Inputs." hidden="1">{#N/A,#N/A,FALSE,"Demand Inputs"}</definedName>
    <definedName name="wrn.DETAIL._.SCHEDULES." localSheetId="4" hidden="1">{"ACCOUNT DETAIL",#N/A,FALSE,"SCHEDULE E";"ACCOUNT DETAIL",#N/A,FALSE,"SCHEDULE G";"ACCOUNT DETAIL",#N/A,FALSE,"SCHEDULE H";"ACCOUNT DETAIL",#N/A,FALSE,"SCHEDULE I"}</definedName>
    <definedName name="wrn.DETAIL._.SCHEDULES." localSheetId="8" hidden="1">{"ACCOUNT DETAIL",#N/A,FALSE,"SCHEDULE E";"ACCOUNT DETAIL",#N/A,FALSE,"SCHEDULE G";"ACCOUNT DETAIL",#N/A,FALSE,"SCHEDULE H";"ACCOUNT DETAIL",#N/A,FALSE,"SCHEDULE I"}</definedName>
    <definedName name="wrn.DETAIL._.SCHEDULES." localSheetId="6" hidden="1">{"ACCOUNT DETAIL",#N/A,FALSE,"SCHEDULE E";"ACCOUNT DETAIL",#N/A,FALSE,"SCHEDULE G";"ACCOUNT DETAIL",#N/A,FALSE,"SCHEDULE H";"ACCOUNT DETAIL",#N/A,FALSE,"SCHEDULE I"}</definedName>
    <definedName name="wrn.DETAIL._.SCHEDULES." hidden="1">{"ACCOUNT DETAIL",#N/A,FALSE,"SCHEDULE E";"ACCOUNT DETAIL",#N/A,FALSE,"SCHEDULE G";"ACCOUNT DETAIL",#N/A,FALSE,"SCHEDULE H";"ACCOUNT DETAIL",#N/A,FALSE,"SCHEDULE I"}</definedName>
    <definedName name="wrn.Detailed." localSheetId="4" hidden="1">{"Detailed",#N/A,FALSE,"Schedule4"}</definedName>
    <definedName name="wrn.Detailed." localSheetId="8" hidden="1">{"Detailed",#N/A,FALSE,"Schedule4"}</definedName>
    <definedName name="wrn.Detailed." localSheetId="6" hidden="1">{"Detailed",#N/A,FALSE,"Schedule4"}</definedName>
    <definedName name="wrn.Detailed." hidden="1">{"Detailed",#N/A,FALSE,"Schedule4"}</definedName>
    <definedName name="wrn.DETAILS." localSheetId="4" hidden="1">{"DETAIL1",#N/A,FALSE,"DETAIL";"DETAIL2",#N/A,FALSE,"DETAIL"}</definedName>
    <definedName name="wrn.DETAILS." localSheetId="6" hidden="1">{"DETAIL1",#N/A,FALSE,"DETAIL";"DETAIL2",#N/A,FALSE,"DETAIL"}</definedName>
    <definedName name="wrn.DETAILS." hidden="1">{"DETAIL1",#N/A,FALSE,"DETAIL";"DETAIL2",#N/A,FALSE,"DETAIL"}</definedName>
    <definedName name="wrn.diciembre." localSheetId="8" hidden="1">{"diciembre_dia",#N/A,FALSE,"flujo mensual";"dic_dia_graf",#N/A,FALSE,"flujo mensual"}</definedName>
    <definedName name="wrn.diciembre." hidden="1">{"diciembre_dia",#N/A,FALSE,"flujo mensual";"dic_dia_graf",#N/A,FALSE,"flujo mensual"}</definedName>
    <definedName name="wrn.dil_anal." localSheetId="8" hidden="1">{"hiden",#N/A,FALSE,"14";"hidden",#N/A,FALSE,"16";"hidden",#N/A,FALSE,"18";"hidden",#N/A,FALSE,"20"}</definedName>
    <definedName name="wrn.dil_anal." hidden="1">{"hiden",#N/A,FALSE,"14";"hidden",#N/A,FALSE,"16";"hidden",#N/A,FALSE,"18";"hidden",#N/A,FALSE,"20"}</definedName>
    <definedName name="wrn.document." localSheetId="8" hidden="1">{"consolidated",#N/A,FALSE,"Sheet1";"cms",#N/A,FALSE,"Sheet1";"fse",#N/A,FALSE,"Sheet1"}</definedName>
    <definedName name="wrn.document." hidden="1">{"consolidated",#N/A,FALSE,"Sheet1";"cms",#N/A,FALSE,"Sheet1";"fse",#N/A,FALSE,"Sheet1"}</definedName>
    <definedName name="wrn.documentaero." localSheetId="8" hidden="1">{"comps2",#N/A,FALSE,"AERO";"footnotes",#N/A,FALSE,"AERO"}</definedName>
    <definedName name="wrn.documentaero." hidden="1">{"comps2",#N/A,FALSE,"AERO";"footnotes",#N/A,FALSE,"AERO"}</definedName>
    <definedName name="wrn.documenthand." localSheetId="8" hidden="1">{"comps",#N/A,FALSE,"HANDPACK";"footnotes",#N/A,FALSE,"HANDPACK"}</definedName>
    <definedName name="wrn.documenthand." hidden="1">{"comps",#N/A,FALSE,"HANDPACK";"footnotes",#N/A,FALSE,"HANDPACK"}</definedName>
    <definedName name="wrn.dtl.schedules" localSheetId="4" hidden="1">{"ACCOUNT DETAIL",#N/A,FALSE,"SCHEDULE E";"ACCOUNT DETAIL",#N/A,FALSE,"SCHEDULE G";"ACCOUNT DETAIL",#N/A,FALSE,"SCHEDULE H";"ACCOUNT DETAIL",#N/A,FALSE,"SCHEDULE I"}</definedName>
    <definedName name="wrn.dtl.schedules" localSheetId="6" hidden="1">{"ACCOUNT DETAIL",#N/A,FALSE,"SCHEDULE E";"ACCOUNT DETAIL",#N/A,FALSE,"SCHEDULE G";"ACCOUNT DETAIL",#N/A,FALSE,"SCHEDULE H";"ACCOUNT DETAIL",#N/A,FALSE,"SCHEDULE I"}</definedName>
    <definedName name="wrn.dtl.schedules" hidden="1">{"ACCOUNT DETAIL",#N/A,FALSE,"SCHEDULE E";"ACCOUNT DETAIL",#N/A,FALSE,"SCHEDULE G";"ACCOUNT DETAIL",#N/A,FALSE,"SCHEDULE H";"ACCOUNT DETAIL",#N/A,FALSE,"SCHEDULE I"}</definedName>
    <definedName name="wrn.Earnings._.Model." localSheetId="4"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arnings._.Model." localSheetId="6"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arnings._.Model." hidden="1">{#N/A,#N/A,FALSE,"Product Revenue";#N/A,#N/A,FALSE,"Geographic Revenue";#N/A,#N/A,FALSE,"Income Statement - As Reported";#N/A,#N/A,FALSE,"Income Statement - Operating";#N/A,#N/A,FALSE,"Income Statement - %Revenue";#N/A,#N/A,FALSE,"Year-over-Year Growth";#N/A,#N/A,FALSE,"Sequential Growth";#N/A,#N/A,FALSE,"Balance Sheet";#N/A,#N/A,FALSE,"Cash Flow";#N/A,#N/A,FALSE,"Ratios";#N/A,#N/A,FALSE,"Valuation"}</definedName>
    <definedName name="wrn.EB." localSheetId="4" hidden="1">{"eb1",#N/A,TRUE,"E-B (R)";"eb2",#N/A,TRUE,"E-B (R)"}</definedName>
    <definedName name="wrn.EB." localSheetId="8" hidden="1">{"eb1",#N/A,TRUE,"E-B (R)";"eb2",#N/A,TRUE,"E-B (R)"}</definedName>
    <definedName name="wrn.EB." localSheetId="6" hidden="1">{"eb1",#N/A,TRUE,"E-B (R)";"eb2",#N/A,TRUE,"E-B (R)"}</definedName>
    <definedName name="wrn.EB." hidden="1">{"eb1",#N/A,TRUE,"E-B (R)";"eb2",#N/A,TRUE,"E-B (R)"}</definedName>
    <definedName name="wrn.EC1." localSheetId="4" hidden="1">{"eca",#N/A,TRUE,"E-C1 (R)";"ecb",#N/A,TRUE,"E-C1 (R)"}</definedName>
    <definedName name="wrn.EC1." localSheetId="8" hidden="1">{"eca",#N/A,TRUE,"E-C1 (R)";"ecb",#N/A,TRUE,"E-C1 (R)"}</definedName>
    <definedName name="wrn.EC1." localSheetId="6" hidden="1">{"eca",#N/A,TRUE,"E-C1 (R)";"ecb",#N/A,TRUE,"E-C1 (R)"}</definedName>
    <definedName name="wrn.EC1." hidden="1">{"eca",#N/A,TRUE,"E-C1 (R)";"ecb",#N/A,TRUE,"E-C1 (R)"}</definedName>
    <definedName name="wrn.ED." localSheetId="4" hidden="1">{"ed1",#N/A,TRUE,"E-D";"ed2",#N/A,TRUE,"E-D"}</definedName>
    <definedName name="wrn.ED." localSheetId="8" hidden="1">{"ed1",#N/A,TRUE,"E-D";"ed2",#N/A,TRUE,"E-D"}</definedName>
    <definedName name="wrn.ED." localSheetId="6" hidden="1">{"ed1",#N/A,TRUE,"E-D";"ed2",#N/A,TRUE,"E-D"}</definedName>
    <definedName name="wrn.ED." hidden="1">{"ed1",#N/A,TRUE,"E-D";"ed2",#N/A,TRUE,"E-D"}</definedName>
    <definedName name="wrn.El._.Toro._.Pro._.Forma._.Detail." localSheetId="4" hidden="1">{"P1",#N/A,FALSE,"Proforma";"P1CF",#N/A,FALSE,"Proforma";"P1EquityCF",#N/A,FALSE,"Proforma"}</definedName>
    <definedName name="wrn.El._.Toro._.Pro._.Forma._.Detail." localSheetId="6" hidden="1">{"P1",#N/A,FALSE,"Proforma";"P1CF",#N/A,FALSE,"Proforma";"P1EquityCF",#N/A,FALSE,"Proforma"}</definedName>
    <definedName name="wrn.El._.Toro._.Pro._.Forma._.Detail." hidden="1">{"P1",#N/A,FALSE,"Proforma";"P1CF",#N/A,FALSE,"Proforma";"P1EquityCF",#N/A,FALSE,"Proforma"}</definedName>
    <definedName name="wrn.El._.Toro._.summary._.Sheets." localSheetId="4" hidden="1">{#N/A,#N/A,TRUE,"Dev Summ";#N/A,#N/A,TRUE,"General";#N/A,#N/A,TRUE,"Rates";#N/A,#N/A,TRUE,"Cost Summ"}</definedName>
    <definedName name="wrn.El._.Toro._.summary._.Sheets." localSheetId="6" hidden="1">{#N/A,#N/A,TRUE,"Dev Summ";#N/A,#N/A,TRUE,"General";#N/A,#N/A,TRUE,"Rates";#N/A,#N/A,TRUE,"Cost Summ"}</definedName>
    <definedName name="wrn.El._.Toro._.summary._.Sheets." hidden="1">{#N/A,#N/A,TRUE,"Dev Summ";#N/A,#N/A,TRUE,"General";#N/A,#N/A,TRUE,"Rates";#N/A,#N/A,TRUE,"Cost Summ"}</definedName>
    <definedName name="wrn.enero." localSheetId="8" hidden="1">{"enero_dia",#N/A,FALSE,"flujo mensual";"ene_dia_graf",#N/A,FALSE,"flujo mensual"}</definedName>
    <definedName name="wrn.enero." hidden="1">{"enero_dia",#N/A,FALSE,"flujo mensual";"ene_dia_graf",#N/A,FALSE,"flujo mensual"}</definedName>
    <definedName name="wrn.Engineering." localSheetId="4" hidden="1">{#N/A,#N/A,FALSE,"ENGINEERING"}</definedName>
    <definedName name="wrn.Engineering." localSheetId="8" hidden="1">{#N/A,#N/A,FALSE,"ENGINEERING"}</definedName>
    <definedName name="wrn.Engineering." localSheetId="6" hidden="1">{#N/A,#N/A,FALSE,"ENGINEERING"}</definedName>
    <definedName name="wrn.Engineering." hidden="1">{#N/A,#N/A,FALSE,"ENGINEERING"}</definedName>
    <definedName name="wrn.Environmental." localSheetId="4" hidden="1">{#N/A,#N/A,FALSE,"ENVIRONMENTAL"}</definedName>
    <definedName name="wrn.Environmental." localSheetId="8" hidden="1">{#N/A,#N/A,FALSE,"ENVIRONMENTAL"}</definedName>
    <definedName name="wrn.Environmental." localSheetId="6" hidden="1">{#N/A,#N/A,FALSE,"ENVIRONMENTAL"}</definedName>
    <definedName name="wrn.Environmental." hidden="1">{#N/A,#N/A,FALSE,"ENVIRONMENTAL"}</definedName>
    <definedName name="wrn.equity." localSheetId="4" hidden="1">{#N/A,#N/A,FALSE,"Cover";#N/A,#N/A,FALSE,"Equity Sum";#N/A,#N/A,FALSE,"Constr Phase";#N/A,#N/A,FALSE,"Graph";#N/A,#N/A,FALSE,"Proforma";#N/A,#N/A,FALSE,"SQFT";#N/A,#N/A,FALSE,"TDC";#N/A,#N/A,FALSE,"Loan";#N/A,#N/A,FALSE,"Start Costs";#N/A,#N/A,FALSE,"Oper Exp";#N/A,#N/A,FALSE,"Grid"}</definedName>
    <definedName name="wrn.equity." localSheetId="6" hidden="1">{#N/A,#N/A,FALSE,"Cover";#N/A,#N/A,FALSE,"Equity Sum";#N/A,#N/A,FALSE,"Constr Phase";#N/A,#N/A,FALSE,"Graph";#N/A,#N/A,FALSE,"Proforma";#N/A,#N/A,FALSE,"SQFT";#N/A,#N/A,FALSE,"TDC";#N/A,#N/A,FALSE,"Loan";#N/A,#N/A,FALSE,"Start Costs";#N/A,#N/A,FALSE,"Oper Exp";#N/A,#N/A,FALSE,"Grid"}</definedName>
    <definedName name="wrn.equity." hidden="1">{#N/A,#N/A,FALSE,"Cover";#N/A,#N/A,FALSE,"Equity Sum";#N/A,#N/A,FALSE,"Constr Phase";#N/A,#N/A,FALSE,"Graph";#N/A,#N/A,FALSE,"Proforma";#N/A,#N/A,FALSE,"SQFT";#N/A,#N/A,FALSE,"TDC";#N/A,#N/A,FALSE,"Loan";#N/A,#N/A,FALSE,"Start Costs";#N/A,#N/A,FALSE,"Oper Exp";#N/A,#N/A,FALSE,"Grid"}</definedName>
    <definedName name="wrn.equity._.comps." localSheetId="8" hidden="1">{"equity comps",#N/A,FALSE,"CS Comps";"equity comps",#N/A,FALSE,"PS Comps";"equity comps",#N/A,FALSE,"GIC_Comps";"equity comps",#N/A,FALSE,"GIC2_Comps"}</definedName>
    <definedName name="wrn.equity._.comps." hidden="1">{"equity comps",#N/A,FALSE,"CS Comps";"equity comps",#N/A,FALSE,"PS Comps";"equity comps",#N/A,FALSE,"GIC_Comps";"equity comps",#N/A,FALSE,"GIC2_Comps"}</definedName>
    <definedName name="wrn.Europe." localSheetId="8"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urope." hidden="1">{"rawdata",#N/A,TRUE,"BT ";"in",#N/A,TRUE,"BT ";"rawdata",#N/A,TRUE,"CW ";"in",#N/A,TRUE,"CW ";"rawdata",#N/A,TRUE,"KPN";"in",#N/A,TRUE,"KPN";"rawdata",#N/A,TRUE,"OTE";"in",#N/A,TRUE,"OTE";"rawdata",#N/A,TRUE,"Port";"in",#N/A,TRUE,"Port";"rawdata",#N/A,TRUE,"SPT";"in",#N/A,TRUE,"SPT";"rawdata",#N/A,TRUE,"TD ";"in",#N/A,TRUE,"TD ";"rawdata",#N/A,TRUE,"TItal";"rawdata2",#N/A,TRUE,"TItal";"in",#N/A,TRUE,"TItal";"rawdata",#N/A,TRUE,"TdEsp";"in",#N/A,TRUE,"TdEsp";"rawdata",#N/A,TRUE,"Belg";"in",#N/A,TRUE,"Belg";"rawdata",#N/A,TRUE,"BEZEQ";"in",#N/A,TRUE,"BEZEQ";"rawdata",#N/A,TRUE,"DT ";"in",#N/A,TRUE,"DT ";"rawdata",#N/A,TRUE,"FT ";"in",#N/A,TRUE,"FT ";"rawdata",#N/A,TRUE,"MAT";"in",#N/A,TRUE,"MAT";"rawdata",#N/A,TRUE,"Eire";"in",#N/A,TRUE,"Eire";"rawdata",#N/A,TRUE,"TFin";"in",#N/A,TRUE,"TFin";"rawdata",#N/A,TRUE,"TNor";"in",#N/A,TRUE,"TNor";"rawdata",#N/A,TRUE,"Telia";"in",#N/A,TRUE,"Telia";"rawdata",#N/A,TRUE,"TPSA";"in",#N/A,TRUE,"TPSA";"rawdata",#N/A,TRUE,"TSAfr";"in",#N/A,TRUE,"TSAfr";"rawdata",#N/A,TRUE,"Turk";"in",#N/A,TRUE,"Turk"}</definedName>
    <definedName name="wrn.Excavation." localSheetId="4" hidden="1">{"excavation",#N/A,FALSE,"DETAIL.XLS"}</definedName>
    <definedName name="wrn.Excavation." localSheetId="8" hidden="1">{"excavation",#N/A,FALSE,"DETAIL.XLS"}</definedName>
    <definedName name="wrn.Excavation." localSheetId="6" hidden="1">{"excavation",#N/A,FALSE,"DETAIL.XLS"}</definedName>
    <definedName name="wrn.Excavation." hidden="1">{"excavation",#N/A,FALSE,"DETAIL.XLS"}</definedName>
    <definedName name="wrn.Exec._.Summary." localSheetId="4" hidden="1">{#N/A,#N/A,FALSE,"Index"}</definedName>
    <definedName name="wrn.Exec._.Summary." localSheetId="6" hidden="1">{#N/A,#N/A,FALSE,"Index"}</definedName>
    <definedName name="wrn.Exec._.Summary." hidden="1">{#N/A,#N/A,FALSE,"Index"}</definedName>
    <definedName name="wrn.Exhibits." localSheetId="4" hidden="1">{#N/A,#N/A,FALSE,"Historical";#N/A,#N/A,FALSE,"Adjusted";#N/A,#N/A,FALSE,"CAM Alloc.";#N/A,#N/A,FALSE,"Projected CAM"}</definedName>
    <definedName name="wrn.Exhibits." localSheetId="6" hidden="1">{#N/A,#N/A,FALSE,"Historical";#N/A,#N/A,FALSE,"Adjusted";#N/A,#N/A,FALSE,"CAM Alloc.";#N/A,#N/A,FALSE,"Projected CAM"}</definedName>
    <definedName name="wrn.Exhibits." hidden="1">{#N/A,#N/A,FALSE,"Historical";#N/A,#N/A,FALSE,"Adjusted";#N/A,#N/A,FALSE,"CAM Alloc.";#N/A,#N/A,FALSE,"Projected CAM"}</definedName>
    <definedName name="wrn.EXPENSE." localSheetId="4" hidden="1">{#N/A,#N/A,FALSE,"Common Area Accrual";#N/A,#N/A,FALSE,"Unit One LaSalle";#N/A,#N/A,FALSE,"Unit One CW";#N/A,#N/A,FALSE,"Unit One LaSallle + C &amp; W";#N/A,#N/A,FALSE,"Consolidated Accrual"}</definedName>
    <definedName name="wrn.EXPENSE." localSheetId="8" hidden="1">{#N/A,#N/A,FALSE,"Common Area Accrual";#N/A,#N/A,FALSE,"Unit One LaSalle";#N/A,#N/A,FALSE,"Unit One CW";#N/A,#N/A,FALSE,"Unit One LaSallle + C &amp; W";#N/A,#N/A,FALSE,"Consolidated Accrual"}</definedName>
    <definedName name="wrn.EXPENSE." localSheetId="6" hidden="1">{#N/A,#N/A,FALSE,"Common Area Accrual";#N/A,#N/A,FALSE,"Unit One LaSalle";#N/A,#N/A,FALSE,"Unit One CW";#N/A,#N/A,FALSE,"Unit One LaSallle + C &amp; W";#N/A,#N/A,FALSE,"Consolidated Accrual"}</definedName>
    <definedName name="wrn.EXPENSE." hidden="1">{#N/A,#N/A,FALSE,"Common Area Accrual";#N/A,#N/A,FALSE,"Unit One LaSalle";#N/A,#N/A,FALSE,"Unit One CW";#N/A,#N/A,FALSE,"Unit One LaSallle + C &amp; W";#N/A,#N/A,FALSE,"Consolidated Accrual"}</definedName>
    <definedName name="wrn.Expense._.Detail." localSheetId="4" hidden="1">{#N/A,#N/A,FALSE,"Common Area Accrual";#N/A,#N/A,FALSE,"Unit One LaSalle";#N/A,#N/A,FALSE,"Unit One CW";#N/A,#N/A,FALSE,"Unit One LaSalle + C &amp; W";#N/A,#N/A,FALSE,"Consolidated Accrual"}</definedName>
    <definedName name="wrn.Expense._.Detail." localSheetId="8" hidden="1">{#N/A,#N/A,FALSE,"Common Area Accrual";#N/A,#N/A,FALSE,"Unit One LaSalle";#N/A,#N/A,FALSE,"Unit One CW";#N/A,#N/A,FALSE,"Unit One LaSalle + C &amp; W";#N/A,#N/A,FALSE,"Consolidated Accrual"}</definedName>
    <definedName name="wrn.Expense._.Detail." localSheetId="6" hidden="1">{#N/A,#N/A,FALSE,"Common Area Accrual";#N/A,#N/A,FALSE,"Unit One LaSalle";#N/A,#N/A,FALSE,"Unit One CW";#N/A,#N/A,FALSE,"Unit One LaSalle + C &amp; W";#N/A,#N/A,FALSE,"Consolidated Accrual"}</definedName>
    <definedName name="wrn.Expense._.Detail." hidden="1">{#N/A,#N/A,FALSE,"Common Area Accrual";#N/A,#N/A,FALSE,"Unit One LaSalle";#N/A,#N/A,FALSE,"Unit One CW";#N/A,#N/A,FALSE,"Unit One LaSalle + C &amp; W";#N/A,#N/A,FALSE,"Consolidated Accrual"}</definedName>
    <definedName name="wrn.Exterior._.Wall." localSheetId="4" hidden="1">{#N/A,#N/A,FALSE,"Paramters";"print range",#N/A,FALSE,"GSF.XLS";"exterior wall",#N/A,FALSE,"DETAIL.XLS"}</definedName>
    <definedName name="wrn.Exterior._.Wall." localSheetId="8" hidden="1">{#N/A,#N/A,FALSE,"Paramters";"print range",#N/A,FALSE,"GSF.XLS";"exterior wall",#N/A,FALSE,"DETAIL.XLS"}</definedName>
    <definedName name="wrn.Exterior._.Wall." localSheetId="6" hidden="1">{#N/A,#N/A,FALSE,"Paramters";"print range",#N/A,FALSE,"GSF.XLS";"exterior wall",#N/A,FALSE,"DETAIL.XLS"}</definedName>
    <definedName name="wrn.Exterior._.Wall." hidden="1">{#N/A,#N/A,FALSE,"Paramters";"print range",#N/A,FALSE,"GSF.XLS";"exterior wall",#N/A,FALSE,"DETAIL.XLS"}</definedName>
    <definedName name="wrn.F01_01." localSheetId="8" hidden="1">{#N/A,#N/A,FALSE,"F-01";#N/A,#N/A,FALSE,"F-01";#N/A,#N/A,FALSE,"F-01"}</definedName>
    <definedName name="wrn.F01_01." hidden="1">{#N/A,#N/A,FALSE,"F-01";#N/A,#N/A,FALSE,"F-01";#N/A,#N/A,FALSE,"F-01"}</definedName>
    <definedName name="wrn.Fair._.Share._.Calcs." localSheetId="4" hidden="1">{#N/A,#N/A,FALSE,"Fair Share"}</definedName>
    <definedName name="wrn.Fair._.Share._.Calcs." localSheetId="8" hidden="1">{#N/A,#N/A,FALSE,"Fair Share"}</definedName>
    <definedName name="wrn.Fair._.Share._.Calcs." localSheetId="6" hidden="1">{#N/A,#N/A,FALSE,"Fair Share"}</definedName>
    <definedName name="wrn.Fair._.Share._.Calcs." hidden="1">{#N/A,#N/A,FALSE,"Fair Share"}</definedName>
    <definedName name="wrn.fcb2" localSheetId="8" hidden="1">{"FCB_ALL",#N/A,FALSE,"FCB"}</definedName>
    <definedName name="wrn.fcb2" hidden="1">{"FCB_ALL",#N/A,FALSE,"FCB"}</definedName>
    <definedName name="wrn.FCG." localSheetId="4" hidden="1">{#N/A,#N/A,TRUE,"Title Page";#N/A,#N/A,TRUE,"Executive Summary";#N/A,#N/A,TRUE,"Cash Flow";#N/A,#N/A,TRUE,"Exp Detail";#N/A,#N/A,TRUE,"Pricing Matrix";#N/A,#N/A,TRUE,"Value Matrix";#N/A,#N/A,TRUE,"Assumptions";#N/A,#N/A,TRUE,"Vacant Space";#N/A,#N/A,TRUE,"2nd Generation";#N/A,#N/A,TRUE,"Existing vs Mkt";#N/A,#N/A,TRUE,"Expiration Schedule";#N/A,#N/A,TRUE,"Expiration Graph ";#N/A,#N/A,TRUE,"Residual - Marketing";#N/A,#N/A,TRUE,"Vacancy Detail"}</definedName>
    <definedName name="wrn.FCG." localSheetId="6" hidden="1">{#N/A,#N/A,TRUE,"Title Page";#N/A,#N/A,TRUE,"Executive Summary";#N/A,#N/A,TRUE,"Cash Flow";#N/A,#N/A,TRUE,"Exp Detail";#N/A,#N/A,TRUE,"Pricing Matrix";#N/A,#N/A,TRUE,"Value Matrix";#N/A,#N/A,TRUE,"Assumptions";#N/A,#N/A,TRUE,"Vacant Space";#N/A,#N/A,TRUE,"2nd Generation";#N/A,#N/A,TRUE,"Existing vs Mkt";#N/A,#N/A,TRUE,"Expiration Schedule";#N/A,#N/A,TRUE,"Expiration Graph ";#N/A,#N/A,TRUE,"Residual - Marketing";#N/A,#N/A,TRUE,"Vacancy Detail"}</definedName>
    <definedName name="wrn.FCG." hidden="1">{#N/A,#N/A,TRUE,"Title Page";#N/A,#N/A,TRUE,"Executive Summary";#N/A,#N/A,TRUE,"Cash Flow";#N/A,#N/A,TRUE,"Exp Detail";#N/A,#N/A,TRUE,"Pricing Matrix";#N/A,#N/A,TRUE,"Value Matrix";#N/A,#N/A,TRUE,"Assumptions";#N/A,#N/A,TRUE,"Vacant Space";#N/A,#N/A,TRUE,"2nd Generation";#N/A,#N/A,TRUE,"Existing vs Mkt";#N/A,#N/A,TRUE,"Expiration Schedule";#N/A,#N/A,TRUE,"Expiration Graph ";#N/A,#N/A,TRUE,"Residual - Marketing";#N/A,#N/A,TRUE,"Vacancy Detail"}</definedName>
    <definedName name="wrn.Feb98." localSheetId="4" hidden="1">{"sheet a",#N/A,FALSE,"A";"2 9 casflow",#N/A,FALSE,"B"}</definedName>
    <definedName name="wrn.Feb98." localSheetId="8" hidden="1">{"sheet a",#N/A,FALSE,"A";"2 9 casflow",#N/A,FALSE,"B"}</definedName>
    <definedName name="wrn.Feb98." localSheetId="6" hidden="1">{"sheet a",#N/A,FALSE,"A";"2 9 casflow",#N/A,FALSE,"B"}</definedName>
    <definedName name="wrn.Feb98." hidden="1">{"sheet a",#N/A,FALSE,"A";"2 9 casflow",#N/A,FALSE,"B"}</definedName>
    <definedName name="wrn.febrero." localSheetId="8" hidden="1">{"febrero_dia",#N/A,FALSE,"flujo mensual";"feb_dia_graf",#N/A,FALSE,"flujo mensual"}</definedName>
    <definedName name="wrn.febrero." hidden="1">{"febrero_dia",#N/A,FALSE,"flujo mensual";"feb_dia_graf",#N/A,FALSE,"flujo mensual"}</definedName>
    <definedName name="wrn.Final." localSheetId="8" hidden="1">{#N/A,#N/A,TRUE,"Caps1-5";#N/A,#N/A,TRUE,"Cap6";#N/A,#N/A,TRUE,"Caps7-8";#N/A,#N/A,TRUE,"Cap9-Resumo";#N/A,#N/A,TRUE,"Cap9-Det-2000";#N/A,#N/A,TRUE,"Cap9-Det-2001";#N/A,#N/A,TRUE,"Cap10";#N/A,#N/A,TRUE,"Cap11"}</definedName>
    <definedName name="wrn.Final." hidden="1">{#N/A,#N/A,TRUE,"Caps1-5";#N/A,#N/A,TRUE,"Cap6";#N/A,#N/A,TRUE,"Caps7-8";#N/A,#N/A,TRUE,"Cap9-Resumo";#N/A,#N/A,TRUE,"Cap9-Det-2000";#N/A,#N/A,TRUE,"Cap9-Det-2001";#N/A,#N/A,TRUE,"Cap10";#N/A,#N/A,TRUE,"Cap11"}</definedName>
    <definedName name="wrn.Final._.Output." localSheetId="4" hidden="1">{#N/A,#N/A,FALSE,"Final Output"}</definedName>
    <definedName name="wrn.Final._.Output." localSheetId="8" hidden="1">{#N/A,#N/A,FALSE,"Final Output"}</definedName>
    <definedName name="wrn.Final._.Output." localSheetId="6" hidden="1">{#N/A,#N/A,FALSE,"Final Output"}</definedName>
    <definedName name="wrn.Final._.Output." hidden="1">{#N/A,#N/A,FALSE,"Final Output"}</definedName>
    <definedName name="wrn.Finance." localSheetId="8" hidden="1">{"Finance 1",#N/A,FALSE,"FINANCE.XLS";"Finance 2",#N/A,FALSE,"FINANCE.XLS";"Finance 3",#N/A,FALSE,"FINANCE.XLS";"Finance 4",#N/A,FALSE,"FINANCE.XLS";"Finance 5",#N/A,FALSE,"FINANCE.XLS";"Finance 6",#N/A,FALSE,"FINANCE.XLS";"Finance 7",#N/A,FALSE,"FINANCE.XLS";"Finance 8",#N/A,FALSE,"FINANCE.XLS"}</definedName>
    <definedName name="wrn.Finance." hidden="1">{"Finance 1",#N/A,FALSE,"FINANCE.XLS";"Finance 2",#N/A,FALSE,"FINANCE.XLS";"Finance 3",#N/A,FALSE,"FINANCE.XLS";"Finance 4",#N/A,FALSE,"FINANCE.XLS";"Finance 5",#N/A,FALSE,"FINANCE.XLS";"Finance 6",#N/A,FALSE,"FINANCE.XLS";"Finance 7",#N/A,FALSE,"FINANCE.XLS";"Finance 8",#N/A,FALSE,"FINANCE.XLS"}</definedName>
    <definedName name="wrn.Finance._.Package." localSheetId="4" hidden="1">{#N/A,#N/A,TRUE,"Dev Summ";"P1-2 Quarterly",#N/A,TRUE,"CF Summ";"P1-Quarterly",#N/A,TRUE,"CF Summ";"P2-Quarterly",#N/A,TRUE,"CF Summ";#N/A,#N/A,TRUE,"Proj. Cost Summ";#N/A,#N/A,TRUE,"P1 Cost Summ";#N/A,#N/A,TRUE,"P2 Cost Summ";#N/A,#N/A,TRUE,"General";#N/A,#N/A,TRUE,"Rates";#N/A,#N/A,TRUE,"Abs_Sale"}</definedName>
    <definedName name="wrn.Finance._.Package." localSheetId="6" hidden="1">{#N/A,#N/A,TRUE,"Dev Summ";"P1-2 Quarterly",#N/A,TRUE,"CF Summ";"P1-Quarterly",#N/A,TRUE,"CF Summ";"P2-Quarterly",#N/A,TRUE,"CF Summ";#N/A,#N/A,TRUE,"Proj. Cost Summ";#N/A,#N/A,TRUE,"P1 Cost Summ";#N/A,#N/A,TRUE,"P2 Cost Summ";#N/A,#N/A,TRUE,"General";#N/A,#N/A,TRUE,"Rates";#N/A,#N/A,TRUE,"Abs_Sale"}</definedName>
    <definedName name="wrn.Finance._.Package." hidden="1">{#N/A,#N/A,TRUE,"Dev Summ";"P1-2 Quarterly",#N/A,TRUE,"CF Summ";"P1-Quarterly",#N/A,TRUE,"CF Summ";"P2-Quarterly",#N/A,TRUE,"CF Summ";#N/A,#N/A,TRUE,"Proj. Cost Summ";#N/A,#N/A,TRUE,"P1 Cost Summ";#N/A,#N/A,TRUE,"P2 Cost Summ";#N/A,#N/A,TRUE,"General";#N/A,#N/A,TRUE,"Rates";#N/A,#N/A,TRUE,"Abs_Sale"}</definedName>
    <definedName name="wrn.Financial._.Model." localSheetId="4" hidden="1">{#N/A,#N/A,TRUE,"Input Sheet Model";#N/A,#N/A,TRUE,"Project Proforma Detail";#N/A,#N/A,TRUE,"Signoff Summary";#N/A,#N/A,TRUE,"Assumptions";#N/A,#N/A,TRUE,"Constr. Int. Inc.";#N/A,#N/A,TRUE,"Cashflow Projection"}</definedName>
    <definedName name="wrn.Financial._.Model." localSheetId="8" hidden="1">{#N/A,#N/A,TRUE,"Input Sheet Model";#N/A,#N/A,TRUE,"Project Proforma Detail";#N/A,#N/A,TRUE,"Signoff Summary";#N/A,#N/A,TRUE,"Assumptions";#N/A,#N/A,TRUE,"Constr. Int. Inc.";#N/A,#N/A,TRUE,"Cashflow Projection"}</definedName>
    <definedName name="wrn.Financial._.Model." localSheetId="6" hidden="1">{#N/A,#N/A,TRUE,"Input Sheet Model";#N/A,#N/A,TRUE,"Project Proforma Detail";#N/A,#N/A,TRUE,"Signoff Summary";#N/A,#N/A,TRUE,"Assumptions";#N/A,#N/A,TRUE,"Constr. Int. Inc.";#N/A,#N/A,TRUE,"Cashflow Projection"}</definedName>
    <definedName name="wrn.Financial._.Model." hidden="1">{#N/A,#N/A,TRUE,"Input Sheet Model";#N/A,#N/A,TRUE,"Project Proforma Detail";#N/A,#N/A,TRUE,"Signoff Summary";#N/A,#N/A,TRUE,"Assumptions";#N/A,#N/A,TRUE,"Constr. Int. Inc.";#N/A,#N/A,TRUE,"Cashflow Projection"}</definedName>
    <definedName name="wrn.Financial._.Package." localSheetId="4" hidden="1">{#N/A,#N/A,TRUE,"Dev Summ";"P1-3Quarterly",#N/A,TRUE,"CF Summ";"P1-Quarterly",#N/A,TRUE,"CF Summ";"P2-Quarterly",#N/A,TRUE,"CF Summ";"P3-Quarterly",#N/A,TRUE,"CF Summ";#N/A,#N/A,TRUE,"Proj. Cost Summ";#N/A,#N/A,TRUE,"P1 Cost Summ";#N/A,#N/A,TRUE,"P2 Cost Summ";#N/A,#N/A,TRUE,"P3 Cost Summ";#N/A,#N/A,TRUE,"General";#N/A,#N/A,TRUE,"Rates";#N/A,#N/A,TRUE,"Abs_Sale"}</definedName>
    <definedName name="wrn.Financial._.Package." localSheetId="6" hidden="1">{#N/A,#N/A,TRUE,"Dev Summ";"P1-3Quarterly",#N/A,TRUE,"CF Summ";"P1-Quarterly",#N/A,TRUE,"CF Summ";"P2-Quarterly",#N/A,TRUE,"CF Summ";"P3-Quarterly",#N/A,TRUE,"CF Summ";#N/A,#N/A,TRUE,"Proj. Cost Summ";#N/A,#N/A,TRUE,"P1 Cost Summ";#N/A,#N/A,TRUE,"P2 Cost Summ";#N/A,#N/A,TRUE,"P3 Cost Summ";#N/A,#N/A,TRUE,"General";#N/A,#N/A,TRUE,"Rates";#N/A,#N/A,TRUE,"Abs_Sale"}</definedName>
    <definedName name="wrn.Financial._.Package." hidden="1">{#N/A,#N/A,TRUE,"Dev Summ";"P1-3Quarterly",#N/A,TRUE,"CF Summ";"P1-Quarterly",#N/A,TRUE,"CF Summ";"P2-Quarterly",#N/A,TRUE,"CF Summ";"P3-Quarterly",#N/A,TRUE,"CF Summ";#N/A,#N/A,TRUE,"Proj. Cost Summ";#N/A,#N/A,TRUE,"P1 Cost Summ";#N/A,#N/A,TRUE,"P2 Cost Summ";#N/A,#N/A,TRUE,"P3 Cost Summ";#N/A,#N/A,TRUE,"General";#N/A,#N/A,TRUE,"Rates";#N/A,#N/A,TRUE,"Abs_Sale"}</definedName>
    <definedName name="wrn.Financials_long." localSheetId="8" hidden="1">{0,0,0,0;0,0,0,0;0,0,0,0;0,0,0,0}</definedName>
    <definedName name="wrn.Financials_long." hidden="1">{0,0,0,0;0,0,0,0;0,0,0,0;0,0,0,0}</definedName>
    <definedName name="wrn.FLUJO._.CAJA." localSheetId="8" hidden="1">{"FLUJO DE CAJA",#N/A,FALSE,"Hoja1";"ANEXOS FLUJO",#N/A,FALSE,"Hoja1"}</definedName>
    <definedName name="wrn.FLUJO._.CAJA." hidden="1">{"FLUJO DE CAJA",#N/A,FALSE,"Hoja1";"ANEXOS FLUJO",#N/A,FALSE,"Hoja1"}</definedName>
    <definedName name="wrn.Fmgmtfee." localSheetId="4" hidden="1">{#N/A,#N/A,FALSE,"Fmgmtfee"}</definedName>
    <definedName name="wrn.Fmgmtfee." localSheetId="6" hidden="1">{#N/A,#N/A,FALSE,"Fmgmtfee"}</definedName>
    <definedName name="wrn.Fmgmtfee." hidden="1">{#N/A,#N/A,FALSE,"Fmgmtfee"}</definedName>
    <definedName name="wrn.FORMULAS." localSheetId="4" hidden="1">{"FORMULAS",#N/A,FALSE,"ESTIMATE"}</definedName>
    <definedName name="wrn.FORMULAS." localSheetId="8" hidden="1">{"FORMULAS",#N/A,FALSE,"ESTIMATE"}</definedName>
    <definedName name="wrn.FORMULAS." localSheetId="6" hidden="1">{"FORMULAS",#N/A,FALSE,"ESTIMATE"}</definedName>
    <definedName name="wrn.FORMULAS." hidden="1">{"FORMULAS",#N/A,FALSE,"ESTIMATE"}</definedName>
    <definedName name="wrn.Friendly." localSheetId="8" hidden="1">{#N/A,#N/A,TRUE,"Julio";#N/A,#N/A,TRUE,"Agosto";#N/A,#N/A,TRUE,"BHCo";#N/A,#N/A,TRUE,"Abril";#N/A,#N/A,TRUE,"Pro Forma"}</definedName>
    <definedName name="wrn.Friendly." hidden="1">{#N/A,#N/A,TRUE,"Julio";#N/A,#N/A,TRUE,"Agosto";#N/A,#N/A,TRUE,"BHCo";#N/A,#N/A,TRUE,"Abril";#N/A,#N/A,TRUE,"Pro Forma"}</definedName>
    <definedName name="wrn.Full." localSheetId="4" hidden="1">{#N/A,#N/A,FALSE,"ExecutiveSummary";#N/A,#N/A,FALSE,"CostDetail";#N/A,#N/A,FALSE,"IncomeDetail";#N/A,#N/A,FALSE,"InterestCalculation"}</definedName>
    <definedName name="wrn.Full." localSheetId="8" hidden="1">{#N/A,#N/A,FALSE,"ExecutiveSummary";#N/A,#N/A,FALSE,"CostDetail";#N/A,#N/A,FALSE,"IncomeDetail";#N/A,#N/A,FALSE,"InterestCalculation"}</definedName>
    <definedName name="wrn.Full." localSheetId="6" hidden="1">{#N/A,#N/A,FALSE,"ExecutiveSummary";#N/A,#N/A,FALSE,"CostDetail";#N/A,#N/A,FALSE,"IncomeDetail";#N/A,#N/A,FALSE,"InterestCalculation"}</definedName>
    <definedName name="wrn.Full." hidden="1">{#N/A,#N/A,FALSE,"ExecutiveSummary";#N/A,#N/A,FALSE,"CostDetail";#N/A,#N/A,FALSE,"IncomeDetail";#N/A,#N/A,FALSE,"InterestCalculation"}</definedName>
    <definedName name="wrn.FULL._.COMPARISON." localSheetId="4" hidden="1">{"Full Sheet",#N/A,FALSE,"Expense Comparison"}</definedName>
    <definedName name="wrn.FULL._.COMPARISON." localSheetId="8" hidden="1">{"Full Sheet",#N/A,FALSE,"Expense Comparison"}</definedName>
    <definedName name="wrn.FULL._.COMPARISON." localSheetId="6" hidden="1">{"Full Sheet",#N/A,FALSE,"Expense Comparison"}</definedName>
    <definedName name="wrn.FULL._.COMPARISON." hidden="1">{"Full Sheet",#N/A,FALSE,"Expense Comparison"}</definedName>
    <definedName name="wrn.Full._.Monty." localSheetId="8" hidden="1">{"ROIC",#N/A,FALSE,"ROIC";"Graphs",#N/A,FALSE,"TY analysis";"fcf",#N/A,FALSE,"FCF";"Matrix_2004",#N/A,FALSE,"MATRIX(2004)";"matrix_2008",#N/A,FALSE,"MATRIX(2008)";"FS_Condensed",#N/A,FALSE,"Financial Statements2";"TAXES",#N/A,FALSE,"Taxes";"DEBT_INVEST",#N/A,FALSE,"Debt&amp;Investment Schedule";"Main_menu",#N/A,FALSE,"Main Menu"}</definedName>
    <definedName name="wrn.Full._.Monty." hidden="1">{"ROIC",#N/A,FALSE,"ROIC";"Graphs",#N/A,FALSE,"TY analysis";"fcf",#N/A,FALSE,"FCF";"Matrix_2004",#N/A,FALSE,"MATRIX(2004)";"matrix_2008",#N/A,FALSE,"MATRIX(2008)";"FS_Condensed",#N/A,FALSE,"Financial Statements2";"TAXES",#N/A,FALSE,"Taxes";"DEBT_INVEST",#N/A,FALSE,"Debt&amp;Investment Schedule";"Main_menu",#N/A,FALSE,"Main Menu"}</definedName>
    <definedName name="wrn.Full._.Report" localSheetId="4"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localSheetId="8"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localSheetId="6"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hidden="1">{#N/A,#N/A,FALSE,"Summary";#N/A,#N/A,FALSE,"Project Summary";#N/A,#N/A,FALSE,"Master Developer Cash Flow";#N/A,#N/A,FALSE,"Development Cost Allocation";#N/A,#N/A,FALSE,"Costs";#N/A,#N/A,FALSE,"Pad Fees";#N/A,#N/A,FALSE,"Parking Budget";#N/A,#N/A,FALSE,"Podium Monthly Development #1";#N/A,#N/A,FALSE,"Podium Monthly Development #2";#N/A,#N/A,FALSE,"Podium Quarterly Development Bu";#N/A,#N/A,FALSE,"Parking Cash Flow";#N/A,#N/A,FALSE,"Parking Assumptions";#N/A,#N/A,FALSE,"Bond Debt Service";#N/A,#N/A,FALSE,"Bond Shortfall";#N/A,#N/A,FALSE,"Retail Development Budget";#N/A,#N/A,FALSE,"Retail Monthly Development Budg";#N/A,#N/A,FALSE,"Retail Quarterly Development Bu";#N/A,#N/A,FALSE,"Retail Cash Flow";#N/A,#N/A,FALSE,"Retail Cash Flow";#N/A,#N/A,FALSE,"Retail Assumptions";#N/A,#N/A,FALSE,"Retail Debt Service";#N/A,#N/A,FALSE,"Office Development Budget";#N/A,#N/A,FALSE,"Office Monthly Development Budg";#N/A,#N/A,FALSE,"Office Quarterly Development Bu";#N/A,#N/A,FALSE,"Office Cash Flow";#N/A,#N/A,FALSE,"Office Assumptions";#N/A,#N/A,FALSE,"Office Debt Service";#N/A,#N/A,FALSE,"Hotel Development Budget";#N/A,#N/A,FALSE,"Hotel Monthly Development Budge";#N/A,#N/A,FALSE,"Hotel Quarterly Development Bud";#N/A,#N/A,FALSE,"Hotel Cash Flow";#N/A,#N/A,FALSE,"Hotel Assumptions";#N/A,#N/A,FALSE,"Hotel Debt Service";#N/A,#N/A,FALSE,"Demographics-Hotel";#N/A,#N/A,FALSE,"Land Lease NPV"}</definedName>
    <definedName name="wrn.full._.report." localSheetId="0" hidden="1">{"summary",#N/A,FALSE,"Summary";"transaction",#N/A,FALSE,"Transaction";"sales",#N/A,FALSE,"Sales";"sales existing",#N/A,FALSE,"Sales";"sales rd1",#N/A,FALSE,"Sales";"sales rd2",#N/A,FALSE,"Sales";"costs",#N/A,FALSE,"Costs";"income statement",#N/A,FALSE,"Financials";"cash flow statement",#N/A,FALSE,"Financials";"balance sheet",#N/A,FALSE,"Financials";"consolidated capitalization",#N/A,FALSE,"Financials";"op co. capitalization",#N/A,FALSE,"Financials";"ebitda",#N/A,FALSE,"EBITDA";"profit imp opps",#N/A,FALSE,"EBITDA";"returns",#N/A,FALSE,"Equity &amp; Sub Valuation"}</definedName>
    <definedName name="wrn.Full._.Report." localSheetId="4" hidden="1">{#N/A,#N/A,FALSE,"DSCR Sum";#N/A,#N/A,FALSE,"Max  Allocation";#N/A,#N/A,FALSE,"Rent Matrix Max";#N/A,#N/A,FALSE,"Rent Matrix Potential";#N/A,#N/A,FALSE,"Rent Matrix Actual";#N/A,#N/A,FALSE,"Capital Reserve Analysis";#N/A,#N/A,FALSE,"Lake Davis";#N/A,#N/A,FALSE,"Lake Jennie I";#N/A,#N/A,FALSE,"Lake Jennie II";#N/A,#N/A,FALSE,"Gov Man";#N/A,#N/A,FALSE,"Mellonville";#N/A,#N/A,FALSE,"Total"}</definedName>
    <definedName name="wrn.Full._.Report." localSheetId="8" hidden="1">{#N/A,#N/A,FALSE,"DSCR Sum";#N/A,#N/A,FALSE,"Max  Allocation";#N/A,#N/A,FALSE,"Rent Matrix Max";#N/A,#N/A,FALSE,"Rent Matrix Potential";#N/A,#N/A,FALSE,"Rent Matrix Actual";#N/A,#N/A,FALSE,"Capital Reserve Analysis";#N/A,#N/A,FALSE,"Lake Davis";#N/A,#N/A,FALSE,"Lake Jennie I";#N/A,#N/A,FALSE,"Lake Jennie II";#N/A,#N/A,FALSE,"Gov Man";#N/A,#N/A,FALSE,"Mellonville";#N/A,#N/A,FALSE,"Total"}</definedName>
    <definedName name="wrn.Full._.Report." localSheetId="6" hidden="1">{#N/A,#N/A,FALSE,"DSCR Sum";#N/A,#N/A,FALSE,"Max  Allocation";#N/A,#N/A,FALSE,"Rent Matrix Max";#N/A,#N/A,FALSE,"Rent Matrix Potential";#N/A,#N/A,FALSE,"Rent Matrix Actual";#N/A,#N/A,FALSE,"Capital Reserve Analysis";#N/A,#N/A,FALSE,"Lake Davis";#N/A,#N/A,FALSE,"Lake Jennie I";#N/A,#N/A,FALSE,"Lake Jennie II";#N/A,#N/A,FALSE,"Gov Man";#N/A,#N/A,FALSE,"Mellonville";#N/A,#N/A,FALSE,"Total"}</definedName>
    <definedName name="wrn.Full._.Report." hidden="1">{#N/A,#N/A,FALSE,"DSCR Sum";#N/A,#N/A,FALSE,"Max  Allocation";#N/A,#N/A,FALSE,"Rent Matrix Max";#N/A,#N/A,FALSE,"Rent Matrix Potential";#N/A,#N/A,FALSE,"Rent Matrix Actual";#N/A,#N/A,FALSE,"Capital Reserve Analysis";#N/A,#N/A,FALSE,"Lake Davis";#N/A,#N/A,FALSE,"Lake Jennie I";#N/A,#N/A,FALSE,"Lake Jennie II";#N/A,#N/A,FALSE,"Gov Man";#N/A,#N/A,FALSE,"Mellonville";#N/A,#N/A,FALSE,"Total"}</definedName>
    <definedName name="wrn.GANANCIAS._.Y._.PERDIDAS." localSheetId="8" hidden="1">{"GAN.Y PERD.RESUMIDO",#N/A,FALSE,"Hoja1";"GAN.Y PERD.DETALLADO",#N/A,FALSE,"Hoja1"}</definedName>
    <definedName name="wrn.GANANCIAS._.Y._.PERDIDAS." hidden="1">{"GAN.Y PERD.RESUMIDO",#N/A,FALSE,"Hoja1";"GAN.Y PERD.DETALLADO",#N/A,FALSE,"Hoja1"}</definedName>
    <definedName name="wrn.Garage." localSheetId="4" hidden="1">{#N/A,#N/A,FALSE,"Garage Assumpt 1";#N/A,#N/A,FALSE,"Garage Op Proj";#N/A,#N/A,FALSE,"Hist I&amp;E";#N/A,#N/A,FALSE,"Garage Lease"}</definedName>
    <definedName name="wrn.Garage." localSheetId="8" hidden="1">{#N/A,#N/A,FALSE,"Garage Assumpt 1";#N/A,#N/A,FALSE,"Garage Op Proj";#N/A,#N/A,FALSE,"Hist I&amp;E";#N/A,#N/A,FALSE,"Garage Lease"}</definedName>
    <definedName name="wrn.Garage." localSheetId="6" hidden="1">{#N/A,#N/A,FALSE,"Garage Assumpt 1";#N/A,#N/A,FALSE,"Garage Op Proj";#N/A,#N/A,FALSE,"Hist I&amp;E";#N/A,#N/A,FALSE,"Garage Lease"}</definedName>
    <definedName name="wrn.Garage." hidden="1">{#N/A,#N/A,FALSE,"Garage Assumpt 1";#N/A,#N/A,FALSE,"Garage Op Proj";#N/A,#N/A,FALSE,"Hist I&amp;E";#N/A,#N/A,FALSE,"Garage Lease"}</definedName>
    <definedName name="wrn.Gross._.up." localSheetId="4" hidden="1">{#N/A,#N/A,FALSE,"Gross-Up"}</definedName>
    <definedName name="wrn.Gross._.up." localSheetId="6" hidden="1">{#N/A,#N/A,FALSE,"Gross-Up"}</definedName>
    <definedName name="wrn.Gross._.up." hidden="1">{#N/A,#N/A,FALSE,"Gross-Up"}</definedName>
    <definedName name="wrn.GSA._.PRINT." localSheetId="4" hidden="1">{#N/A,#N/A,FALSE,"DEV COSTS";#N/A,#N/A,FALSE,"10-YR C. F."}</definedName>
    <definedName name="wrn.GSA._.PRINT." localSheetId="6" hidden="1">{#N/A,#N/A,FALSE,"DEV COSTS";#N/A,#N/A,FALSE,"10-YR C. F."}</definedName>
    <definedName name="wrn.GSA._.PRINT." hidden="1">{#N/A,#N/A,FALSE,"DEV COSTS";#N/A,#N/A,FALSE,"10-YR C. F."}</definedName>
    <definedName name="wrn.Gund._.Arena._.PCD." localSheetId="4" hidden="1">{#N/A,#N/A,TRUE,"Gund Arena PCD";#N/A,#N/A,TRUE,"Gund Arena IOR"}</definedName>
    <definedName name="wrn.Gund._.Arena._.PCD." localSheetId="8" hidden="1">{#N/A,#N/A,TRUE,"Gund Arena PCD";#N/A,#N/A,TRUE,"Gund Arena IOR"}</definedName>
    <definedName name="wrn.Gund._.Arena._.PCD." localSheetId="6" hidden="1">{#N/A,#N/A,TRUE,"Gund Arena PCD";#N/A,#N/A,TRUE,"Gund Arena IOR"}</definedName>
    <definedName name="wrn.Gund._.Arena._.PCD." hidden="1">{#N/A,#N/A,TRUE,"Gund Arena PCD";#N/A,#N/A,TRUE,"Gund Arena IOR"}</definedName>
    <definedName name="wrn.Hightower." localSheetId="4" hidden="1">{"Hightower-Investor",#N/A,FALSE,"Hightower";"Hightower-Property",#N/A,FALSE,"Hightower"}</definedName>
    <definedName name="wrn.Hightower." localSheetId="6" hidden="1">{"Hightower-Investor",#N/A,FALSE,"Hightower";"Hightower-Property",#N/A,FALSE,"Hightower"}</definedName>
    <definedName name="wrn.Hightower." hidden="1">{"Hightower-Investor",#N/A,FALSE,"Hightower";"Hightower-Property",#N/A,FALSE,"Hightower"}</definedName>
    <definedName name="wrn.Hist._.InE." localSheetId="4" hidden="1">{#N/A,#N/A,FALSE,"Hist I&amp;E - Consol";#N/A,#N/A,FALSE,"Hist I&amp;E - Lakes";#N/A,#N/A,FALSE,"Hist I&amp;E - Chabot";#N/A,#N/A,FALSE,"Hist I&amp;E - Diablo"}</definedName>
    <definedName name="wrn.Hist._.InE." localSheetId="6" hidden="1">{#N/A,#N/A,FALSE,"Hist I&amp;E - Consol";#N/A,#N/A,FALSE,"Hist I&amp;E - Lakes";#N/A,#N/A,FALSE,"Hist I&amp;E - Chabot";#N/A,#N/A,FALSE,"Hist I&amp;E - Diablo"}</definedName>
    <definedName name="wrn.Hist._.InE." hidden="1">{#N/A,#N/A,FALSE,"Hist I&amp;E - Consol";#N/A,#N/A,FALSE,"Hist I&amp;E - Lakes";#N/A,#N/A,FALSE,"Hist I&amp;E - Chabot";#N/A,#N/A,FALSE,"Hist I&amp;E - Diablo"}</definedName>
    <definedName name="wrn.Hist._.InE2." localSheetId="4" hidden="1">{#N/A,#N/A,FALSE,"Hist I&amp;E - #2";#N/A,#N/A,FALSE,"Hist I&amp;E - #3";#N/A,#N/A,FALSE,"Hist I&amp;E - #4";#N/A,#N/A,FALSE,"Hist I&amp;E - #5";#N/A,#N/A,FALSE,"Hist I&amp;E - #6";#N/A,#N/A,FALSE,"Hist I&amp;E - #8";#N/A,#N/A,FALSE,"Hist I&amp;E - #9";#N/A,#N/A,FALSE,"Hist I&amp;E - #10"}</definedName>
    <definedName name="wrn.Hist._.InE2." localSheetId="6" hidden="1">{#N/A,#N/A,FALSE,"Hist I&amp;E - #2";#N/A,#N/A,FALSE,"Hist I&amp;E - #3";#N/A,#N/A,FALSE,"Hist I&amp;E - #4";#N/A,#N/A,FALSE,"Hist I&amp;E - #5";#N/A,#N/A,FALSE,"Hist I&amp;E - #6";#N/A,#N/A,FALSE,"Hist I&amp;E - #8";#N/A,#N/A,FALSE,"Hist I&amp;E - #9";#N/A,#N/A,FALSE,"Hist I&amp;E - #10"}</definedName>
    <definedName name="wrn.Hist._.InE2." hidden="1">{#N/A,#N/A,FALSE,"Hist I&amp;E - #2";#N/A,#N/A,FALSE,"Hist I&amp;E - #3";#N/A,#N/A,FALSE,"Hist I&amp;E - #4";#N/A,#N/A,FALSE,"Hist I&amp;E - #5";#N/A,#N/A,FALSE,"Hist I&amp;E - #6";#N/A,#N/A,FALSE,"Hist I&amp;E - #8";#N/A,#N/A,FALSE,"Hist I&amp;E - #9";#N/A,#N/A,FALSE,"Hist I&amp;E - #10"}</definedName>
    <definedName name="wrn.Historical._.Analysis." localSheetId="4" hidden="1">{#N/A,#N/A,FALSE,"HISTORICAL REV &amp; EXP"}</definedName>
    <definedName name="wrn.Historical._.Analysis." localSheetId="8" hidden="1">{#N/A,#N/A,FALSE,"HISTORICAL REV &amp; EXP"}</definedName>
    <definedName name="wrn.Historical._.Analysis." localSheetId="6" hidden="1">{#N/A,#N/A,FALSE,"HISTORICAL REV &amp; EXP"}</definedName>
    <definedName name="wrn.Historical._.Analysis." hidden="1">{#N/A,#N/A,FALSE,"HISTORICAL REV &amp; EXP"}</definedName>
    <definedName name="wrn.Historical._.Rev._.Exp." localSheetId="4" hidden="1">{#N/A,#N/A,FALSE,"Historical Rev &amp; Exp"}</definedName>
    <definedName name="wrn.Historical._.Rev._.Exp." localSheetId="6" hidden="1">{#N/A,#N/A,FALSE,"Historical Rev &amp; Exp"}</definedName>
    <definedName name="wrn.Historical._.Rev._.Exp." hidden="1">{#N/A,#N/A,FALSE,"Historical Rev &amp; Exp"}</definedName>
    <definedName name="wrn.IGT._.Model." localSheetId="4" hidden="1">{#N/A,#N/A,TRUE,"IGT";#N/A,#N/A,TRUE,"IGTSLOT"}</definedName>
    <definedName name="wrn.IGT._.Model." localSheetId="8" hidden="1">{#N/A,#N/A,TRUE,"IGT";#N/A,#N/A,TRUE,"IGTSLOT"}</definedName>
    <definedName name="wrn.IGT._.Model." localSheetId="6" hidden="1">{#N/A,#N/A,TRUE,"IGT";#N/A,#N/A,TRUE,"IGTSLOT"}</definedName>
    <definedName name="wrn.IGT._.Model." hidden="1">{#N/A,#N/A,TRUE,"IGT";#N/A,#N/A,TRUE,"IGTSLOT"}</definedName>
    <definedName name="wrn.Income._.Statements." localSheetId="4"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come._.Statements." localSheetId="8"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come._.Statements." localSheetId="6"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come._.Statements."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come._.Statements.1" localSheetId="4"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come._.Statements.1" localSheetId="6"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come._.Statements.1" hidden="1">{#N/A,#N/A,FALSE,"Consol CF";#N/A,#N/A,FALSE,"matx B4 DS";#N/A,#N/A,FALSE,"Hacienda CF";#N/A,#N/A,FALSE,"matx B4 DS Hac";#N/A,#N/A,FALSE,"Chabot CF";#N/A,#N/A,FALSE,"matx B4 DS Chabot";#N/A,#N/A,FALSE,"Diablo CF";#N/A,#N/A,FALSE,"matx B4 DS Diablo";#N/A,#N/A,FALSE,"HAC2-CF";#N/A,#N/A,FALSE,"HAC3-CF";#N/A,#N/A,FALSE,"HAC4-CF";#N/A,#N/A,FALSE,"HAC5-CF";#N/A,#N/A,FALSE,"HAC6-CF";#N/A,#N/A,FALSE,"HAC7-CF";#N/A,#N/A,FALSE,"HAC8-CF";#N/A,#N/A,FALSE,"HAC9-CF";#N/A,#N/A,FALSE,"HA10-CF"}</definedName>
    <definedName name="wrn.Index." localSheetId="4" hidden="1">{#N/A,#N/A,FALSE,"INDEX"}</definedName>
    <definedName name="wrn.Index." localSheetId="8" hidden="1">{#N/A,#N/A,FALSE,"INDEX"}</definedName>
    <definedName name="wrn.Index." localSheetId="6" hidden="1">{#N/A,#N/A,FALSE,"INDEX"}</definedName>
    <definedName name="wrn.Index." hidden="1">{#N/A,#N/A,FALSE,"INDEX"}</definedName>
    <definedName name="wrn.Informe._.Consolidado." localSheetId="8" hidden="1">{#N/A,#N/A,FALSE,"P o G";#N/A,#N/A,FALSE,"BALANCE";#N/A,#N/A,FALSE,"Indicadores";#N/A,#N/A,FALSE,"Capital Trab. (2)";#N/A,#N/A,FALSE,"Camb. Sit. Financ. (2)";#N/A,#N/A,FALSE,"ROTABCIUD"}</definedName>
    <definedName name="wrn.Informe._.Consolidado." hidden="1">{#N/A,#N/A,FALSE,"P o G";#N/A,#N/A,FALSE,"BALANCE";#N/A,#N/A,FALSE,"Indicadores";#N/A,#N/A,FALSE,"Capital Trab. (2)";#N/A,#N/A,FALSE,"Camb. Sit. Financ. (2)";#N/A,#N/A,FALSE,"ROTABCIUD"}</definedName>
    <definedName name="wrn.Informe._.RLI." localSheetId="8" hidden="1">{#N/A,#N/A,TRUE,"MEMO";#N/A,#N/A,TRUE,"PARAMETROS";#N/A,#N/A,TRUE,"RLI ";#N/A,#N/A,TRUE,"IMPTO.DET.";#N/A,#N/A,TRUE,"FUT-FUNT";#N/A,#N/A,TRUE,"CPI-PATR.";#N/A,#N/A,TRUE,"CM CPI";#N/A,#N/A,TRUE,"PROV";#N/A,#N/A,TRUE,"A FIJO";#N/A,#N/A,TRUE,"LEASING";#N/A,#N/A,TRUE,"VPP";#N/A,#N/A,TRUE,"PPM";#N/A,#N/A,TRUE,"OTROS"}</definedName>
    <definedName name="wrn.Informe._.RLI." hidden="1">{#N/A,#N/A,TRUE,"MEMO";#N/A,#N/A,TRUE,"PARAMETROS";#N/A,#N/A,TRUE,"RLI ";#N/A,#N/A,TRUE,"IMPTO.DET.";#N/A,#N/A,TRUE,"FUT-FUNT";#N/A,#N/A,TRUE,"CPI-PATR.";#N/A,#N/A,TRUE,"CM CPI";#N/A,#N/A,TRUE,"PROV";#N/A,#N/A,TRUE,"A FIJO";#N/A,#N/A,TRUE,"LEASING";#N/A,#N/A,TRUE,"VPP";#N/A,#N/A,TRUE,"PPM";#N/A,#N/A,TRUE,"OTROS"}</definedName>
    <definedName name="wrn.input._.and._.output." localSheetId="4"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8"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6" hidden="1">{"EBITDA",#N/A,TRUE,"P&amp;L Net of Disc Ops";"output net of disc ops",#N/A,TRUE,"Revenue";"input",#N/A,TRUE,"Revenue";"output",#N/A,TRUE,"DC";"Input",#N/A,TRUE,"DC";"MTN and MCN",#N/A,TRUE,"Margin";"output detail line items",#N/A,TRUE,"SGA";"personnel by year",#N/A,TRUE,"Payroll";#N/A,#N/A,TRUE,"CapEx"}</definedName>
    <definedName name="wrn.input._.and._.output." hidden="1">{"EBITDA",#N/A,TRUE,"P&amp;L Net of Disc Ops";"output net of disc ops",#N/A,TRUE,"Revenue";"input",#N/A,TRUE,"Revenue";"output",#N/A,TRUE,"DC";"Input",#N/A,TRUE,"DC";"MTN and MCN",#N/A,TRUE,"Margin";"output detail line items",#N/A,TRUE,"SGA";"personnel by year",#N/A,TRUE,"Payroll";#N/A,#N/A,TRUE,"CapEx"}</definedName>
    <definedName name="wrn.Input._.Pages." localSheetId="4" hidden="1">{#N/A,#N/A,TRUE,"General Assumptions (Input)";#N/A,#N/A,TRUE,"Income (Input Page)";#N/A,#N/A,TRUE,"Related Mgmt Exps (Input Page)";#N/A,#N/A,TRUE,"Development Cost (Input)"}</definedName>
    <definedName name="wrn.Input._.Pages." localSheetId="8" hidden="1">{#N/A,#N/A,TRUE,"General Assumptions (Input)";#N/A,#N/A,TRUE,"Income (Input Page)";#N/A,#N/A,TRUE,"Related Mgmt Exps (Input Page)";#N/A,#N/A,TRUE,"Development Cost (Input)"}</definedName>
    <definedName name="wrn.Input._.Pages." localSheetId="6" hidden="1">{#N/A,#N/A,TRUE,"General Assumptions (Input)";#N/A,#N/A,TRUE,"Income (Input Page)";#N/A,#N/A,TRUE,"Related Mgmt Exps (Input Page)";#N/A,#N/A,TRUE,"Development Cost (Input)"}</definedName>
    <definedName name="wrn.Input._.Pages." hidden="1">{#N/A,#N/A,TRUE,"General Assumptions (Input)";#N/A,#N/A,TRUE,"Income (Input Page)";#N/A,#N/A,TRUE,"Related Mgmt Exps (Input Page)";#N/A,#N/A,TRUE,"Development Cost (Input)"}</definedName>
    <definedName name="wrn.Input._.Pages._.and._.Pro._.Forma." localSheetId="4" hidden="1">{#N/A,#N/A,TRUE,"General Assumptions (Input)";#N/A,#N/A,TRUE,"Related Mgmt Exps (Input Page)";#N/A,#N/A,TRUE,"Development Cost (Input)";#N/A,#N/A,TRUE,"Summary";#N/A,#N/A,TRUE,"Income (Input Page)";#N/A,#N/A,TRUE,"Expenses";#N/A,#N/A,TRUE,"Dev. Cost &amp; Elig. Basis(Input)";#N/A,#N/A,TRUE,"Tax Credit";#N/A,#N/A,TRUE,"Sources and Uses";#N/A,#N/A,TRUE,"Rent Up Reserve";#N/A,#N/A,TRUE,"Cash Flow";#N/A,#N/A,TRUE,"Construction Cash Flow"}</definedName>
    <definedName name="wrn.Input._.Pages._.and._.Pro._.Forma." localSheetId="8" hidden="1">{#N/A,#N/A,TRUE,"General Assumptions (Input)";#N/A,#N/A,TRUE,"Related Mgmt Exps (Input Page)";#N/A,#N/A,TRUE,"Development Cost (Input)";#N/A,#N/A,TRUE,"Summary";#N/A,#N/A,TRUE,"Income (Input Page)";#N/A,#N/A,TRUE,"Expenses";#N/A,#N/A,TRUE,"Dev. Cost &amp; Elig. Basis(Input)";#N/A,#N/A,TRUE,"Tax Credit";#N/A,#N/A,TRUE,"Sources and Uses";#N/A,#N/A,TRUE,"Rent Up Reserve";#N/A,#N/A,TRUE,"Cash Flow";#N/A,#N/A,TRUE,"Construction Cash Flow"}</definedName>
    <definedName name="wrn.Input._.Pages._.and._.Pro._.Forma." localSheetId="6" hidden="1">{#N/A,#N/A,TRUE,"General Assumptions (Input)";#N/A,#N/A,TRUE,"Related Mgmt Exps (Input Page)";#N/A,#N/A,TRUE,"Development Cost (Input)";#N/A,#N/A,TRUE,"Summary";#N/A,#N/A,TRUE,"Income (Input Page)";#N/A,#N/A,TRUE,"Expenses";#N/A,#N/A,TRUE,"Dev. Cost &amp; Elig. Basis(Input)";#N/A,#N/A,TRUE,"Tax Credit";#N/A,#N/A,TRUE,"Sources and Uses";#N/A,#N/A,TRUE,"Rent Up Reserve";#N/A,#N/A,TRUE,"Cash Flow";#N/A,#N/A,TRUE,"Construction Cash Flow"}</definedName>
    <definedName name="wrn.Input._.Pages._.and._.Pro._.Forma." hidden="1">{#N/A,#N/A,TRUE,"General Assumptions (Input)";#N/A,#N/A,TRUE,"Related Mgmt Exps (Input Page)";#N/A,#N/A,TRUE,"Development Cost (Input)";#N/A,#N/A,TRUE,"Summary";#N/A,#N/A,TRUE,"Income (Input Page)";#N/A,#N/A,TRUE,"Expenses";#N/A,#N/A,TRUE,"Dev. Cost &amp; Elig. Basis(Input)";#N/A,#N/A,TRUE,"Tax Credit";#N/A,#N/A,TRUE,"Sources and Uses";#N/A,#N/A,TRUE,"Rent Up Reserve";#N/A,#N/A,TRUE,"Cash Flow";#N/A,#N/A,TRUE,"Construction Cash Flow"}</definedName>
    <definedName name="wrn.Inputs." localSheetId="0" hidden="1">{"Inputs 1","Base",FALSE,"INPUTS";"Inputs 2","Base",FALSE,"INPUTS";"Inputs 3","Base",FALSE,"INPUTS";"Inputs 4","Base",FALSE,"INPUTS";"Inputs 5","Base",FALSE,"INPUTS"}</definedName>
    <definedName name="wrn.Inputs." localSheetId="4" hidden="1">{"Inflation-BaseYear",#N/A,FALSE,"Inputs"}</definedName>
    <definedName name="wrn.Inputs." localSheetId="8" hidden="1">{"Inflation-BaseYear",#N/A,FALSE,"Inputs"}</definedName>
    <definedName name="wrn.Inputs." localSheetId="6" hidden="1">{"Inflation-BaseYear",#N/A,FALSE,"Inputs"}</definedName>
    <definedName name="wrn.Inputs." hidden="1">{"Inflation-BaseYear",#N/A,FALSE,"Inputs"}</definedName>
    <definedName name="wrn.Interior._.finishes." localSheetId="4" hidden="1">{"interior finishes",#N/A,FALSE,"DETAIL.XLS"}</definedName>
    <definedName name="wrn.Interior._.finishes." localSheetId="8" hidden="1">{"interior finishes",#N/A,FALSE,"DETAIL.XLS"}</definedName>
    <definedName name="wrn.Interior._.finishes." localSheetId="6" hidden="1">{"interior finishes",#N/A,FALSE,"DETAIL.XLS"}</definedName>
    <definedName name="wrn.Interior._.finishes." hidden="1">{"interior finishes",#N/A,FALSE,"DETAIL.XLS"}</definedName>
    <definedName name="wrn.Internal." localSheetId="4" hidden="1">{#N/A,#N/A,FALSE,"Apt. Exec Sum";#N/A,#N/A,FALSE,"Master Budget";#N/A,#N/A,FALSE,"Assumptions";#N/A,#N/A,FALSE,"Unit Schedule no Condo";#N/A,#N/A,FALSE,"Apt.CashFlow";#N/A,#N/A,FALSE,"Apt. Lease-up"}</definedName>
    <definedName name="wrn.Internal." localSheetId="6" hidden="1">{#N/A,#N/A,FALSE,"Apt. Exec Sum";#N/A,#N/A,FALSE,"Master Budget";#N/A,#N/A,FALSE,"Assumptions";#N/A,#N/A,FALSE,"Unit Schedule no Condo";#N/A,#N/A,FALSE,"Apt.CashFlow";#N/A,#N/A,FALSE,"Apt. Lease-up"}</definedName>
    <definedName name="wrn.Internal." hidden="1">{#N/A,#N/A,FALSE,"Apt. Exec Sum";#N/A,#N/A,FALSE,"Master Budget";#N/A,#N/A,FALSE,"Assumptions";#N/A,#N/A,FALSE,"Unit Schedule no Condo";#N/A,#N/A,FALSE,"Apt.CashFlow";#N/A,#N/A,FALSE,"Apt. Lease-up"}</definedName>
    <definedName name="wrn.Investment._.Review." localSheetId="4" hidden="1">{#N/A,#N/A,FALSE,"Proforma Five Yr";#N/A,#N/A,FALSE,"Capital Input";#N/A,#N/A,FALSE,"Calculations";#N/A,#N/A,FALSE,"Transaction Summary-DTW"}</definedName>
    <definedName name="wrn.Investment._.Review." localSheetId="8" hidden="1">{#N/A,#N/A,FALSE,"Proforma Five Yr";#N/A,#N/A,FALSE,"Capital Input";#N/A,#N/A,FALSE,"Calculations";#N/A,#N/A,FALSE,"Transaction Summary-DTW"}</definedName>
    <definedName name="wrn.Investment._.Review." localSheetId="6" hidden="1">{#N/A,#N/A,FALSE,"Proforma Five Yr";#N/A,#N/A,FALSE,"Capital Input";#N/A,#N/A,FALSE,"Calculations";#N/A,#N/A,FALSE,"Transaction Summary-DTW"}</definedName>
    <definedName name="wrn.Investment._.Review." hidden="1">{#N/A,#N/A,FALSE,"Proforma Five Yr";#N/A,#N/A,FALSE,"Capital Input";#N/A,#N/A,FALSE,"Calculations";#N/A,#N/A,FALSE,"Transaction Summary-DTW"}</definedName>
    <definedName name="wrn.jan._.98." localSheetId="4" hidden="1">{"sheet a",#N/A,FALSE,"A";"sheet b 1",#N/A,FALSE,"B";"sheet b 2",#N/A,FALSE,"B"}</definedName>
    <definedName name="wrn.jan._.98." localSheetId="8" hidden="1">{"sheet a",#N/A,FALSE,"A";"sheet b 1",#N/A,FALSE,"B";"sheet b 2",#N/A,FALSE,"B"}</definedName>
    <definedName name="wrn.jan._.98." localSheetId="6" hidden="1">{"sheet a",#N/A,FALSE,"A";"sheet b 1",#N/A,FALSE,"B";"sheet b 2",#N/A,FALSE,"B"}</definedName>
    <definedName name="wrn.jan._.98." hidden="1">{"sheet a",#N/A,FALSE,"A";"sheet b 1",#N/A,FALSE,"B";"sheet b 2",#N/A,FALSE,"B"}</definedName>
    <definedName name="wrn.JM." localSheetId="4" hidden="1">{#N/A,#N/A,FALSE,"ExecSum";#N/A,#N/A,FALSE,"Budget";#N/A,#N/A,FALSE,"Summary1";#N/A,#N/A,FALSE,"CashFlow";#N/A,#N/A,FALSE,"Year1 Cash Flow";#N/A,#N/A,FALSE,"Carry";#N/A,#N/A,FALSE,"Page 3"}</definedName>
    <definedName name="wrn.JM." localSheetId="6" hidden="1">{#N/A,#N/A,FALSE,"ExecSum";#N/A,#N/A,FALSE,"Budget";#N/A,#N/A,FALSE,"Summary1";#N/A,#N/A,FALSE,"CashFlow";#N/A,#N/A,FALSE,"Year1 Cash Flow";#N/A,#N/A,FALSE,"Carry";#N/A,#N/A,FALSE,"Page 3"}</definedName>
    <definedName name="wrn.JM." hidden="1">{#N/A,#N/A,FALSE,"ExecSum";#N/A,#N/A,FALSE,"Budget";#N/A,#N/A,FALSE,"Summary1";#N/A,#N/A,FALSE,"CashFlow";#N/A,#N/A,FALSE,"Year1 Cash Flow";#N/A,#N/A,FALSE,"Carry";#N/A,#N/A,FALSE,"Page 3"}</definedName>
    <definedName name="wrn.julio." localSheetId="8" hidden="1">{"julio_dia",#N/A,FALSE,"flujo mensual";"jul_dia_graf",#N/A,FALSE,"flujo mensual"}</definedName>
    <definedName name="wrn.julio." hidden="1">{"julio_dia",#N/A,FALSE,"flujo mensual";"jul_dia_graf",#N/A,FALSE,"flujo mensual"}</definedName>
    <definedName name="wrn.junio." localSheetId="8" hidden="1">{"junio_dia",#N/A,FALSE,"flujo mensual";"jun_dia_graf",#N/A,FALSE,"flujo mensual"}</definedName>
    <definedName name="wrn.junio." hidden="1">{"junio_dia",#N/A,FALSE,"flujo mensual";"jun_dia_graf",#N/A,FALSE,"flujo mensual"}</definedName>
    <definedName name="wrn.Junta._.Principal." localSheetId="8" hidden="1">{#N/A,#N/A,FALSE,"VENTAS";#N/A,#N/A,FALSE,"U. BRUTA";#N/A,#N/A,FALSE,"G. PERSONAL";#N/A,#N/A,FALSE,"G. OPERACION";#N/A,#N/A,FALSE,"G. DEPYAM";#N/A,#N/A,FALSE,"INGRESOS";#N/A,#N/A,FALSE,"G.o P.1";#N/A,#N/A,FALSE,"3%Informe Junta";#N/A,#N/A,FALSE,"P Y G (2)";#N/A,#N/A,FALSE,"CART. PROV.";#N/A,#N/A,FALSE,"Usecmes";#N/A,#N/A,FALSE,"Usecacu"}</definedName>
    <definedName name="wrn.Junta._.Principal." hidden="1">{#N/A,#N/A,FALSE,"VENTAS";#N/A,#N/A,FALSE,"U. BRUTA";#N/A,#N/A,FALSE,"G. PERSONAL";#N/A,#N/A,FALSE,"G. OPERACION";#N/A,#N/A,FALSE,"G. DEPYAM";#N/A,#N/A,FALSE,"INGRESOS";#N/A,#N/A,FALSE,"G.o P.1";#N/A,#N/A,FALSE,"3%Informe Junta";#N/A,#N/A,FALSE,"P Y G (2)";#N/A,#N/A,FALSE,"CART. PROV.";#N/A,#N/A,FALSE,"Usecmes";#N/A,#N/A,FALSE,"Usecacu"}</definedName>
    <definedName name="wrn.Latent._.Demand._.Inputs." localSheetId="4" hidden="1">{#N/A,#N/A,FALSE,"Latent"}</definedName>
    <definedName name="wrn.Latent._.Demand._.Inputs." localSheetId="8" hidden="1">{#N/A,#N/A,FALSE,"Latent"}</definedName>
    <definedName name="wrn.Latent._.Demand._.Inputs." localSheetId="6" hidden="1">{#N/A,#N/A,FALSE,"Latent"}</definedName>
    <definedName name="wrn.Latent._.Demand._.Inputs." hidden="1">{#N/A,#N/A,FALSE,"Latent"}</definedName>
    <definedName name="wrn.Lease._.Rollover." localSheetId="4" hidden="1">{#N/A,#N/A,FALSE,"Lease Rollover"}</definedName>
    <definedName name="wrn.Lease._.Rollover." localSheetId="6" hidden="1">{#N/A,#N/A,FALSE,"Lease Rollover"}</definedName>
    <definedName name="wrn.Lease._.Rollover." hidden="1">{#N/A,#N/A,FALSE,"Lease Rollover"}</definedName>
    <definedName name="wrn.Leases." localSheetId="4" hidden="1">{#N/A,#N/A,FALSE,"Leases"}</definedName>
    <definedName name="wrn.Leases." localSheetId="8" hidden="1">{#N/A,#N/A,FALSE,"Leases"}</definedName>
    <definedName name="wrn.Leases." localSheetId="6" hidden="1">{#N/A,#N/A,FALSE,"Leases"}</definedName>
    <definedName name="wrn.Leases." hidden="1">{#N/A,#N/A,FALSE,"Leases"}</definedName>
    <definedName name="wrn.Leasing._.Variance." localSheetId="4" hidden="1">{#N/A,#N/A,FALSE,"Leasing 6A"}</definedName>
    <definedName name="wrn.Leasing._.Variance." localSheetId="8" hidden="1">{#N/A,#N/A,FALSE,"Leasing 6A"}</definedName>
    <definedName name="wrn.Leasing._.Variance." localSheetId="6" hidden="1">{#N/A,#N/A,FALSE,"Leasing 6A"}</definedName>
    <definedName name="wrn.Leasing._.Variance." hidden="1">{#N/A,#N/A,FALSE,"Leasing 6A"}</definedName>
    <definedName name="wrn.LETTERED." localSheetId="4" hidden="1">{"HEITMAN COPY",#N/A,FALSE,"SCHEDULE A";"MINIMUM RENT",#N/A,FALSE,"SCHEDULES B &amp; C";"PERCENTAGE RENT",#N/A,FALSE,"SCHEDULES B &amp; C";#N/A,#N/A,FALSE,"SCHEDULE D";"SUMMARY SCHEDULE",#N/A,FALSE,"SCHEDULE E";#N/A,#N/A,FALSE,"SCHEDULE F";"SUMMARY SCHEDULE",#N/A,FALSE,"SCHEDULE H";"SUMMARY SCHEDULE",#N/A,FALSE,"SCHEDULE I";#N/A,#N/A,FALSE,"SCHEDULE J"}</definedName>
    <definedName name="wrn.LETTERED." localSheetId="8" hidden="1">{"HEITMAN COPY",#N/A,FALSE,"SCHEDULE A";"MINIMUM RENT",#N/A,FALSE,"SCHEDULES B &amp; C";"PERCENTAGE RENT",#N/A,FALSE,"SCHEDULES B &amp; C";#N/A,#N/A,FALSE,"SCHEDULE D";"SUMMARY SCHEDULE",#N/A,FALSE,"SCHEDULE E";#N/A,#N/A,FALSE,"SCHEDULE F";"SUMMARY SCHEDULE",#N/A,FALSE,"SCHEDULE H";"SUMMARY SCHEDULE",#N/A,FALSE,"SCHEDULE I";#N/A,#N/A,FALSE,"SCHEDULE J"}</definedName>
    <definedName name="wrn.LETTERED." localSheetId="6" hidden="1">{"HEITMAN COPY",#N/A,FALSE,"SCHEDULE A";"MINIMUM RENT",#N/A,FALSE,"SCHEDULES B &amp; C";"PERCENTAGE RENT",#N/A,FALSE,"SCHEDULES B &amp; C";#N/A,#N/A,FALSE,"SCHEDULE D";"SUMMARY SCHEDULE",#N/A,FALSE,"SCHEDULE E";#N/A,#N/A,FALSE,"SCHEDULE F";"SUMMARY SCHEDULE",#N/A,FALSE,"SCHEDULE H";"SUMMARY SCHEDULE",#N/A,FALSE,"SCHEDULE I";#N/A,#N/A,FALSE,"SCHEDULE J"}</definedName>
    <definedName name="wrn.LETTERED." hidden="1">{"HEITMAN COPY",#N/A,FALSE,"SCHEDULE A";"MINIMUM RENT",#N/A,FALSE,"SCHEDULES B &amp; C";"PERCENTAGE RENT",#N/A,FALSE,"SCHEDULES B &amp; C";#N/A,#N/A,FALSE,"SCHEDULE D";"SUMMARY SCHEDULE",#N/A,FALSE,"SCHEDULE E";#N/A,#N/A,FALSE,"SCHEDULE F";"SUMMARY SCHEDULE",#N/A,FALSE,"SCHEDULE H";"SUMMARY SCHEDULE",#N/A,FALSE,"SCHEDULE I";#N/A,#N/A,FALSE,"SCHEDULE J"}</definedName>
    <definedName name="wrn.lnsum" localSheetId="4" hidden="1">{"Loan Summary",#N/A,FALSE,"Phase 1 loan &amp; data"}</definedName>
    <definedName name="wrn.lnsum" localSheetId="6" hidden="1">{"Loan Summary",#N/A,FALSE,"Phase 1 loan &amp; data"}</definedName>
    <definedName name="wrn.lnsum" hidden="1">{"Loan Summary",#N/A,FALSE,"Phase 1 loan &amp; data"}</definedName>
    <definedName name="wrn.Loan._.Pricing._.Analysis." localSheetId="4" hidden="1">{#N/A,#N/A,FALSE,"LOAN ANALYSIS"}</definedName>
    <definedName name="wrn.Loan._.Pricing._.Analysis." localSheetId="8" hidden="1">{#N/A,#N/A,FALSE,"LOAN ANALYSIS"}</definedName>
    <definedName name="wrn.Loan._.Pricing._.Analysis." localSheetId="6" hidden="1">{#N/A,#N/A,FALSE,"LOAN ANALYSIS"}</definedName>
    <definedName name="wrn.Loan._.Pricing._.Analysis." hidden="1">{#N/A,#N/A,FALSE,"LOAN ANALYSIS"}</definedName>
    <definedName name="wrn.Loan._.Summary." localSheetId="4" hidden="1">{"Loan Summary",#N/A,FALSE,"Phase 1 loan &amp; data"}</definedName>
    <definedName name="wrn.Loan._.Summary." localSheetId="8" hidden="1">{"Loan Summary",#N/A,FALSE,"Phase 1 loan &amp; data"}</definedName>
    <definedName name="wrn.Loan._.Summary." localSheetId="6" hidden="1">{"Loan Summary",#N/A,FALSE,"Phase 1 loan &amp; data"}</definedName>
    <definedName name="wrn.Loan._.Summary." hidden="1">{"Loan Summary",#N/A,FALSE,"Phase 1 loan &amp; data"}</definedName>
    <definedName name="wrn.Lodging." localSheetId="4" hidden="1">{#N/A,#N/A,FALSE,"EPS";#N/A,#N/A,FALSE,"EBITDA"}</definedName>
    <definedName name="wrn.Lodging." localSheetId="8" hidden="1">{#N/A,#N/A,FALSE,"EPS";#N/A,#N/A,FALSE,"EBITDA"}</definedName>
    <definedName name="wrn.Lodging." localSheetId="6" hidden="1">{#N/A,#N/A,FALSE,"EPS";#N/A,#N/A,FALSE,"EBITDA"}</definedName>
    <definedName name="wrn.Lodging." hidden="1">{#N/A,#N/A,FALSE,"EPS";#N/A,#N/A,FALSE,"EBITDA"}</definedName>
    <definedName name="wrn.ltrd." localSheetId="4" hidden="1">{"HEITMAN COPY",#N/A,FALSE,"SCHEDULE A";"MINIMUM RENT",#N/A,FALSE,"SCHEDULES B &amp; C";"PERCENTAGE RENT",#N/A,FALSE,"SCHEDULES B &amp; C";#N/A,#N/A,FALSE,"SCHEDULE D";"SUMMARY SCHEDULE",#N/A,FALSE,"SCHEDULE E";#N/A,#N/A,FALSE,"SCHEDULE F";"SUMMARY SCHEDULE",#N/A,FALSE,"SCHEDULE H";"SUMMARY SCHEDULE",#N/A,FALSE,"SCHEDULE I";#N/A,#N/A,FALSE,"SCHEDULE J"}</definedName>
    <definedName name="wrn.ltrd." localSheetId="6" hidden="1">{"HEITMAN COPY",#N/A,FALSE,"SCHEDULE A";"MINIMUM RENT",#N/A,FALSE,"SCHEDULES B &amp; C";"PERCENTAGE RENT",#N/A,FALSE,"SCHEDULES B &amp; C";#N/A,#N/A,FALSE,"SCHEDULE D";"SUMMARY SCHEDULE",#N/A,FALSE,"SCHEDULE E";#N/A,#N/A,FALSE,"SCHEDULE F";"SUMMARY SCHEDULE",#N/A,FALSE,"SCHEDULE H";"SUMMARY SCHEDULE",#N/A,FALSE,"SCHEDULE I";#N/A,#N/A,FALSE,"SCHEDULE J"}</definedName>
    <definedName name="wrn.ltrd." hidden="1">{"HEITMAN COPY",#N/A,FALSE,"SCHEDULE A";"MINIMUM RENT",#N/A,FALSE,"SCHEDULES B &amp; C";"PERCENTAGE RENT",#N/A,FALSE,"SCHEDULES B &amp; C";#N/A,#N/A,FALSE,"SCHEDULE D";"SUMMARY SCHEDULE",#N/A,FALSE,"SCHEDULE E";#N/A,#N/A,FALSE,"SCHEDULE F";"SUMMARY SCHEDULE",#N/A,FALSE,"SCHEDULE H";"SUMMARY SCHEDULE",#N/A,FALSE,"SCHEDULE I";#N/A,#N/A,FALSE,"SCHEDULE J"}</definedName>
    <definedName name="wrn.LTV._.Output." localSheetId="4" hidden="1">{"LTV Output",#N/A,FALSE,"Output"}</definedName>
    <definedName name="wrn.LTV._.Output." localSheetId="8" hidden="1">{"LTV Output",#N/A,FALSE,"Output"}</definedName>
    <definedName name="wrn.LTV._.Output." localSheetId="6" hidden="1">{"LTV Output",#N/A,FALSE,"Output"}</definedName>
    <definedName name="wrn.LTV._.Output." hidden="1">{"LTV Output",#N/A,FALSE,"Output"}</definedName>
    <definedName name="wrn.mario" localSheetId="8" hidden="1">{"Area1",#N/A,TRUE,"Obiettivo";"Area2",#N/A,TRUE,"Dati per Direzione"}</definedName>
    <definedName name="wrn.mario" hidden="1">{"Area1",#N/A,TRUE,"Obiettivo";"Area2",#N/A,TRUE,"Dati per Direzione"}</definedName>
    <definedName name="wrn.Mario." localSheetId="8" hidden="1">{"Area1",#N/A,TRUE,"Obiettivo";"Area2",#N/A,TRUE,"Dati per Direzione"}</definedName>
    <definedName name="wrn.Mario." hidden="1">{"Area1",#N/A,TRUE,"Obiettivo";"Area2",#N/A,TRUE,"Dati per Direzione"}</definedName>
    <definedName name="wrn.market." localSheetId="4" hidden="1">{#N/A,#N/A,FALSE,"SUBMKT";#N/A,#N/A,FALSE,"MARKET";#N/A,#N/A,FALSE,"VACANCY";#N/A,#N/A,FALSE,"ABSORB";#N/A,#N/A,FALSE,"SUBLEASE";#N/A,#N/A,FALSE,"CONSTRCT"}</definedName>
    <definedName name="wrn.market." localSheetId="8" hidden="1">{#N/A,#N/A,FALSE,"SUBMKT";#N/A,#N/A,FALSE,"MARKET";#N/A,#N/A,FALSE,"VACANCY";#N/A,#N/A,FALSE,"ABSORB";#N/A,#N/A,FALSE,"SUBLEASE";#N/A,#N/A,FALSE,"CONSTRCT"}</definedName>
    <definedName name="wrn.market." localSheetId="6" hidden="1">{#N/A,#N/A,FALSE,"SUBMKT";#N/A,#N/A,FALSE,"MARKET";#N/A,#N/A,FALSE,"VACANCY";#N/A,#N/A,FALSE,"ABSORB";#N/A,#N/A,FALSE,"SUBLEASE";#N/A,#N/A,FALSE,"CONSTRCT"}</definedName>
    <definedName name="wrn.market." hidden="1">{#N/A,#N/A,FALSE,"SUBMKT";#N/A,#N/A,FALSE,"MARKET";#N/A,#N/A,FALSE,"VACANCY";#N/A,#N/A,FALSE,"ABSORB";#N/A,#N/A,FALSE,"SUBLEASE";#N/A,#N/A,FALSE,"CONSTRCT"}</definedName>
    <definedName name="wrn.MARKETING." localSheetId="4" hidden="1">{#N/A,#N/A,FALSE,"MARKETING I";#N/A,#N/A,FALSE,"MARKETING II";#N/A,#N/A,FALSE,"MARKETING III"}</definedName>
    <definedName name="wrn.MARKETING." localSheetId="8" hidden="1">{#N/A,#N/A,FALSE,"MARKETING I";#N/A,#N/A,FALSE,"MARKETING II";#N/A,#N/A,FALSE,"MARKETING III"}</definedName>
    <definedName name="wrn.MARKETING." localSheetId="6" hidden="1">{#N/A,#N/A,FALSE,"MARKETING I";#N/A,#N/A,FALSE,"MARKETING II";#N/A,#N/A,FALSE,"MARKETING III"}</definedName>
    <definedName name="wrn.MARKETING." hidden="1">{#N/A,#N/A,FALSE,"MARKETING I";#N/A,#N/A,FALSE,"MARKETING II";#N/A,#N/A,FALSE,"MARKETING III"}</definedName>
    <definedName name="wrn.marzo." localSheetId="8" hidden="1">{"marzo_dia",#N/A,FALSE,"flujo mensual";"mar_dia_graf",#N/A,FALSE,"flujo mensual"}</definedName>
    <definedName name="wrn.marzo." hidden="1">{"marzo_dia",#N/A,FALSE,"flujo mensual";"mar_dia_graf",#N/A,FALSE,"flujo mensual"}</definedName>
    <definedName name="wrn.MATRICES._.and._.CFs." localSheetId="4" hidden="1">{#N/A,#N/A,FALSE,"Assumptions";#N/A,#N/A,FALSE,"Consol CF";#N/A,#N/A,FALSE,"matx B4 DS";#N/A,#N/A,FALSE,"Hacienda CF";#N/A,#N/A,FALSE,"matx B4 DS Hac";#N/A,#N/A,FALSE,"Chabot CF";#N/A,#N/A,FALSE,"matx B4 DS Chabot";#N/A,#N/A,FALSE,"Diablo CF";#N/A,#N/A,FALSE,"matx B4 DS Diablo"}</definedName>
    <definedName name="wrn.MATRICES._.and._.CFs." localSheetId="8" hidden="1">{#N/A,#N/A,FALSE,"Assumptions";#N/A,#N/A,FALSE,"Consol CF";#N/A,#N/A,FALSE,"matx B4 DS";#N/A,#N/A,FALSE,"Hacienda CF";#N/A,#N/A,FALSE,"matx B4 DS Hac";#N/A,#N/A,FALSE,"Chabot CF";#N/A,#N/A,FALSE,"matx B4 DS Chabot";#N/A,#N/A,FALSE,"Diablo CF";#N/A,#N/A,FALSE,"matx B4 DS Diablo"}</definedName>
    <definedName name="wrn.MATRICES._.and._.CFs." localSheetId="6" hidden="1">{#N/A,#N/A,FALSE,"Assumptions";#N/A,#N/A,FALSE,"Consol CF";#N/A,#N/A,FALSE,"matx B4 DS";#N/A,#N/A,FALSE,"Hacienda CF";#N/A,#N/A,FALSE,"matx B4 DS Hac";#N/A,#N/A,FALSE,"Chabot CF";#N/A,#N/A,FALSE,"matx B4 DS Chabot";#N/A,#N/A,FALSE,"Diablo CF";#N/A,#N/A,FALSE,"matx B4 DS Diablo"}</definedName>
    <definedName name="wrn.MATRICES._.and._.CFs." hidden="1">{#N/A,#N/A,FALSE,"Assumptions";#N/A,#N/A,FALSE,"Consol CF";#N/A,#N/A,FALSE,"matx B4 DS";#N/A,#N/A,FALSE,"Hacienda CF";#N/A,#N/A,FALSE,"matx B4 DS Hac";#N/A,#N/A,FALSE,"Chabot CF";#N/A,#N/A,FALSE,"matx B4 DS Chabot";#N/A,#N/A,FALSE,"Diablo CF";#N/A,#N/A,FALSE,"matx B4 DS Diablo"}</definedName>
    <definedName name="wrn.MATRICIES._.ONLY." localSheetId="4" hidden="1">{#N/A,#N/A,FALSE,"matx B4 DS";#N/A,#N/A,FALSE,"matx B4 DS Hac";#N/A,#N/A,FALSE,"matx B4 DS Chabot";#N/A,#N/A,FALSE,"matx B4 DS Diablo"}</definedName>
    <definedName name="wrn.MATRICIES._.ONLY." localSheetId="8" hidden="1">{#N/A,#N/A,FALSE,"matx B4 DS";#N/A,#N/A,FALSE,"matx B4 DS Hac";#N/A,#N/A,FALSE,"matx B4 DS Chabot";#N/A,#N/A,FALSE,"matx B4 DS Diablo"}</definedName>
    <definedName name="wrn.MATRICIES._.ONLY." localSheetId="6" hidden="1">{#N/A,#N/A,FALSE,"matx B4 DS";#N/A,#N/A,FALSE,"matx B4 DS Hac";#N/A,#N/A,FALSE,"matx B4 DS Chabot";#N/A,#N/A,FALSE,"matx B4 DS Diablo"}</definedName>
    <definedName name="wrn.MATRICIES._.ONLY." hidden="1">{#N/A,#N/A,FALSE,"matx B4 DS";#N/A,#N/A,FALSE,"matx B4 DS Hac";#N/A,#N/A,FALSE,"matx B4 DS Chabot";#N/A,#N/A,FALSE,"matx B4 DS Diablo"}</definedName>
    <definedName name="wrn.mayo." localSheetId="8" hidden="1">{"mayo_dia",#N/A,FALSE,"flujo mensual";"may_dia_graf",#N/A,FALSE,"flujo mensual"}</definedName>
    <definedName name="wrn.mayo." hidden="1">{"mayo_dia",#N/A,FALSE,"flujo mensual";"may_dia_graf",#N/A,FALSE,"flujo mensual"}</definedName>
    <definedName name="wrn.memo." localSheetId="8" hidden="1">{#N/A,#N/A,TRUE,"financial";#N/A,#N/A,TRUE,"plants"}</definedName>
    <definedName name="wrn.memo." hidden="1">{#N/A,#N/A,TRUE,"financial";#N/A,#N/A,TRUE,"plants"}</definedName>
    <definedName name="wrn.Mensal." localSheetId="8" hidden="1">{#N/A,#N/A,TRUE,"Capa";#N/A,#N/A,TRUE,"Dados";#N/A,#N/A,TRUE,"Guanabara";#N/A,#N/A,TRUE,"Norte";#N/A,#N/A,TRUE,"Oceânica";#N/A,#N/A,TRUE,"Serrana";#N/A,#N/A,TRUE,"Usinas";#N/A,#N/A,TRUE,"OUTROS"}</definedName>
    <definedName name="wrn.Mensal." hidden="1">{#N/A,#N/A,TRUE,"Capa";#N/A,#N/A,TRUE,"Dados";#N/A,#N/A,TRUE,"Guanabara";#N/A,#N/A,TRUE,"Norte";#N/A,#N/A,TRUE,"Oceânica";#N/A,#N/A,TRUE,"Serrana";#N/A,#N/A,TRUE,"Usinas";#N/A,#N/A,TRUE,"OUTROS"}</definedName>
    <definedName name="wrn.MENSUALES." localSheetId="8" hidden="1">{"men_real",#N/A,FALSE,"flujo mensual";"POA",#N/A,FALSE,"flujo mensual";"UPA",#N/A,FALSE,"flujo mensual";"men_graf",#N/A,FALSE,"flujo mensual";"graf_tipo_cambio",#N/A,FALSE,"flujo mensual"}</definedName>
    <definedName name="wrn.MENSUALES." hidden="1">{"men_real",#N/A,FALSE,"flujo mensual";"POA",#N/A,FALSE,"flujo mensual";"UPA",#N/A,FALSE,"flujo mensual";"men_graf",#N/A,FALSE,"flujo mensual";"graf_tipo_cambio",#N/A,FALSE,"flujo mensual"}</definedName>
    <definedName name="wrn.merger." localSheetId="8" hidden="1">{"assumption merger",#N/A,TRUE,"Merger";"has gets merger",#N/A,TRUE,"Merger";"accretion dilution",#N/A,TRUE,"Merger";"accretion dilution sensitivity",#N/A,TRUE,"Merger";"comparison credit stats",#N/A,TRUE,"Merger";"pf credit stats",#N/A,TRUE,"Merger";"rel contribution",#N/A,TRUE,"contribution";"avp",#N/A,TRUE,"AVP";"pf sheets",#N/A,TRUE,"Merger";"segment analysis",#N/A,TRUE,"contribution"}</definedName>
    <definedName name="wrn.merger." hidden="1">{"assumption merger",#N/A,TRUE,"Merger";"has gets merger",#N/A,TRUE,"Merger";"accretion dilution",#N/A,TRUE,"Merger";"accretion dilution sensitivity",#N/A,TRUE,"Merger";"comparison credit stats",#N/A,TRUE,"Merger";"pf credit stats",#N/A,TRUE,"Merger";"rel contribution",#N/A,TRUE,"contribution";"avp",#N/A,TRUE,"AVP";"pf sheets",#N/A,TRUE,"Merger";"segment analysis",#N/A,TRUE,"contribution"}</definedName>
    <definedName name="wrn.MINRENT." localSheetId="4" hidden="1">{"MINRENT2",#N/A,FALSE,"SCHEDULE B"}</definedName>
    <definedName name="wrn.MINRENT." localSheetId="8" hidden="1">{"MINRENT2",#N/A,FALSE,"SCHEDULE B"}</definedName>
    <definedName name="wrn.MINRENT." localSheetId="6" hidden="1">{"MINRENT2",#N/A,FALSE,"SCHEDULE B"}</definedName>
    <definedName name="wrn.MINRENT." hidden="1">{"MINRENT2",#N/A,FALSE,"SCHEDULE B"}</definedName>
    <definedName name="wrn.minrent.2" localSheetId="4" hidden="1">{"MINRENT2",#N/A,FALSE,"SCHEDULE B"}</definedName>
    <definedName name="wrn.minrent.2" localSheetId="6" hidden="1">{"MINRENT2",#N/A,FALSE,"SCHEDULE B"}</definedName>
    <definedName name="wrn.minrent.2" hidden="1">{"MINRENT2",#N/A,FALSE,"SCHEDULE B"}</definedName>
    <definedName name="wrn.mirBellagio." localSheetId="4" hidden="1">{#N/A,#N/A,FALSE,"MIR";#N/A,#N/A,FALSE,"NYNY"}</definedName>
    <definedName name="wrn.mirBellagio." localSheetId="8" hidden="1">{#N/A,#N/A,FALSE,"MIR";#N/A,#N/A,FALSE,"NYNY"}</definedName>
    <definedName name="wrn.mirBellagio." localSheetId="6" hidden="1">{#N/A,#N/A,FALSE,"MIR";#N/A,#N/A,FALSE,"NYNY"}</definedName>
    <definedName name="wrn.mirBellagio." hidden="1">{#N/A,#N/A,FALSE,"MIR";#N/A,#N/A,FALSE,"NYNY"}</definedName>
    <definedName name="wrn.mkting" localSheetId="4" hidden="1">{#N/A,#N/A,FALSE,"MARKETING I";#N/A,#N/A,FALSE,"MARKETING II";#N/A,#N/A,FALSE,"MARKETING III"}</definedName>
    <definedName name="wrn.mkting" localSheetId="6" hidden="1">{#N/A,#N/A,FALSE,"MARKETING I";#N/A,#N/A,FALSE,"MARKETING II";#N/A,#N/A,FALSE,"MARKETING III"}</definedName>
    <definedName name="wrn.mkting" hidden="1">{#N/A,#N/A,FALSE,"MARKETING I";#N/A,#N/A,FALSE,"MARKETING II";#N/A,#N/A,FALSE,"MARKETING III"}</definedName>
    <definedName name="wrn.Model." localSheetId="0" hidden="1">{"DCF",#N/A,FALSE,"DCF"}</definedName>
    <definedName name="wrn.Model." localSheetId="4" hidden="1">{#N/A,#N/A,FALSE,"PRH";#N/A,#N/A,FALSE,"Units"}</definedName>
    <definedName name="wrn.Model." localSheetId="8" hidden="1">{#N/A,#N/A,FALSE,"PRH";#N/A,#N/A,FALSE,"Units"}</definedName>
    <definedName name="wrn.Model." localSheetId="6" hidden="1">{#N/A,#N/A,FALSE,"PRH";#N/A,#N/A,FALSE,"Units"}</definedName>
    <definedName name="wrn.Model." hidden="1">{#N/A,#N/A,FALSE,"PRH";#N/A,#N/A,FALSE,"Units"}</definedName>
    <definedName name="wrn.model2." localSheetId="4" hidden="1">{"Investor",#N/A,FALSE,"Model";"Property",#N/A,FALSE,"Model";"Incentive Taxes",#N/A,FALSE,"Model"}</definedName>
    <definedName name="wrn.model2." localSheetId="6" hidden="1">{"Investor",#N/A,FALSE,"Model";"Property",#N/A,FALSE,"Model";"Incentive Taxes",#N/A,FALSE,"Model"}</definedName>
    <definedName name="wrn.model2." hidden="1">{"Investor",#N/A,FALSE,"Model";"Property",#N/A,FALSE,"Model";"Incentive Taxes",#N/A,FALSE,"Model"}</definedName>
    <definedName name="wrn.Modelo." localSheetId="8" hidden="1">{#N/A,#N/A,FALSE,"Caratula";#N/A,#N/A,FALSE,"Maniobra";#N/A,#N/A,FALSE,"LlenVac";#N/A,#N/A,FALSE,"Almacen";#N/A,#N/A,FALSE,"Consolas";#N/A,#N/A,FALSE,"ProyRes";#N/A,#N/A,FALSE,"OrigApl";#N/A,#N/A,FALSE,"Inversio";#N/A,#N/A,FALSE,"Financiam";#N/A,#N/A,FALSE,"CapTrab";#N/A,#N/A,FALSE,"EscalaVar"}</definedName>
    <definedName name="wrn.Modelo." hidden="1">{#N/A,#N/A,FALSE,"Caratula";#N/A,#N/A,FALSE,"Maniobra";#N/A,#N/A,FALSE,"LlenVac";#N/A,#N/A,FALSE,"Almacen";#N/A,#N/A,FALSE,"Consolas";#N/A,#N/A,FALSE,"ProyRes";#N/A,#N/A,FALSE,"OrigApl";#N/A,#N/A,FALSE,"Inversio";#N/A,#N/A,FALSE,"Financiam";#N/A,#N/A,FALSE,"CapTrab";#N/A,#N/A,FALSE,"EscalaVar"}</definedName>
    <definedName name="wrn.monthly." localSheetId="4" hidden="1">{#N/A,#N/A,FALSE,"Running Total";#N/A,#N/A,FALSE,"Oct 96";#N/A,#N/A,FALSE,"Nov 96";#N/A,#N/A,FALSE,"Dec 96";#N/A,#N/A,FALSE,"Jan 97";#N/A,#N/A,FALSE,"Feb 97";#N/A,#N/A,FALSE,"Mar 97";#N/A,#N/A,FALSE,"Apr 97";#N/A,#N/A,FALSE,"May 97";#N/A,#N/A,FALSE,"June 97";#N/A,#N/A,FALSE,"July 97"}</definedName>
    <definedName name="wrn.monthly." localSheetId="8" hidden="1">{#N/A,#N/A,FALSE,"Running Total";#N/A,#N/A,FALSE,"Oct 96";#N/A,#N/A,FALSE,"Nov 96";#N/A,#N/A,FALSE,"Dec 96";#N/A,#N/A,FALSE,"Jan 97";#N/A,#N/A,FALSE,"Feb 97";#N/A,#N/A,FALSE,"Mar 97";#N/A,#N/A,FALSE,"Apr 97";#N/A,#N/A,FALSE,"May 97";#N/A,#N/A,FALSE,"June 97";#N/A,#N/A,FALSE,"July 97"}</definedName>
    <definedName name="wrn.monthly." localSheetId="6" hidden="1">{#N/A,#N/A,FALSE,"Running Total";#N/A,#N/A,FALSE,"Oct 96";#N/A,#N/A,FALSE,"Nov 96";#N/A,#N/A,FALSE,"Dec 96";#N/A,#N/A,FALSE,"Jan 97";#N/A,#N/A,FALSE,"Feb 97";#N/A,#N/A,FALSE,"Mar 97";#N/A,#N/A,FALSE,"Apr 97";#N/A,#N/A,FALSE,"May 97";#N/A,#N/A,FALSE,"June 97";#N/A,#N/A,FALSE,"July 97"}</definedName>
    <definedName name="wrn.monthly." hidden="1">{#N/A,#N/A,FALSE,"Running Total";#N/A,#N/A,FALSE,"Oct 96";#N/A,#N/A,FALSE,"Nov 96";#N/A,#N/A,FALSE,"Dec 96";#N/A,#N/A,FALSE,"Jan 97";#N/A,#N/A,FALSE,"Feb 97";#N/A,#N/A,FALSE,"Mar 97";#N/A,#N/A,FALSE,"Apr 97";#N/A,#N/A,FALSE,"May 97";#N/A,#N/A,FALSE,"June 97";#N/A,#N/A,FALSE,"July 97"}</definedName>
    <definedName name="wrn.monthly._.financial." localSheetId="4" hidden="1">{#N/A,#N/A,FALSE,"SUMMARY 4a";#N/A,#N/A,FALSE,"GBA 4b";#N/A,#N/A,FALSE,"TENANT 4c";#N/A,#N/A,FALSE,"BUDGET DETAIL";#N/A,#N/A,FALSE,"PRO FORMA"}</definedName>
    <definedName name="wrn.monthly._.financial." localSheetId="8" hidden="1">{#N/A,#N/A,FALSE,"SUMMARY 4a";#N/A,#N/A,FALSE,"GBA 4b";#N/A,#N/A,FALSE,"TENANT 4c";#N/A,#N/A,FALSE,"BUDGET DETAIL";#N/A,#N/A,FALSE,"PRO FORMA"}</definedName>
    <definedName name="wrn.monthly._.financial." localSheetId="6" hidden="1">{#N/A,#N/A,FALSE,"SUMMARY 4a";#N/A,#N/A,FALSE,"GBA 4b";#N/A,#N/A,FALSE,"TENANT 4c";#N/A,#N/A,FALSE,"BUDGET DETAIL";#N/A,#N/A,FALSE,"PRO FORMA"}</definedName>
    <definedName name="wrn.monthly._.financial." hidden="1">{#N/A,#N/A,FALSE,"SUMMARY 4a";#N/A,#N/A,FALSE,"GBA 4b";#N/A,#N/A,FALSE,"TENANT 4c";#N/A,#N/A,FALSE,"BUDGET DETAIL";#N/A,#N/A,FALSE,"PRO FORMA"}</definedName>
    <definedName name="wrn.Mortgage._.Loan._.Sch." localSheetId="4" hidden="1">{#N/A,#N/A,FALSE,"Mortgage Loan Sch"}</definedName>
    <definedName name="wrn.Mortgage._.Loan._.Sch." localSheetId="6" hidden="1">{#N/A,#N/A,FALSE,"Mortgage Loan Sch"}</definedName>
    <definedName name="wrn.Mortgage._.Loan._.Sch." hidden="1">{#N/A,#N/A,FALSE,"Mortgage Loan Sch"}</definedName>
    <definedName name="wrn.NoAptRR." localSheetId="4" hidden="1">{#N/A,#N/A,FALSE,"AptStabYr";#N/A,#N/A,FALSE,"Hard Costs";#N/A,#N/A,FALSE,"Project Costs ";#N/A,#N/A,FALSE,"Draw M1-18";#N/A,#N/A,FALSE,"LeaseUpHotel";#N/A,#N/A,FALSE,"Apt10YrCF";#N/A,#N/A,FALSE,"Hotel CF";#N/A,#N/A,FALSE,"LeaseUpApt"}</definedName>
    <definedName name="wrn.NoAptRR." localSheetId="6" hidden="1">{#N/A,#N/A,FALSE,"AptStabYr";#N/A,#N/A,FALSE,"Hard Costs";#N/A,#N/A,FALSE,"Project Costs ";#N/A,#N/A,FALSE,"Draw M1-18";#N/A,#N/A,FALSE,"LeaseUpHotel";#N/A,#N/A,FALSE,"Apt10YrCF";#N/A,#N/A,FALSE,"Hotel CF";#N/A,#N/A,FALSE,"LeaseUpApt"}</definedName>
    <definedName name="wrn.NoAptRR." hidden="1">{#N/A,#N/A,FALSE,"AptStabYr";#N/A,#N/A,FALSE,"Hard Costs";#N/A,#N/A,FALSE,"Project Costs ";#N/A,#N/A,FALSE,"Draw M1-18";#N/A,#N/A,FALSE,"LeaseUpHotel";#N/A,#N/A,FALSE,"Apt10YrCF";#N/A,#N/A,FALSE,"Hotel CF";#N/A,#N/A,FALSE,"LeaseUpApt"}</definedName>
    <definedName name="wrn.noviembre." localSheetId="8" hidden="1">{"noviembre_dia",#N/A,FALSE,"flujo mensual";"nov_dia_graf",#N/A,FALSE,"flujo mensual"}</definedName>
    <definedName name="wrn.noviembre." hidden="1">{"noviembre_dia",#N/A,FALSE,"flujo mensual";"nov_dia_graf",#N/A,FALSE,"flujo mensual"}</definedName>
    <definedName name="wrn.nyt._.times._.full." localSheetId="4" hidden="1">{#N/A,#N/A,FALSE,"ExecSum";#N/A,#N/A,FALSE,"Budget";#N/A,#N/A,FALSE,"Summary1";#N/A,#N/A,FALSE,"CashFlow";#N/A,#N/A,FALSE,"Year1 Cash Flow";#N/A,#N/A,FALSE,"RE Taxes";#N/A,#N/A,FALSE,"OE Schedule";#N/A,#N/A,FALSE,"Leasing Comm";#N/A,#N/A,FALSE,"Input";#N/A,#N/A,FALSE,"Carry";#N/A,#N/A,FALSE,"Page 1A";#N/A,#N/A,FALSE,"Page 1B";#N/A,#N/A,FALSE,"Page 2";#N/A,#N/A,FALSE,"Page 3";#N/A,#N/A,FALSE,"Page 4";#N/A,#N/A,FALSE,"Summary2";#N/A,#N/A,FALSE,"Lease Summary";#N/A,#N/A,FALSE,"GrossRent";#N/A,#N/A,FALSE,"GrossRent";#N/A,#N/A,FALSE,"FCESummary";#N/A,#N/A,FALSE,"CreditLoss";#N/A,#N/A,FALSE,"Recoveries";#N/A,#N/A,FALSE,"Loan Balance"}</definedName>
    <definedName name="wrn.nyt._.times._.full." localSheetId="6" hidden="1">{#N/A,#N/A,FALSE,"ExecSum";#N/A,#N/A,FALSE,"Budget";#N/A,#N/A,FALSE,"Summary1";#N/A,#N/A,FALSE,"CashFlow";#N/A,#N/A,FALSE,"Year1 Cash Flow";#N/A,#N/A,FALSE,"RE Taxes";#N/A,#N/A,FALSE,"OE Schedule";#N/A,#N/A,FALSE,"Leasing Comm";#N/A,#N/A,FALSE,"Input";#N/A,#N/A,FALSE,"Carry";#N/A,#N/A,FALSE,"Page 1A";#N/A,#N/A,FALSE,"Page 1B";#N/A,#N/A,FALSE,"Page 2";#N/A,#N/A,FALSE,"Page 3";#N/A,#N/A,FALSE,"Page 4";#N/A,#N/A,FALSE,"Summary2";#N/A,#N/A,FALSE,"Lease Summary";#N/A,#N/A,FALSE,"GrossRent";#N/A,#N/A,FALSE,"GrossRent";#N/A,#N/A,FALSE,"FCESummary";#N/A,#N/A,FALSE,"CreditLoss";#N/A,#N/A,FALSE,"Recoveries";#N/A,#N/A,FALSE,"Loan Balance"}</definedName>
    <definedName name="wrn.nyt._.times._.full." hidden="1">{#N/A,#N/A,FALSE,"ExecSum";#N/A,#N/A,FALSE,"Budget";#N/A,#N/A,FALSE,"Summary1";#N/A,#N/A,FALSE,"CashFlow";#N/A,#N/A,FALSE,"Year1 Cash Flow";#N/A,#N/A,FALSE,"RE Taxes";#N/A,#N/A,FALSE,"OE Schedule";#N/A,#N/A,FALSE,"Leasing Comm";#N/A,#N/A,FALSE,"Input";#N/A,#N/A,FALSE,"Carry";#N/A,#N/A,FALSE,"Page 1A";#N/A,#N/A,FALSE,"Page 1B";#N/A,#N/A,FALSE,"Page 2";#N/A,#N/A,FALSE,"Page 3";#N/A,#N/A,FALSE,"Page 4";#N/A,#N/A,FALSE,"Summary2";#N/A,#N/A,FALSE,"Lease Summary";#N/A,#N/A,FALSE,"GrossRent";#N/A,#N/A,FALSE,"GrossRent";#N/A,#N/A,FALSE,"FCESummary";#N/A,#N/A,FALSE,"CreditLoss";#N/A,#N/A,FALSE,"Recoveries";#N/A,#N/A,FALSE,"Loan Balance"}</definedName>
    <definedName name="wrn.OCCADJS." localSheetId="4" hidden="1">{"OCCADJ1",#N/A,FALSE,"OCC ADJ";"OCCADJ2",#N/A,FALSE,"OCC ADJ";"OCCADJ3",#N/A,FALSE,"OCC ADJ"}</definedName>
    <definedName name="wrn.OCCADJS." localSheetId="6" hidden="1">{"OCCADJ1",#N/A,FALSE,"OCC ADJ";"OCCADJ2",#N/A,FALSE,"OCC ADJ";"OCCADJ3",#N/A,FALSE,"OCC ADJ"}</definedName>
    <definedName name="wrn.OCCADJS." hidden="1">{"OCCADJ1",#N/A,FALSE,"OCC ADJ";"OCCADJ2",#N/A,FALSE,"OCC ADJ";"OCCADJ3",#N/A,FALSE,"OCC ADJ"}</definedName>
    <definedName name="wrn.Occupancy._.Calcs." localSheetId="4" hidden="1">{#N/A,#N/A,FALSE,"Occ. Calcs"}</definedName>
    <definedName name="wrn.Occupancy._.Calcs." localSheetId="8" hidden="1">{#N/A,#N/A,FALSE,"Occ. Calcs"}</definedName>
    <definedName name="wrn.Occupancy._.Calcs." localSheetId="6" hidden="1">{#N/A,#N/A,FALSE,"Occ. Calcs"}</definedName>
    <definedName name="wrn.Occupancy._.Calcs." hidden="1">{#N/A,#N/A,FALSE,"Occ. Calcs"}</definedName>
    <definedName name="wrn.octubre." localSheetId="8" hidden="1">{"octubre_dia",#N/A,FALSE,"flujo mensual";"oct_dia_graf",#N/A,FALSE,"flujo mensual"}</definedName>
    <definedName name="wrn.octubre." hidden="1">{"octubre_dia",#N/A,FALSE,"flujo mensual";"oct_dia_graf",#N/A,FALSE,"flujo mensual"}</definedName>
    <definedName name="wrn.ODB." localSheetId="4" hidden="1">{"ODB",#N/A,FALSE,"Hold Scenario"}</definedName>
    <definedName name="wrn.ODB." localSheetId="6" hidden="1">{"ODB",#N/A,FALSE,"Hold Scenario"}</definedName>
    <definedName name="wrn.ODB." hidden="1">{"ODB",#N/A,FALSE,"Hold Scenario"}</definedName>
    <definedName name="wrn.office." localSheetId="4"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 localSheetId="8"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 localSheetId="6"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 hidden="1">{#N/A,#N/A,FALSE,"Pad Fees";#N/A,#N/A,FALSE,"Parking Budget";#N/A,#N/A,FALSE,"Parking Cash Flow";#N/A,#N/A,FALSE,"Parking Assumptions Summary";#N/A,#N/A,FALSE,"Assumptions-M";#N/A,#N/A,FALSE,"Assumptions-T";#N/A,#N/A,FALSE,"Assumptions-W";#N/A,#N/A,FALSE,"Assumptions-R";#N/A,#N/A,FALSE,"Assumptions-F";#N/A,#N/A,FALSE,"Assumptions-Sa";#N/A,#N/A,FALSE,"Assumptions-Su";#N/A,#N/A,FALSE,"Bond Debt Service";#N/A,#N/A,FALSE,"Bond Shortfall"}</definedName>
    <definedName name="wrn.OFFICE._.BUDGET." localSheetId="4" hidden="1">{#N/A,#N/A,FALSE,"LP Exp";#N/A,#N/A,FALSE,"Salary";#N/A,#N/A,FALSE,"Admin Exp";#N/A,#N/A,FALSE,"QTS Bud";#N/A,#N/A,FALSE,"Marketing"}</definedName>
    <definedName name="wrn.OFFICE._.BUDGET." localSheetId="8" hidden="1">{#N/A,#N/A,FALSE,"LP Exp";#N/A,#N/A,FALSE,"Salary";#N/A,#N/A,FALSE,"Admin Exp";#N/A,#N/A,FALSE,"QTS Bud";#N/A,#N/A,FALSE,"Marketing"}</definedName>
    <definedName name="wrn.OFFICE._.BUDGET." localSheetId="6" hidden="1">{#N/A,#N/A,FALSE,"LP Exp";#N/A,#N/A,FALSE,"Salary";#N/A,#N/A,FALSE,"Admin Exp";#N/A,#N/A,FALSE,"QTS Bud";#N/A,#N/A,FALSE,"Marketing"}</definedName>
    <definedName name="wrn.OFFICE._.BUDGET." hidden="1">{#N/A,#N/A,FALSE,"LP Exp";#N/A,#N/A,FALSE,"Salary";#N/A,#N/A,FALSE,"Admin Exp";#N/A,#N/A,FALSE,"QTS Bud";#N/A,#N/A,FALSE,"Marketing"}</definedName>
    <definedName name="wrn.ontario." localSheetId="4" hidden="1">{"page1",#N/A,FALSE,"sheet 1";"Page2",#N/A,FALSE,"sheet 1";"page3",#N/A,FALSE,"sheet 1";"page4",#N/A,FALSE,"sheet 1"}</definedName>
    <definedName name="wrn.ontario." localSheetId="8" hidden="1">{"page1",#N/A,FALSE,"sheet 1";"Page2",#N/A,FALSE,"sheet 1";"page3",#N/A,FALSE,"sheet 1";"page4",#N/A,FALSE,"sheet 1"}</definedName>
    <definedName name="wrn.ontario." localSheetId="6" hidden="1">{"page1",#N/A,FALSE,"sheet 1";"Page2",#N/A,FALSE,"sheet 1";"page3",#N/A,FALSE,"sheet 1";"page4",#N/A,FALSE,"sheet 1"}</definedName>
    <definedName name="wrn.ontario." hidden="1">{"page1",#N/A,FALSE,"sheet 1";"Page2",#N/A,FALSE,"sheet 1";"page3",#N/A,FALSE,"sheet 1";"page4",#N/A,FALSE,"sheet 1"}</definedName>
    <definedName name="wrn.Operations._.Review." localSheetId="4" hidden="1">{#N/A,#N/A,FALSE,"Proforma Five Yr";#N/A,#N/A,FALSE,"Occ and Rate";#N/A,#N/A,FALSE,"PF Input";#N/A,#N/A,FALSE,"Hotcomps"}</definedName>
    <definedName name="wrn.Operations._.Review." localSheetId="8" hidden="1">{#N/A,#N/A,FALSE,"Proforma Five Yr";#N/A,#N/A,FALSE,"Occ and Rate";#N/A,#N/A,FALSE,"PF Input";#N/A,#N/A,FALSE,"Hotcomps"}</definedName>
    <definedName name="wrn.Operations._.Review." localSheetId="6" hidden="1">{#N/A,#N/A,FALSE,"Proforma Five Yr";#N/A,#N/A,FALSE,"Occ and Rate";#N/A,#N/A,FALSE,"PF Input";#N/A,#N/A,FALSE,"Hotcomps"}</definedName>
    <definedName name="wrn.Operations._.Review." hidden="1">{#N/A,#N/A,FALSE,"Proforma Five Yr";#N/A,#N/A,FALSE,"Occ and Rate";#N/A,#N/A,FALSE,"PF Input";#N/A,#N/A,FALSE,"Hotcomps"}</definedName>
    <definedName name="wrn.Ops._.Charlie._.Packet." localSheetId="4" hidden="1">{#N/A,#N/A,FALSE,"Proforma Five Yr";#N/A,#N/A,FALSE,"Occ and Rate";#N/A,#N/A,FALSE,"PF Input";#N/A,#N/A,FALSE,"Ops Summary";#N/A,#N/A,FALSE,"Hotcomps"}</definedName>
    <definedName name="wrn.Ops._.Charlie._.Packet." localSheetId="6" hidden="1">{#N/A,#N/A,FALSE,"Proforma Five Yr";#N/A,#N/A,FALSE,"Occ and Rate";#N/A,#N/A,FALSE,"PF Input";#N/A,#N/A,FALSE,"Ops Summary";#N/A,#N/A,FALSE,"Hotcomps"}</definedName>
    <definedName name="wrn.Ops._.Charlie._.Packet." hidden="1">{#N/A,#N/A,FALSE,"Proforma Five Yr";#N/A,#N/A,FALSE,"Occ and Rate";#N/A,#N/A,FALSE,"PF Input";#N/A,#N/A,FALSE,"Ops Summary";#N/A,#N/A,FALSE,"Hotcomps"}</definedName>
    <definedName name="wrn.Output." localSheetId="8" hidden="1">{"definitions",#N/A,TRUE,"Definitions";"out1",#N/A,TRUE,"Valuation";"out2",#N/A,TRUE,"Valuation";"out3",#N/A,TRUE,"Valuation";"out4",#N/A,TRUE,"Valuation";"out",#N/A,TRUE,"Efficiency";"out1",#N/A,TRUE,"Growth,Margin,Rev Split";"out2",#N/A,TRUE,"Growth,Margin,Rev Split";"out1",#N/A,TRUE,"Financial Ratios";"out2",#N/A,TRUE,"Financial Ratios";"outeg",#N/A,TRUE,"Efficiency";"test1",#N/A,TRUE,"Prices";"test2",#N/A,TRUE,"Prices";"test3",#N/A,TRUE,"Prices";"test1",#N/A,TRUE,"Segments";"test2",#N/A,TRUE,"Segments";"in",#N/A,TRUE,"Country";"in",#N/A,TRUE,"Housekeeping"}</definedName>
    <definedName name="wrn.Output." hidden="1">{"definitions",#N/A,TRUE,"Definitions";"out1",#N/A,TRUE,"Valuation";"out2",#N/A,TRUE,"Valuation";"out3",#N/A,TRUE,"Valuation";"out4",#N/A,TRUE,"Valuation";"out",#N/A,TRUE,"Efficiency";"out1",#N/A,TRUE,"Growth,Margin,Rev Split";"out2",#N/A,TRUE,"Growth,Margin,Rev Split";"out1",#N/A,TRUE,"Financial Ratios";"out2",#N/A,TRUE,"Financial Ratios";"outeg",#N/A,TRUE,"Efficiency";"test1",#N/A,TRUE,"Prices";"test2",#N/A,TRUE,"Prices";"test3",#N/A,TRUE,"Prices";"test1",#N/A,TRUE,"Segments";"test2",#N/A,TRUE,"Segments";"in",#N/A,TRUE,"Country";"in",#N/A,TRUE,"Housekeeping"}</definedName>
    <definedName name="wrn.Output3Column." localSheetId="4" hidden="1">{"Output-3Column",#N/A,FALSE,"Output"}</definedName>
    <definedName name="wrn.Output3Column." localSheetId="8" hidden="1">{"Output-3Column",#N/A,FALSE,"Output"}</definedName>
    <definedName name="wrn.Output3Column." localSheetId="6" hidden="1">{"Output-3Column",#N/A,FALSE,"Output"}</definedName>
    <definedName name="wrn.Output3Column." hidden="1">{"Output-3Column",#N/A,FALSE,"Output"}</definedName>
    <definedName name="wrn.OutputAll." localSheetId="4" hidden="1">{"Output-All",#N/A,FALSE,"Output"}</definedName>
    <definedName name="wrn.OutputAll." localSheetId="8" hidden="1">{"Output-All",#N/A,FALSE,"Output"}</definedName>
    <definedName name="wrn.OutputAll." localSheetId="6" hidden="1">{"Output-All",#N/A,FALSE,"Output"}</definedName>
    <definedName name="wrn.OutputAll." hidden="1">{"Output-All",#N/A,FALSE,"Output"}</definedName>
    <definedName name="wrn.OutputBaseYear." localSheetId="4" hidden="1">{"Output-BaseYear",#N/A,FALSE,"Output"}</definedName>
    <definedName name="wrn.OutputBaseYear." localSheetId="8" hidden="1">{"Output-BaseYear",#N/A,FALSE,"Output"}</definedName>
    <definedName name="wrn.OutputBaseYear." localSheetId="6" hidden="1">{"Output-BaseYear",#N/A,FALSE,"Output"}</definedName>
    <definedName name="wrn.OutputBaseYear." hidden="1">{"Output-BaseYear",#N/A,FALSE,"Output"}</definedName>
    <definedName name="wrn.OutputMin." localSheetId="4" hidden="1">{"Output-Min",#N/A,FALSE,"Output"}</definedName>
    <definedName name="wrn.OutputMin." localSheetId="8" hidden="1">{"Output-Min",#N/A,FALSE,"Output"}</definedName>
    <definedName name="wrn.OutputMin." localSheetId="6" hidden="1">{"Output-Min",#N/A,FALSE,"Output"}</definedName>
    <definedName name="wrn.OutputMin." hidden="1">{"Output-Min",#N/A,FALSE,"Output"}</definedName>
    <definedName name="wrn.OutputPercent." localSheetId="4" hidden="1">{"Output%",#N/A,FALSE,"Output"}</definedName>
    <definedName name="wrn.OutputPercent." localSheetId="8" hidden="1">{"Output%",#N/A,FALSE,"Output"}</definedName>
    <definedName name="wrn.OutputPercent." localSheetId="6" hidden="1">{"Output%",#N/A,FALSE,"Output"}</definedName>
    <definedName name="wrn.OutputPercent." hidden="1">{"Output%",#N/A,FALSE,"Output"}</definedName>
    <definedName name="wrn.p3" localSheetId="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3"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3" localSheetId="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3"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ACKAGE." localSheetId="4" hidden="1">{#N/A,#N/A,TRUE,"COVER";#N/A,#N/A,TRUE,"PROFORMA";#N/A,#N/A,TRUE,"Construction CF";#N/A,#N/A,TRUE,"CASHFLOW"}</definedName>
    <definedName name="wrn.PACKAGE." localSheetId="8" hidden="1">{#N/A,#N/A,TRUE,"COVER";#N/A,#N/A,TRUE,"PROFORMA";#N/A,#N/A,TRUE,"Construction CF";#N/A,#N/A,TRUE,"CASHFLOW"}</definedName>
    <definedName name="wrn.PACKAGE." localSheetId="6" hidden="1">{#N/A,#N/A,TRUE,"COVER";#N/A,#N/A,TRUE,"PROFORMA";#N/A,#N/A,TRUE,"Construction CF";#N/A,#N/A,TRUE,"CASHFLOW"}</definedName>
    <definedName name="wrn.PACKAGE." hidden="1">{#N/A,#N/A,TRUE,"COVER";#N/A,#N/A,TRUE,"PROFORMA";#N/A,#N/A,TRUE,"Construction CF";#N/A,#N/A,TRUE,"CASHFLOW"}</definedName>
    <definedName name="wrn.Palms._.at._.South._.Shore." localSheetId="4" hidden="1">{#N/A,#N/A,FALSE,"loananalysis";#N/A,#N/A,FALSE,"proforma";#N/A,#N/A,FALSE,"unitmix"}</definedName>
    <definedName name="wrn.Palms._.at._.South._.Shore." localSheetId="6" hidden="1">{#N/A,#N/A,FALSE,"loananalysis";#N/A,#N/A,FALSE,"proforma";#N/A,#N/A,FALSE,"unitmix"}</definedName>
    <definedName name="wrn.Palms._.at._.South._.Shore." hidden="1">{#N/A,#N/A,FALSE,"loananalysis";#N/A,#N/A,FALSE,"proforma";#N/A,#N/A,FALSE,"unitmix"}</definedName>
    <definedName name="wrn.PARA._.EL._.CONSEJO." localSheetId="8" hidden="1">{"CONSEJO",#N/A,FALSE,"Dist p0";"CONSEJO",#N/A,FALSE,"Ficha CODICE"}</definedName>
    <definedName name="wrn.PARA._.EL._.CONSEJO." hidden="1">{"CONSEJO",#N/A,FALSE,"Dist p0";"CONSEJO",#N/A,FALSE,"Ficha CODICE"}</definedName>
    <definedName name="wrn.PARA._.LA._.CARTA." localSheetId="8" hidden="1">{"uno",#N/A,FALSE,"Dist total";"COMENTARIO",#N/A,FALSE,"Ficha CODICE"}</definedName>
    <definedName name="wrn.PARA._.LA._.CARTA." hidden="1">{"uno",#N/A,FALSE,"Dist total";"COMENTARIO",#N/A,FALSE,"Ficha CODICE"}</definedName>
    <definedName name="wrn.Partial." localSheetId="4" hidden="1">{#N/A,#N/A,FALSE,"Assumptions";#N/A,#N/A,FALSE,"Year One Pro Forma";#N/A,#N/A,FALSE,"Rent Roll Summary";#N/A,#N/A,FALSE,"Market Rent Detail";#N/A,#N/A,FALSE,"Rent Roll Summary";#N/A,#N/A,FALSE,"Market Rent Increases";#N/A,#N/A,FALSE,"Exec Sum 10Yr";#N/A,#N/A,FALSE,"Cash Flow Projections";#N/A,#N/A,FALSE,"Net Residual Value";#N/A,#N/A,FALSE,"Effective Rental Income Detail";#N/A,#N/A,FALSE,"Turnovers";#N/A,#N/A,FALSE,"Matrices"}</definedName>
    <definedName name="wrn.Partial." localSheetId="8" hidden="1">{#N/A,#N/A,FALSE,"Assumptions";#N/A,#N/A,FALSE,"Year One Pro Forma";#N/A,#N/A,FALSE,"Rent Roll Summary";#N/A,#N/A,FALSE,"Market Rent Detail";#N/A,#N/A,FALSE,"Rent Roll Summary";#N/A,#N/A,FALSE,"Market Rent Increases";#N/A,#N/A,FALSE,"Exec Sum 10Yr";#N/A,#N/A,FALSE,"Cash Flow Projections";#N/A,#N/A,FALSE,"Net Residual Value";#N/A,#N/A,FALSE,"Effective Rental Income Detail";#N/A,#N/A,FALSE,"Turnovers";#N/A,#N/A,FALSE,"Matrices"}</definedName>
    <definedName name="wrn.Partial." localSheetId="6" hidden="1">{#N/A,#N/A,FALSE,"Assumptions";#N/A,#N/A,FALSE,"Year One Pro Forma";#N/A,#N/A,FALSE,"Rent Roll Summary";#N/A,#N/A,FALSE,"Market Rent Detail";#N/A,#N/A,FALSE,"Rent Roll Summary";#N/A,#N/A,FALSE,"Market Rent Increases";#N/A,#N/A,FALSE,"Exec Sum 10Yr";#N/A,#N/A,FALSE,"Cash Flow Projections";#N/A,#N/A,FALSE,"Net Residual Value";#N/A,#N/A,FALSE,"Effective Rental Income Detail";#N/A,#N/A,FALSE,"Turnovers";#N/A,#N/A,FALSE,"Matrices"}</definedName>
    <definedName name="wrn.Partial." hidden="1">{#N/A,#N/A,FALSE,"Assumptions";#N/A,#N/A,FALSE,"Year One Pro Forma";#N/A,#N/A,FALSE,"Rent Roll Summary";#N/A,#N/A,FALSE,"Market Rent Detail";#N/A,#N/A,FALSE,"Rent Roll Summary";#N/A,#N/A,FALSE,"Market Rent Increases";#N/A,#N/A,FALSE,"Exec Sum 10Yr";#N/A,#N/A,FALSE,"Cash Flow Projections";#N/A,#N/A,FALSE,"Net Residual Value";#N/A,#N/A,FALSE,"Effective Rental Income Detail";#N/A,#N/A,FALSE,"Turnovers";#N/A,#N/A,FALSE,"Matrices"}</definedName>
    <definedName name="wrn.Partial_Template." localSheetId="4" hidden="1">{#N/A,#N/A,FALSE,"1Summary";#N/A,#N/A,FALSE,"2Assumptions";#N/A,#N/A,FALSE,"3Cash Flow";#N/A,#N/A,FALSE,"6Residual";#N/A,#N/A,FALSE,"AExpiration Schedule"}</definedName>
    <definedName name="wrn.Partial_Template." localSheetId="8" hidden="1">{#N/A,#N/A,FALSE,"1Summary";#N/A,#N/A,FALSE,"2Assumptions";#N/A,#N/A,FALSE,"3Cash Flow";#N/A,#N/A,FALSE,"6Residual";#N/A,#N/A,FALSE,"AExpiration Schedule"}</definedName>
    <definedName name="wrn.Partial_Template." localSheetId="6" hidden="1">{#N/A,#N/A,FALSE,"1Summary";#N/A,#N/A,FALSE,"2Assumptions";#N/A,#N/A,FALSE,"3Cash Flow";#N/A,#N/A,FALSE,"6Residual";#N/A,#N/A,FALSE,"AExpiration Schedule"}</definedName>
    <definedName name="wrn.Partial_Template." hidden="1">{#N/A,#N/A,FALSE,"1Summary";#N/A,#N/A,FALSE,"2Assumptions";#N/A,#N/A,FALSE,"3Cash Flow";#N/A,#N/A,FALSE,"6Residual";#N/A,#N/A,FALSE,"AExpiration Schedule"}</definedName>
    <definedName name="wrn.Pavilion." localSheetId="4" hidden="1">{"Pavilion-Investor",#N/A,FALSE,"Pavilion";"Pavilion-Property",#N/A,FALSE,"Pavilion"}</definedName>
    <definedName name="wrn.Pavilion." localSheetId="6" hidden="1">{"Pavilion-Investor",#N/A,FALSE,"Pavilion";"Pavilion-Property",#N/A,FALSE,"Pavilion"}</definedName>
    <definedName name="wrn.Pavilion." hidden="1">{"Pavilion-Investor",#N/A,FALSE,"Pavilion";"Pavilion-Property",#N/A,FALSE,"Pavilion"}</definedName>
    <definedName name="wrn.Penetration." localSheetId="4" hidden="1">{#N/A,#N/A,FALSE,"Mkt Pen"}</definedName>
    <definedName name="wrn.Penetration." localSheetId="8" hidden="1">{#N/A,#N/A,FALSE,"Mkt Pen"}</definedName>
    <definedName name="wrn.Penetration." localSheetId="6" hidden="1">{#N/A,#N/A,FALSE,"Mkt Pen"}</definedName>
    <definedName name="wrn.Penetration." hidden="1">{#N/A,#N/A,FALSE,"Mkt Pen"}</definedName>
    <definedName name="wrn.PERCENTAGE._.RENT." localSheetId="4" hidden="1">{"PERCENTAGE RENT",#N/A,TRUE,"SCHEDULE B"}</definedName>
    <definedName name="wrn.PERCENTAGE._.RENT." localSheetId="8" hidden="1">{"PERCENTAGE RENT",#N/A,TRUE,"SCHEDULE B"}</definedName>
    <definedName name="wrn.PERCENTAGE._.RENT." localSheetId="6" hidden="1">{"PERCENTAGE RENT",#N/A,TRUE,"SCHEDULE B"}</definedName>
    <definedName name="wrn.PERCENTAGE._.RENT." hidden="1">{"PERCENTAGE RENT",#N/A,TRUE,"SCHEDULE B"}</definedName>
    <definedName name="wrn.Phase._.I." localSheetId="4" hidden="1">{#N/A,#N/A,FALSE,"Transaction Summary-DTW";#N/A,#N/A,FALSE,"Proforma Five Yr";#N/A,#N/A,FALSE,"Occ and Rate"}</definedName>
    <definedName name="wrn.Phase._.I." localSheetId="8" hidden="1">{#N/A,#N/A,FALSE,"Transaction Summary-DTW";#N/A,#N/A,FALSE,"Proforma Five Yr";#N/A,#N/A,FALSE,"Occ and Rate"}</definedName>
    <definedName name="wrn.Phase._.I." localSheetId="6" hidden="1">{#N/A,#N/A,FALSE,"Transaction Summary-DTW";#N/A,#N/A,FALSE,"Proforma Five Yr";#N/A,#N/A,FALSE,"Occ and Rate"}</definedName>
    <definedName name="wrn.Phase._.I." hidden="1">{#N/A,#N/A,FALSE,"Transaction Summary-DTW";#N/A,#N/A,FALSE,"Proforma Five Yr";#N/A,#N/A,FALSE,"Occ and Rate"}</definedName>
    <definedName name="wrn.PHASED._.DEVELOPMENT._.DETAIL." localSheetId="4" hidden="1">{"P1",#N/A,FALSE,"Proforma";"P2",#N/A,FALSE,"Proforma";"P3",#N/A,FALSE,"Proforma"}</definedName>
    <definedName name="wrn.PHASED._.DEVELOPMENT._.DETAIL." localSheetId="6" hidden="1">{"P1",#N/A,FALSE,"Proforma";"P2",#N/A,FALSE,"Proforma";"P3",#N/A,FALSE,"Proforma"}</definedName>
    <definedName name="wrn.PHASED._.DEVELOPMENT._.DETAIL." hidden="1">{"P1",#N/A,FALSE,"Proforma";"P2",#N/A,FALSE,"Proforma";"P3",#N/A,FALSE,"Proforma"}</definedName>
    <definedName name="wrn.Pineway." localSheetId="4" hidden="1">{#N/A,#N/A,FALSE,"rent schedule";#N/A,#N/A,FALSE,"income expenses";#N/A,#N/A,FALSE,"proforma";#N/A,#N/A,FALSE,"proforma stab";#N/A,#N/A,FALSE,"loan analysis";#N/A,#N/A,FALSE,"loan analysis stab";#N/A,#N/A,FALSE,"income expenses"}</definedName>
    <definedName name="wrn.Pineway." localSheetId="6" hidden="1">{#N/A,#N/A,FALSE,"rent schedule";#N/A,#N/A,FALSE,"income expenses";#N/A,#N/A,FALSE,"proforma";#N/A,#N/A,FALSE,"proforma stab";#N/A,#N/A,FALSE,"loan analysis";#N/A,#N/A,FALSE,"loan analysis stab";#N/A,#N/A,FALSE,"income expenses"}</definedName>
    <definedName name="wrn.Pineway." hidden="1">{#N/A,#N/A,FALSE,"rent schedule";#N/A,#N/A,FALSE,"income expenses";#N/A,#N/A,FALSE,"proforma";#N/A,#N/A,FALSE,"proforma stab";#N/A,#N/A,FALSE,"loan analysis";#N/A,#N/A,FALSE,"loan analysis stab";#N/A,#N/A,FALSE,"income expenses"}</definedName>
    <definedName name="wrn.PK._.Variance." localSheetId="4" hidden="1">{#N/A,#N/A,FALSE,"399 Park Var";#N/A,#N/A,FALSE,"PK NOTES"}</definedName>
    <definedName name="wrn.PK._.Variance." localSheetId="8" hidden="1">{#N/A,#N/A,FALSE,"399 Park Var";#N/A,#N/A,FALSE,"PK NOTES"}</definedName>
    <definedName name="wrn.PK._.Variance." localSheetId="6" hidden="1">{#N/A,#N/A,FALSE,"399 Park Var";#N/A,#N/A,FALSE,"PK NOTES"}</definedName>
    <definedName name="wrn.PK._.Variance." hidden="1">{#N/A,#N/A,FALSE,"399 Park Var";#N/A,#N/A,FALSE,"PK NOTES"}</definedName>
    <definedName name="wrn.pl." localSheetId="4" hidden="1">{#N/A,#N/A,FALSE,"Cons PL-Accrual"}</definedName>
    <definedName name="wrn.pl." localSheetId="8" hidden="1">{#N/A,#N/A,FALSE,"Cons PL-Accrual"}</definedName>
    <definedName name="wrn.pl." localSheetId="6" hidden="1">{#N/A,#N/A,FALSE,"Cons PL-Accrual"}</definedName>
    <definedName name="wrn.pl." hidden="1">{#N/A,#N/A,FALSE,"Cons PL-Accrual"}</definedName>
    <definedName name="wrn.Plan." localSheetId="4" hidden="1">{#N/A,#N/A,FALSE,"Highridge Return Analysis";#N/A,#N/A,FALSE,"Sale @ end of year 3 (4yr Plan)";#N/A,#N/A,FALSE,"Highridge Assumption Page"}</definedName>
    <definedName name="wrn.Plan." localSheetId="8" hidden="1">{#N/A,#N/A,FALSE,"Highridge Return Analysis";#N/A,#N/A,FALSE,"Sale @ end of year 3 (4yr Plan)";#N/A,#N/A,FALSE,"Highridge Assumption Page"}</definedName>
    <definedName name="wrn.Plan." localSheetId="6" hidden="1">{#N/A,#N/A,FALSE,"Highridge Return Analysis";#N/A,#N/A,FALSE,"Sale @ end of year 3 (4yr Plan)";#N/A,#N/A,FALSE,"Highridge Assumption Page"}</definedName>
    <definedName name="wrn.Plan." hidden="1">{#N/A,#N/A,FALSE,"Highridge Return Analysis";#N/A,#N/A,FALSE,"Sale @ end of year 3 (4yr Plan)";#N/A,#N/A,FALSE,"Highridge Assumption Page"}</definedName>
    <definedName name="wrn.Portfolio." localSheetId="4" hidden="1">{#N/A,#N/A,FALSE,"Portfolio Summary";#N/A,#N/A,FALSE,"Portfolio Operating Stmt";#N/A,#N/A,FALSE,"Portfolio Cash Flow"}</definedName>
    <definedName name="wrn.Portfolio." localSheetId="8" hidden="1">{#N/A,#N/A,FALSE,"Portfolio Summary";#N/A,#N/A,FALSE,"Portfolio Operating Stmt";#N/A,#N/A,FALSE,"Portfolio Cash Flow"}</definedName>
    <definedName name="wrn.Portfolio." localSheetId="6" hidden="1">{#N/A,#N/A,FALSE,"Portfolio Summary";#N/A,#N/A,FALSE,"Portfolio Operating Stmt";#N/A,#N/A,FALSE,"Portfolio Cash Flow"}</definedName>
    <definedName name="wrn.Portfolio." hidden="1">{#N/A,#N/A,FALSE,"Portfolio Summary";#N/A,#N/A,FALSE,"Portfolio Operating Stmt";#N/A,#N/A,FALSE,"Portfolio Cash Flow"}</definedName>
    <definedName name="wrn.PR_TRIAL_BALANCE." localSheetId="4"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8"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localSheetId="6"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_TRIAL_BALANCE." hidden="1">{"TB_PR","50",FALSE,"PR_TRIAL_BALANCE";"TB_PR","51",FALSE,"PR_TRIAL_BALANCE";"TB_PR","52",FALSE,"PR_TRIAL_BALANCE";"TB_PR","53",FALSE,"PR_TRIAL_BALANCE";"TB_PR","54",FALSE,"PR_TRIAL_BALANCE";"TB_PR","55",FALSE,"PR_TRIAL_BALANCE";"TB_PR","56",FALSE,"PR_TRIAL_BALANCE";"TB_PR","57",FALSE,"PR_TRIAL_BALANCE";"TB_PR","61",FALSE,"PR_TRIAL_BALANCE";"TB_PR","63",FALSE,"PR_TRIAL_BALANCE";"TB_PR","65",FALSE,"PR_TRIAL_BALANCE";"TB_PR","66",FALSE,"PR_TRIAL_BALANCE"}</definedName>
    <definedName name="wrn.prcntrent" localSheetId="4" hidden="1">{"PERCENTAGE RENT",#N/A,TRUE,"SCHEDULE B"}</definedName>
    <definedName name="wrn.prcntrent" localSheetId="6" hidden="1">{"PERCENTAGE RENT",#N/A,TRUE,"SCHEDULE B"}</definedName>
    <definedName name="wrn.prcntrent" hidden="1">{"PERCENTAGE RENT",#N/A,TRUE,"SCHEDULE B"}</definedName>
    <definedName name="wrn.Prepaid_Recov.." localSheetId="4" hidden="1">{#N/A,#N/A,FALSE,"Prepaid Recoverable"}</definedName>
    <definedName name="wrn.Prepaid_Recov.." localSheetId="6" hidden="1">{#N/A,#N/A,FALSE,"Prepaid Recoverable"}</definedName>
    <definedName name="wrn.Prepaid_Recov.." hidden="1">{#N/A,#N/A,FALSE,"Prepaid Recoverable"}</definedName>
    <definedName name="wrn.pres." localSheetId="4" hidden="1">{#N/A,#N/A,FALSE,"Major v. River";#N/A,#N/A,FALSE,"Industry";#N/A,#N/A,FALSE,"Large Operators";#N/A,#N/A,FALSE,"Smaller Operators";#N/A,#N/A,FALSE,"Equip. Supply";#N/A,#N/A,FALSE,"EBITDA";#N/A,#N/A,FALSE,"States";#N/A,#N/A,FALSE,"LV Detail"}</definedName>
    <definedName name="wrn.pres." localSheetId="8" hidden="1">{#N/A,#N/A,FALSE,"Major v. River";#N/A,#N/A,FALSE,"Industry";#N/A,#N/A,FALSE,"Large Operators";#N/A,#N/A,FALSE,"Smaller Operators";#N/A,#N/A,FALSE,"Equip. Supply";#N/A,#N/A,FALSE,"EBITDA";#N/A,#N/A,FALSE,"States";#N/A,#N/A,FALSE,"LV Detail"}</definedName>
    <definedName name="wrn.pres." localSheetId="6" hidden="1">{#N/A,#N/A,FALSE,"Major v. River";#N/A,#N/A,FALSE,"Industry";#N/A,#N/A,FALSE,"Large Operators";#N/A,#N/A,FALSE,"Smaller Operators";#N/A,#N/A,FALSE,"Equip. Supply";#N/A,#N/A,FALSE,"EBITDA";#N/A,#N/A,FALSE,"States";#N/A,#N/A,FALSE,"LV Detail"}</definedName>
    <definedName name="wrn.pres." hidden="1">{#N/A,#N/A,FALSE,"Major v. River";#N/A,#N/A,FALSE,"Industry";#N/A,#N/A,FALSE,"Large Operators";#N/A,#N/A,FALSE,"Smaller Operators";#N/A,#N/A,FALSE,"Equip. Supply";#N/A,#N/A,FALSE,"EBITDA";#N/A,#N/A,FALSE,"States";#N/A,#N/A,FALSE,"LV Detail"}</definedName>
    <definedName name="wrn.pres97." localSheetId="4"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wrn.pres97." localSheetId="8"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wrn.pres97." localSheetId="6"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wrn.pres97." hidden="1">{#N/A,#N/A,FALSE,"Cover";#N/A,#N/A,FALSE,"Major v. River";#N/A,#N/A,FALSE,"Industry";#N/A,#N/A,FALSE,"Stock Val";#N/A,#N/A,FALSE,"EBITDA";#N/A,#N/A,FALSE,"EBITDA Growth";#N/A,#N/A,FALSE,"LV REt";#N/A,#N/A,FALSE,"AC Ret";#N/A,#N/A,FALSE,"River Ret";#N/A,#N/A,FALSE,"Executive";#N/A,#N/A,FALSE,"Demographics";#N/A,#N/A,FALSE,"Leisure";#N/A,#N/A,FALSE,"States";#N/A,#N/A,FALSE,"nongame";#N/A,#N/A,FALSE,"nongame2";#N/A,#N/A,FALSE,"Room Margin";#N/A,#N/A,FALSE,"Hyp Casino";#N/A,#N/A,FALSE,"lv gates";#N/A,#N/A,FALSE,"potential";#N/A,#N/A,FALSE,"Large Operators";#N/A,#N/A,FALSE,"Smaller Operators";#N/A,#N/A,FALSE,"Equip. Supply";#N/A,#N/A,FALSE,"LV Detail $1 Mil"}</definedName>
    <definedName name="wrn.Presentation." localSheetId="4" hidden="1">{#N/A,#N/A,FALSE,"INDEX";#N/A,#N/A,FALSE,"CONTROL";#N/A,#N/A,FALSE,"COMPLIANCE";#N/A,#N/A,FALSE,"OVERVIEW";#N/A,#N/A,FALSE,"OVERVIEW 1";#N/A,#N/A,FALSE,"1995 Rev &amp; Exp";#N/A,#N/A,FALSE,"HISTORICAL REV &amp; EXP";#N/A,#N/A,FALSE,"LEASES";#N/A,#N/A,FALSE,"APPRAISAL";#N/A,#N/A,FALSE,"APPRAISAL 2";#N/A,#N/A,FALSE,"APPRAISAL 3";#N/A,#N/A,FALSE,"ENGINEERING";#N/A,#N/A,FALSE,"ENVIRONMENTAL";#N/A,#N/A,FALSE,"CREDIT";#N/A,#N/A,FALSE,"ASSET MGMT.";#N/A,#N/A,FALSE,"LOAN ANALYSIS";#N/A,#N/A,FALSE,"SOURCES &amp; USES";#N/A,#N/A,FALSE,"Working List"}</definedName>
    <definedName name="wrn.Presentation." localSheetId="8" hidden="1">{#N/A,#N/A,FALSE,"INDEX";#N/A,#N/A,FALSE,"CONTROL";#N/A,#N/A,FALSE,"COMPLIANCE";#N/A,#N/A,FALSE,"OVERVIEW";#N/A,#N/A,FALSE,"OVERVIEW 1";#N/A,#N/A,FALSE,"1995 Rev &amp; Exp";#N/A,#N/A,FALSE,"HISTORICAL REV &amp; EXP";#N/A,#N/A,FALSE,"LEASES";#N/A,#N/A,FALSE,"APPRAISAL";#N/A,#N/A,FALSE,"APPRAISAL 2";#N/A,#N/A,FALSE,"APPRAISAL 3";#N/A,#N/A,FALSE,"ENGINEERING";#N/A,#N/A,FALSE,"ENVIRONMENTAL";#N/A,#N/A,FALSE,"CREDIT";#N/A,#N/A,FALSE,"ASSET MGMT.";#N/A,#N/A,FALSE,"LOAN ANALYSIS";#N/A,#N/A,FALSE,"SOURCES &amp; USES";#N/A,#N/A,FALSE,"Working List"}</definedName>
    <definedName name="wrn.Presentation." localSheetId="6" hidden="1">{#N/A,#N/A,FALSE,"INDEX";#N/A,#N/A,FALSE,"CONTROL";#N/A,#N/A,FALSE,"COMPLIANCE";#N/A,#N/A,FALSE,"OVERVIEW";#N/A,#N/A,FALSE,"OVERVIEW 1";#N/A,#N/A,FALSE,"1995 Rev &amp; Exp";#N/A,#N/A,FALSE,"HISTORICAL REV &amp; EXP";#N/A,#N/A,FALSE,"LEASES";#N/A,#N/A,FALSE,"APPRAISAL";#N/A,#N/A,FALSE,"APPRAISAL 2";#N/A,#N/A,FALSE,"APPRAISAL 3";#N/A,#N/A,FALSE,"ENGINEERING";#N/A,#N/A,FALSE,"ENVIRONMENTAL";#N/A,#N/A,FALSE,"CREDIT";#N/A,#N/A,FALSE,"ASSET MGMT.";#N/A,#N/A,FALSE,"LOAN ANALYSIS";#N/A,#N/A,FALSE,"SOURCES &amp; USES";#N/A,#N/A,FALSE,"Working List"}</definedName>
    <definedName name="wrn.Presentation." hidden="1">{#N/A,#N/A,FALSE,"INDEX";#N/A,#N/A,FALSE,"CONTROL";#N/A,#N/A,FALSE,"COMPLIANCE";#N/A,#N/A,FALSE,"OVERVIEW";#N/A,#N/A,FALSE,"OVERVIEW 1";#N/A,#N/A,FALSE,"1995 Rev &amp; Exp";#N/A,#N/A,FALSE,"HISTORICAL REV &amp; EXP";#N/A,#N/A,FALSE,"LEASES";#N/A,#N/A,FALSE,"APPRAISAL";#N/A,#N/A,FALSE,"APPRAISAL 2";#N/A,#N/A,FALSE,"APPRAISAL 3";#N/A,#N/A,FALSE,"ENGINEERING";#N/A,#N/A,FALSE,"ENVIRONMENTAL";#N/A,#N/A,FALSE,"CREDIT";#N/A,#N/A,FALSE,"ASSET MGMT.";#N/A,#N/A,FALSE,"LOAN ANALYSIS";#N/A,#N/A,FALSE,"SOURCES &amp; USES";#N/A,#N/A,FALSE,"Working List"}</definedName>
    <definedName name="wrn.Pricing._.Case." localSheetId="8" hidden="1">{#N/A,#N/A,TRUE,"RESULTS";#N/A,#N/A,TRUE,"REV REQUIRE";#N/A,#N/A,TRUE,"RATEBASE";#N/A,#N/A,TRUE,"LEVELIZED"}</definedName>
    <definedName name="wrn.Pricing._.Case." hidden="1">{#N/A,#N/A,TRUE,"RESULTS";#N/A,#N/A,TRUE,"REV REQUIRE";#N/A,#N/A,TRUE,"RATEBASE";#N/A,#N/A,TRUE,"LEVELIZED"}</definedName>
    <definedName name="wrn.pricing2._.case." localSheetId="8" hidden="1">{#N/A,#N/A,TRUE,"RESULTS";#N/A,#N/A,TRUE,"REV REQUIRE";#N/A,#N/A,TRUE,"RATEBASE";#N/A,#N/A,TRUE,"LEVELIZED"}</definedName>
    <definedName name="wrn.pricing2._.case." hidden="1">{#N/A,#N/A,TRUE,"RESULTS";#N/A,#N/A,TRUE,"REV REQUIRE";#N/A,#N/A,TRUE,"RATEBASE";#N/A,#N/A,TRUE,"LEVELIZED"}</definedName>
    <definedName name="wrn.Primary._.Competition." localSheetId="4" hidden="1">{#N/A,#N/A,FALSE,"Primary"}</definedName>
    <definedName name="wrn.Primary._.Competition." localSheetId="8" hidden="1">{#N/A,#N/A,FALSE,"Primary"}</definedName>
    <definedName name="wrn.Primary._.Competition." localSheetId="6" hidden="1">{#N/A,#N/A,FALSE,"Primary"}</definedName>
    <definedName name="wrn.Primary._.Competition." hidden="1">{#N/A,#N/A,FALSE,"Primary"}</definedName>
    <definedName name="wrn.print." localSheetId="0" hidden="1">{#N/A,#N/A,FALSE,"Resid CPRIV";#N/A,#N/A,FALSE,"Comer_CPRIVKsum";#N/A,#N/A,FALSE,"General (2)";#N/A,#N/A,FALSE,"Oficial";#N/A,#N/A,FALSE,"Resumen";#N/A,#N/A,FALSE,"Escenarios"}</definedName>
    <definedName name="wrn.Print." localSheetId="4" hidden="1">{#N/A,#N/A,TRUE,"Cover";#N/A,#N/A,TRUE,"Stack";#N/A,#N/A,TRUE,"Cost S";#N/A,#N/A,TRUE,"Financing";#N/A,#N/A,TRUE," CF";#N/A,#N/A,TRUE,"CF Mnthly";#N/A,#N/A,TRUE,"CF assum";#N/A,#N/A,TRUE,"Unit Sales";#N/A,#N/A,TRUE,"REV";#N/A,#N/A,TRUE,"Bdgt Backup"}</definedName>
    <definedName name="wrn.Print." localSheetId="8" hidden="1">{#N/A,#N/A,TRUE,"Cover";#N/A,#N/A,TRUE,"Stack";#N/A,#N/A,TRUE,"Cost S";#N/A,#N/A,TRUE,"Financing";#N/A,#N/A,TRUE," CF";#N/A,#N/A,TRUE,"CF Mnthly";#N/A,#N/A,TRUE,"CF assum";#N/A,#N/A,TRUE,"Unit Sales";#N/A,#N/A,TRUE,"REV";#N/A,#N/A,TRUE,"Bdgt Backup"}</definedName>
    <definedName name="wrn.Print." localSheetId="6" hidden="1">{#N/A,#N/A,TRUE,"Cover";#N/A,#N/A,TRUE,"Stack";#N/A,#N/A,TRUE,"Cost S";#N/A,#N/A,TRUE,"Financing";#N/A,#N/A,TRUE," CF";#N/A,#N/A,TRUE,"CF Mnthly";#N/A,#N/A,TRUE,"CF assum";#N/A,#N/A,TRUE,"Unit Sales";#N/A,#N/A,TRUE,"REV";#N/A,#N/A,TRUE,"Bdgt Backup"}</definedName>
    <definedName name="wrn.Print." hidden="1">{#N/A,#N/A,TRUE,"Cover";#N/A,#N/A,TRUE,"Stack";#N/A,#N/A,TRUE,"Cost S";#N/A,#N/A,TRUE,"Financing";#N/A,#N/A,TRUE," CF";#N/A,#N/A,TRUE,"CF Mnthly";#N/A,#N/A,TRUE,"CF assum";#N/A,#N/A,TRUE,"Unit Sales";#N/A,#N/A,TRUE,"REV";#N/A,#N/A,TRUE,"Bdgt Backup"}</definedName>
    <definedName name="wrn.Print._.All." localSheetId="4" hidden="1">{#N/A,#N/A,FALSE,"Land";#N/A,#N/A,FALSE,"Cost Analysis";"Summary",#N/A,FALSE,"Equipment"}</definedName>
    <definedName name="wrn.Print._.All." localSheetId="8" hidden="1">{#N/A,#N/A,FALSE,"Land";#N/A,#N/A,FALSE,"Cost Analysis";"Summary",#N/A,FALSE,"Equipment"}</definedName>
    <definedName name="wrn.Print._.All." localSheetId="6" hidden="1">{#N/A,#N/A,FALSE,"Land";#N/A,#N/A,FALSE,"Cost Analysis";"Summary",#N/A,FALSE,"Equipment"}</definedName>
    <definedName name="wrn.Print._.All." hidden="1">{#N/A,#N/A,FALSE,"Land";#N/A,#N/A,FALSE,"Cost Analysis";"Summary",#N/A,FALSE,"Equipment"}</definedName>
    <definedName name="wrn.Print._.All._.A4." localSheetId="8" hidden="1">{"Valuation",#N/A,TRUE,"Valuation Summary";"Financial Statements",#N/A,TRUE,"Results";"Results",#N/A,TRUE,"Results";"Ratios",#N/A,TRUE,"Results";"P2 Summary",#N/A,TRUE,"Results";"Historical data",#N/A,TRUE,"Historical Data";"P1 Inputs",#N/A,TRUE,"Forecast Drivers";"P2 Inputs",#N/A,TRUE,"Forecast Drivers"}</definedName>
    <definedName name="wrn.Print._.All._.A4." hidden="1">{"Valuation",#N/A,TRUE,"Valuation Summary";"Financial Statements",#N/A,TRUE,"Results";"Results",#N/A,TRUE,"Results";"Ratios",#N/A,TRUE,"Results";"P2 Summary",#N/A,TRUE,"Results";"Historical data",#N/A,TRUE,"Historical Data";"P1 Inputs",#N/A,TRUE,"Forecast Drivers";"P2 Inputs",#N/A,TRUE,"Forecast Drivers"}</definedName>
    <definedName name="wrn.Print._.All._.Improved._.Sales." localSheetId="4" hidden="1">{#N/A,#N/A,FALSE,"Sale 1";#N/A,#N/A,FALSE,"Sale 2";#N/A,#N/A,FALSE,"Sale 3";#N/A,#N/A,FALSE,"Sale 4";#N/A,#N/A,FALSE,"Sale 5";#N/A,#N/A,FALSE,"Sale 6";#N/A,#N/A,FALSE,"Sale 7";#N/A,#N/A,FALSE,"Sale 8";#N/A,#N/A,FALSE,"Sale 9";#N/A,#N/A,FALSE,"Sale 10";#N/A,#N/A,FALSE,"Sale 11";#N/A,#N/A,FALSE,"Sale 12"}</definedName>
    <definedName name="wrn.Print._.All._.Improved._.Sales." localSheetId="8" hidden="1">{#N/A,#N/A,FALSE,"Sale 1";#N/A,#N/A,FALSE,"Sale 2";#N/A,#N/A,FALSE,"Sale 3";#N/A,#N/A,FALSE,"Sale 4";#N/A,#N/A,FALSE,"Sale 5";#N/A,#N/A,FALSE,"Sale 6";#N/A,#N/A,FALSE,"Sale 7";#N/A,#N/A,FALSE,"Sale 8";#N/A,#N/A,FALSE,"Sale 9";#N/A,#N/A,FALSE,"Sale 10";#N/A,#N/A,FALSE,"Sale 11";#N/A,#N/A,FALSE,"Sale 12"}</definedName>
    <definedName name="wrn.Print._.All._.Improved._.Sales." localSheetId="6" hidden="1">{#N/A,#N/A,FALSE,"Sale 1";#N/A,#N/A,FALSE,"Sale 2";#N/A,#N/A,FALSE,"Sale 3";#N/A,#N/A,FALSE,"Sale 4";#N/A,#N/A,FALSE,"Sale 5";#N/A,#N/A,FALSE,"Sale 6";#N/A,#N/A,FALSE,"Sale 7";#N/A,#N/A,FALSE,"Sale 8";#N/A,#N/A,FALSE,"Sale 9";#N/A,#N/A,FALSE,"Sale 10";#N/A,#N/A,FALSE,"Sale 11";#N/A,#N/A,FALSE,"Sale 12"}</definedName>
    <definedName name="wrn.Print._.All._.Improved._.Sales." hidden="1">{#N/A,#N/A,FALSE,"Sale 1";#N/A,#N/A,FALSE,"Sale 2";#N/A,#N/A,FALSE,"Sale 3";#N/A,#N/A,FALSE,"Sale 4";#N/A,#N/A,FALSE,"Sale 5";#N/A,#N/A,FALSE,"Sale 6";#N/A,#N/A,FALSE,"Sale 7";#N/A,#N/A,FALSE,"Sale 8";#N/A,#N/A,FALSE,"Sale 9";#N/A,#N/A,FALSE,"Sale 10";#N/A,#N/A,FALSE,"Sale 11";#N/A,#N/A,FALSE,"Sale 12"}</definedName>
    <definedName name="wrn.Print._.All._.Letter." localSheetId="8"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Letter." hidden="1">{"Valuation - Letter",#N/A,TRUE,"Valuation Summary";"Financial Statements - Letter",#N/A,TRUE,"Results";"Results - Letter",#N/A,TRUE,"Results";"Ratios - Letter",#N/A,TRUE,"Results";"P2 Summary - Letter",#N/A,TRUE,"Results";"Historical Data - Letter",#N/A,TRUE,"Historical Data";"P1 Inputs - Letter",#N/A,TRUE,"Forecast Drivers";"P2 Inputs - Letter",#N/A,TRUE,"Forecast Drivers"}</definedName>
    <definedName name="wrn.Print._.All._.Report._.Pages." localSheetId="4" hidden="1">{#N/A,#N/A,FALSE,"Executive Summary Page 1";#N/A,#N/A,FALSE,"Executive Summary Page 2";#N/A,#N/A,FALSE,"Executive Summary Page 3";#N/A,#N/A,FALSE,"DCF Assumptions Exhibit";#N/A,#N/A,FALSE,"Metro Profile";#N/A,#N/A,FALSE,"Metro Employment";#N/A,#N/A,FALSE,"Cap &amp; Disc Rate";#N/A,#N/A,FALSE,"Retail Sales";#N/A,#N/A,FALSE,"Tax Exhibit";#N/A,#N/A,FALSE,"Operating Statement";#N/A,#N/A,FALSE,"Direct Cap";#N/A,#N/A,FALSE,"SCG Summary";#N/A,#N/A,FALSE,"Improved Sales Adj. Grid";#N/A,#N/A,FALSE,"Regression Analysis";#N/A,#N/A,FALSE,"Land Sales Adj. Grid";#N/A,#N/A,FALSE,"Cost Schedule"}</definedName>
    <definedName name="wrn.Print._.All._.Report._.Pages." localSheetId="8" hidden="1">{#N/A,#N/A,FALSE,"Executive Summary Page 1";#N/A,#N/A,FALSE,"Executive Summary Page 2";#N/A,#N/A,FALSE,"Executive Summary Page 3";#N/A,#N/A,FALSE,"DCF Assumptions Exhibit";#N/A,#N/A,FALSE,"Metro Profile";#N/A,#N/A,FALSE,"Metro Employment";#N/A,#N/A,FALSE,"Cap &amp; Disc Rate";#N/A,#N/A,FALSE,"Retail Sales";#N/A,#N/A,FALSE,"Tax Exhibit";#N/A,#N/A,FALSE,"Operating Statement";#N/A,#N/A,FALSE,"Direct Cap";#N/A,#N/A,FALSE,"SCG Summary";#N/A,#N/A,FALSE,"Improved Sales Adj. Grid";#N/A,#N/A,FALSE,"Regression Analysis";#N/A,#N/A,FALSE,"Land Sales Adj. Grid";#N/A,#N/A,FALSE,"Cost Schedule"}</definedName>
    <definedName name="wrn.Print._.All._.Report._.Pages." localSheetId="6" hidden="1">{#N/A,#N/A,FALSE,"Executive Summary Page 1";#N/A,#N/A,FALSE,"Executive Summary Page 2";#N/A,#N/A,FALSE,"Executive Summary Page 3";#N/A,#N/A,FALSE,"DCF Assumptions Exhibit";#N/A,#N/A,FALSE,"Metro Profile";#N/A,#N/A,FALSE,"Metro Employment";#N/A,#N/A,FALSE,"Cap &amp; Disc Rate";#N/A,#N/A,FALSE,"Retail Sales";#N/A,#N/A,FALSE,"Tax Exhibit";#N/A,#N/A,FALSE,"Operating Statement";#N/A,#N/A,FALSE,"Direct Cap";#N/A,#N/A,FALSE,"SCG Summary";#N/A,#N/A,FALSE,"Improved Sales Adj. Grid";#N/A,#N/A,FALSE,"Regression Analysis";#N/A,#N/A,FALSE,"Land Sales Adj. Grid";#N/A,#N/A,FALSE,"Cost Schedule"}</definedName>
    <definedName name="wrn.Print._.All._.Report._.Pages." hidden="1">{#N/A,#N/A,FALSE,"Executive Summary Page 1";#N/A,#N/A,FALSE,"Executive Summary Page 2";#N/A,#N/A,FALSE,"Executive Summary Page 3";#N/A,#N/A,FALSE,"DCF Assumptions Exhibit";#N/A,#N/A,FALSE,"Metro Profile";#N/A,#N/A,FALSE,"Metro Employment";#N/A,#N/A,FALSE,"Cap &amp; Disc Rate";#N/A,#N/A,FALSE,"Retail Sales";#N/A,#N/A,FALSE,"Tax Exhibit";#N/A,#N/A,FALSE,"Operating Statement";#N/A,#N/A,FALSE,"Direct Cap";#N/A,#N/A,FALSE,"SCG Summary";#N/A,#N/A,FALSE,"Improved Sales Adj. Grid";#N/A,#N/A,FALSE,"Regression Analysis";#N/A,#N/A,FALSE,"Land Sales Adj. Grid";#N/A,#N/A,FALSE,"Cost Schedule"}</definedName>
    <definedName name="wrn.Print._.Annual." localSheetId="4" hidden="1">{"Summary Info",#N/A,TRUE,"Summary";"Sources &amp; Uses",#N/A,TRUE,"Summary";"Development Program",#N/A,TRUE,"Summary";"Timeline",#N/A,TRUE,"Timeline";"Total Annual CF",#N/A,TRUE,"Summary-Annual";"Total Detailed Annual",#N/A,TRUE,"Summary-Annual";"Acq Costs",#N/A,TRUE,"Ent &amp; Infr";"Entitlement Costs",#N/A,TRUE,"Ent &amp; Infr";"Infrastructure Costs",#N/A,TRUE,"Ent &amp; Infr";"Infrastructure Costs 2",#N/A,TRUE,"Ent &amp; Infr";"Infrastructure Costs 3",#N/A,TRUE,"Ent &amp; Infr";"Infrastructure Costs 4",#N/A,TRUE,"Ent &amp; Infr";"DevBudget",#N/A,TRUE,"DevBudget";"Res Summary",#N/A,TRUE,"Residential";"Res DevBudget",#N/A,TRUE,"Residential";"Res CF Annual",#N/A,TRUE,"Residential-Annual";"Res Detailed Annual",#N/A,TRUE,"Residential-Annual";"Res Detailed Annual 2",#N/A,TRUE,"Residential-Annual";"Res D&amp;S Annual",#N/A,TRUE,"Residential-Annual";"Retail Summary",#N/A,TRUE,"Retail";"Retail Budget",#N/A,TRUE,"Retail";"Retail CF Annual",#N/A,TRUE,"Retail-Annual";"Retail Detailed Annual",#N/A,TRUE,"Retail-Annual";"Retail Detailed Annual 2",#N/A,TRUE,"Retail-Annual";"Retail D&amp;S Annual",#N/A,TRUE,"Retail-Annual";"Hotel Annual",#N/A,TRUE,"Hotel-Annual";"CFD Annual",#N/A,TRUE,"CFD-Annual";"Racetrack Summary",#N/A,TRUE,"Racetrack Summary";"Racetrack Summary 2",#N/A,TRUE,"Racetrack Summary"}</definedName>
    <definedName name="wrn.Print._.Annual." localSheetId="8" hidden="1">{"Summary Info",#N/A,TRUE,"Summary";"Sources &amp; Uses",#N/A,TRUE,"Summary";"Development Program",#N/A,TRUE,"Summary";"Timeline",#N/A,TRUE,"Timeline";"Total Annual CF",#N/A,TRUE,"Summary-Annual";"Total Detailed Annual",#N/A,TRUE,"Summary-Annual";"Acq Costs",#N/A,TRUE,"Ent &amp; Infr";"Entitlement Costs",#N/A,TRUE,"Ent &amp; Infr";"Infrastructure Costs",#N/A,TRUE,"Ent &amp; Infr";"Infrastructure Costs 2",#N/A,TRUE,"Ent &amp; Infr";"Infrastructure Costs 3",#N/A,TRUE,"Ent &amp; Infr";"Infrastructure Costs 4",#N/A,TRUE,"Ent &amp; Infr";"DevBudget",#N/A,TRUE,"DevBudget";"Res Summary",#N/A,TRUE,"Residential";"Res DevBudget",#N/A,TRUE,"Residential";"Res CF Annual",#N/A,TRUE,"Residential-Annual";"Res Detailed Annual",#N/A,TRUE,"Residential-Annual";"Res Detailed Annual 2",#N/A,TRUE,"Residential-Annual";"Res D&amp;S Annual",#N/A,TRUE,"Residential-Annual";"Retail Summary",#N/A,TRUE,"Retail";"Retail Budget",#N/A,TRUE,"Retail";"Retail CF Annual",#N/A,TRUE,"Retail-Annual";"Retail Detailed Annual",#N/A,TRUE,"Retail-Annual";"Retail Detailed Annual 2",#N/A,TRUE,"Retail-Annual";"Retail D&amp;S Annual",#N/A,TRUE,"Retail-Annual";"Hotel Annual",#N/A,TRUE,"Hotel-Annual";"CFD Annual",#N/A,TRUE,"CFD-Annual";"Racetrack Summary",#N/A,TRUE,"Racetrack Summary";"Racetrack Summary 2",#N/A,TRUE,"Racetrack Summary"}</definedName>
    <definedName name="wrn.Print._.Annual." localSheetId="6" hidden="1">{"Summary Info",#N/A,TRUE,"Summary";"Sources &amp; Uses",#N/A,TRUE,"Summary";"Development Program",#N/A,TRUE,"Summary";"Timeline",#N/A,TRUE,"Timeline";"Total Annual CF",#N/A,TRUE,"Summary-Annual";"Total Detailed Annual",#N/A,TRUE,"Summary-Annual";"Acq Costs",#N/A,TRUE,"Ent &amp; Infr";"Entitlement Costs",#N/A,TRUE,"Ent &amp; Infr";"Infrastructure Costs",#N/A,TRUE,"Ent &amp; Infr";"Infrastructure Costs 2",#N/A,TRUE,"Ent &amp; Infr";"Infrastructure Costs 3",#N/A,TRUE,"Ent &amp; Infr";"Infrastructure Costs 4",#N/A,TRUE,"Ent &amp; Infr";"DevBudget",#N/A,TRUE,"DevBudget";"Res Summary",#N/A,TRUE,"Residential";"Res DevBudget",#N/A,TRUE,"Residential";"Res CF Annual",#N/A,TRUE,"Residential-Annual";"Res Detailed Annual",#N/A,TRUE,"Residential-Annual";"Res Detailed Annual 2",#N/A,TRUE,"Residential-Annual";"Res D&amp;S Annual",#N/A,TRUE,"Residential-Annual";"Retail Summary",#N/A,TRUE,"Retail";"Retail Budget",#N/A,TRUE,"Retail";"Retail CF Annual",#N/A,TRUE,"Retail-Annual";"Retail Detailed Annual",#N/A,TRUE,"Retail-Annual";"Retail Detailed Annual 2",#N/A,TRUE,"Retail-Annual";"Retail D&amp;S Annual",#N/A,TRUE,"Retail-Annual";"Hotel Annual",#N/A,TRUE,"Hotel-Annual";"CFD Annual",#N/A,TRUE,"CFD-Annual";"Racetrack Summary",#N/A,TRUE,"Racetrack Summary";"Racetrack Summary 2",#N/A,TRUE,"Racetrack Summary"}</definedName>
    <definedName name="wrn.Print._.Annual." hidden="1">{"Summary Info",#N/A,TRUE,"Summary";"Sources &amp; Uses",#N/A,TRUE,"Summary";"Development Program",#N/A,TRUE,"Summary";"Timeline",#N/A,TRUE,"Timeline";"Total Annual CF",#N/A,TRUE,"Summary-Annual";"Total Detailed Annual",#N/A,TRUE,"Summary-Annual";"Acq Costs",#N/A,TRUE,"Ent &amp; Infr";"Entitlement Costs",#N/A,TRUE,"Ent &amp; Infr";"Infrastructure Costs",#N/A,TRUE,"Ent &amp; Infr";"Infrastructure Costs 2",#N/A,TRUE,"Ent &amp; Infr";"Infrastructure Costs 3",#N/A,TRUE,"Ent &amp; Infr";"Infrastructure Costs 4",#N/A,TRUE,"Ent &amp; Infr";"DevBudget",#N/A,TRUE,"DevBudget";"Res Summary",#N/A,TRUE,"Residential";"Res DevBudget",#N/A,TRUE,"Residential";"Res CF Annual",#N/A,TRUE,"Residential-Annual";"Res Detailed Annual",#N/A,TRUE,"Residential-Annual";"Res Detailed Annual 2",#N/A,TRUE,"Residential-Annual";"Res D&amp;S Annual",#N/A,TRUE,"Residential-Annual";"Retail Summary",#N/A,TRUE,"Retail";"Retail Budget",#N/A,TRUE,"Retail";"Retail CF Annual",#N/A,TRUE,"Retail-Annual";"Retail Detailed Annual",#N/A,TRUE,"Retail-Annual";"Retail Detailed Annual 2",#N/A,TRUE,"Retail-Annual";"Retail D&amp;S Annual",#N/A,TRUE,"Retail-Annual";"Hotel Annual",#N/A,TRUE,"Hotel-Annual";"CFD Annual",#N/A,TRUE,"CFD-Annual";"Racetrack Summary",#N/A,TRUE,"Racetrack Summary";"Racetrack Summary 2",#N/A,TRUE,"Racetrack Summary"}</definedName>
    <definedName name="wrn.Print._.CRXLAND._.Openings." localSheetId="4" hidden="1">{"Print CRXLAND Assumptions",#N/A,FALSE,"CRXLAND Openings";"Print CRXLAND Openings",#N/A,FALSE,"CRXLAND Openings"}</definedName>
    <definedName name="wrn.Print._.CRXLAND._.Openings." localSheetId="8" hidden="1">{"Print CRXLAND Assumptions",#N/A,FALSE,"CRXLAND Openings";"Print CRXLAND Openings",#N/A,FALSE,"CRXLAND Openings"}</definedName>
    <definedName name="wrn.Print._.CRXLAND._.Openings." localSheetId="6" hidden="1">{"Print CRXLAND Assumptions",#N/A,FALSE,"CRXLAND Openings";"Print CRXLAND Openings",#N/A,FALSE,"CRXLAND Openings"}</definedName>
    <definedName name="wrn.Print._.CRXLAND._.Openings." hidden="1">{"Print CRXLAND Assumptions",#N/A,FALSE,"CRXLAND Openings";"Print CRXLAND Openings",#N/A,FALSE,"CRXLAND Openings"}</definedName>
    <definedName name="wrn.Print._.Everythin." localSheetId="4" hidden="1">{#N/A,#N/A,FALSE,"PRELIMINARY REVIEW";#N/A,#N/A,FALSE,"SOURCES AND USES OF FUNDS";#N/A,#N/A,FALSE,"COST ITEMS";#N/A,#N/A,FALSE,"DRAW SCHEDULE";#N/A,#N/A,FALSE,"STABILIZED OPERATING PROFORMA";#N/A,#N/A,FALSE,"LEASE UP OPERATING PROFORMA";#N/A,#N/A,FALSE,"INPUT SHEET"}</definedName>
    <definedName name="wrn.Print._.Everythin." localSheetId="8" hidden="1">{#N/A,#N/A,FALSE,"PRELIMINARY REVIEW";#N/A,#N/A,FALSE,"SOURCES AND USES OF FUNDS";#N/A,#N/A,FALSE,"COST ITEMS";#N/A,#N/A,FALSE,"DRAW SCHEDULE";#N/A,#N/A,FALSE,"STABILIZED OPERATING PROFORMA";#N/A,#N/A,FALSE,"LEASE UP OPERATING PROFORMA";#N/A,#N/A,FALSE,"INPUT SHEET"}</definedName>
    <definedName name="wrn.Print._.Everythin." localSheetId="6" hidden="1">{#N/A,#N/A,FALSE,"PRELIMINARY REVIEW";#N/A,#N/A,FALSE,"SOURCES AND USES OF FUNDS";#N/A,#N/A,FALSE,"COST ITEMS";#N/A,#N/A,FALSE,"DRAW SCHEDULE";#N/A,#N/A,FALSE,"STABILIZED OPERATING PROFORMA";#N/A,#N/A,FALSE,"LEASE UP OPERATING PROFORMA";#N/A,#N/A,FALSE,"INPUT SHEET"}</definedName>
    <definedName name="wrn.Print._.Everythin." hidden="1">{#N/A,#N/A,FALSE,"PRELIMINARY REVIEW";#N/A,#N/A,FALSE,"SOURCES AND USES OF FUNDS";#N/A,#N/A,FALSE,"COST ITEMS";#N/A,#N/A,FALSE,"DRAW SCHEDULE";#N/A,#N/A,FALSE,"STABILIZED OPERATING PROFORMA";#N/A,#N/A,FALSE,"LEASE UP OPERATING PROFORMA";#N/A,#N/A,FALSE,"INPUT SHEET"}</definedName>
    <definedName name="wrn.Print._.Everything." localSheetId="4"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wrn.Print._.Everything." localSheetId="8"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wrn.Print._.Everything." localSheetId="6"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wrn.Print._.Everything." hidden="1">{"print annual inc. statement",#N/A,FALSE,"Summary";"print annual stats",#N/A,FALSE,"Summary";"print quarterly inc. statement",#N/A,FALSE,"Summary";"print quarterly stats",#N/A,FALSE,"Summary";"print STAY opening assumptions",#N/A,FALSE,"STAY Openings";"print STAY openings",#N/A,FALSE,"STAY Openings";"Print SPHI Assumptions",#N/A,FALSE,"SPHI Openings";"Print SPHI Openings",#N/A,FALSE,"SPHI Openings";"Print CRXLAND Assumptions",#N/A,FALSE,"CRXLAND Openings";"Print CRXLAND Openings",#N/A,FALSE,"CRXLAND Openings"}</definedName>
    <definedName name="wrn.Print._.Inc.._.Statement._.and._.Stats.." localSheetId="4" hidden="1">{"print annual inc. statement",#N/A,FALSE,"Summary";"print annual stats",#N/A,FALSE,"Summary";"print quarterly inc. statement",#N/A,FALSE,"Summary";"print quarterly stats",#N/A,FALSE,"Summary"}</definedName>
    <definedName name="wrn.Print._.Inc.._.Statement._.and._.Stats.." localSheetId="8" hidden="1">{"print annual inc. statement",#N/A,FALSE,"Summary";"print annual stats",#N/A,FALSE,"Summary";"print quarterly inc. statement",#N/A,FALSE,"Summary";"print quarterly stats",#N/A,FALSE,"Summary"}</definedName>
    <definedName name="wrn.Print._.Inc.._.Statement._.and._.Stats.." localSheetId="6" hidden="1">{"print annual inc. statement",#N/A,FALSE,"Summary";"print annual stats",#N/A,FALSE,"Summary";"print quarterly inc. statement",#N/A,FALSE,"Summary";"print quarterly stats",#N/A,FALSE,"Summary"}</definedName>
    <definedName name="wrn.Print._.Inc.._.Statement._.and._.Stats.." hidden="1">{"print annual inc. statement",#N/A,FALSE,"Summary";"print annual stats",#N/A,FALSE,"Summary";"print quarterly inc. statement",#N/A,FALSE,"Summary";"print quarterly stats",#N/A,FALSE,"Summary"}</definedName>
    <definedName name="wrn.Print._.Rent._.Comps." localSheetId="4" hidden="1">{#N/A,#N/A,FALSE,"Rent 1";#N/A,#N/A,FALSE,"Rent 2";#N/A,#N/A,FALSE,"Rent 3";#N/A,#N/A,FALSE,"Rent 4";#N/A,#N/A,FALSE,"Rent 5";#N/A,#N/A,FALSE,"Rent 6";#N/A,#N/A,FALSE,"Rent 7";#N/A,#N/A,FALSE,"Rent 8"}</definedName>
    <definedName name="wrn.Print._.Rent._.Comps." localSheetId="8" hidden="1">{#N/A,#N/A,FALSE,"Rent 1";#N/A,#N/A,FALSE,"Rent 2";#N/A,#N/A,FALSE,"Rent 3";#N/A,#N/A,FALSE,"Rent 4";#N/A,#N/A,FALSE,"Rent 5";#N/A,#N/A,FALSE,"Rent 6";#N/A,#N/A,FALSE,"Rent 7";#N/A,#N/A,FALSE,"Rent 8"}</definedName>
    <definedName name="wrn.Print._.Rent._.Comps." localSheetId="6" hidden="1">{#N/A,#N/A,FALSE,"Rent 1";#N/A,#N/A,FALSE,"Rent 2";#N/A,#N/A,FALSE,"Rent 3";#N/A,#N/A,FALSE,"Rent 4";#N/A,#N/A,FALSE,"Rent 5";#N/A,#N/A,FALSE,"Rent 6";#N/A,#N/A,FALSE,"Rent 7";#N/A,#N/A,FALSE,"Rent 8"}</definedName>
    <definedName name="wrn.Print._.Rent._.Comps." hidden="1">{#N/A,#N/A,FALSE,"Rent 1";#N/A,#N/A,FALSE,"Rent 2";#N/A,#N/A,FALSE,"Rent 3";#N/A,#N/A,FALSE,"Rent 4";#N/A,#N/A,FALSE,"Rent 5";#N/A,#N/A,FALSE,"Rent 6";#N/A,#N/A,FALSE,"Rent 7";#N/A,#N/A,FALSE,"Rent 8"}</definedName>
    <definedName name="wrn.Print._.Report." localSheetId="4" hidden="1">{"annual",#N/A,FALSE,"Sheet2";"quarters",#N/A,FALSE,"Sheet2"}</definedName>
    <definedName name="wrn.Print._.Report." localSheetId="8" hidden="1">{"annual",#N/A,FALSE,"Sheet2";"quarters",#N/A,FALSE,"Sheet2"}</definedName>
    <definedName name="wrn.Print._.Report." localSheetId="6" hidden="1">{"annual",#N/A,FALSE,"Sheet2";"quarters",#N/A,FALSE,"Sheet2"}</definedName>
    <definedName name="wrn.Print._.Report." hidden="1">{"annual",#N/A,FALSE,"Sheet2";"quarters",#N/A,FALSE,"Sheet2"}</definedName>
    <definedName name="wrn.Print._.Results._.A4." localSheetId="8" hidden="1">{"Valuation",#N/A,TRUE,"Valuation Summary";"Financial Statements",#N/A,TRUE,"Results";"Results",#N/A,TRUE,"Results";"Ratios",#N/A,TRUE,"Results";"P2 Summary",#N/A,TRUE,"Results"}</definedName>
    <definedName name="wrn.Print._.Results._.A4." hidden="1">{"Valuation",#N/A,TRUE,"Valuation Summary";"Financial Statements",#N/A,TRUE,"Results";"Results",#N/A,TRUE,"Results";"Ratios",#N/A,TRUE,"Results";"P2 Summary",#N/A,TRUE,"Results"}</definedName>
    <definedName name="wrn.Print._.Results._.Letter." localSheetId="8" hidden="1">{"Valuation - Letter",#N/A,TRUE,"Valuation Summary";"Financial Statements - Letter",#N/A,TRUE,"Results";"Results - Letter",#N/A,TRUE,"Results";"Ratios - Letter",#N/A,TRUE,"Results";"P2 Summary - Letter",#N/A,TRUE,"Results"}</definedName>
    <definedName name="wrn.Print._.Results._.Letter." hidden="1">{"Valuation - Letter",#N/A,TRUE,"Valuation Summary";"Financial Statements - Letter",#N/A,TRUE,"Results";"Results - Letter",#N/A,TRUE,"Results";"Ratios - Letter",#N/A,TRUE,"Results";"P2 Summary - Letter",#N/A,TRUE,"Results"}</definedName>
    <definedName name="wrn.Print._.SPHI._.Openings." localSheetId="4" hidden="1">{"Print SPHI Assumptions",#N/A,FALSE,"SPHI Openings";"Print SPHI Openings",#N/A,FALSE,"SPHI Openings"}</definedName>
    <definedName name="wrn.Print._.SPHI._.Openings." localSheetId="8" hidden="1">{"Print SPHI Assumptions",#N/A,FALSE,"SPHI Openings";"Print SPHI Openings",#N/A,FALSE,"SPHI Openings"}</definedName>
    <definedName name="wrn.Print._.SPHI._.Openings." localSheetId="6" hidden="1">{"Print SPHI Assumptions",#N/A,FALSE,"SPHI Openings";"Print SPHI Openings",#N/A,FALSE,"SPHI Openings"}</definedName>
    <definedName name="wrn.Print._.SPHI._.Openings." hidden="1">{"Print SPHI Assumptions",#N/A,FALSE,"SPHI Openings";"Print SPHI Openings",#N/A,FALSE,"SPHI Openings"}</definedName>
    <definedName name="wrn.Print._.STAY._.Openings." localSheetId="4" hidden="1">{"print STAY opening assumptions",#N/A,FALSE,"STAY Openings";"print STAY openings",#N/A,FALSE,"STAY Openings"}</definedName>
    <definedName name="wrn.Print._.STAY._.Openings." localSheetId="8" hidden="1">{"print STAY opening assumptions",#N/A,FALSE,"STAY Openings";"print STAY openings",#N/A,FALSE,"STAY Openings"}</definedName>
    <definedName name="wrn.Print._.STAY._.Openings." localSheetId="6" hidden="1">{"print STAY opening assumptions",#N/A,FALSE,"STAY Openings";"print STAY openings",#N/A,FALSE,"STAY Openings"}</definedName>
    <definedName name="wrn.Print._.STAY._.Openings." hidden="1">{"print STAY opening assumptions",#N/A,FALSE,"STAY Openings";"print STAY openings",#N/A,FALSE,"STAY Openings"}</definedName>
    <definedName name="wrn.Print._.the._.lot." localSheetId="8" hidden="1">{"First Page",#N/A,FALSE,"Surfactants LBO";"Second Page",#N/A,FALSE,"Surfactants LBO"}</definedName>
    <definedName name="wrn.Print._.the._.lot." hidden="1">{"First Page",#N/A,FALSE,"Surfactants LBO";"Second Page",#N/A,FALSE,"Surfactants LBO"}</definedName>
    <definedName name="wrn.Print._.Three._.Page._.Model." localSheetId="4" hidden="1">{"Page One",#N/A,FALSE,"Model";"Page 2",#N/A,FALSE,"Model";"Page 3",#N/A,FALSE,"Model"}</definedName>
    <definedName name="wrn.Print._.Three._.Page._.Model." localSheetId="8" hidden="1">{"Page One",#N/A,FALSE,"Model";"Page 2",#N/A,FALSE,"Model";"Page 3",#N/A,FALSE,"Model"}</definedName>
    <definedName name="wrn.Print._.Three._.Page._.Model." localSheetId="6" hidden="1">{"Page One",#N/A,FALSE,"Model";"Page 2",#N/A,FALSE,"Model";"Page 3",#N/A,FALSE,"Model"}</definedName>
    <definedName name="wrn.Print._.Three._.Page._.Model." hidden="1">{"Page One",#N/A,FALSE,"Model";"Page 2",#N/A,FALSE,"Model";"Page 3",#N/A,FALSE,"Model"}</definedName>
    <definedName name="wrn.Print_Comps_Report." localSheetId="8" hidden="1">{"comps1_1",#N/A,FALSE,"Comps1";"comps1_2",#N/A,FALSE,"Comps1";"comps1_3",#N/A,FALSE,"Comps1";"comps1_4",#N/A,FALSE,"Comps1";"comps1_5",#N/A,FALSE,"Comps1";"comps2_1",#N/A,FALSE,"Comps2";"comps2_2",#N/A,FALSE,"Comps2";"comps2_3",#N/A,FALSE,"Comps2";"comps2_4",#N/A,FALSE,"Comps2";"comps2_5",#N/A,FALSE,"Comps2"}</definedName>
    <definedName name="wrn.Print_Comps_Report." hidden="1">{"comps1_1",#N/A,FALSE,"Comps1";"comps1_2",#N/A,FALSE,"Comps1";"comps1_3",#N/A,FALSE,"Comps1";"comps1_4",#N/A,FALSE,"Comps1";"comps1_5",#N/A,FALSE,"Comps1";"comps2_1",#N/A,FALSE,"Comps2";"comps2_2",#N/A,FALSE,"Comps2";"comps2_3",#N/A,FALSE,"Comps2";"comps2_4",#N/A,FALSE,"Comps2";"comps2_5",#N/A,FALSE,"Comps2"}</definedName>
    <definedName name="wrn.print7" localSheetId="4" hidden="1">{"page1",#N/A,FALSE,"Model";"page2",#N/A,FALSE,"Model";"page3",#N/A,FALSE,"Model";"page4",#N/A,FALSE,"Model";"page5",#N/A,FALSE,"Model";"page6",#N/A,FALSE,"Model"}</definedName>
    <definedName name="wrn.print7" localSheetId="6" hidden="1">{"page1",#N/A,FALSE,"Model";"page2",#N/A,FALSE,"Model";"page3",#N/A,FALSE,"Model";"page4",#N/A,FALSE,"Model";"page5",#N/A,FALSE,"Model";"page6",#N/A,FALSE,"Model"}</definedName>
    <definedName name="wrn.print7" hidden="1">{"page1",#N/A,FALSE,"Model";"page2",#N/A,FALSE,"Model";"page3",#N/A,FALSE,"Model";"page4",#N/A,FALSE,"Model";"page5",#N/A,FALSE,"Model";"page6",#N/A,FALSE,"Model"}</definedName>
    <definedName name="wrn.PrintAll." localSheetId="4" hidden="1">{#N/A,#N/A,FALSE,"Broker Sheet";#N/A,#N/A,FALSE,"Exec.Summary";#N/A,#N/A,FALSE,"Argus Cash Flow";#N/A,#N/A,FALSE,"SPF";#N/A,#N/A,FALSE,"RentRoll"}</definedName>
    <definedName name="wrn.PrintAll." localSheetId="8" hidden="1">{#N/A,#N/A,FALSE,"Broker Sheet";#N/A,#N/A,FALSE,"Exec.Summary";#N/A,#N/A,FALSE,"Argus Cash Flow";#N/A,#N/A,FALSE,"SPF";#N/A,#N/A,FALSE,"RentRoll"}</definedName>
    <definedName name="wrn.PrintAll." localSheetId="6" hidden="1">{#N/A,#N/A,FALSE,"Broker Sheet";#N/A,#N/A,FALSE,"Exec.Summary";#N/A,#N/A,FALSE,"Argus Cash Flow";#N/A,#N/A,FALSE,"SPF";#N/A,#N/A,FALSE,"RentRoll"}</definedName>
    <definedName name="wrn.PrintAll." hidden="1">{#N/A,#N/A,FALSE,"Broker Sheet";#N/A,#N/A,FALSE,"Exec.Summary";#N/A,#N/A,FALSE,"Argus Cash Flow";#N/A,#N/A,FALSE,"SPF";#N/A,#N/A,FALSE,"RentRoll"}</definedName>
    <definedName name="wrn.Printing._.Report." localSheetId="8" hidden="1">{"Assumptions",#N/A,FALSE,"Assumptions";"Sensitivities1",#N/A,FALSE,"Sensitivities";"Sensitivities2",#N/A,FALSE,"Sensitivities";"Sensitivities3",#N/A,FALSE,"Sensitivities";"Bidder",#N/A,FALSE,"Bidder";"Annualised_Target",#N/A,FALSE,"Target";"Target",#N/A,FALSE,"Target";"Summary",#N/A,FALSE,"Summary";"Historic",#N/A,FALSE,"Hist";"Current",#N/A,FALSE,"Curr";"Prospective",#N/A,FALSE,"Prosp";"Prospective+1",#N/A,FALSE,"Prosp+1"}</definedName>
    <definedName name="wrn.Printing._.Report." hidden="1">{"Assumptions",#N/A,FALSE,"Assumptions";"Sensitivities1",#N/A,FALSE,"Sensitivities";"Sensitivities2",#N/A,FALSE,"Sensitivities";"Sensitivities3",#N/A,FALSE,"Sensitivities";"Bidder",#N/A,FALSE,"Bidder";"Annualised_Target",#N/A,FALSE,"Target";"Target",#N/A,FALSE,"Target";"Summary",#N/A,FALSE,"Summary";"Historic",#N/A,FALSE,"Hist";"Current",#N/A,FALSE,"Curr";"Prospective",#N/A,FALSE,"Prosp";"Prospective+1",#N/A,FALSE,"Prosp+1"}</definedName>
    <definedName name="wrn.Printing._.the._.Model." localSheetId="4" hidden="1">{#N/A,#N/A,FALSE,"General Assumptions";#N/A,#N/A,FALSE,"Summary of Results";#N/A,#N/A,FALSE,"Waterfall - LFSRI";#N/A,#N/A,FALSE,"Sources &amp; Uses - Output";#N/A,#N/A,FALSE,"Existing Portfolio";#N/A,#N/A,FALSE,"1996 Development Schedule";#N/A,#N/A,FALSE,"New Development";#N/A,#N/A,FALSE,"New Acquisitions";#N/A,#N/A,FALSE,"Land Inventory";#N/A,#N/A,FALSE,"Balance Sheet Dec. 1996";#N/A,#N/A,FALSE,"Balance Sheet - Projected";#N/A,#N/A,FALSE,"Total Cash Flow -- Model";#N/A,#N/A,FALSE,"Total Cash Flow -- Output"}</definedName>
    <definedName name="wrn.Printing._.the._.Model." localSheetId="6" hidden="1">{#N/A,#N/A,FALSE,"General Assumptions";#N/A,#N/A,FALSE,"Summary of Results";#N/A,#N/A,FALSE,"Waterfall - LFSRI";#N/A,#N/A,FALSE,"Sources &amp; Uses - Output";#N/A,#N/A,FALSE,"Existing Portfolio";#N/A,#N/A,FALSE,"1996 Development Schedule";#N/A,#N/A,FALSE,"New Development";#N/A,#N/A,FALSE,"New Acquisitions";#N/A,#N/A,FALSE,"Land Inventory";#N/A,#N/A,FALSE,"Balance Sheet Dec. 1996";#N/A,#N/A,FALSE,"Balance Sheet - Projected";#N/A,#N/A,FALSE,"Total Cash Flow -- Model";#N/A,#N/A,FALSE,"Total Cash Flow -- Output"}</definedName>
    <definedName name="wrn.Printing._.the._.Model." hidden="1">{#N/A,#N/A,FALSE,"General Assumptions";#N/A,#N/A,FALSE,"Summary of Results";#N/A,#N/A,FALSE,"Waterfall - LFSRI";#N/A,#N/A,FALSE,"Sources &amp; Uses - Output";#N/A,#N/A,FALSE,"Existing Portfolio";#N/A,#N/A,FALSE,"1996 Development Schedule";#N/A,#N/A,FALSE,"New Development";#N/A,#N/A,FALSE,"New Acquisitions";#N/A,#N/A,FALSE,"Land Inventory";#N/A,#N/A,FALSE,"Balance Sheet Dec. 1996";#N/A,#N/A,FALSE,"Balance Sheet - Projected";#N/A,#N/A,FALSE,"Total Cash Flow -- Model";#N/A,#N/A,FALSE,"Total Cash Flow -- Output"}</definedName>
    <definedName name="wrn.Printing._.the._.Model7" localSheetId="4" hidden="1">{#N/A,#N/A,FALSE,"General Assumptions";#N/A,#N/A,FALSE,"Summary of Results";#N/A,#N/A,FALSE,"Waterfall - LFSRI";#N/A,#N/A,FALSE,"Sources &amp; Uses - Output";#N/A,#N/A,FALSE,"Existing Portfolio";#N/A,#N/A,FALSE,"1996 Development Schedule";#N/A,#N/A,FALSE,"New Development";#N/A,#N/A,FALSE,"New Acquisitions";#N/A,#N/A,FALSE,"Land Inventory";#N/A,#N/A,FALSE,"Balance Sheet Dec. 1996";#N/A,#N/A,FALSE,"Balance Sheet - Projected";#N/A,#N/A,FALSE,"Total Cash Flow -- Model";#N/A,#N/A,FALSE,"Total Cash Flow -- Output"}</definedName>
    <definedName name="wrn.Printing._.the._.Model7" localSheetId="6" hidden="1">{#N/A,#N/A,FALSE,"General Assumptions";#N/A,#N/A,FALSE,"Summary of Results";#N/A,#N/A,FALSE,"Waterfall - LFSRI";#N/A,#N/A,FALSE,"Sources &amp; Uses - Output";#N/A,#N/A,FALSE,"Existing Portfolio";#N/A,#N/A,FALSE,"1996 Development Schedule";#N/A,#N/A,FALSE,"New Development";#N/A,#N/A,FALSE,"New Acquisitions";#N/A,#N/A,FALSE,"Land Inventory";#N/A,#N/A,FALSE,"Balance Sheet Dec. 1996";#N/A,#N/A,FALSE,"Balance Sheet - Projected";#N/A,#N/A,FALSE,"Total Cash Flow -- Model";#N/A,#N/A,FALSE,"Total Cash Flow -- Output"}</definedName>
    <definedName name="wrn.Printing._.the._.Model7" hidden="1">{#N/A,#N/A,FALSE,"General Assumptions";#N/A,#N/A,FALSE,"Summary of Results";#N/A,#N/A,FALSE,"Waterfall - LFSRI";#N/A,#N/A,FALSE,"Sources &amp; Uses - Output";#N/A,#N/A,FALSE,"Existing Portfolio";#N/A,#N/A,FALSE,"1996 Development Schedule";#N/A,#N/A,FALSE,"New Development";#N/A,#N/A,FALSE,"New Acquisitions";#N/A,#N/A,FALSE,"Land Inventory";#N/A,#N/A,FALSE,"Balance Sheet Dec. 1996";#N/A,#N/A,FALSE,"Balance Sheet - Projected";#N/A,#N/A,FALSE,"Total Cash Flow -- Model";#N/A,#N/A,FALSE,"Total Cash Flow -- Output"}</definedName>
    <definedName name="wrn.Printing._.the._.transactions._.sheets." localSheetId="8" hidden="1">{#N/A,#N/A,FALSE,"Eastern";#N/A,#N/A,FALSE,"Western"}</definedName>
    <definedName name="wrn.Printing._.the._.transactions._.sheets." hidden="1">{#N/A,#N/A,FALSE,"Eastern";#N/A,#N/A,FALSE,"Western"}</definedName>
    <definedName name="wrn.Printout." localSheetId="4" hidden="1">{"Zone1",#N/A,FALSE,"Parameters";"Zone2",#N/A,FALSE,"Parameters"}</definedName>
    <definedName name="wrn.Printout." localSheetId="8" hidden="1">{"Zone1",#N/A,FALSE,"Parameters";"Zone2",#N/A,FALSE,"Parameters"}</definedName>
    <definedName name="wrn.Printout." localSheetId="6" hidden="1">{"Zone1",#N/A,FALSE,"Parameters";"Zone2",#N/A,FALSE,"Parameters"}</definedName>
    <definedName name="wrn.Printout." hidden="1">{"Zone1",#N/A,FALSE,"Parameters";"Zone2",#N/A,FALSE,"Parameters"}</definedName>
    <definedName name="wrn.Prints._.All." localSheetId="4" hidden="1">{"Main",#N/A,FALSE,"Wacker";"Main2",#N/A,FALSE,"Wacker";"Value",#N/A,FALSE,"Wacker";"Sensitivity",#N/A,FALSE,"Wacker";"Paine",#N/A,FALSE,"Wacker";"Quaker",#N/A,FALSE,"Wacker";"Wacker",#N/A,FALSE,"Wacker";"1900",#N/A,FALSE,"Wacker";"1901",#N/A,FALSE,"Wacker"}</definedName>
    <definedName name="wrn.Prints._.All." localSheetId="6" hidden="1">{"Main",#N/A,FALSE,"Wacker";"Main2",#N/A,FALSE,"Wacker";"Value",#N/A,FALSE,"Wacker";"Sensitivity",#N/A,FALSE,"Wacker";"Paine",#N/A,FALSE,"Wacker";"Quaker",#N/A,FALSE,"Wacker";"Wacker",#N/A,FALSE,"Wacker";"1900",#N/A,FALSE,"Wacker";"1901",#N/A,FALSE,"Wacker"}</definedName>
    <definedName name="wrn.Prints._.All." hidden="1">{"Main",#N/A,FALSE,"Wacker";"Main2",#N/A,FALSE,"Wacker";"Value",#N/A,FALSE,"Wacker";"Sensitivity",#N/A,FALSE,"Wacker";"Paine",#N/A,FALSE,"Wacker";"Quaker",#N/A,FALSE,"Wacker";"Wacker",#N/A,FALSE,"Wacker";"1900",#N/A,FALSE,"Wacker";"1901",#N/A,FALSE,"Wacker"}</definedName>
    <definedName name="wrn.printsyns." localSheetId="8" hidden="1">{"dcfsyn",#N/A,FALSE,"DCFSYN";"senssyn",#N/A,FALSE,"DCFSYN"}</definedName>
    <definedName name="wrn.printsyns." hidden="1">{"dcfsyn",#N/A,FALSE,"DCFSYN";"senssyn",#N/A,FALSE,"DCFSYN"}</definedName>
    <definedName name="wrn.PRO." localSheetId="4" hidden="1">{#N/A,#N/A,FALSE,"COVER";#N/A,#N/A,FALSE,"Construction CF";#N/A,#N/A,FALSE,"PROFORMA";#N/A,#N/A,FALSE,"CASHFLOW"}</definedName>
    <definedName name="wrn.PRO." localSheetId="8" hidden="1">{#N/A,#N/A,FALSE,"COVER";#N/A,#N/A,FALSE,"Construction CF";#N/A,#N/A,FALSE,"PROFORMA";#N/A,#N/A,FALSE,"CASHFLOW"}</definedName>
    <definedName name="wrn.PRO." localSheetId="6" hidden="1">{#N/A,#N/A,FALSE,"COVER";#N/A,#N/A,FALSE,"Construction CF";#N/A,#N/A,FALSE,"PROFORMA";#N/A,#N/A,FALSE,"CASHFLOW"}</definedName>
    <definedName name="wrn.PRO." hidden="1">{#N/A,#N/A,FALSE,"COVER";#N/A,#N/A,FALSE,"Construction CF";#N/A,#N/A,FALSE,"PROFORMA";#N/A,#N/A,FALSE,"CASHFLOW"}</definedName>
    <definedName name="wrn.Pro._.Forma." localSheetId="4" hidden="1">{#N/A,#N/A,FALSE,"ACQ";#N/A,#N/A,FALSE,"ASSUMP";#N/A,#N/A,FALSE,"CASH FLOW";#N/A,#N/A,FALSE,"SALE";#N/A,#N/A,FALSE,"TIS";#N/A,#N/A,FALSE,"RENT ROLL"}</definedName>
    <definedName name="wrn.Pro._.Forma." localSheetId="8" hidden="1">{#N/A,#N/A,FALSE,"ACQ";#N/A,#N/A,FALSE,"ASSUMP";#N/A,#N/A,FALSE,"CASH FLOW";#N/A,#N/A,FALSE,"SALE";#N/A,#N/A,FALSE,"TIS";#N/A,#N/A,FALSE,"RENT ROLL"}</definedName>
    <definedName name="wrn.Pro._.Forma." localSheetId="6" hidden="1">{#N/A,#N/A,FALSE,"ACQ";#N/A,#N/A,FALSE,"ASSUMP";#N/A,#N/A,FALSE,"CASH FLOW";#N/A,#N/A,FALSE,"SALE";#N/A,#N/A,FALSE,"TIS";#N/A,#N/A,FALSE,"RENT ROLL"}</definedName>
    <definedName name="wrn.Pro._.Forma." hidden="1">{#N/A,#N/A,FALSE,"ACQ";#N/A,#N/A,FALSE,"ASSUMP";#N/A,#N/A,FALSE,"CASH FLOW";#N/A,#N/A,FALSE,"SALE";#N/A,#N/A,FALSE,"TIS";#N/A,#N/A,FALSE,"RENT ROLL"}</definedName>
    <definedName name="wrn.ProForma." localSheetId="4" hidden="1">{#N/A,#N/A,TRUE,"Summary";#N/A,#N/A,TRUE,"Income (Input Page)";#N/A,#N/A,TRUE,"Expenses";#N/A,#N/A,TRUE,"Dev. Cost &amp; Elig. Basis(Input)";#N/A,#N/A,TRUE,"Tax Credit";#N/A,#N/A,TRUE,"Sources and Uses";#N/A,#N/A,TRUE,"Rent Up Reserve";#N/A,#N/A,TRUE,"Cash Flow";#N/A,#N/A,TRUE,"Construction Cash Flow"}</definedName>
    <definedName name="wrn.ProForma." localSheetId="8" hidden="1">{#N/A,#N/A,TRUE,"Summary";#N/A,#N/A,TRUE,"Income (Input Page)";#N/A,#N/A,TRUE,"Expenses";#N/A,#N/A,TRUE,"Dev. Cost &amp; Elig. Basis(Input)";#N/A,#N/A,TRUE,"Tax Credit";#N/A,#N/A,TRUE,"Sources and Uses";#N/A,#N/A,TRUE,"Rent Up Reserve";#N/A,#N/A,TRUE,"Cash Flow";#N/A,#N/A,TRUE,"Construction Cash Flow"}</definedName>
    <definedName name="wrn.ProForma." localSheetId="6" hidden="1">{#N/A,#N/A,TRUE,"Summary";#N/A,#N/A,TRUE,"Income (Input Page)";#N/A,#N/A,TRUE,"Expenses";#N/A,#N/A,TRUE,"Dev. Cost &amp; Elig. Basis(Input)";#N/A,#N/A,TRUE,"Tax Credit";#N/A,#N/A,TRUE,"Sources and Uses";#N/A,#N/A,TRUE,"Rent Up Reserve";#N/A,#N/A,TRUE,"Cash Flow";#N/A,#N/A,TRUE,"Construction Cash Flow"}</definedName>
    <definedName name="wrn.ProForma." hidden="1">{#N/A,#N/A,TRUE,"Summary";#N/A,#N/A,TRUE,"Income (Input Page)";#N/A,#N/A,TRUE,"Expenses";#N/A,#N/A,TRUE,"Dev. Cost &amp; Elig. Basis(Input)";#N/A,#N/A,TRUE,"Tax Credit";#N/A,#N/A,TRUE,"Sources and Uses";#N/A,#N/A,TRUE,"Rent Up Reserve";#N/A,#N/A,TRUE,"Cash Flow";#N/A,#N/A,TRUE,"Construction Cash Flow"}</definedName>
    <definedName name="wrn.Proforma._.Review." localSheetId="4" hidden="1">{#N/A,#N/A,FALSE,"Occ and Rate";#N/A,#N/A,FALSE,"PF Input";#N/A,#N/A,FALSE,"Proforma Five Yr";#N/A,#N/A,FALSE,"Hotcomps"}</definedName>
    <definedName name="wrn.Proforma._.Review." localSheetId="8" hidden="1">{#N/A,#N/A,FALSE,"Occ and Rate";#N/A,#N/A,FALSE,"PF Input";#N/A,#N/A,FALSE,"Proforma Five Yr";#N/A,#N/A,FALSE,"Hotcomps"}</definedName>
    <definedName name="wrn.Proforma._.Review." localSheetId="6" hidden="1">{#N/A,#N/A,FALSE,"Occ and Rate";#N/A,#N/A,FALSE,"PF Input";#N/A,#N/A,FALSE,"Proforma Five Yr";#N/A,#N/A,FALSE,"Hotcomps"}</definedName>
    <definedName name="wrn.Proforma._.Review." hidden="1">{#N/A,#N/A,FALSE,"Occ and Rate";#N/A,#N/A,FALSE,"PF Input";#N/A,#N/A,FALSE,"Proforma Five Yr";#N/A,#N/A,FALSE,"Hotcomps"}</definedName>
    <definedName name="wrn.Proforma._.Year._.1." localSheetId="4" hidden="1">{"Plan Information",#N/A,FALSE,"Plans"}</definedName>
    <definedName name="wrn.Proforma._.Year._.1." localSheetId="8" hidden="1">{"Plan Information",#N/A,FALSE,"Plans"}</definedName>
    <definedName name="wrn.Proforma._.Year._.1." localSheetId="6" hidden="1">{"Plan Information",#N/A,FALSE,"Plans"}</definedName>
    <definedName name="wrn.Proforma._.Year._.1." hidden="1">{"Plan Information",#N/A,FALSE,"Plans"}</definedName>
    <definedName name="wrn.Program._.Compliance." localSheetId="4" hidden="1">{#N/A,#N/A,FALSE,"COMPLIANCE"}</definedName>
    <definedName name="wrn.Program._.Compliance." localSheetId="8" hidden="1">{#N/A,#N/A,FALSE,"COMPLIANCE"}</definedName>
    <definedName name="wrn.Program._.Compliance." localSheetId="6" hidden="1">{#N/A,#N/A,FALSE,"COMPLIANCE"}</definedName>
    <definedName name="wrn.Program._.Compliance." hidden="1">{#N/A,#N/A,FALSE,"COMPLIANCE"}</definedName>
    <definedName name="wrn.projection." localSheetId="4"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 localSheetId="8"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 localSheetId="6"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new" localSheetId="4"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new" localSheetId="8"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new" localSheetId="6"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jection.new" hidden="1">{#N/A,#N/A,TRUE,"TOC";#N/A,#N/A,TRUE,"GEN";#N/A,#N/A,TRUE,"FINANCING ";#N/A,#N/A,TRUE,"SYND";#N/A,#N/A,TRUE,"RENT";#N/A,#N/A,TRUE,"RENTUP";#N/A,#N/A,TRUE,"CASH";#N/A,#N/A,TRUE,"LOSS";#N/A,#N/A,TRUE,"BENEFITS";#N/A,#N/A,TRUE,"SOURCE";#N/A,#N/A,TRUE,"FLOW";#N/A,#N/A,TRUE,"TAX CREDIT";#N/A,#N/A,TRUE,"DEPREC";#N/A,#N/A,TRUE,"RESERVES";#N/A,#N/A,TRUE,"AMORT_4";#N/A,#N/A,TRUE,"UT SU ";#N/A,#N/A,TRUE,"UT FLOW";#N/A,#N/A,TRUE,"UT BRIDGE LOAN";#N/A,#N/A,TRUE,"UT LOSS";#N/A,#N/A,TRUE,"UT BENEFITS";#N/A,#N/A,TRUE,"UT FUNDED";#N/A,#N/A,TRUE,"SALES1";#N/A,#N/A,TRUE,"SALES2"}</definedName>
    <definedName name="wrn.Property._.Description." localSheetId="4" hidden="1">{#N/A,#N/A,FALSE,"PROP. DESCRIPTION"}</definedName>
    <definedName name="wrn.Property._.Description." localSheetId="8" hidden="1">{#N/A,#N/A,FALSE,"PROP. DESCRIPTION"}</definedName>
    <definedName name="wrn.Property._.Description." localSheetId="6" hidden="1">{#N/A,#N/A,FALSE,"PROP. DESCRIPTION"}</definedName>
    <definedName name="wrn.Property._.Description." hidden="1">{#N/A,#N/A,FALSE,"PROP. DESCRIPTION"}</definedName>
    <definedName name="wrn.Property._.Tax." localSheetId="4" hidden="1">{#N/A,#N/A,FALSE,"FOR_SUM";#N/A,#N/A,FALSE,"FA";#N/A,#N/A,FALSE,"PTRANS_TAX"}</definedName>
    <definedName name="wrn.Property._.Tax." localSheetId="6" hidden="1">{#N/A,#N/A,FALSE,"FOR_SUM";#N/A,#N/A,FALSE,"FA";#N/A,#N/A,FALSE,"PTRANS_TAX"}</definedName>
    <definedName name="wrn.Property._.Tax." hidden="1">{#N/A,#N/A,FALSE,"FOR_SUM";#N/A,#N/A,FALSE,"FA";#N/A,#N/A,FALSE,"PTRANS_TAX"}</definedName>
    <definedName name="wrn.quarterly." localSheetId="4" hidden="1">{"quarterly",#N/A,FALSE,"Pro Forma"}</definedName>
    <definedName name="wrn.quarterly." localSheetId="6" hidden="1">{"quarterly",#N/A,FALSE,"Pro Forma"}</definedName>
    <definedName name="wrn.quarterly." hidden="1">{"quarterly",#N/A,FALSE,"Pro Forma"}</definedName>
    <definedName name="wrn.Quarterly._.Summaries." localSheetId="4" hidden="1">{"P1-3Quarterly",#N/A,TRUE,"CF Summ";"P1-Quarterly",#N/A,TRUE,"CF Summ";"P2-Quarterly",#N/A,TRUE,"CF Summ";"P3-Quarterly",#N/A,TRUE,"CF Summ"}</definedName>
    <definedName name="wrn.Quarterly._.Summaries." localSheetId="6" hidden="1">{"P1-3Quarterly",#N/A,TRUE,"CF Summ";"P1-Quarterly",#N/A,TRUE,"CF Summ";"P2-Quarterly",#N/A,TRUE,"CF Summ";"P3-Quarterly",#N/A,TRUE,"CF Summ"}</definedName>
    <definedName name="wrn.Quarterly._.Summaries." hidden="1">{"P1-3Quarterly",#N/A,TRUE,"CF Summ";"P1-Quarterly",#N/A,TRUE,"CF Summ";"P2-Quarterly",#N/A,TRUE,"CF Summ";"P3-Quarterly",#N/A,TRUE,"CF Summ"}</definedName>
    <definedName name="wrn.rate." localSheetId="4" hidden="1">{"RATES",#N/A,FALSE,"RECOVERY RATES";"CONTRIBUTIONS",#N/A,FALSE,"RECOVERY RATES";"GLA CATEGORY SUMMARY",#N/A,FALSE,"RECOVERY RATES"}</definedName>
    <definedName name="wrn.rate." localSheetId="6" hidden="1">{"RATES",#N/A,FALSE,"RECOVERY RATES";"CONTRIBUTIONS",#N/A,FALSE,"RECOVERY RATES";"GLA CATEGORY SUMMARY",#N/A,FALSE,"RECOVERY RATES"}</definedName>
    <definedName name="wrn.rate." hidden="1">{"RATES",#N/A,FALSE,"RECOVERY RATES";"CONTRIBUTIONS",#N/A,FALSE,"RECOVERY RATES";"GLA CATEGORY SUMMARY",#N/A,FALSE,"RECOVERY RATES"}</definedName>
    <definedName name="wrn.RATES." localSheetId="4" hidden="1">{"RATES",#N/A,FALSE,"RECOVERY RATES";"CONTRIBUTIONS",#N/A,FALSE,"RECOVERY RATES";"GLA CATEGORY SUMMARY",#N/A,FALSE,"RECOVERY RATES"}</definedName>
    <definedName name="wrn.RATES." localSheetId="8" hidden="1">{"RATES",#N/A,FALSE,"RECOVERY RATES";"CONTRIBUTIONS",#N/A,FALSE,"RECOVERY RATES";"GLA CATEGORY SUMMARY",#N/A,FALSE,"RECOVERY RATES"}</definedName>
    <definedName name="wrn.RATES." localSheetId="6" hidden="1">{"RATES",#N/A,FALSE,"RECOVERY RATES";"CONTRIBUTIONS",#N/A,FALSE,"RECOVERY RATES";"GLA CATEGORY SUMMARY",#N/A,FALSE,"RECOVERY RATES"}</definedName>
    <definedName name="wrn.RATES." hidden="1">{"RATES",#N/A,FALSE,"RECOVERY RATES";"CONTRIBUTIONS",#N/A,FALSE,"RECOVERY RATES";"GLA CATEGORY SUMMARY",#N/A,FALSE,"RECOVERY RATES"}</definedName>
    <definedName name="wrn.RECAPS." localSheetId="4" hidden="1">{"RECAP1",#N/A,FALSE,"RECAP";"RECAP2",#N/A,FALSE,"RECAP"}</definedName>
    <definedName name="wrn.RECAPS." localSheetId="6" hidden="1">{"RECAP1",#N/A,FALSE,"RECAP";"RECAP2",#N/A,FALSE,"RECAP"}</definedName>
    <definedName name="wrn.RECAPS." hidden="1">{"RECAP1",#N/A,FALSE,"RECAP";"RECAP2",#N/A,FALSE,"RECAP"}</definedName>
    <definedName name="wrn.Recovery._.Calcs." localSheetId="4" hidden="1">{#N/A,#N/A,FALSE,"Recovery Calcs"}</definedName>
    <definedName name="wrn.Recovery._.Calcs." localSheetId="6" hidden="1">{#N/A,#N/A,FALSE,"Recovery Calcs"}</definedName>
    <definedName name="wrn.Recovery._.Calcs." hidden="1">{#N/A,#N/A,FALSE,"Recovery Calcs"}</definedName>
    <definedName name="wrn.Releases._.Cash._.Accrual." localSheetId="4" hidden="1">{"a_releases",#N/A,FALSE,"Summary";"a_cash",#N/A,FALSE,"Summary";"a_accrual",#N/A,FALSE,"Summary"}</definedName>
    <definedName name="wrn.Releases._.Cash._.Accrual." localSheetId="6" hidden="1">{"a_releases",#N/A,FALSE,"Summary";"a_cash",#N/A,FALSE,"Summary";"a_accrual",#N/A,FALSE,"Summary"}</definedName>
    <definedName name="wrn.Releases._.Cash._.Accrual." hidden="1">{"a_releases",#N/A,FALSE,"Summary";"a_cash",#N/A,FALSE,"Summary";"a_accrual",#N/A,FALSE,"Summary"}</definedName>
    <definedName name="wrn.Relevant._.Sections." localSheetId="4" hidden="1">{#N/A,#N/A,FALSE,"Summary";#N/A,#N/A,FALSE,"Program Scheme";#N/A,#N/A,FALSE,"Assumptions";#N/A,#N/A,FALSE,"Development Budget";#N/A,#N/A,FALSE,"Timing";#N/A,#N/A,FALSE,"Development Costs &amp; Revenues";#N/A,#N/A,FALSE,"Cash Flow to Debt &amp; Equity";#N/A,#N/A,FALSE,"Cash Flow to Athena LP"}</definedName>
    <definedName name="wrn.Relevant._.Sections." localSheetId="8" hidden="1">{#N/A,#N/A,FALSE,"Summary";#N/A,#N/A,FALSE,"Program Scheme";#N/A,#N/A,FALSE,"Assumptions";#N/A,#N/A,FALSE,"Development Budget";#N/A,#N/A,FALSE,"Timing";#N/A,#N/A,FALSE,"Development Costs &amp; Revenues";#N/A,#N/A,FALSE,"Cash Flow to Debt &amp; Equity";#N/A,#N/A,FALSE,"Cash Flow to Athena LP"}</definedName>
    <definedName name="wrn.Relevant._.Sections." localSheetId="6" hidden="1">{#N/A,#N/A,FALSE,"Summary";#N/A,#N/A,FALSE,"Program Scheme";#N/A,#N/A,FALSE,"Assumptions";#N/A,#N/A,FALSE,"Development Budget";#N/A,#N/A,FALSE,"Timing";#N/A,#N/A,FALSE,"Development Costs &amp; Revenues";#N/A,#N/A,FALSE,"Cash Flow to Debt &amp; Equity";#N/A,#N/A,FALSE,"Cash Flow to Athena LP"}</definedName>
    <definedName name="wrn.Relevant._.Sections." hidden="1">{#N/A,#N/A,FALSE,"Summary";#N/A,#N/A,FALSE,"Program Scheme";#N/A,#N/A,FALSE,"Assumptions";#N/A,#N/A,FALSE,"Development Budget";#N/A,#N/A,FALSE,"Timing";#N/A,#N/A,FALSE,"Development Costs &amp; Revenues";#N/A,#N/A,FALSE,"Cash Flow to Debt &amp; Equity";#N/A,#N/A,FALSE,"Cash Flow to Athena LP"}</definedName>
    <definedName name="wrn.Rent._.Roll." localSheetId="4" hidden="1">{#N/A,#N/A,FALSE,"Rent Roll"}</definedName>
    <definedName name="wrn.Rent._.Roll." localSheetId="6" hidden="1">{#N/A,#N/A,FALSE,"Rent Roll"}</definedName>
    <definedName name="wrn.Rent._.Roll." hidden="1">{#N/A,#N/A,FALSE,"Rent Roll"}</definedName>
    <definedName name="wrn.report" localSheetId="4" hidden="1">{#N/A,#N/A,FALSE,"Project Summary";#N/A,#N/A,FALSE,"Parameter Summary";#N/A,#N/A,FALSE,"Budget Control Report";#N/A,#N/A,FALSE,"DETAIL.XLS"}</definedName>
    <definedName name="wrn.report" localSheetId="8" hidden="1">{#N/A,#N/A,FALSE,"Project Summary";#N/A,#N/A,FALSE,"Parameter Summary";#N/A,#N/A,FALSE,"Budget Control Report";#N/A,#N/A,FALSE,"DETAIL.XLS"}</definedName>
    <definedName name="wrn.report" localSheetId="6" hidden="1">{#N/A,#N/A,FALSE,"Project Summary";#N/A,#N/A,FALSE,"Parameter Summary";#N/A,#N/A,FALSE,"Budget Control Report";#N/A,#N/A,FALSE,"DETAIL.XLS"}</definedName>
    <definedName name="wrn.report" hidden="1">{#N/A,#N/A,FALSE,"Project Summary";#N/A,#N/A,FALSE,"Parameter Summary";#N/A,#N/A,FALSE,"Budget Control Report";#N/A,#N/A,FALSE,"DETAIL.XLS"}</definedName>
    <definedName name="wrn.Report." localSheetId="0" hidden="1">{"Rep 1",#N/A,FALSE,"Reports";"Rep 2",#N/A,FALSE,"Reports";"Rep 3",#N/A,FALSE,"Reports";"Rep 4",#N/A,FALSE,"Reports"}</definedName>
    <definedName name="wrn.Report." localSheetId="4" hidden="1">{#N/A,#N/A,FALSE,"Loan Summary";#N/A,#N/A,FALSE,"NOI";"RR and Expir",#N/A,FALSE,"Rental";"Sales History",#N/A,FALSE,"Rental";#N/A,#N/A,FALSE,"Reserves"}</definedName>
    <definedName name="wrn.Report." localSheetId="8" hidden="1">{#N/A,#N/A,FALSE,"Loan Summary";#N/A,#N/A,FALSE,"NOI";"RR and Expir",#N/A,FALSE,"Rental";"Sales History",#N/A,FALSE,"Rental";#N/A,#N/A,FALSE,"Reserves"}</definedName>
    <definedName name="wrn.Report." localSheetId="6" hidden="1">{#N/A,#N/A,FALSE,"Loan Summary";#N/A,#N/A,FALSE,"NOI";"RR and Expir",#N/A,FALSE,"Rental";"Sales History",#N/A,FALSE,"Rental";#N/A,#N/A,FALSE,"Reserves"}</definedName>
    <definedName name="wrn.Report." hidden="1">{#N/A,#N/A,FALSE,"Loan Summary";#N/A,#N/A,FALSE,"NOI";"RR and Expir",#N/A,FALSE,"Rental";"Sales History",#N/A,FALSE,"Rental";#N/A,#N/A,FALSE,"Reserves"}</definedName>
    <definedName name="wrn.REPORT_1." localSheetId="4" hidden="1">{"SIMPLIFD_P1",#N/A,FALSE,"SIMPLIFD"}</definedName>
    <definedName name="wrn.REPORT_1." localSheetId="8" hidden="1">{"SIMPLIFD_P1",#N/A,FALSE,"SIMPLIFD"}</definedName>
    <definedName name="wrn.REPORT_1." localSheetId="6" hidden="1">{"SIMPLIFD_P1",#N/A,FALSE,"SIMPLIFD"}</definedName>
    <definedName name="wrn.REPORT_1." hidden="1">{"SIMPLIFD_P1",#N/A,FALSE,"SIMPLIFD"}</definedName>
    <definedName name="wrn.Report1." localSheetId="8" hidden="1">{#N/A,#N/A,FALSE,"Operations";#N/A,#N/A,FALSE,"Financials"}</definedName>
    <definedName name="wrn.Report1." hidden="1">{#N/A,#N/A,FALSE,"Operations";#N/A,#N/A,FALSE,"Financials"}</definedName>
    <definedName name="wrn.reports." localSheetId="4" hidden="1">{#N/A,#N/A,FALSE,"Project Summary";#N/A,#N/A,FALSE,"Parameter Summary";#N/A,#N/A,FALSE,"Budget Control Report";#N/A,#N/A,FALSE,"DETAIL.XLS"}</definedName>
    <definedName name="wrn.reports." localSheetId="8" hidden="1">{#N/A,#N/A,FALSE,"Project Summary";#N/A,#N/A,FALSE,"Parameter Summary";#N/A,#N/A,FALSE,"Budget Control Report";#N/A,#N/A,FALSE,"DETAIL.XLS"}</definedName>
    <definedName name="wrn.reports." localSheetId="6" hidden="1">{#N/A,#N/A,FALSE,"Project Summary";#N/A,#N/A,FALSE,"Parameter Summary";#N/A,#N/A,FALSE,"Budget Control Report";#N/A,#N/A,FALSE,"DETAIL.XLS"}</definedName>
    <definedName name="wrn.reports." hidden="1">{#N/A,#N/A,FALSE,"Project Summary";#N/A,#N/A,FALSE,"Parameter Summary";#N/A,#N/A,FALSE,"Budget Control Report";#N/A,#N/A,FALSE,"DETAIL.XLS"}</definedName>
    <definedName name="wrn.Resultados." localSheetId="8"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wrn.Resultados." hidden="1">{"ResMN",#N/A,TRUE,"Res";"ResNegMN",#N/A,TRUE,"Res";"EEPMN",#N/A,TRUE,"EEP";"GasMN",#N/A,TRUE,"Gas";"AorGNMN",#N/A,TRUE,"Aorgas";"GenMN",#N/A,TRUE,"Gen";"AorGEMN",#N/A,TRUE,"Aorgen";"SerMN",#N/A,TRUE,"Serv";"ResME",#N/A,TRUE,"Res";"ResNegME",#N/A,TRUE,"Res";"EEPME",#N/A,TRUE,"EEP";"GasME",#N/A,TRUE,"Gas";"AorGNME",#N/A,TRUE,"Aorgas";"GenME",#N/A,TRUE,"Gen";"AorGEME",#N/A,TRUE,"Aorgen";"SerME",#N/A,TRUE,"Serv";"E_SGas",#N/A,TRUE,"Balgas";"Balenerg",#N/A,TRUE,"Balener";"Balance_MN",#N/A,TRUE,"Balance";"Balance_ME",#N/A,TRUE,"Balance"}</definedName>
    <definedName name="wrn.Rmgmtfee." localSheetId="4" hidden="1">{#N/A,#N/A,FALSE,"Rmgmtfee"}</definedName>
    <definedName name="wrn.Rmgmtfee." localSheetId="6" hidden="1">{#N/A,#N/A,FALSE,"Rmgmtfee"}</definedName>
    <definedName name="wrn.Rmgmtfee." hidden="1">{#N/A,#N/A,FALSE,"Rmgmtfee"}</definedName>
    <definedName name="wrn.SALARIOS._.PRESUPUESTO." localSheetId="8" hidden="1">{"SALARIOS",#N/A,FALSE,"Hoja3";"SUELDOS EMPLEADOS",#N/A,FALSE,"Hoja4";"SUELDOS EJECUTIVOS",#N/A,FALSE,"Hoja5"}</definedName>
    <definedName name="wrn.SALARIOS._.PRESUPUESTO." hidden="1">{"SALARIOS",#N/A,FALSE,"Hoja3";"SUELDOS EMPLEADOS",#N/A,FALSE,"Hoja4";"SUELDOS EJECUTIVOS",#N/A,FALSE,"Hoja5"}</definedName>
    <definedName name="wrn.sales." localSheetId="8" hidden="1">{"sales",#N/A,FALSE,"Sales";"sales existing",#N/A,FALSE,"Sales";"sales rd1",#N/A,FALSE,"Sales";"sales rd2",#N/A,FALSE,"Sales"}</definedName>
    <definedName name="wrn.sales." hidden="1">{"sales",#N/A,FALSE,"Sales";"sales existing",#N/A,FALSE,"Sales";"sales rd1",#N/A,FALSE,"Sales";"sales rd2",#N/A,FALSE,"Sales"}</definedName>
    <definedName name="wrn.Sales._.and._.Debt." localSheetId="4" hidden="1">{"a_sales",#N/A,FALSE,"Summary";"a_debt",#N/A,FALSE,"Summary"}</definedName>
    <definedName name="wrn.Sales._.and._.Debt." localSheetId="6" hidden="1">{"a_sales",#N/A,FALSE,"Summary";"a_debt",#N/A,FALSE,"Summary"}</definedName>
    <definedName name="wrn.Sales._.and._.Debt." hidden="1">{"a_sales",#N/A,FALSE,"Summary";"a_debt",#N/A,FALSE,"Summary"}</definedName>
    <definedName name="wrn.SCHAs." localSheetId="4" hidden="1">{"ACCOUNTING COPY",#N/A,FALSE,"SCHEDULE A";"FINANCE COPY",#N/A,FALSE,"SCHEDULE A";"P.L. COPY",#N/A,FALSE,"SCHEDULE A"}</definedName>
    <definedName name="wrn.SCHAs." localSheetId="8" hidden="1">{"ACCOUNTING COPY",#N/A,FALSE,"SCHEDULE A";"FINANCE COPY",#N/A,FALSE,"SCHEDULE A";"P.L. COPY",#N/A,FALSE,"SCHEDULE A"}</definedName>
    <definedName name="wrn.SCHAs." localSheetId="6" hidden="1">{"ACCOUNTING COPY",#N/A,FALSE,"SCHEDULE A";"FINANCE COPY",#N/A,FALSE,"SCHEDULE A";"P.L. COPY",#N/A,FALSE,"SCHEDULE A"}</definedName>
    <definedName name="wrn.SCHAs." hidden="1">{"ACCOUNTING COPY",#N/A,FALSE,"SCHEDULE A";"FINANCE COPY",#N/A,FALSE,"SCHEDULE A";"P.L. COPY",#N/A,FALSE,"SCHEDULE A"}</definedName>
    <definedName name="wrn.schas2" localSheetId="4" hidden="1">{"ACCOUNTING COPY",#N/A,FALSE,"SCHEDULE A";"FINANCE COPY",#N/A,FALSE,"SCHEDULE A";"P.L. COPY",#N/A,FALSE,"SCHEDULE A"}</definedName>
    <definedName name="wrn.schas2" localSheetId="6" hidden="1">{"ACCOUNTING COPY",#N/A,FALSE,"SCHEDULE A";"FINANCE COPY",#N/A,FALSE,"SCHEDULE A";"P.L. COPY",#N/A,FALSE,"SCHEDULE A"}</definedName>
    <definedName name="wrn.schas2" hidden="1">{"ACCOUNTING COPY",#N/A,FALSE,"SCHEDULE A";"FINANCE COPY",#N/A,FALSE,"SCHEDULE A";"P.L. COPY",#N/A,FALSE,"SCHEDULE A"}</definedName>
    <definedName name="wrn.SCHEDULE" localSheetId="4" hidden="1">{"SCHEDULE",#N/A,FALSE,"Fin_sched"}</definedName>
    <definedName name="wrn.SCHEDULE" localSheetId="8" hidden="1">{"SCHEDULE",#N/A,FALSE,"Fin_sched"}</definedName>
    <definedName name="wrn.SCHEDULE" localSheetId="6" hidden="1">{"SCHEDULE",#N/A,FALSE,"Fin_sched"}</definedName>
    <definedName name="wrn.SCHEDULE" hidden="1">{"SCHEDULE",#N/A,FALSE,"Fin_sched"}</definedName>
    <definedName name="wrn.SCHEDULE." localSheetId="4" hidden="1">{"SCHEDULE",#N/A,FALSE,"Fin_sched"}</definedName>
    <definedName name="wrn.SCHEDULE." localSheetId="8" hidden="1">{"SCHEDULE",#N/A,FALSE,"Fin_sched"}</definedName>
    <definedName name="wrn.SCHEDULE." localSheetId="6" hidden="1">{"SCHEDULE",#N/A,FALSE,"Fin_sched"}</definedName>
    <definedName name="wrn.SCHEDULE." hidden="1">{"SCHEDULE",#N/A,FALSE,"Fin_sched"}</definedName>
    <definedName name="wrn.Schedules." localSheetId="4" hidden="1">{#N/A,#N/A,FALSE,"Lse-ex";#N/A,#N/A,FALSE,"Rollover";#N/A,#N/A,FALSE,"Hist Sales";#N/A,#N/A,FALSE,"97 Occup Cst";#N/A,#N/A,FALSE,"Breakpoint";#N/A,#N/A,FALSE,"Rentroll";#N/A,#N/A,FALSE,"Hst I&amp;E";#N/A,#N/A,FALSE,"Owners";#N/A,#N/A,FALSE,"PROPS96";#N/A,#N/A,FALSE,"Props on mkt";#N/A,#N/A,FALSE,"Portfolios on mkt"}</definedName>
    <definedName name="wrn.Schedules." localSheetId="6" hidden="1">{#N/A,#N/A,FALSE,"Lse-ex";#N/A,#N/A,FALSE,"Rollover";#N/A,#N/A,FALSE,"Hist Sales";#N/A,#N/A,FALSE,"97 Occup Cst";#N/A,#N/A,FALSE,"Breakpoint";#N/A,#N/A,FALSE,"Rentroll";#N/A,#N/A,FALSE,"Hst I&amp;E";#N/A,#N/A,FALSE,"Owners";#N/A,#N/A,FALSE,"PROPS96";#N/A,#N/A,FALSE,"Props on mkt";#N/A,#N/A,FALSE,"Portfolios on mkt"}</definedName>
    <definedName name="wrn.Schedules." hidden="1">{#N/A,#N/A,FALSE,"Lse-ex";#N/A,#N/A,FALSE,"Rollover";#N/A,#N/A,FALSE,"Hist Sales";#N/A,#N/A,FALSE,"97 Occup Cst";#N/A,#N/A,FALSE,"Breakpoint";#N/A,#N/A,FALSE,"Rentroll";#N/A,#N/A,FALSE,"Hst I&amp;E";#N/A,#N/A,FALSE,"Owners";#N/A,#N/A,FALSE,"PROPS96";#N/A,#N/A,FALSE,"Props on mkt";#N/A,#N/A,FALSE,"Portfolios on mkt"}</definedName>
    <definedName name="wrn.SCHEDULES._.ABC." localSheetId="4" hidden="1">{#N/A,#N/A,FALSE,"SCHEDULE A";"MINIMUM RENT",#N/A,FALSE,"SCHEDULES B &amp; C";"PERCENTAGE RENT",#N/A,FALSE,"SCHEDULES B &amp; C"}</definedName>
    <definedName name="wrn.SCHEDULES._.ABC." localSheetId="8" hidden="1">{#N/A,#N/A,FALSE,"SCHEDULE A";"MINIMUM RENT",#N/A,FALSE,"SCHEDULES B &amp; C";"PERCENTAGE RENT",#N/A,FALSE,"SCHEDULES B &amp; C"}</definedName>
    <definedName name="wrn.SCHEDULES._.ABC." localSheetId="6" hidden="1">{#N/A,#N/A,FALSE,"SCHEDULE A";"MINIMUM RENT",#N/A,FALSE,"SCHEDULES B &amp; C";"PERCENTAGE RENT",#N/A,FALSE,"SCHEDULES B &amp; C"}</definedName>
    <definedName name="wrn.SCHEDULES._.ABC." hidden="1">{#N/A,#N/A,FALSE,"SCHEDULE A";"MINIMUM RENT",#N/A,FALSE,"SCHEDULES B &amp; C";"PERCENTAGE RENT",#N/A,FALSE,"SCHEDULES B &amp; C"}</definedName>
    <definedName name="wrn.seafirst." localSheetId="4"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afirst." localSheetId="8"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afirst." localSheetId="6"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afirst." hidden="1">{#N/A,#N/A,FALSE,"Project Summary";#N/A,#N/A,FALSE,"Master Developer Cash Flow";#N/A,#N/A,FALSE,"Parking Budget";#N/A,#N/A,FALSE,"Parking Cash Flow2";#N/A,#N/A,FALSE,"Parking Assumptions";#N/A,#N/A,FALSE,"Bond Structure - Lease";#N/A,#N/A,FALSE,"Retail Development Budget";#N/A,#N/A,FALSE,"Retail Cash Flow";#N/A,#N/A,FALSE,"Retail Assumptions Summary";#N/A,#N/A,FALSE,"Retail Income Assumptions";#N/A,#N/A,FALSE,"Retail % Rent";#N/A,#N/A,FALSE,"Retail Debt Service";#N/A,#N/A,FALSE,"Office Development Budget";#N/A,#N/A,FALSE,"Office Cash Flow";#N/A,#N/A,FALSE,"Office Assumptions";#N/A,#N/A,FALSE,"Office Debt Service";#N/A,#N/A,FALSE,"Hotel Development Budget";#N/A,#N/A,FALSE,"Hotel Cash Flow";#N/A,#N/A,FALSE,"Hotel Assumptions";#N/A,#N/A,FALSE,"Hotel Debt Service"}</definedName>
    <definedName name="wrn.Secondary._.Competition." localSheetId="4" hidden="1">{#N/A,#N/A,FALSE,"Secondary"}</definedName>
    <definedName name="wrn.Secondary._.Competition." localSheetId="8" hidden="1">{#N/A,#N/A,FALSE,"Secondary"}</definedName>
    <definedName name="wrn.Secondary._.Competition." localSheetId="6" hidden="1">{#N/A,#N/A,FALSE,"Secondary"}</definedName>
    <definedName name="wrn.Secondary._.Competition." hidden="1">{#N/A,#N/A,FALSE,"Secondary"}</definedName>
    <definedName name="wrn.sens." localSheetId="8" hidden="1">{#N/A,#N/A,FALSE,"Sensitivities";#N/A,#N/A,FALSE,"Sensitivities2"}</definedName>
    <definedName name="wrn.sens." hidden="1">{#N/A,#N/A,FALSE,"Sensitivities";#N/A,#N/A,FALSE,"Sensitivities2"}</definedName>
    <definedName name="wrn.sens3." localSheetId="8" hidden="1">{#N/A,#N/A,TRUE,"DCF";#N/A,#N/A,TRUE,"DCF"}</definedName>
    <definedName name="wrn.sens3." hidden="1">{#N/A,#N/A,TRUE,"DCF";#N/A,#N/A,TRUE,"DCF"}</definedName>
    <definedName name="wrn.sensitivity._.analyses." localSheetId="8" hidden="1">{"general",#N/A,FALSE,"Assumptions"}</definedName>
    <definedName name="wrn.sensitivity._.analyses." hidden="1">{"general",#N/A,FALSE,"Assumptions"}</definedName>
    <definedName name="wrn.septiembre." localSheetId="8" hidden="1">{"septiembre_dia",#N/A,FALSE,"flujo mensual";"sep_dia_graf",#N/A,FALSE,"flujo mensual";"sep_men_resum",#N/A,FALSE,"flujo mensual";"men_graf",#N/A,FALSE,"flujo mensual"}</definedName>
    <definedName name="wrn.septiembre." hidden="1">{"septiembre_dia",#N/A,FALSE,"flujo mensual";"sep_dia_graf",#N/A,FALSE,"flujo mensual";"sep_men_resum",#N/A,FALSE,"flujo mensual";"men_graf",#N/A,FALSE,"flujo mensual"}</definedName>
    <definedName name="wrn.Shared._.Costs." localSheetId="4" hidden="1">{"cash flow",#N/A,FALSE,"Shared Costs";"allocations",#N/A,FALSE,"Shared Costs"}</definedName>
    <definedName name="wrn.Shared._.Costs." localSheetId="6" hidden="1">{"cash flow",#N/A,FALSE,"Shared Costs";"allocations",#N/A,FALSE,"Shared Costs"}</definedName>
    <definedName name="wrn.Shared._.Costs." hidden="1">{"cash flow",#N/A,FALSE,"Shared Costs";"allocations",#N/A,FALSE,"Shared Costs"}</definedName>
    <definedName name="wrn.SHORT." localSheetId="0" hidden="1">{"CREDIT STATISTICS",#N/A,FALSE,"STATS";"CF_AND_IS",#N/A,FALSE,"PLAN";"BALSHEET",#N/A,FALSE,"BALANCE SHEET"}</definedName>
    <definedName name="wrn.Short." localSheetId="4" hidden="1">{#N/A,#N/A,FALSE,"ExecutiveSummary";#N/A,#N/A,FALSE,"CostDetail";#N/A,#N/A,FALSE,"IncomeDetail"}</definedName>
    <definedName name="wrn.Short." localSheetId="8" hidden="1">{#N/A,#N/A,FALSE,"ExecutiveSummary";#N/A,#N/A,FALSE,"CostDetail";#N/A,#N/A,FALSE,"IncomeDetail"}</definedName>
    <definedName name="wrn.Short." localSheetId="6" hidden="1">{#N/A,#N/A,FALSE,"ExecutiveSummary";#N/A,#N/A,FALSE,"CostDetail";#N/A,#N/A,FALSE,"IncomeDetail"}</definedName>
    <definedName name="wrn.Short." hidden="1">{#N/A,#N/A,FALSE,"ExecutiveSummary";#N/A,#N/A,FALSE,"CostDetail";#N/A,#N/A,FALSE,"IncomeDetail"}</definedName>
    <definedName name="wrn.Short._.Print." localSheetId="4" hidden="1">{#N/A,#N/A,FALSE,"Cover";#N/A,#N/A,FALSE,"Stack";#N/A,#N/A,FALSE,"Cost S";#N/A,#N/A,FALSE," CF";#N/A,#N/A,FALSE,"Investor"}</definedName>
    <definedName name="wrn.Short._.Print." localSheetId="8" hidden="1">{#N/A,#N/A,FALSE,"Cover";#N/A,#N/A,FALSE,"Stack";#N/A,#N/A,FALSE,"Cost S";#N/A,#N/A,FALSE," CF";#N/A,#N/A,FALSE,"Investor"}</definedName>
    <definedName name="wrn.Short._.Print." localSheetId="6" hidden="1">{#N/A,#N/A,FALSE,"Cover";#N/A,#N/A,FALSE,"Stack";#N/A,#N/A,FALSE,"Cost S";#N/A,#N/A,FALSE," CF";#N/A,#N/A,FALSE,"Investor"}</definedName>
    <definedName name="wrn.Short._.Print." hidden="1">{#N/A,#N/A,FALSE,"Cover";#N/A,#N/A,FALSE,"Stack";#N/A,#N/A,FALSE,"Cost S";#N/A,#N/A,FALSE," CF";#N/A,#N/A,FALSE,"Investor"}</definedName>
    <definedName name="wrn.Site._.Development._.Package." localSheetId="4" hidden="1">{#N/A,#N/A,TRUE,"Site Dev P1";#N/A,#N/A,TRUE,"SD P2";#N/A,#N/A,TRUE,"SD P3"}</definedName>
    <definedName name="wrn.Site._.Development._.Package." localSheetId="8" hidden="1">{#N/A,#N/A,TRUE,"Site Dev P1";#N/A,#N/A,TRUE,"SD P2";#N/A,#N/A,TRUE,"SD P3"}</definedName>
    <definedName name="wrn.Site._.Development._.Package." localSheetId="6" hidden="1">{#N/A,#N/A,TRUE,"Site Dev P1";#N/A,#N/A,TRUE,"SD P2";#N/A,#N/A,TRUE,"SD P3"}</definedName>
    <definedName name="wrn.Site._.Development._.Package." hidden="1">{#N/A,#N/A,TRUE,"Site Dev P1";#N/A,#N/A,TRUE,"SD P2";#N/A,#N/A,TRUE,"SD P3"}</definedName>
    <definedName name="wrn.SouthTrust." localSheetId="4" hidden="1">{"SouthTrust-Investor",#N/A,FALSE,"SouthTrust";"SouthTrust-Property",#N/A,FALSE,"SouthTrust"}</definedName>
    <definedName name="wrn.SouthTrust." localSheetId="6" hidden="1">{"SouthTrust-Investor",#N/A,FALSE,"SouthTrust";"SouthTrust-Property",#N/A,FALSE,"SouthTrust"}</definedName>
    <definedName name="wrn.SouthTrust." hidden="1">{"SouthTrust-Investor",#N/A,FALSE,"SouthTrust";"SouthTrust-Property",#N/A,FALSE,"SouthTrust"}</definedName>
    <definedName name="wrn.SPG._.Estimate." localSheetId="4" hidden="1">{#N/A,#N/A,FALSE,"Detail";#N/A,#N/A,FALSE,"Totals"}</definedName>
    <definedName name="wrn.SPG._.Estimate." localSheetId="6" hidden="1">{#N/A,#N/A,FALSE,"Detail";#N/A,#N/A,FALSE,"Totals"}</definedName>
    <definedName name="wrn.SPG._.Estimate." hidden="1">{#N/A,#N/A,FALSE,"Detail";#N/A,#N/A,FALSE,"Totals"}</definedName>
    <definedName name="wrn.Stadium._.PCD." localSheetId="4" hidden="1">{#N/A,#N/A,TRUE,"Ericsson Stadium PCD ";#N/A,#N/A,TRUE,"Ericsson Stadium IOR"}</definedName>
    <definedName name="wrn.Stadium._.PCD." localSheetId="8" hidden="1">{#N/A,#N/A,TRUE,"Ericsson Stadium PCD ";#N/A,#N/A,TRUE,"Ericsson Stadium IOR"}</definedName>
    <definedName name="wrn.Stadium._.PCD." localSheetId="6" hidden="1">{#N/A,#N/A,TRUE,"Ericsson Stadium PCD ";#N/A,#N/A,TRUE,"Ericsson Stadium IOR"}</definedName>
    <definedName name="wrn.Stadium._.PCD." hidden="1">{#N/A,#N/A,TRUE,"Ericsson Stadium PCD ";#N/A,#N/A,TRUE,"Ericsson Stadium IOR"}</definedName>
    <definedName name="wrn.stand_alone." localSheetId="8" hidden="1">{#N/A,#N/A,FALSE,"CBE";#N/A,#N/A,FALSE,"SWK"}</definedName>
    <definedName name="wrn.stand_alone." hidden="1">{#N/A,#N/A,FALSE,"CBE";#N/A,#N/A,FALSE,"SWK"}</definedName>
    <definedName name="wrn.Strengths._.Weaknesses." localSheetId="4" hidden="1">{#N/A,#N/A,FALSE,"Strengths &amp; Weaknesses"}</definedName>
    <definedName name="wrn.Strengths._.Weaknesses." localSheetId="6" hidden="1">{#N/A,#N/A,FALSE,"Strengths &amp; Weaknesses"}</definedName>
    <definedName name="wrn.Strengths._.Weaknesses." hidden="1">{#N/A,#N/A,FALSE,"Strengths &amp; Weaknesses"}</definedName>
    <definedName name="wrn.Structural._.Frame." localSheetId="4" hidden="1">{"structural",#N/A,FALSE,"DETAIL.XLS"}</definedName>
    <definedName name="wrn.Structural._.Frame." localSheetId="8" hidden="1">{"structural",#N/A,FALSE,"DETAIL.XLS"}</definedName>
    <definedName name="wrn.Structural._.Frame." localSheetId="6" hidden="1">{"structural",#N/A,FALSE,"DETAIL.XLS"}</definedName>
    <definedName name="wrn.Structural._.Frame." hidden="1">{"structural",#N/A,FALSE,"DETAIL.XLS"}</definedName>
    <definedName name="wrn.Sugar." localSheetId="4" hidden="1">{"Sugar-Investor",#N/A,FALSE,"Sugar";"Sugar-Property",#N/A,FALSE,"Sugar"}</definedName>
    <definedName name="wrn.Sugar." localSheetId="6" hidden="1">{"Sugar-Investor",#N/A,FALSE,"Sugar";"Sugar-Property",#N/A,FALSE,"Sugar"}</definedName>
    <definedName name="wrn.Sugar." hidden="1">{"Sugar-Investor",#N/A,FALSE,"Sugar";"Sugar-Property",#N/A,FALSE,"Sugar"}</definedName>
    <definedName name="wrn.SUM._.ONLY." localSheetId="4" hidden="1">{"SUMMARY",#N/A,FALSE,"BIDSUM"}</definedName>
    <definedName name="wrn.SUM._.ONLY." localSheetId="8" hidden="1">{"SUMMARY",#N/A,FALSE,"BIDSUM"}</definedName>
    <definedName name="wrn.SUM._.ONLY." localSheetId="6" hidden="1">{"SUMMARY",#N/A,FALSE,"BIDSUM"}</definedName>
    <definedName name="wrn.SUM._.ONLY." hidden="1">{"SUMMARY",#N/A,FALSE,"BIDSUM"}</definedName>
    <definedName name="wrn.SUM._.WITH._.GC." localSheetId="4" hidden="1">{"SUMMARY",#N/A,FALSE,"BIDSUM";"SUMALTS",#N/A,FALSE,"BIDSUM";#N/A,#N/A,FALSE,"GCOND"}</definedName>
    <definedName name="wrn.SUM._.WITH._.GC." localSheetId="8" hidden="1">{"SUMMARY",#N/A,FALSE,"BIDSUM";"SUMALTS",#N/A,FALSE,"BIDSUM";#N/A,#N/A,FALSE,"GCOND"}</definedName>
    <definedName name="wrn.SUM._.WITH._.GC." localSheetId="6" hidden="1">{"SUMMARY",#N/A,FALSE,"BIDSUM";"SUMALTS",#N/A,FALSE,"BIDSUM";#N/A,#N/A,FALSE,"GCOND"}</definedName>
    <definedName name="wrn.SUM._.WITH._.GC." hidden="1">{"SUMMARY",#N/A,FALSE,"BIDSUM";"SUMALTS",#N/A,FALSE,"BIDSUM";#N/A,#N/A,FALSE,"GCOND"}</definedName>
    <definedName name="wrn.Summaries." localSheetId="4" hidden="1">{#N/A,#N/A,TRUE,"Dev Summ";#N/A,#N/A,TRUE,"General";#N/A,#N/A,TRUE,"Rates";#N/A,#N/A,TRUE,"Abs_Sale";#N/A,#N/A,TRUE,"P1 Cost Summ";#N/A,#N/A,TRUE,"P2 Cost Summ";#N/A,#N/A,TRUE,"P3 Cost Summ"}</definedName>
    <definedName name="wrn.Summaries." localSheetId="6" hidden="1">{#N/A,#N/A,TRUE,"Dev Summ";#N/A,#N/A,TRUE,"General";#N/A,#N/A,TRUE,"Rates";#N/A,#N/A,TRUE,"Abs_Sale";#N/A,#N/A,TRUE,"P1 Cost Summ";#N/A,#N/A,TRUE,"P2 Cost Summ";#N/A,#N/A,TRUE,"P3 Cost Summ"}</definedName>
    <definedName name="wrn.Summaries." hidden="1">{#N/A,#N/A,TRUE,"Dev Summ";#N/A,#N/A,TRUE,"General";#N/A,#N/A,TRUE,"Rates";#N/A,#N/A,TRUE,"Abs_Sale";#N/A,#N/A,TRUE,"P1 Cost Summ";#N/A,#N/A,TRUE,"P2 Cost Summ";#N/A,#N/A,TRUE,"P3 Cost Summ"}</definedName>
    <definedName name="wrn.Summary." localSheetId="0" hidden="1">{#N/A,#N/A,FALSE,"Summary3";#N/A,#N/A,FALSE,"Summary1";#N/A,#N/A,FALSE,"Summary2";#N/A,#N/A,FALSE,"Sensitivities1";#N/A,#N/A,FALSE,"Sensitivities2"}</definedName>
    <definedName name="wrn.Summary." localSheetId="4" hidden="1">{"Summary",#N/A,FALSE,"Schedule4"}</definedName>
    <definedName name="wrn.Summary." localSheetId="8" hidden="1">{"Summary",#N/A,FALSE,"Schedule4"}</definedName>
    <definedName name="wrn.Summary." localSheetId="6" hidden="1">{"Summary",#N/A,FALSE,"Schedule4"}</definedName>
    <definedName name="wrn.Summary." hidden="1">{"Summary",#N/A,FALSE,"Schedule4"}</definedName>
    <definedName name="wrn.Summary._.Overview." localSheetId="4" hidden="1">{#N/A,#N/A,FALSE,"OVERVIEW"}</definedName>
    <definedName name="wrn.Summary._.Overview." localSheetId="8" hidden="1">{#N/A,#N/A,FALSE,"OVERVIEW"}</definedName>
    <definedName name="wrn.Summary._.Overview." localSheetId="6" hidden="1">{#N/A,#N/A,FALSE,"OVERVIEW"}</definedName>
    <definedName name="wrn.Summary._.Overview." hidden="1">{#N/A,#N/A,FALSE,"OVERVIEW"}</definedName>
    <definedName name="wrn.SunModel." localSheetId="4" hidden="1">{#N/A,#N/A,FALSE,"summary";#N/A,#N/A,FALSE,"SIH";#N/A,#N/A,FALSE,"SIH Value";#N/A,#N/A,FALSE,"tax est.";#N/A,#N/A,FALSE,"Mohegan";#N/A,#N/A,FALSE,"Resorts";#N/A,#N/A,FALSE,"Win Per Day";#N/A,#N/A,FALSE,"CapStr"}</definedName>
    <definedName name="wrn.SunModel." localSheetId="8" hidden="1">{#N/A,#N/A,FALSE,"summary";#N/A,#N/A,FALSE,"SIH";#N/A,#N/A,FALSE,"SIH Value";#N/A,#N/A,FALSE,"tax est.";#N/A,#N/A,FALSE,"Mohegan";#N/A,#N/A,FALSE,"Resorts";#N/A,#N/A,FALSE,"Win Per Day";#N/A,#N/A,FALSE,"CapStr"}</definedName>
    <definedName name="wrn.SunModel." localSheetId="6" hidden="1">{#N/A,#N/A,FALSE,"summary";#N/A,#N/A,FALSE,"SIH";#N/A,#N/A,FALSE,"SIH Value";#N/A,#N/A,FALSE,"tax est.";#N/A,#N/A,FALSE,"Mohegan";#N/A,#N/A,FALSE,"Resorts";#N/A,#N/A,FALSE,"Win Per Day";#N/A,#N/A,FALSE,"CapStr"}</definedName>
    <definedName name="wrn.SunModel." hidden="1">{#N/A,#N/A,FALSE,"summary";#N/A,#N/A,FALSE,"SIH";#N/A,#N/A,FALSE,"SIH Value";#N/A,#N/A,FALSE,"tax est.";#N/A,#N/A,FALSE,"Mohegan";#N/A,#N/A,FALSE,"Resorts";#N/A,#N/A,FALSE,"Win Per Day";#N/A,#N/A,FALSE,"CapStr"}</definedName>
    <definedName name="wrn.Supply._.Additions." localSheetId="4" hidden="1">{#N/A,#N/A,FALSE,"Supply Addn"}</definedName>
    <definedName name="wrn.Supply._.Additions." localSheetId="8" hidden="1">{#N/A,#N/A,FALSE,"Supply Addn"}</definedName>
    <definedName name="wrn.Supply._.Additions." localSheetId="6" hidden="1">{#N/A,#N/A,FALSE,"Supply Addn"}</definedName>
    <definedName name="wrn.Supply._.Additions." hidden="1">{#N/A,#N/A,FALSE,"Supply Addn"}</definedName>
    <definedName name="wrn.Syndication." localSheetId="4" hidden="1">{#N/A,#N/A,FALSE,"Assumptions";"Section 1",#N/A,FALSE,"SYNDICATION MODEL";"Section 2",#N/A,FALSE,"SYNDICATION MODEL";#N/A,#N/A,FALSE,"Input Sheet";#N/A,#N/A,FALSE,"SYNDICATION ROE"}</definedName>
    <definedName name="wrn.Syndication." localSheetId="8" hidden="1">{#N/A,#N/A,FALSE,"Assumptions";"Section 1",#N/A,FALSE,"SYNDICATION MODEL";"Section 2",#N/A,FALSE,"SYNDICATION MODEL";#N/A,#N/A,FALSE,"Input Sheet";#N/A,#N/A,FALSE,"SYNDICATION ROE"}</definedName>
    <definedName name="wrn.Syndication." localSheetId="6" hidden="1">{#N/A,#N/A,FALSE,"Assumptions";"Section 1",#N/A,FALSE,"SYNDICATION MODEL";"Section 2",#N/A,FALSE,"SYNDICATION MODEL";#N/A,#N/A,FALSE,"Input Sheet";#N/A,#N/A,FALSE,"SYNDICATION ROE"}</definedName>
    <definedName name="wrn.Syndication." hidden="1">{#N/A,#N/A,FALSE,"Assumptions";"Section 1",#N/A,FALSE,"SYNDICATION MODEL";"Section 2",#N/A,FALSE,"SYNDICATION MODEL";#N/A,#N/A,FALSE,"Input Sheet";#N/A,#N/A,FALSE,"SYNDICATION ROE"}</definedName>
    <definedName name="wrn.TANASBOURNE._.ONLY." localSheetId="4" hidden="1">{#N/A,#N/A,FALSE,"Expense Comparison"}</definedName>
    <definedName name="wrn.TANASBOURNE._.ONLY." localSheetId="8" hidden="1">{#N/A,#N/A,FALSE,"Expense Comparison"}</definedName>
    <definedName name="wrn.TANASBOURNE._.ONLY." localSheetId="6" hidden="1">{#N/A,#N/A,FALSE,"Expense Comparison"}</definedName>
    <definedName name="wrn.TANASBOURNE._.ONLY." hidden="1">{#N/A,#N/A,FALSE,"Expense Comparison"}</definedName>
    <definedName name="wrn.Target._.Comparison." localSheetId="4" hidden="1">{"Target Comparison",#N/A,FALSE,"Summary"}</definedName>
    <definedName name="wrn.Target._.Comparison." localSheetId="8" hidden="1">{"Target Comparison",#N/A,FALSE,"Summary"}</definedName>
    <definedName name="wrn.Target._.Comparison." localSheetId="6" hidden="1">{"Target Comparison",#N/A,FALSE,"Summary"}</definedName>
    <definedName name="wrn.Target._.Comparison." hidden="1">{"Target Comparison",#N/A,FALSE,"Summary"}</definedName>
    <definedName name="wrn.Taxes._.Title._.Insurance." localSheetId="4" hidden="1">{#N/A,#N/A,FALSE,"Taxes, Insurance, Title"}</definedName>
    <definedName name="wrn.Taxes._.Title._.Insurance." localSheetId="6" hidden="1">{#N/A,#N/A,FALSE,"Taxes, Insurance, Title"}</definedName>
    <definedName name="wrn.Taxes._.Title._.Insurance." hidden="1">{#N/A,#N/A,FALSE,"Taxes, Insurance, Title"}</definedName>
    <definedName name="wrn.Template." localSheetId="4"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mplate." localSheetId="8"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mplate." localSheetId="6"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mplate." hidden="1">{#N/A,#N/A,FALSE,"1_Executive Summary";#N/A,#N/A,FALSE,"2_Assumptions";#N/A,#N/A,FALSE,"3_Footnotes";#N/A,#N/A,FALSE,"4_Cash Flow";#N/A,#N/A,FALSE,"6_Residual - Marketing";#N/A,#N/A,FALSE,"7_Residual Matrix";#N/A,#N/A,FALSE,"8_Pricing Matrix";#N/A,#N/A,FALSE,"9_Value Matrix";#N/A,#N/A,FALSE,"10_Vacancy Detail";#N/A,#N/A,FALSE,"11_Basic Expiration"}</definedName>
    <definedName name="wrn.Tenants." localSheetId="4" hidden="1">{#N/A,#N/A,FALSE,"TENANTS"}</definedName>
    <definedName name="wrn.Tenants." localSheetId="8" hidden="1">{#N/A,#N/A,FALSE,"TENANTS"}</definedName>
    <definedName name="wrn.Tenants." localSheetId="6" hidden="1">{#N/A,#N/A,FALSE,"TENANTS"}</definedName>
    <definedName name="wrn.Tenants." hidden="1">{#N/A,#N/A,FALSE,"TENANTS"}</definedName>
    <definedName name="wrn.TENSCH." localSheetId="4" hidden="1">{"SQFT1",#N/A,FALSE,"TENANT";"SQFT2",#N/A,FALSE,"TENANT";"BASERENT",#N/A,FALSE,"TENANT";"ESCAL",#N/A,FALSE,"TENANT";"ADVALTAX",#N/A,FALSE,"TENANT";"INSRECOV",#N/A,FALSE,"TENANT";"PRIORYR",#N/A,FALSE,"TENANT"}</definedName>
    <definedName name="wrn.TENSCH." localSheetId="6" hidden="1">{"SQFT1",#N/A,FALSE,"TENANT";"SQFT2",#N/A,FALSE,"TENANT";"BASERENT",#N/A,FALSE,"TENANT";"ESCAL",#N/A,FALSE,"TENANT";"ADVALTAX",#N/A,FALSE,"TENANT";"INSRECOV",#N/A,FALSE,"TENANT";"PRIORYR",#N/A,FALSE,"TENANT"}</definedName>
    <definedName name="wrn.TENSCH." hidden="1">{"SQFT1",#N/A,FALSE,"TENANT";"SQFT2",#N/A,FALSE,"TENANT";"BASERENT",#N/A,FALSE,"TENANT";"ESCAL",#N/A,FALSE,"TENANT";"ADVALTAX",#N/A,FALSE,"TENANT";"INSRECOV",#N/A,FALSE,"TENANT";"PRIORYR",#N/A,FALSE,"TENANT"}</definedName>
    <definedName name="wrn.test." localSheetId="0" hidden="1">{"test2",#N/A,TRUE,"Prices"}</definedName>
    <definedName name="wrn.TEST." localSheetId="4" hidden="1">{#N/A,#N/A,FALSE,"SCHEDULE G"}</definedName>
    <definedName name="wrn.TEST." localSheetId="8" hidden="1">{#N/A,#N/A,FALSE,"SCHEDULE G"}</definedName>
    <definedName name="wrn.TEST." localSheetId="6" hidden="1">{#N/A,#N/A,FALSE,"SCHEDULE G"}</definedName>
    <definedName name="wrn.TEST." hidden="1">{#N/A,#N/A,FALSE,"SCHEDULE G"}</definedName>
    <definedName name="wrn.TEST1." localSheetId="4" hidden="1">{"TEST1",#N/A,FALSE,"SIMPLIFD"}</definedName>
    <definedName name="wrn.TEST1." localSheetId="8" hidden="1">{"TEST1",#N/A,FALSE,"SIMPLIFD"}</definedName>
    <definedName name="wrn.TEST1." localSheetId="6" hidden="1">{"TEST1",#N/A,FALSE,"SIMPLIFD"}</definedName>
    <definedName name="wrn.TEST1." hidden="1">{"TEST1",#N/A,FALSE,"SIMPLIFD"}</definedName>
    <definedName name="wrn.THEBES." localSheetId="8" hidden="1">{#N/A,#N/A,FALSE,"BALANCE";#N/A,#N/A,FALSE,"EST-RESULTA";#N/A,#N/A,FALSE,"EST-RESULTADO2";#N/A,#N/A,FALSE,"DISPONIBLE";#N/A,#N/A,FALSE,"VALORES";#N/A,#N/A,FALSE,"CTA.SOCIOS";#N/A,#N/A,FALSE,"DEUDORES";#N/A,#N/A,FALSE,"OP.PENDIENTES";#N/A,#N/A,FALSE,"ACT.FIJO";#N/A,#N/A,FALSE,"SOFTWARE";#N/A,#N/A,FALSE,"OTRASINV";#N/A,#N/A,FALSE,"EERR";#N/A,#N/A,FALSE,"ACREEDORES";#N/A,#N/A,FALSE,"PAS LP";#N/A,#N/A,FALSE,"PATRIMONIO"}</definedName>
    <definedName name="wrn.THEBES." hidden="1">{#N/A,#N/A,FALSE,"BALANCE";#N/A,#N/A,FALSE,"EST-RESULTA";#N/A,#N/A,FALSE,"EST-RESULTADO2";#N/A,#N/A,FALSE,"DISPONIBLE";#N/A,#N/A,FALSE,"VALORES";#N/A,#N/A,FALSE,"CTA.SOCIOS";#N/A,#N/A,FALSE,"DEUDORES";#N/A,#N/A,FALSE,"OP.PENDIENTES";#N/A,#N/A,FALSE,"ACT.FIJO";#N/A,#N/A,FALSE,"SOFTWARE";#N/A,#N/A,FALSE,"OTRASINV";#N/A,#N/A,FALSE,"EERR";#N/A,#N/A,FALSE,"ACREEDORES";#N/A,#N/A,FALSE,"PAS LP";#N/A,#N/A,FALSE,"PATRIMONIO"}</definedName>
    <definedName name="wrn.Thomas_Case." localSheetId="8" hidden="1">{#N/A,#N/A,TRUE,"Thomas Case";#N/A,#N/A,TRUE,"Corporate Overhead";#N/A,#N/A,TRUE,"Arizona";#N/A,#N/A,TRUE,"Cal";#N/A,#N/A,TRUE,"Illinois";#N/A,#N/A,TRUE,"Indiana";#N/A,#N/A,TRUE,"Ohio";#N/A,#N/A,TRUE,"Pennsylvania";#N/A,#N/A,TRUE,"Growth";#N/A,#N/A,TRUE,"Anthem";#N/A,#N/A,TRUE,"Pipeline"}</definedName>
    <definedName name="wrn.Thomas_Case." hidden="1">{#N/A,#N/A,TRUE,"Thomas Case";#N/A,#N/A,TRUE,"Corporate Overhead";#N/A,#N/A,TRUE,"Arizona";#N/A,#N/A,TRUE,"Cal";#N/A,#N/A,TRUE,"Illinois";#N/A,#N/A,TRUE,"Indiana";#N/A,#N/A,TRUE,"Ohio";#N/A,#N/A,TRUE,"Pennsylvania";#N/A,#N/A,TRUE,"Growth";#N/A,#N/A,TRUE,"Anthem";#N/A,#N/A,TRUE,"Pipeline"}</definedName>
    <definedName name="wrn.TOCHTERMAN." localSheetId="4"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CHTERMAN." localSheetId="8"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CHTERMAN." localSheetId="6"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CHTERMAN." hidden="1">{#N/A,#N/A,FALSE,"Project Summary";#N/A,#N/A,FALSE,"Parking Budget";#N/A,#N/A,FALSE,"Parking Cash Flow";#N/A,#N/A,FALSE,"Parking Assumptions";#N/A,#N/A,FALSE,"Bond Debt Service";#N/A,#N/A,FALSE,"Pad Fees";#N/A,#N/A,FALSE,"Bond Shortfall";#N/A,#N/A,FALSE,"Retail Development Budget";#N/A,#N/A,FALSE,"Retail Cash Flow";#N/A,#N/A,FALSE,"Retail Assumptions Summary";#N/A,#N/A,FALSE,"Office Development Budget";#N/A,#N/A,FALSE,"Office Cash Flow";#N/A,#N/A,FALSE,"Office Assumptions";#N/A,#N/A,FALSE,"Hotel Development Budget";#N/A,#N/A,FALSE,"Hotel Cash Flow";#N/A,#N/A,FALSE,"Land Lease NPV"}</definedName>
    <definedName name="wrn.Todo._.abril." localSheetId="8" hidden="1">{"abril_dia",#N/A,FALSE,"Días";"abr_dia_graf",#N/A,FALSE,"flujo mensual";"abr_men_resum",#N/A,FALSE,"flujo mensual";"men_graf",#N/A,FALSE,"flujo mensual";"proy_abr",#N/A,FALSE,"Días"}</definedName>
    <definedName name="wrn.Todo._.abril." hidden="1">{"abril_dia",#N/A,FALSE,"Días";"abr_dia_graf",#N/A,FALSE,"flujo mensual";"abr_men_resum",#N/A,FALSE,"flujo mensual";"men_graf",#N/A,FALSE,"flujo mensual";"proy_abr",#N/A,FALSE,"Días"}</definedName>
    <definedName name="wrn.Todo._.agosto." localSheetId="8" hidden="1">{"agosto_dia",#N/A,FALSE,"Días";"ago_dia_graf",#N/A,FALSE,"flujo mensual";"ago_men_resum",#N/A,FALSE,"flujo mensual";"men_graf",#N/A,FALSE,"flujo mensual";"proy_ago",#N/A,FALSE,"Días"}</definedName>
    <definedName name="wrn.Todo._.agosto." hidden="1">{"agosto_dia",#N/A,FALSE,"Días";"ago_dia_graf",#N/A,FALSE,"flujo mensual";"ago_men_resum",#N/A,FALSE,"flujo mensual";"men_graf",#N/A,FALSE,"flujo mensual";"proy_ago",#N/A,FALSE,"Días"}</definedName>
    <definedName name="wrn.Todo._.diciembre." localSheetId="8" hidden="1">{"diciembre_dia",#N/A,FALSE,"Días";"dic_dia_graf",#N/A,FALSE,"flujo mensual";"dic_men_resum",#N/A,FALSE,"flujo mensual";"men_graf",#N/A,FALSE,"flujo mensual";"proy_dic",#N/A,FALSE,"Días"}</definedName>
    <definedName name="wrn.Todo._.diciembre." hidden="1">{"diciembre_dia",#N/A,FALSE,"Días";"dic_dia_graf",#N/A,FALSE,"flujo mensual";"dic_men_resum",#N/A,FALSE,"flujo mensual";"men_graf",#N/A,FALSE,"flujo mensual";"proy_dic",#N/A,FALSE,"Días"}</definedName>
    <definedName name="wrn.Todo._.enero." localSheetId="8" hidden="1">{"enero_dia",#N/A,FALSE,"Días";"ene_dia_graf",#N/A,FALSE,"flujo mensual";"ene_men_resum",#N/A,FALSE,"flujo mensual";"men_graf",#N/A,FALSE,"flujo mensual";"proy_ene",#N/A,FALSE,"Días"}</definedName>
    <definedName name="wrn.Todo._.enero." hidden="1">{"enero_dia",#N/A,FALSE,"Días";"ene_dia_graf",#N/A,FALSE,"flujo mensual";"ene_men_resum",#N/A,FALSE,"flujo mensual";"men_graf",#N/A,FALSE,"flujo mensual";"proy_ene",#N/A,FALSE,"Días"}</definedName>
    <definedName name="wrn.Todo._.febrero." localSheetId="8" hidden="1">{"febrero_dia",#N/A,FALSE,"Días";"feb_dia_graf",#N/A,FALSE,"flujo mensual";"feb_men_resum",#N/A,FALSE,"flujo mensual";"men_graf",#N/A,FALSE,"flujo mensual";"proy_feb",#N/A,FALSE,"Días"}</definedName>
    <definedName name="wrn.Todo._.febrero." hidden="1">{"febrero_dia",#N/A,FALSE,"Días";"feb_dia_graf",#N/A,FALSE,"flujo mensual";"feb_men_resum",#N/A,FALSE,"flujo mensual";"men_graf",#N/A,FALSE,"flujo mensual";"proy_feb",#N/A,FALSE,"Días"}</definedName>
    <definedName name="wrn.Todo._.julio." localSheetId="8" hidden="1">{"julio_dia",#N/A,FALSE,"Días";"jul_dia_graf",#N/A,FALSE,"flujo mensual";"jul_men_resum",#N/A,FALSE,"flujo mensual";"men_graf",#N/A,FALSE,"flujo mensual";"proy_jul",#N/A,FALSE,"Días"}</definedName>
    <definedName name="wrn.Todo._.julio." hidden="1">{"julio_dia",#N/A,FALSE,"Días";"jul_dia_graf",#N/A,FALSE,"flujo mensual";"jul_men_resum",#N/A,FALSE,"flujo mensual";"men_graf",#N/A,FALSE,"flujo mensual";"proy_jul",#N/A,FALSE,"Días"}</definedName>
    <definedName name="wrn.Todo._.junio." localSheetId="8" hidden="1">{"junio_dia",#N/A,FALSE,"Días";"jun_dia_graf",#N/A,FALSE,"flujo mensual";"jun_men_resum",#N/A,FALSE,"flujo mensual";"men_graf",#N/A,FALSE,"flujo mensual";"proy_jun",#N/A,FALSE,"Días"}</definedName>
    <definedName name="wrn.Todo._.junio." hidden="1">{"junio_dia",#N/A,FALSE,"Días";"jun_dia_graf",#N/A,FALSE,"flujo mensual";"jun_men_resum",#N/A,FALSE,"flujo mensual";"men_graf",#N/A,FALSE,"flujo mensual";"proy_jun",#N/A,FALSE,"Días"}</definedName>
    <definedName name="wrn.Todo._.marzo." localSheetId="8" hidden="1">{"marzo_dia",#N/A,FALSE,"Días";"mar_dia_graf",#N/A,FALSE,"flujo mensual";"mar_men_resum",#N/A,FALSE,"flujo mensual";"men_graf",#N/A,FALSE,"flujo mensual";"proy_mar",#N/A,FALSE,"Días"}</definedName>
    <definedName name="wrn.Todo._.marzo." hidden="1">{"marzo_dia",#N/A,FALSE,"Días";"mar_dia_graf",#N/A,FALSE,"flujo mensual";"mar_men_resum",#N/A,FALSE,"flujo mensual";"men_graf",#N/A,FALSE,"flujo mensual";"proy_mar",#N/A,FALSE,"Días"}</definedName>
    <definedName name="wrn.Todo._.mayo." localSheetId="8" hidden="1">{"mayo_dia",#N/A,FALSE,"Días";"may_dia_graf",#N/A,FALSE,"flujo mensual";"may_men_resum",#N/A,FALSE,"flujo mensual";"men_graf",#N/A,FALSE,"flujo mensual";"proy_may",#N/A,FALSE,"Días"}</definedName>
    <definedName name="wrn.Todo._.mayo." hidden="1">{"mayo_dia",#N/A,FALSE,"Días";"may_dia_graf",#N/A,FALSE,"flujo mensual";"may_men_resum",#N/A,FALSE,"flujo mensual";"men_graf",#N/A,FALSE,"flujo mensual";"proy_may",#N/A,FALSE,"Días"}</definedName>
    <definedName name="wrn.Todo._.noviembre." localSheetId="8" hidden="1">{"noviembre_dia",#N/A,FALSE,"Días";"nov_dia_graf",#N/A,FALSE,"flujo mensual";"nov_men_resum",#N/A,FALSE,"flujo mensual";"men_graf",#N/A,FALSE,"flujo mensual";"proy_nov",#N/A,FALSE,"Días"}</definedName>
    <definedName name="wrn.Todo._.noviembre." hidden="1">{"noviembre_dia",#N/A,FALSE,"Días";"nov_dia_graf",#N/A,FALSE,"flujo mensual";"nov_men_resum",#N/A,FALSE,"flujo mensual";"men_graf",#N/A,FALSE,"flujo mensual";"proy_nov",#N/A,FALSE,"Días"}</definedName>
    <definedName name="wrn.Todo._.octubre." localSheetId="8" hidden="1">{"octubre_dia",#N/A,FALSE,"Días";"oct_dia_graf",#N/A,FALSE,"flujo mensual";"oct_men_resum",#N/A,FALSE,"flujo mensual";"men_graf",#N/A,FALSE,"flujo mensual";"proy_oct",#N/A,FALSE,"Días"}</definedName>
    <definedName name="wrn.Todo._.octubre." hidden="1">{"octubre_dia",#N/A,FALSE,"Días";"oct_dia_graf",#N/A,FALSE,"flujo mensual";"oct_men_resum",#N/A,FALSE,"flujo mensual";"men_graf",#N/A,FALSE,"flujo mensual";"proy_oct",#N/A,FALSE,"Días"}</definedName>
    <definedName name="wrn.Todo._.septiembre." localSheetId="8" hidden="1">{"septiembre_dia",#N/A,FALSE,"Días";"sep_dia_graf",#N/A,FALSE,"flujo mensual";"sep_men_resum",#N/A,FALSE,"flujo mensual";"men_graf",#N/A,FALSE,"flujo mensual";"proy_sep",#N/A,FALSE,"Días"}</definedName>
    <definedName name="wrn.Todo._.septiembre." hidden="1">{"septiembre_dia",#N/A,FALSE,"Días";"sep_dia_graf",#N/A,FALSE,"flujo mensual";"sep_men_resum",#N/A,FALSE,"flujo mensual";"men_graf",#N/A,FALSE,"flujo mensual";"proy_sep",#N/A,FALSE,"Días"}</definedName>
    <definedName name="wrn.Total." localSheetId="4" hidden="1">{#N/A,#N/A,FALSE,"Exec Sum";#N/A,#N/A,FALSE,"Rent Rate Comp";#N/A,#N/A,FALSE,"Rate, NPV Comp";#N/A,#N/A,FALSE,"Opt A NNN";#N/A,#N/A,FALSE,"15-yr Opt. A Sum";#N/A,#N/A,FALSE,"15-yr Opt A Other Costs";#N/A,#N/A,FALSE,"10-yr Opt. A Sum";#N/A,#N/A,FALSE,"10-yr Opt A Other Costs";#N/A,#N/A,FALSE,"NPV Calc"}</definedName>
    <definedName name="wrn.Total." localSheetId="6" hidden="1">{#N/A,#N/A,FALSE,"Exec Sum";#N/A,#N/A,FALSE,"Rent Rate Comp";#N/A,#N/A,FALSE,"Rate, NPV Comp";#N/A,#N/A,FALSE,"Opt A NNN";#N/A,#N/A,FALSE,"15-yr Opt. A Sum";#N/A,#N/A,FALSE,"15-yr Opt A Other Costs";#N/A,#N/A,FALSE,"10-yr Opt. A Sum";#N/A,#N/A,FALSE,"10-yr Opt A Other Costs";#N/A,#N/A,FALSE,"NPV Calc"}</definedName>
    <definedName name="wrn.Total." hidden="1">{#N/A,#N/A,FALSE,"Exec Sum";#N/A,#N/A,FALSE,"Rent Rate Comp";#N/A,#N/A,FALSE,"Rate, NPV Comp";#N/A,#N/A,FALSE,"Opt A NNN";#N/A,#N/A,FALSE,"15-yr Opt. A Sum";#N/A,#N/A,FALSE,"15-yr Opt A Other Costs";#N/A,#N/A,FALSE,"10-yr Opt. A Sum";#N/A,#N/A,FALSE,"10-yr Opt A Other Costs";#N/A,#N/A,FALSE,"NPV Calc"}</definedName>
    <definedName name="wrn.TOTAL._.SHEETS." localSheetId="4" hidden="1">{#N/A,#N/A,FALSE,"DEV COSTS";#N/A,#N/A,FALSE,"10-YR C. F."}</definedName>
    <definedName name="wrn.TOTAL._.SHEETS." localSheetId="6" hidden="1">{#N/A,#N/A,FALSE,"DEV COSTS";#N/A,#N/A,FALSE,"10-YR C. F."}</definedName>
    <definedName name="wrn.TOTAL._.SHEETS." hidden="1">{#N/A,#N/A,FALSE,"DEV COSTS";#N/A,#N/A,FALSE,"10-YR C. F."}</definedName>
    <definedName name="wrn.totalcomp." localSheetId="8" hidden="1">{"comp1",#N/A,FALSE,"COMPS";"footnotes",#N/A,FALSE,"COMPS"}</definedName>
    <definedName name="wrn.totalcomp." hidden="1">{"comp1",#N/A,FALSE,"COMPS";"footnotes",#N/A,FALSE,"COMPS"}</definedName>
    <definedName name="wrn.TownPoint." localSheetId="4" hidden="1">{"Townpoint-Investor",#N/A,FALSE,"TownPoint";"Townpoint-Property",#N/A,FALSE,"TownPoint"}</definedName>
    <definedName name="wrn.TownPoint." localSheetId="6" hidden="1">{"Townpoint-Investor",#N/A,FALSE,"TownPoint";"Townpoint-Property",#N/A,FALSE,"TownPoint"}</definedName>
    <definedName name="wrn.TownPoint." hidden="1">{"Townpoint-Investor",#N/A,FALSE,"TownPoint";"Townpoint-Property",#N/A,FALSE,"TownPoint"}</definedName>
    <definedName name="wrn.trans._.sum." localSheetId="8" hidden="1">{"trans assumptions",#N/A,FALSE,"Merger";"trans accretion",#N/A,FALSE,"Merger"}</definedName>
    <definedName name="wrn.trans._.sum." hidden="1">{"trans assumptions",#N/A,FALSE,"Merger";"trans accretion",#N/A,FALSE,"Merger"}</definedName>
    <definedName name="wrn.Underwriting._.Analysis." localSheetId="4" hidden="1">{#N/A,#N/A,FALSE,"Underwriting Analysis"}</definedName>
    <definedName name="wrn.Underwriting._.Analysis." localSheetId="6" hidden="1">{#N/A,#N/A,FALSE,"Underwriting Analysis"}</definedName>
    <definedName name="wrn.Underwriting._.Analysis." hidden="1">{#N/A,#N/A,FALSE,"Underwriting Analysis"}</definedName>
    <definedName name="wrn.Unit._.Information." localSheetId="4" hidden="1">{#N/A,#N/A,FALSE,"Unit Info";#N/A,#N/A,FALSE,"Unit Info"}</definedName>
    <definedName name="wrn.Unit._.Information." localSheetId="8" hidden="1">{#N/A,#N/A,FALSE,"Unit Info";#N/A,#N/A,FALSE,"Unit Info"}</definedName>
    <definedName name="wrn.Unit._.Information." localSheetId="6" hidden="1">{#N/A,#N/A,FALSE,"Unit Info";#N/A,#N/A,FALSE,"Unit Info"}</definedName>
    <definedName name="wrn.Unit._.Information." hidden="1">{#N/A,#N/A,FALSE,"Unit Info";#N/A,#N/A,FALSE,"Unit Info"}</definedName>
    <definedName name="wrn.up." localSheetId="8" hidden="1">{"up stand alones",#N/A,FALSE,"Acquiror"}</definedName>
    <definedName name="wrn.up." hidden="1">{"up stand alones",#N/A,FALSE,"Acquiror"}</definedName>
    <definedName name="wrn.valuation." localSheetId="4" hidden="1">{"Page1",#N/A,FALSE,"7979";"Page2",#N/A,FALSE,"7979";"Page3",#N/A,FALSE,"7979"}</definedName>
    <definedName name="wrn.valuation." localSheetId="8" hidden="1">{"Page1",#N/A,FALSE,"7979";"Page2",#N/A,FALSE,"7979";"Page3",#N/A,FALSE,"7979"}</definedName>
    <definedName name="wrn.valuation." localSheetId="6" hidden="1">{"Page1",#N/A,FALSE,"7979";"Page2",#N/A,FALSE,"7979";"Page3",#N/A,FALSE,"7979"}</definedName>
    <definedName name="wrn.valuation." hidden="1">{"Page1",#N/A,FALSE,"7979";"Page2",#N/A,FALSE,"7979";"Page3",#N/A,FALSE,"7979"}</definedName>
    <definedName name="wrn.Value." localSheetId="4" hidden="1">{#N/A,#N/A,FALSE,"Cashflow Analysis";#N/A,#N/A,FALSE,"Sensitivity Analysis";#N/A,#N/A,FALSE,"PV";#N/A,#N/A,FALSE,"Pro Forma"}</definedName>
    <definedName name="wrn.Value." localSheetId="6" hidden="1">{#N/A,#N/A,FALSE,"Cashflow Analysis";#N/A,#N/A,FALSE,"Sensitivity Analysis";#N/A,#N/A,FALSE,"PV";#N/A,#N/A,FALSE,"Pro Forma"}</definedName>
    <definedName name="wrn.Value." hidden="1">{#N/A,#N/A,FALSE,"Cashflow Analysis";#N/A,#N/A,FALSE,"Sensitivity Analysis";#N/A,#N/A,FALSE,"PV";#N/A,#N/A,FALSE,"Pro Forma"}</definedName>
    <definedName name="wrn.Variance." localSheetId="4" hidden="1">{#N/A,#N/A,FALSE,"CCC Variance";#N/A,#N/A,FALSE,"CCC Notes"}</definedName>
    <definedName name="wrn.Variance." localSheetId="8" hidden="1">{#N/A,#N/A,FALSE,"CCC Variance";#N/A,#N/A,FALSE,"CCC Notes"}</definedName>
    <definedName name="wrn.Variance." localSheetId="6" hidden="1">{#N/A,#N/A,FALSE,"CCC Variance";#N/A,#N/A,FALSE,"CCC Notes"}</definedName>
    <definedName name="wrn.Variance." hidden="1">{#N/A,#N/A,FALSE,"CCC Variance";#N/A,#N/A,FALSE,"CCC Notes"}</definedName>
    <definedName name="wrn.ventana." localSheetId="4" hidden="1">{#N/A,#N/A,FALSE,"Cash Flow";#N/A,#N/A,FALSE,"scenario 1"}</definedName>
    <definedName name="wrn.ventana." localSheetId="6" hidden="1">{#N/A,#N/A,FALSE,"Cash Flow";#N/A,#N/A,FALSE,"scenario 1"}</definedName>
    <definedName name="wrn.ventana." hidden="1">{#N/A,#N/A,FALSE,"Cash Flow";#N/A,#N/A,FALSE,"scenario 1"}</definedName>
    <definedName name="wrn.weekly." localSheetId="4" hidden="1">{#N/A,#N/A,FALSE,"Large Operators";#N/A,#N/A,FALSE,"Smaller Operators";#N/A,#N/A,FALSE,"Equip. Supply";#N/A,#N/A,FALSE,"EBITDA";#N/A,#N/A,FALSE,"perform"}</definedName>
    <definedName name="wrn.weekly." localSheetId="8" hidden="1">{#N/A,#N/A,FALSE,"Large Operators";#N/A,#N/A,FALSE,"Smaller Operators";#N/A,#N/A,FALSE,"Equip. Supply";#N/A,#N/A,FALSE,"EBITDA";#N/A,#N/A,FALSE,"perform"}</definedName>
    <definedName name="wrn.weekly." localSheetId="6" hidden="1">{#N/A,#N/A,FALSE,"Large Operators";#N/A,#N/A,FALSE,"Smaller Operators";#N/A,#N/A,FALSE,"Equip. Supply";#N/A,#N/A,FALSE,"EBITDA";#N/A,#N/A,FALSE,"perform"}</definedName>
    <definedName name="wrn.weekly." hidden="1">{#N/A,#N/A,FALSE,"Large Operators";#N/A,#N/A,FALSE,"Smaller Operators";#N/A,#N/A,FALSE,"Equip. Supply";#N/A,#N/A,FALSE,"EBITDA";#N/A,#N/A,FALSE,"perform"}</definedName>
    <definedName name="wrn.Working._.Party._.List." localSheetId="4" hidden="1">{#N/A,#N/A,FALSE,"Working List"}</definedName>
    <definedName name="wrn.Working._.Party._.List." localSheetId="8" hidden="1">{#N/A,#N/A,FALSE,"Working List"}</definedName>
    <definedName name="wrn.Working._.Party._.List." localSheetId="6" hidden="1">{#N/A,#N/A,FALSE,"Working List"}</definedName>
    <definedName name="wrn.Working._.Party._.List." hidden="1">{#N/A,#N/A,FALSE,"Working List"}</definedName>
    <definedName name="wrn.Year._.End._.APF._.reports." localSheetId="4" hidden="1">{#N/A,#N/A,FALSE,"Summary";#N/A,#N/A,FALSE,"CVI04";#N/A,#N/A,FALSE,"REG04";#N/A,#N/A,FALSE,"HAL04";#N/A,#N/A,FALSE,"WPL04";#N/A,#N/A,FALSE,"RPL04";#N/A,#N/A,FALSE,"GVA04";#N/A,#N/A,FALSE,"LRJKL04";#N/A,#N/A,FALSE,"RGW04";#N/A,#N/A,FALSE,"RHL04sum ";#N/A,#N/A,FALSE,"WPM04sum"}</definedName>
    <definedName name="wrn.Year._.End._.APF._.reports." localSheetId="6" hidden="1">{#N/A,#N/A,FALSE,"Summary";#N/A,#N/A,FALSE,"CVI04";#N/A,#N/A,FALSE,"REG04";#N/A,#N/A,FALSE,"HAL04";#N/A,#N/A,FALSE,"WPL04";#N/A,#N/A,FALSE,"RPL04";#N/A,#N/A,FALSE,"GVA04";#N/A,#N/A,FALSE,"LRJKL04";#N/A,#N/A,FALSE,"RGW04";#N/A,#N/A,FALSE,"RHL04sum ";#N/A,#N/A,FALSE,"WPM04sum"}</definedName>
    <definedName name="wrn.Year._.End._.APF._.reports." hidden="1">{#N/A,#N/A,FALSE,"Summary";#N/A,#N/A,FALSE,"CVI04";#N/A,#N/A,FALSE,"REG04";#N/A,#N/A,FALSE,"HAL04";#N/A,#N/A,FALSE,"WPL04";#N/A,#N/A,FALSE,"RPL04";#N/A,#N/A,FALSE,"GVA04";#N/A,#N/A,FALSE,"LRJKL04";#N/A,#N/A,FALSE,"RGW04";#N/A,#N/A,FALSE,"RHL04sum ";#N/A,#N/A,FALSE,"WPM04sum"}</definedName>
    <definedName name="WRN2.Document" localSheetId="8" hidden="1">{"consolidated",#N/A,FALSE,"Sheet1";"cms",#N/A,FALSE,"Sheet1";"fse",#N/A,FALSE,"Sheet1"}</definedName>
    <definedName name="WRN2.Document" hidden="1">{"consolidated",#N/A,FALSE,"Sheet1";"cms",#N/A,FALSE,"Sheet1";"fse",#N/A,FALSE,"Sheet1"}</definedName>
    <definedName name="wt" localSheetId="8" hidden="1">{"comps2_1",#N/A,FALSE,"Comps2";"comps2_2",#N/A,FALSE,"Comps2";"comps2_3",#N/A,FALSE,"Comps2";"comps2_4",#N/A,FALSE,"Comps2";"comps2_5",#N/A,FALSE,"Comps2"}</definedName>
    <definedName name="wt" hidden="1">{"comps2_1",#N/A,FALSE,"Comps2";"comps2_2",#N/A,FALSE,"Comps2";"comps2_3",#N/A,FALSE,"Comps2";"comps2_4",#N/A,FALSE,"Comps2";"comps2_5",#N/A,FALSE,"Comps2"}</definedName>
    <definedName name="wvu.allocations." localSheetId="4" hidden="1">{TRUE,TRUE,-1.41610738255034,-14.9463087248322,497.718120805369,308.295302013423,FALSE,TRUE,TRUE,TRUE,0,1,1,1,40,3,2.68,4,TRUE,TRUE,3,TRUE,1,FALSE,100,"Swvu.allocations.","ACwvu.allocations.",#N/A,FALSE,FALSE,0.5,0.5,0.5,0.5,1,"","&amp;L&amp;F   &amp;A&amp;R&amp;D   &amp;T",TRUE,FALSE,FALSE,FALSE,1,100,#N/A,#N/A,"=R1C1:R118C10","=R1:R2","Rwvu.allocations.",#N/A,FALSE,FALSE,TRUE,1,4294967292,300,FALSE,FALSE,TRUE,TRUE,TRUE}</definedName>
    <definedName name="wvu.allocations." localSheetId="6" hidden="1">{TRUE,TRUE,-1.41610738255034,-14.9463087248322,497.718120805369,308.295302013423,FALSE,TRUE,TRUE,TRUE,0,1,1,1,40,3,2.68,4,TRUE,TRUE,3,TRUE,1,FALSE,100,"Swvu.allocations.","ACwvu.allocations.",#N/A,FALSE,FALSE,0.5,0.5,0.5,0.5,1,"","&amp;L&amp;F   &amp;A&amp;R&amp;D   &amp;T",TRUE,FALSE,FALSE,FALSE,1,100,#N/A,#N/A,"=R1C1:R118C10","=R1:R2","Rwvu.allocations.",#N/A,FALSE,FALSE,TRUE,1,4294967292,300,FALSE,FALSE,TRUE,TRUE,TRUE}</definedName>
    <definedName name="wvu.allocations." hidden="1">{TRUE,TRUE,-1.41610738255034,-14.9463087248322,497.718120805369,308.295302013423,FALSE,TRUE,TRUE,TRUE,0,1,1,1,40,3,2.68,4,TRUE,TRUE,3,TRUE,1,FALSE,100,"Swvu.allocations.","ACwvu.allocations.",#N/A,FALSE,FALSE,0.5,0.5,0.5,0.5,1,"","&amp;L&amp;F   &amp;A&amp;R&amp;D   &amp;T",TRUE,FALSE,FALSE,FALSE,1,100,#N/A,#N/A,"=R1C1:R118C10","=R1:R2","Rwvu.allocations.",#N/A,FALSE,FALSE,TRUE,1,4294967292,300,FALSE,FALSE,TRUE,TRUE,TRUE}</definedName>
    <definedName name="wvu.annual." localSheetId="4" hidden="1">{TRUE,TRUE,-1.41610738255034,-14.9463087248322,497.718120805369,308.295302013423,FALSE,TRUE,TRUE,TRUE,0,1,#N/A,1,1,9.97,4.21739130434783,3,FALSE,TRUE,3,TRUE,1,FALSE,100,"Swvu.annual.","ACwvu.annual.",#N/A,FALSE,FALSE,0.5,0.5,0.5,0.5,2,"","&amp;L&amp;""Palatino,Regular""&amp;9&amp;F&amp;C&amp;""Palatino,Regular""&amp;9LAND SALES DETAIL - Page &amp;P of &amp;N&amp;R&amp;""Palatino,Regular""&amp;9&amp;D   &amp;T",TRUE,FALSE,FALSE,FALSE,2,90,#N/A,#N/A,"=R1C1:R174C16","=R1:R3","Rwvu.annual.","Cwvu.annual.",FALSE,FALSE,FALSE,1,4294967292,300,FALSE,FALSE,TRUE,TRUE,TRUE}</definedName>
    <definedName name="wvu.annual." localSheetId="6" hidden="1">{TRUE,TRUE,-1.41610738255034,-14.9463087248322,497.718120805369,308.295302013423,FALSE,TRUE,TRUE,TRUE,0,1,#N/A,1,1,9.97,4.21739130434783,3,FALSE,TRUE,3,TRUE,1,FALSE,100,"Swvu.annual.","ACwvu.annual.",#N/A,FALSE,FALSE,0.5,0.5,0.5,0.5,2,"","&amp;L&amp;""Palatino,Regular""&amp;9&amp;F&amp;C&amp;""Palatino,Regular""&amp;9LAND SALES DETAIL - Page &amp;P of &amp;N&amp;R&amp;""Palatino,Regular""&amp;9&amp;D   &amp;T",TRUE,FALSE,FALSE,FALSE,2,90,#N/A,#N/A,"=R1C1:R174C16","=R1:R3","Rwvu.annual.","Cwvu.annual.",FALSE,FALSE,FALSE,1,4294967292,300,FALSE,FALSE,TRUE,TRUE,TRUE}</definedName>
    <definedName name="wvu.annual." hidden="1">{TRUE,TRUE,-1.41610738255034,-14.9463087248322,497.718120805369,308.295302013423,FALSE,TRUE,TRUE,TRUE,0,1,#N/A,1,1,9.97,4.21739130434783,3,FALSE,TRUE,3,TRUE,1,FALSE,100,"Swvu.annual.","ACwvu.annual.",#N/A,FALSE,FALSE,0.5,0.5,0.5,0.5,2,"","&amp;L&amp;""Palatino,Regular""&amp;9&amp;F&amp;C&amp;""Palatino,Regular""&amp;9LAND SALES DETAIL - Page &amp;P of &amp;N&amp;R&amp;""Palatino,Regular""&amp;9&amp;D   &amp;T",TRUE,FALSE,FALSE,FALSE,2,90,#N/A,#N/A,"=R1C1:R174C16","=R1:R3","Rwvu.annual.","Cwvu.annual.",FALSE,FALSE,FALSE,1,4294967292,300,FALSE,FALSE,TRUE,TRUE,TRUE}</definedName>
    <definedName name="wvu.annual._.hotel." localSheetId="4" hidden="1">{TRUE,TRUE,-1.41610738255034,-14.9463087248322,497.718120805369,308.295302013423,FALSE,TRUE,TRUE,TRUE,0,1,1,1,1,1,2.08695652173913,4,TRUE,TRUE,3,TRUE,1,FALSE,100,"Swvu.annual._.hotel.","ACwvu.annual._.hotel.",#N/A,FALSE,FALSE,0.5,0.5,0.5,0.5,2,"","&amp;L&amp;8&amp;F&amp;C&amp;8HOTEL DEVELOPMENT - Page &amp;P of &amp;N&amp;R&amp;8&amp;D   &amp;T",TRUE,FALSE,FALSE,FALSE,2,#N/A,1,#N/A,#DIV/0!,"=R1:R2","Rwvu.annual._.hotel.","Cwvu.annual._.hotel.",FALSE,FALSE,FALSE,1,4294967292,300,FALSE,FALSE,TRUE,TRUE,TRUE}</definedName>
    <definedName name="wvu.annual._.hotel." localSheetId="6" hidden="1">{TRUE,TRUE,-1.41610738255034,-14.9463087248322,497.718120805369,308.295302013423,FALSE,TRUE,TRUE,TRUE,0,1,1,1,1,1,2.08695652173913,4,TRUE,TRUE,3,TRUE,1,FALSE,100,"Swvu.annual._.hotel.","ACwvu.annual._.hotel.",#N/A,FALSE,FALSE,0.5,0.5,0.5,0.5,2,"","&amp;L&amp;8&amp;F&amp;C&amp;8HOTEL DEVELOPMENT - Page &amp;P of &amp;N&amp;R&amp;8&amp;D   &amp;T",TRUE,FALSE,FALSE,FALSE,2,#N/A,1,#N/A,#DIV/0!,"=R1:R2","Rwvu.annual._.hotel.","Cwvu.annual._.hotel.",FALSE,FALSE,FALSE,1,4294967292,300,FALSE,FALSE,TRUE,TRUE,TRUE}</definedName>
    <definedName name="wvu.annual._.hotel." hidden="1">{TRUE,TRUE,-1.41610738255034,-14.9463087248322,497.718120805369,308.295302013423,FALSE,TRUE,TRUE,TRUE,0,1,1,1,1,1,2.08695652173913,4,TRUE,TRUE,3,TRUE,1,FALSE,100,"Swvu.annual._.hotel.","ACwvu.annual._.hotel.",#N/A,FALSE,FALSE,0.5,0.5,0.5,0.5,2,"","&amp;L&amp;8&amp;F&amp;C&amp;8HOTEL DEVELOPMENT - Page &amp;P of &amp;N&amp;R&amp;8&amp;D   &amp;T",TRUE,FALSE,FALSE,FALSE,2,#N/A,1,#N/A,#DIV/0!,"=R1:R2","Rwvu.annual._.hotel.","Cwvu.annual._.hotel.",FALSE,FALSE,FALSE,1,4294967292,300,FALSE,FALSE,TRUE,TRUE,TRUE}</definedName>
    <definedName name="wvu.As._.Is._.Value." localSheetId="4" hidden="1">{FALSE,FALSE,1.75,1,600,351,FALSE,FALSE,TRUE,TRUE,0,30,#N/A,41,#N/A,9.57777777777778,18.9166666666667,1,FALSE,FALSE,1,TRUE,1,FALSE,100,"Swvu.As._.Is._.Value.","ACwvu.As._.Is._.Value.",1,FALSE,FALSE,1,1,1,1,1,"","",FALSE,FALSE,FALSE,FALSE,1,#N/A,1,1,FALSE,FALSE,FALSE,FALSE,FALSE,FALSE}</definedName>
    <definedName name="wvu.As._.Is._.Value." localSheetId="8" hidden="1">{FALSE,FALSE,1.75,1,600,351,FALSE,FALSE,TRUE,TRUE,0,30,#N/A,41,#N/A,9.57777777777778,18.9166666666667,1,FALSE,FALSE,1,TRUE,1,FALSE,100,"Swvu.As._.Is._.Value.","ACwvu.As._.Is._.Value.",1,FALSE,FALSE,1,1,1,1,1,"","",FALSE,FALSE,FALSE,FALSE,1,#N/A,1,1,FALSE,FALSE,FALSE,FALSE,FALSE,FALSE}</definedName>
    <definedName name="wvu.As._.Is._.Value." localSheetId="6" hidden="1">{FALSE,FALSE,1.75,1,600,351,FALSE,FALSE,TRUE,TRUE,0,30,#N/A,41,#N/A,9.57777777777778,18.9166666666667,1,FALSE,FALSE,1,TRUE,1,FALSE,100,"Swvu.As._.Is._.Value.","ACwvu.As._.Is._.Value.",1,FALSE,FALSE,1,1,1,1,1,"","",FALSE,FALSE,FALSE,FALSE,1,#N/A,1,1,FALSE,FALSE,FALSE,FALSE,FALSE,FALSE}</definedName>
    <definedName name="wvu.As._.Is._.Value." hidden="1">{FALSE,FALSE,1.75,1,600,351,FALSE,FALSE,TRUE,TRUE,0,30,#N/A,41,#N/A,9.57777777777778,18.9166666666667,1,FALSE,FALSE,1,TRUE,1,FALSE,100,"Swvu.As._.Is._.Value.","ACwvu.As._.Is._.Value.",1,FALSE,FALSE,1,1,1,1,1,"","",FALSE,FALSE,FALSE,FALSE,1,#N/A,1,1,FALSE,FALSE,FALSE,FALSE,FALSE,FALSE}</definedName>
    <definedName name="wvu.bottom._.line." localSheetId="4" hidden="1">{TRUE,TRUE,-1.41610738255034,-14.9463087248322,497.718120805369,308.295302013423,FALSE,TRUE,TRUE,TRUE,0,1,1,1,280,1,2.17391304347826,4,TRUE,TRUE,3,TRUE,1,FALSE,100,"Swvu.bottom._.line.","ACwvu.bottom._.line.",#N/A,FALSE,FALSE,0.5,0.5,0.5,0.5,2,"","&amp;L&amp;8&amp;F   &amp;A&amp;R&amp;8&amp;D   &amp;T",TRUE,FALSE,FALSE,FALSE,2,#N/A,1,#N/A,#DIV/0!,"=R1:R2","Rwvu.bottom._.line.","Cwvu.bottom._.line.",FALSE,FALSE,FALSE,1,4294967292,300,FALSE,FALSE,TRUE,TRUE,TRUE}</definedName>
    <definedName name="wvu.bottom._.line." localSheetId="6" hidden="1">{TRUE,TRUE,-1.41610738255034,-14.9463087248322,497.718120805369,308.295302013423,FALSE,TRUE,TRUE,TRUE,0,1,1,1,280,1,2.17391304347826,4,TRUE,TRUE,3,TRUE,1,FALSE,100,"Swvu.bottom._.line.","ACwvu.bottom._.line.",#N/A,FALSE,FALSE,0.5,0.5,0.5,0.5,2,"","&amp;L&amp;8&amp;F   &amp;A&amp;R&amp;8&amp;D   &amp;T",TRUE,FALSE,FALSE,FALSE,2,#N/A,1,#N/A,#DIV/0!,"=R1:R2","Rwvu.bottom._.line.","Cwvu.bottom._.line.",FALSE,FALSE,FALSE,1,4294967292,300,FALSE,FALSE,TRUE,TRUE,TRUE}</definedName>
    <definedName name="wvu.bottom._.line." hidden="1">{TRUE,TRUE,-1.41610738255034,-14.9463087248322,497.718120805369,308.295302013423,FALSE,TRUE,TRUE,TRUE,0,1,1,1,280,1,2.17391304347826,4,TRUE,TRUE,3,TRUE,1,FALSE,100,"Swvu.bottom._.line.","ACwvu.bottom._.line.",#N/A,FALSE,FALSE,0.5,0.5,0.5,0.5,2,"","&amp;L&amp;8&amp;F   &amp;A&amp;R&amp;8&amp;D   &amp;T",TRUE,FALSE,FALSE,FALSE,2,#N/A,1,#N/A,#DIV/0!,"=R1:R2","Rwvu.bottom._.line.","Cwvu.bottom._.line.",FALSE,FALSE,FALSE,1,4294967292,300,FALSE,FALSE,TRUE,TRUE,TRUE}</definedName>
    <definedName name="wvu.cash._.flow." localSheetId="4" hidden="1">{TRUE,TRUE,-1.41610738255034,-14.9463087248322,497.718120805369,308.295302013423,FALSE,TRUE,TRUE,TRUE,0,1,1,1,1,1,2.40816326530612,4,TRUE,TRUE,3,TRUE,1,FALSE,100,"Swvu.cash._.flow.","ACwvu.cash._.flow.",#N/A,FALSE,FALSE,0.5,0.5,0.5,0.5,2,"","&amp;L&amp;""Palatino,Regular""&amp;8&amp;F&amp;C&amp;""Palatino,Regular""&amp;8SHARED COSTS&amp;R&amp;""Palatino,Regular""&amp;8&amp;D   &amp;T",TRUE,FALSE,FALSE,FALSE,1,#N/A,1,1,"=R1C1:R120C22",FALSE,"Rwvu.cash._.flow.","Cwvu.cash._.flow.",FALSE,FALSE,FALSE,1,4294967292,300,FALSE,FALSE,TRUE,TRUE,TRUE}</definedName>
    <definedName name="wvu.cash._.flow." localSheetId="6" hidden="1">{TRUE,TRUE,-1.41610738255034,-14.9463087248322,497.718120805369,308.295302013423,FALSE,TRUE,TRUE,TRUE,0,1,1,1,1,1,2.40816326530612,4,TRUE,TRUE,3,TRUE,1,FALSE,100,"Swvu.cash._.flow.","ACwvu.cash._.flow.",#N/A,FALSE,FALSE,0.5,0.5,0.5,0.5,2,"","&amp;L&amp;""Palatino,Regular""&amp;8&amp;F&amp;C&amp;""Palatino,Regular""&amp;8SHARED COSTS&amp;R&amp;""Palatino,Regular""&amp;8&amp;D   &amp;T",TRUE,FALSE,FALSE,FALSE,1,#N/A,1,1,"=R1C1:R120C22",FALSE,"Rwvu.cash._.flow.","Cwvu.cash._.flow.",FALSE,FALSE,FALSE,1,4294967292,300,FALSE,FALSE,TRUE,TRUE,TRUE}</definedName>
    <definedName name="wvu.cash._.flow." hidden="1">{TRUE,TRUE,-1.41610738255034,-14.9463087248322,497.718120805369,308.295302013423,FALSE,TRUE,TRUE,TRUE,0,1,1,1,1,1,2.40816326530612,4,TRUE,TRUE,3,TRUE,1,FALSE,100,"Swvu.cash._.flow.","ACwvu.cash._.flow.",#N/A,FALSE,FALSE,0.5,0.5,0.5,0.5,2,"","&amp;L&amp;""Palatino,Regular""&amp;8&amp;F&amp;C&amp;""Palatino,Regular""&amp;8SHARED COSTS&amp;R&amp;""Palatino,Regular""&amp;8&amp;D   &amp;T",TRUE,FALSE,FALSE,FALSE,1,#N/A,1,1,"=R1C1:R120C22",FALSE,"Rwvu.cash._.flow.","Cwvu.cash._.flow.",FALSE,FALSE,FALSE,1,4294967292,300,FALSE,FALSE,TRUE,TRUE,TRUE}</definedName>
    <definedName name="wvu.combo." localSheetId="4" hidden="1">{TRUE,TRUE,-1.41610738255034,-14.9463087248322,497.718120805369,308.295302013423,FALSE,TRUE,TRUE,TRUE,0,1,3,1,170,1,1.07142857142857,3,TRUE,TRUE,3,TRUE,1,FALSE,100,"Swvu.combo.","ACwvu.combo.",#N/A,FALSE,FALSE,0.5,0.5,0.5,0.5,2,"","&amp;L&amp;8&amp;F   &amp;A&amp;R&amp;8&amp;D   &amp;T",TRUE,FALSE,FALSE,FALSE,2,#N/A,1,#N/A,#DIV/0!,"=R1:R2","Rwvu.combo.","Cwvu.combo.",FALSE,FALSE,FALSE,1,4294967292,300,FALSE,FALSE,TRUE,TRUE,TRUE}</definedName>
    <definedName name="wvu.combo." localSheetId="6" hidden="1">{TRUE,TRUE,-1.41610738255034,-14.9463087248322,497.718120805369,308.295302013423,FALSE,TRUE,TRUE,TRUE,0,1,3,1,170,1,1.07142857142857,3,TRUE,TRUE,3,TRUE,1,FALSE,100,"Swvu.combo.","ACwvu.combo.",#N/A,FALSE,FALSE,0.5,0.5,0.5,0.5,2,"","&amp;L&amp;8&amp;F   &amp;A&amp;R&amp;8&amp;D   &amp;T",TRUE,FALSE,FALSE,FALSE,2,#N/A,1,#N/A,#DIV/0!,"=R1:R2","Rwvu.combo.","Cwvu.combo.",FALSE,FALSE,FALSE,1,4294967292,300,FALSE,FALSE,TRUE,TRUE,TRUE}</definedName>
    <definedName name="wvu.combo." hidden="1">{TRUE,TRUE,-1.41610738255034,-14.9463087248322,497.718120805369,308.295302013423,FALSE,TRUE,TRUE,TRUE,0,1,3,1,170,1,1.07142857142857,3,TRUE,TRUE,3,TRUE,1,FALSE,100,"Swvu.combo.","ACwvu.combo.",#N/A,FALSE,FALSE,0.5,0.5,0.5,0.5,2,"","&amp;L&amp;8&amp;F   &amp;A&amp;R&amp;8&amp;D   &amp;T",TRUE,FALSE,FALSE,FALSE,2,#N/A,1,#N/A,#DIV/0!,"=R1:R2","Rwvu.combo.","Cwvu.combo.",FALSE,FALSE,FALSE,1,4294967292,300,FALSE,FALSE,TRUE,TRUE,TRUE}</definedName>
    <definedName name="wvu.COMPRIMIDA." localSheetId="8" hidden="1">{TRUE,TRUE,-1.25,-15.5,484.5,276.75,FALSE,TRUE,TRUE,TRUE,0,1,#N/A,5,#N/A,7.31764705882353,16.9411764705882,1,FALSE,FALSE,3,TRUE,1,FALSE,100,"Swvu.COMPRIMIDA.","ACwvu.COMPRIMIDA.",#N/A,FALSE,FALSE,0.118110236220472,0.118110236220472,0.511811023622047,0.511811023622047,2,"&amp;R&amp;""Arial,Negrita""&amp;11PRESUPUESTO 1995&amp;""Arial,Normal""&amp;10  -  &amp;D
&amp;T","&amp;CPágina 19",TRUE,TRUE,FALSE,TRUE,1,#N/A,1,1,"=R29C2:R96C18,R103C2:R138C19,R145C2:R216C19,R223C2:R284C19,R353C2:R384C19,R392C2:R437C19,R298C2:R346C19,R444C2:R474C19","=Inver!R7:R10",#N/A,"Cwvu.COMPRIMIDA.",FALSE,FALSE,FALSE,9,65532,65532,FALSE,FALSE,TRUE,TRUE,TRUE}</definedName>
    <definedName name="wvu.COMPRIMIDA." hidden="1">{TRUE,TRUE,-1.25,-15.5,484.5,276.75,FALSE,TRUE,TRUE,TRUE,0,1,#N/A,5,#N/A,7.31764705882353,16.9411764705882,1,FALSE,FALSE,3,TRUE,1,FALSE,100,"Swvu.COMPRIMIDA.","ACwvu.COMPRIMIDA.",#N/A,FALSE,FALSE,0.118110236220472,0.118110236220472,0.511811023622047,0.511811023622047,2,"&amp;R&amp;""Arial,Negrita""&amp;11PRESUPUESTO 1995&amp;""Arial,Normal""&amp;10  -  &amp;D&amp;T","&amp;CPágina 19",TRUE,TRUE,FALSE,TRUE,1,#N/A,1,1,"=R29C2:R96C18,R103C2:R138C19,R145C2:R216C19,R223C2:R284C19,R353C2:R384C19,R392C2:R437C19,R298C2:R346C19,R444C2:R474C19","=Inver!R7:R10",#N/A,"Cwvu.COMPRIMIDA.",FALSE,FALSE,FALSE,9,65532,65532,FALSE,FALSE,TRUE,TRUE,TRUE}</definedName>
    <definedName name="wvu.Détails." localSheetId="4" hidden="1">{TRUE,TRUE,-1.25,-15.5,604.5,366.75,FALSE,TRUE,TRUE,TRUE,0,1,#N/A,1,#N/A,6.54838709677419,31.3076923076923,1,FALSE,FALSE,3,TRUE,1,FALSE,75,"Swvu.Détails.","ACwvu.Détails.",#N/A,FALSE,FALSE,0.15748031496063,0.15748031496063,0.748031496062992,0.511811023622047,2,"&amp;C&amp;""Arial,Gras""&amp;20DISNEY  -  PRODUCTION  BUDGET&amp;R&amp;""Arial,Gras""&amp;20SUMMARY","&amp;L&amp;F  -  &amp;A&amp;C&amp;""Arial,Gras""&amp;D&amp;""Arial,Normal""  -  &amp;T&amp;RPage",TRUE,TRUE,FALSE,TRUE,1,#N/A,1,1,"=R1C1:R60C24","=R1:R5",#N/A,#N/A,FALSE,FALSE,FALSE,5,65532,65532,FALSE,FALSE,TRUE,TRUE,TRUE}</definedName>
    <definedName name="wvu.Détails." localSheetId="8" hidden="1">{TRUE,TRUE,-1.25,-15.5,604.5,366.75,FALSE,TRUE,TRUE,TRUE,0,1,#N/A,1,#N/A,6.54838709677419,31.3076923076923,1,FALSE,FALSE,3,TRUE,1,FALSE,75,"Swvu.Détails.","ACwvu.Détails.",#N/A,FALSE,FALSE,0.15748031496063,0.15748031496063,0.748031496062992,0.511811023622047,2,"&amp;C&amp;""Arial,Gras""&amp;20DISNEY  -  PRODUCTION  BUDGET&amp;R&amp;""Arial,Gras""&amp;20SUMMARY","&amp;L&amp;F  -  &amp;A&amp;C&amp;""Arial,Gras""&amp;D&amp;""Arial,Normal""  -  &amp;T&amp;RPage
",TRUE,TRUE,FALSE,TRUE,1,#N/A,1,1,"=R1C1:R60C24","=R1:R5",#N/A,#N/A,FALSE,FALSE,FALSE,5,65532,65532,FALSE,FALSE,TRUE,TRUE,TRUE}</definedName>
    <definedName name="wvu.Détails." localSheetId="6" hidden="1">{TRUE,TRUE,-1.25,-15.5,604.5,366.75,FALSE,TRUE,TRUE,TRUE,0,1,#N/A,1,#N/A,6.54838709677419,31.3076923076923,1,FALSE,FALSE,3,TRUE,1,FALSE,75,"Swvu.Détails.","ACwvu.Détails.",#N/A,FALSE,FALSE,0.15748031496063,0.15748031496063,0.748031496062992,0.511811023622047,2,"&amp;C&amp;""Arial,Gras""&amp;20DISNEY  -  PRODUCTION  BUDGET&amp;R&amp;""Arial,Gras""&amp;20SUMMARY","&amp;L&amp;F  -  &amp;A&amp;C&amp;""Arial,Gras""&amp;D&amp;""Arial,Normal""  -  &amp;T&amp;RPage",TRUE,TRUE,FALSE,TRUE,1,#N/A,1,1,"=R1C1:R60C24","=R1:R5",#N/A,#N/A,FALSE,FALSE,FALSE,5,65532,65532,FALSE,FALSE,TRUE,TRUE,TRUE}</definedName>
    <definedName name="wvu.Détails." hidden="1">{TRUE,TRUE,-1.25,-15.5,604.5,366.75,FALSE,TRUE,TRUE,TRUE,0,1,#N/A,1,#N/A,6.54838709677419,31.3076923076923,1,FALSE,FALSE,3,TRUE,1,FALSE,75,"Swvu.Détails.","ACwvu.Détails.",#N/A,FALSE,FALSE,0.15748031496063,0.15748031496063,0.748031496062992,0.511811023622047,2,"&amp;C&amp;""Arial,Gras""&amp;20DISNEY  -  PRODUCTION  BUDGET&amp;R&amp;""Arial,Gras""&amp;20SUMMARY","&amp;L&amp;F  -  &amp;A&amp;C&amp;""Arial,Gras""&amp;D&amp;""Arial,Normal""  -  &amp;T&amp;RPage",TRUE,TRUE,FALSE,TRUE,1,#N/A,1,1,"=R1C1:R60C24","=R1:R5",#N/A,#N/A,FALSE,FALSE,FALSE,5,65532,65532,FALSE,FALSE,TRUE,TRUE,TRUE}</definedName>
    <definedName name="wvu.full." localSheetId="4" hidden="1">{TRUE,TRUE,-1.41610738255034,-14.9463087248322,497.718120805369,308.295302013423,FALSE,TRUE,TRUE,TRUE,0,1,#N/A,1,1,8.41904761904762,2.4,3,FALSE,TRUE,3,TRUE,1,FALSE,100,"Swvu.full.","ACwvu.full.",#N/A,FALSE,FALSE,0.5,0.5,0.5,0.5,2,"","&amp;L&amp;F&amp;R&amp;D   &amp;T",TRUE,FALSE,FALSE,FALSE,1,#N/A,1,1,"=R1C1:R97C24",FALSE,#N/A,#N/A,FALSE,FALSE,FALSE,1,4294967292,300,FALSE,FALSE,TRUE,TRUE,TRUE}</definedName>
    <definedName name="wvu.full." localSheetId="6" hidden="1">{TRUE,TRUE,-1.41610738255034,-14.9463087248322,497.718120805369,308.295302013423,FALSE,TRUE,TRUE,TRUE,0,1,#N/A,1,1,8.41904761904762,2.4,3,FALSE,TRUE,3,TRUE,1,FALSE,100,"Swvu.full.","ACwvu.full.",#N/A,FALSE,FALSE,0.5,0.5,0.5,0.5,2,"","&amp;L&amp;F&amp;R&amp;D   &amp;T",TRUE,FALSE,FALSE,FALSE,1,#N/A,1,1,"=R1C1:R97C24",FALSE,#N/A,#N/A,FALSE,FALSE,FALSE,1,4294967292,300,FALSE,FALSE,TRUE,TRUE,TRUE}</definedName>
    <definedName name="wvu.full." hidden="1">{TRUE,TRUE,-1.41610738255034,-14.9463087248322,497.718120805369,308.295302013423,FALSE,TRUE,TRUE,TRUE,0,1,#N/A,1,1,8.41904761904762,2.4,3,FALSE,TRUE,3,TRUE,1,FALSE,100,"Swvu.full.","ACwvu.full.",#N/A,FALSE,FALSE,0.5,0.5,0.5,0.5,2,"","&amp;L&amp;F&amp;R&amp;D   &amp;T",TRUE,FALSE,FALSE,FALSE,1,#N/A,1,1,"=R1C1:R97C24",FALSE,#N/A,#N/A,FALSE,FALSE,FALSE,1,4294967292,300,FALSE,FALSE,TRUE,TRUE,TRUE}</definedName>
    <definedName name="wvu.offsite." localSheetId="4" hidden="1">{TRUE,TRUE,-1.41610738255034,-14.9463087248322,497.718120805369,308.295302013423,FALSE,TRUE,TRUE,TRUE,0,1,1,1,1,3,2.91836734693878,4,TRUE,TRUE,3,TRUE,1,FALSE,100,"Swvu.offsite.","ACwvu.offsite.",#N/A,FALSE,FALSE,0.5,0.5,0.5,0.5,1,"","&amp;L&amp;""Palatino,Regular""&amp;8&amp;F&amp;C&amp;""Palatino,Regular""&amp;8SHARED COSTS&amp;R&amp;""Palatino,Regular""&amp;8&amp;D   &amp;T",TRUE,FALSE,FALSE,FALSE,1,#N/A,1,1,#DIV/0!,"=R1:R2","Rwvu.offsite.",#N/A,FALSE,FALSE,FALSE,1,4294967292,300,FALSE,FALSE,TRUE,TRUE,TRUE}</definedName>
    <definedName name="wvu.offsite." localSheetId="6" hidden="1">{TRUE,TRUE,-1.41610738255034,-14.9463087248322,497.718120805369,308.295302013423,FALSE,TRUE,TRUE,TRUE,0,1,1,1,1,3,2.91836734693878,4,TRUE,TRUE,3,TRUE,1,FALSE,100,"Swvu.offsite.","ACwvu.offsite.",#N/A,FALSE,FALSE,0.5,0.5,0.5,0.5,1,"","&amp;L&amp;""Palatino,Regular""&amp;8&amp;F&amp;C&amp;""Palatino,Regular""&amp;8SHARED COSTS&amp;R&amp;""Palatino,Regular""&amp;8&amp;D   &amp;T",TRUE,FALSE,FALSE,FALSE,1,#N/A,1,1,#DIV/0!,"=R1:R2","Rwvu.offsite.",#N/A,FALSE,FALSE,FALSE,1,4294967292,300,FALSE,FALSE,TRUE,TRUE,TRUE}</definedName>
    <definedName name="wvu.offsite." hidden="1">{TRUE,TRUE,-1.41610738255034,-14.9463087248322,497.718120805369,308.295302013423,FALSE,TRUE,TRUE,TRUE,0,1,1,1,1,3,2.91836734693878,4,TRUE,TRUE,3,TRUE,1,FALSE,100,"Swvu.offsite.","ACwvu.offsite.",#N/A,FALSE,FALSE,0.5,0.5,0.5,0.5,1,"","&amp;L&amp;""Palatino,Regular""&amp;8&amp;F&amp;C&amp;""Palatino,Regular""&amp;8SHARED COSTS&amp;R&amp;""Palatino,Regular""&amp;8&amp;D   &amp;T",TRUE,FALSE,FALSE,FALSE,1,#N/A,1,1,#DIV/0!,"=R1:R2","Rwvu.offsite.",#N/A,FALSE,FALSE,FALSE,1,4294967292,300,FALSE,FALSE,TRUE,TRUE,TRUE}</definedName>
    <definedName name="wvu.onsite." localSheetId="4" hidden="1">{TRUE,TRUE,-1.41610738255034,-14.9463087248322,497.718120805369,308.295302013423,FALSE,TRUE,TRUE,TRUE,0,1,1,1,1,3,2.83673469387755,4,TRUE,TRUE,3,TRUE,1,FALSE,100,"Swvu.onsite.","ACwvu.onsite.",#N/A,FALSE,FALSE,0.5,0.5,0.5,0.5,1,"","&amp;L&amp;""Palatino,Regular""&amp;8&amp;F&amp;C&amp;""Palatino,Regular""&amp;8SHARED COSTS&amp;R&amp;""Palatino,Regular""&amp;8&amp;D   &amp;T",TRUE,FALSE,FALSE,FALSE,1,#N/A,1,1,#DIV/0!,"=R1:R2","Rwvu.onsite.",#N/A,FALSE,FALSE,FALSE,1,4294967292,300,FALSE,FALSE,TRUE,TRUE,TRUE}</definedName>
    <definedName name="wvu.onsite." localSheetId="6" hidden="1">{TRUE,TRUE,-1.41610738255034,-14.9463087248322,497.718120805369,308.295302013423,FALSE,TRUE,TRUE,TRUE,0,1,1,1,1,3,2.83673469387755,4,TRUE,TRUE,3,TRUE,1,FALSE,100,"Swvu.onsite.","ACwvu.onsite.",#N/A,FALSE,FALSE,0.5,0.5,0.5,0.5,1,"","&amp;L&amp;""Palatino,Regular""&amp;8&amp;F&amp;C&amp;""Palatino,Regular""&amp;8SHARED COSTS&amp;R&amp;""Palatino,Regular""&amp;8&amp;D   &amp;T",TRUE,FALSE,FALSE,FALSE,1,#N/A,1,1,#DIV/0!,"=R1:R2","Rwvu.onsite.",#N/A,FALSE,FALSE,FALSE,1,4294967292,300,FALSE,FALSE,TRUE,TRUE,TRUE}</definedName>
    <definedName name="wvu.onsite." hidden="1">{TRUE,TRUE,-1.41610738255034,-14.9463087248322,497.718120805369,308.295302013423,FALSE,TRUE,TRUE,TRUE,0,1,1,1,1,3,2.83673469387755,4,TRUE,TRUE,3,TRUE,1,FALSE,100,"Swvu.onsite.","ACwvu.onsite.",#N/A,FALSE,FALSE,0.5,0.5,0.5,0.5,1,"","&amp;L&amp;""Palatino,Regular""&amp;8&amp;F&amp;C&amp;""Palatino,Regular""&amp;8SHARED COSTS&amp;R&amp;""Palatino,Regular""&amp;8&amp;D   &amp;T",TRUE,FALSE,FALSE,FALSE,1,#N/A,1,1,#DIV/0!,"=R1:R2","Rwvu.onsite.",#N/A,FALSE,FALSE,FALSE,1,4294967292,300,FALSE,FALSE,TRUE,TRUE,TRUE}</definedName>
    <definedName name="wvu.quarterly." localSheetId="4" hidden="1">{TRUE,TRUE,-1.25,-15.5,484.5,270,FALSE,TRUE,TRUE,TRUE,0,1,2,2,1,3,1.93333333333333,4,TRUE,TRUE,3,TRUE,1,FALSE,75,"Swvu.quarterly.","ACwvu.quarterly.",#N/A,FALSE,FALSE,0.25,0.25,0.5,0.5,2,"","&amp;L&amp;10&amp;F   &amp;A&amp;C&amp;10Page &amp;P&amp;R&amp;10&amp;D   &amp;T",FALSE,FALSE,FALSE,FALSE,2,71,#N/A,#N/A,"=R1C1:R153C72","=C1:C4,R1:R3","Rwvu.quarterly.",#N/A,FALSE,FALSE,TRUE,1,65532,65532,FALSE,FALSE,TRUE,TRUE,TRUE}</definedName>
    <definedName name="wvu.quarterly." localSheetId="6" hidden="1">{TRUE,TRUE,-1.25,-15.5,484.5,270,FALSE,TRUE,TRUE,TRUE,0,1,2,2,1,3,1.93333333333333,4,TRUE,TRUE,3,TRUE,1,FALSE,75,"Swvu.quarterly.","ACwvu.quarterly.",#N/A,FALSE,FALSE,0.25,0.25,0.5,0.5,2,"","&amp;L&amp;10&amp;F   &amp;A&amp;C&amp;10Page &amp;P&amp;R&amp;10&amp;D   &amp;T",FALSE,FALSE,FALSE,FALSE,2,71,#N/A,#N/A,"=R1C1:R153C72","=C1:C4,R1:R3","Rwvu.quarterly.",#N/A,FALSE,FALSE,TRUE,1,65532,65532,FALSE,FALSE,TRUE,TRUE,TRUE}</definedName>
    <definedName name="wvu.quarterly." hidden="1">{TRUE,TRUE,-1.25,-15.5,484.5,270,FALSE,TRUE,TRUE,TRUE,0,1,2,2,1,3,1.93333333333333,4,TRUE,TRUE,3,TRUE,1,FALSE,75,"Swvu.quarterly.","ACwvu.quarterly.",#N/A,FALSE,FALSE,0.25,0.25,0.5,0.5,2,"","&amp;L&amp;10&amp;F   &amp;A&amp;C&amp;10Page &amp;P&amp;R&amp;10&amp;D   &amp;T",FALSE,FALSE,FALSE,FALSE,2,71,#N/A,#N/A,"=R1C1:R153C72","=C1:C4,R1:R3","Rwvu.quarterly.",#N/A,FALSE,FALSE,TRUE,1,65532,65532,FALSE,FALSE,TRUE,TRUE,TRUE}</definedName>
    <definedName name="wvu.Sommaire." localSheetId="4" hidden="1">{TRUE,TRUE,-1.25,-15.5,604.5,366.75,FALSE,TRUE,TRUE,TRUE,0,1,2,1,6,1,5,4,TRUE,TRUE,3,TRUE,1,TRUE,75,"Swvu.Sommaire.","ACwvu.Sommaire.",#N/A,FALSE,FALSE,0.15748031496063,0.15748031496063,0.748031496062992,0.511811023622047,2,"&amp;C&amp;""Arial,Gras""&amp;20DISNEY  -  PRODUCTION  BUDGET&amp;R&amp;""Arial,Gras""&amp;20SUMMARY","&amp;L&amp;F  -  &amp;A&amp;C&amp;""Arial,Gras""&amp;D&amp;""Arial,Normal""  -  &amp;T&amp;RPage",TRUE,TRUE,FALSE,TRUE,1,#N/A,1,1,"=R1C1:R60C24","=R1:R5","Rwvu.Sommaire.",#N/A,FALSE,FALSE,FALSE,5,65532,65532,FALSE,FALSE,TRUE,TRUE,TRUE}</definedName>
    <definedName name="wvu.Sommaire." localSheetId="8" hidden="1">{TRUE,TRUE,-1.25,-15.5,604.5,366.75,FALSE,TRUE,TRUE,TRUE,0,1,2,1,6,1,5,4,TRUE,TRUE,3,TRUE,1,TRUE,75,"Swvu.Sommaire.","ACwvu.Sommaire.",#N/A,FALSE,FALSE,0.15748031496063,0.15748031496063,0.748031496062992,0.511811023622047,2,"&amp;C&amp;""Arial,Gras""&amp;20DISNEY  -  PRODUCTION  BUDGET&amp;R&amp;""Arial,Gras""&amp;20SUMMARY","&amp;L&amp;F  -  &amp;A&amp;C&amp;""Arial,Gras""&amp;D&amp;""Arial,Normal""  -  &amp;T&amp;RPage
",TRUE,TRUE,FALSE,TRUE,1,#N/A,1,1,"=R1C1:R60C24","=R1:R5","Rwvu.Sommaire.",#N/A,FALSE,FALSE,FALSE,5,65532,65532,FALSE,FALSE,TRUE,TRUE,TRUE}</definedName>
    <definedName name="wvu.Sommaire." localSheetId="6" hidden="1">{TRUE,TRUE,-1.25,-15.5,604.5,366.75,FALSE,TRUE,TRUE,TRUE,0,1,2,1,6,1,5,4,TRUE,TRUE,3,TRUE,1,TRUE,75,"Swvu.Sommaire.","ACwvu.Sommaire.",#N/A,FALSE,FALSE,0.15748031496063,0.15748031496063,0.748031496062992,0.511811023622047,2,"&amp;C&amp;""Arial,Gras""&amp;20DISNEY  -  PRODUCTION  BUDGET&amp;R&amp;""Arial,Gras""&amp;20SUMMARY","&amp;L&amp;F  -  &amp;A&amp;C&amp;""Arial,Gras""&amp;D&amp;""Arial,Normal""  -  &amp;T&amp;RPage",TRUE,TRUE,FALSE,TRUE,1,#N/A,1,1,"=R1C1:R60C24","=R1:R5","Rwvu.Sommaire.",#N/A,FALSE,FALSE,FALSE,5,65532,65532,FALSE,FALSE,TRUE,TRUE,TRUE}</definedName>
    <definedName name="wvu.Sommaire." hidden="1">{TRUE,TRUE,-1.25,-15.5,604.5,366.75,FALSE,TRUE,TRUE,TRUE,0,1,2,1,6,1,5,4,TRUE,TRUE,3,TRUE,1,TRUE,75,"Swvu.Sommaire.","ACwvu.Sommaire.",#N/A,FALSE,FALSE,0.15748031496063,0.15748031496063,0.748031496062992,0.511811023622047,2,"&amp;C&amp;""Arial,Gras""&amp;20DISNEY  -  PRODUCTION  BUDGET&amp;R&amp;""Arial,Gras""&amp;20SUMMARY","&amp;L&amp;F  -  &amp;A&amp;C&amp;""Arial,Gras""&amp;D&amp;""Arial,Normal""  -  &amp;T&amp;RPage",TRUE,TRUE,FALSE,TRUE,1,#N/A,1,1,"=R1C1:R60C24","=R1:R5","Rwvu.Sommaire.",#N/A,FALSE,FALSE,FALSE,5,65532,65532,FALSE,FALSE,TRUE,TRUE,TRUE}</definedName>
    <definedName name="wvu.STANDARD." localSheetId="8" hidden="1">{TRUE,TRUE,-1.25,-15.5,484.5,276.75,FALSE,TRUE,TRUE,TRUE,0,1,#N/A,10,#N/A,7.31764705882353,17.7058823529412,1,FALSE,FALSE,3,TRUE,1,FALSE,100,"Swvu.STANDARD.","ACwvu.STANDARD.",#N/A,FALSE,FALSE,0.118110236220472,0.118110236220472,0.511811023622047,0.511811023622047,2,"&amp;R&amp;""Arial,Negrita""&amp;11PRESUPUESTO 1995&amp;""Arial,Normal""&amp;10  -  &amp;D
&amp;T","&amp;CPágina 19",TRUE,TRUE,FALSE,TRUE,1,#N/A,1,1,"=R29C2:R92C18,R99C2:R134C19,R141C2:R212C19,R219C2:R280C19,R349C2:R380C19,R388C2:R433C19,R294C2:R342C19,R440C2:R470C19","=Inver!R7:R10",#N/A,"Cwvu.STANDARD.",FALSE,FALSE,FALSE,9,65532,65532,FALSE,FALSE,TRUE,TRUE,TRUE}</definedName>
    <definedName name="wvu.STANDARD." hidden="1">{TRUE,TRUE,-1.25,-15.5,484.5,276.75,FALSE,TRUE,TRUE,TRUE,0,1,#N/A,10,#N/A,7.31764705882353,17.7058823529412,1,FALSE,FALSE,3,TRUE,1,FALSE,100,"Swvu.STANDARD.","ACwvu.STANDARD.",#N/A,FALSE,FALSE,0.118110236220472,0.118110236220472,0.511811023622047,0.511811023622047,2,"&amp;R&amp;""Arial,Negrita""&amp;11PRESUPUESTO 1995&amp;""Arial,Normal""&amp;10  -  &amp;D&amp;T","&amp;CPágina 19",TRUE,TRUE,FALSE,TRUE,1,#N/A,1,1,"=R29C2:R92C18,R99C2:R134C19,R141C2:R212C19,R219C2:R280C19,R349C2:R380C19,R388C2:R433C19,R294C2:R342C19,R440C2:R470C19","=Inver!R7:R10",#N/A,"Cwvu.STANDARD.",FALSE,FALSE,FALSE,9,65532,65532,FALSE,FALSE,TRUE,TRUE,TRUE}</definedName>
    <definedName name="wvu.TODO_ABIERTO." localSheetId="8" hidden="1">{TRUE,TRUE,-1.25,-15.5,484.5,276.75,FALSE,TRUE,TRUE,TRUE,0,1,#N/A,70,#N/A,7.31764705882353,18.2941176470588,1,FALSE,FALSE,3,TRUE,1,FALSE,100,"Swvu.TODO_ABIERTO.","ACwvu.TODO_ABIERTO.",#N/A,FALSE,FALSE,0.118110236220472,0.118110236220472,0.511811023622047,0.511811023622047,2,"&amp;R&amp;""Arial,Negrita""&amp;11PRESUPUESTO 1995&amp;""Arial,Normal""&amp;10  -  &amp;D
&amp;T","&amp;CPágina 19",TRUE,TRUE,FALSE,TRUE,1,#N/A,1,1,"=R29C2:R92C18,R99C2:R134C19,R141C2:R212C19,R219C2:R280C19,R349C2:R380C19,R388C2:R433C19,R294C2:R342C19,R440C2:R470C19","=Inver!R7:R10",#N/A,#N/A,FALSE,FALSE,FALSE,9,65532,65532,FALSE,FALSE,TRUE,TRUE,TRUE}</definedName>
    <definedName name="wvu.TODO_ABIERTO." hidden="1">{TRUE,TRUE,-1.25,-15.5,484.5,276.75,FALSE,TRUE,TRUE,TRUE,0,1,#N/A,70,#N/A,7.31764705882353,18.2941176470588,1,FALSE,FALSE,3,TRUE,1,FALSE,100,"Swvu.TODO_ABIERTO.","ACwvu.TODO_ABIERTO.",#N/A,FALSE,FALSE,0.118110236220472,0.118110236220472,0.511811023622047,0.511811023622047,2,"&amp;R&amp;""Arial,Negrita""&amp;11PRESUPUESTO 1995&amp;""Arial,Normal""&amp;10  -  &amp;D&amp;T","&amp;CPágina 19",TRUE,TRUE,FALSE,TRUE,1,#N/A,1,1,"=R29C2:R92C18,R99C2:R134C19,R141C2:R212C19,R219C2:R280C19,R349C2:R380C19,R388C2:R433C19,R294C2:R342C19,R440C2:R470C19","=Inver!R7:R10",#N/A,#N/A,FALSE,FALSE,FALSE,9,65532,65532,FALSE,FALSE,TRUE,TRUE,TRUE}</definedName>
    <definedName name="ww" localSheetId="8" hidden="1">{#N/A,#N/A,FALSE,"F-01";#N/A,#N/A,FALSE,"F-01";#N/A,#N/A,FALSE,"F-01"}</definedName>
    <definedName name="ww" hidden="1">{#N/A,#N/A,FALSE,"F-01";#N/A,#N/A,FALSE,"F-01";#N/A,#N/A,FALSE,"F-01"}</definedName>
    <definedName name="WWRENT" localSheetId="8" hidden="1">{#N/A,#N/A,FALSE,"F-01";#N/A,#N/A,FALSE,"F-01";#N/A,#N/A,FALSE,"F-01"}</definedName>
    <definedName name="WWRENT" hidden="1">{#N/A,#N/A,FALSE,"F-01";#N/A,#N/A,FALSE,"F-01";#N/A,#N/A,FALSE,"F-01"}</definedName>
    <definedName name="WWW" localSheetId="0" hidden="1">{"uno",#N/A,FALSE,"Dist total";"COMENTARIO",#N/A,FALSE,"Ficha CODICE"}</definedName>
    <definedName name="www" localSheetId="4" hidden="1">{"data",#N/A,FALSE,"INPUT"}</definedName>
    <definedName name="www" localSheetId="8" hidden="1">{"data",#N/A,FALSE,"INPUT"}</definedName>
    <definedName name="www" localSheetId="6" hidden="1">{"data",#N/A,FALSE,"INPUT"}</definedName>
    <definedName name="www" hidden="1">{"data",#N/A,FALSE,"INPUT"}</definedName>
    <definedName name="WWWW" localSheetId="0" hidden="1">{"ANAR",#N/A,FALSE,"Dist total";"MARGEN",#N/A,FALSE,"Dist total";"COMENTARIO",#N/A,FALSE,"Ficha CODICE";"CONSEJO",#N/A,FALSE,"Dist p0";"uno",#N/A,FALSE,"Dist total"}</definedName>
    <definedName name="wwww" localSheetId="4" hidden="1">{TRUE,TRUE,-1.41610738255034,-14.9463087248322,497.718120805369,308.295302013423,FALSE,TRUE,TRUE,TRUE,0,1,#N/A,1,1,9.97,4.21739130434783,3,FALSE,TRUE,3,TRUE,1,FALSE,100,"Swvu.annual.","ACwvu.annual.",#N/A,FALSE,FALSE,0.5,0.5,0.5,0.5,2,"","&amp;L&amp;""Palatino,Regular""&amp;9&amp;F&amp;C&amp;""Palatino,Regular""&amp;9LAND SALES DETAIL - Page &amp;P of &amp;N&amp;R&amp;""Palatino,Regular""&amp;9&amp;D   &amp;T",TRUE,FALSE,FALSE,FALSE,2,90,#N/A,#N/A,"=R1C1:R174C16","=R1:R3","Rwvu.annual.","Cwvu.annual.",FALSE,FALSE,FALSE,1,4294967292,300,FALSE,FALSE,TRUE,TRUE,TRUE}</definedName>
    <definedName name="wwww" localSheetId="6" hidden="1">{TRUE,TRUE,-1.41610738255034,-14.9463087248322,497.718120805369,308.295302013423,FALSE,TRUE,TRUE,TRUE,0,1,#N/A,1,1,9.97,4.21739130434783,3,FALSE,TRUE,3,TRUE,1,FALSE,100,"Swvu.annual.","ACwvu.annual.",#N/A,FALSE,FALSE,0.5,0.5,0.5,0.5,2,"","&amp;L&amp;""Palatino,Regular""&amp;9&amp;F&amp;C&amp;""Palatino,Regular""&amp;9LAND SALES DETAIL - Page &amp;P of &amp;N&amp;R&amp;""Palatino,Regular""&amp;9&amp;D   &amp;T",TRUE,FALSE,FALSE,FALSE,2,90,#N/A,#N/A,"=R1C1:R174C16","=R1:R3","Rwvu.annual.","Cwvu.annual.",FALSE,FALSE,FALSE,1,4294967292,300,FALSE,FALSE,TRUE,TRUE,TRUE}</definedName>
    <definedName name="wwww" hidden="1">{TRUE,TRUE,-1.41610738255034,-14.9463087248322,497.718120805369,308.295302013423,FALSE,TRUE,TRUE,TRUE,0,1,#N/A,1,1,9.97,4.21739130434783,3,FALSE,TRUE,3,TRUE,1,FALSE,100,"Swvu.annual.","ACwvu.annual.",#N/A,FALSE,FALSE,0.5,0.5,0.5,0.5,2,"","&amp;L&amp;""Palatino,Regular""&amp;9&amp;F&amp;C&amp;""Palatino,Regular""&amp;9LAND SALES DETAIL - Page &amp;P of &amp;N&amp;R&amp;""Palatino,Regular""&amp;9&amp;D   &amp;T",TRUE,FALSE,FALSE,FALSE,2,90,#N/A,#N/A,"=R1C1:R174C16","=R1:R3","Rwvu.annual.","Cwvu.annual.",FALSE,FALSE,FALSE,1,4294967292,300,FALSE,FALSE,TRUE,TRUE,TRUE}</definedName>
    <definedName name="WWWWW" localSheetId="8" hidden="1">{"ANAR",#N/A,FALSE,"Dist total";"MARGEN",#N/A,FALSE,"Dist total";"COMENTARIO",#N/A,FALSE,"Ficha CODICE";"CONSEJO",#N/A,FALSE,"Dist p0";"uno",#N/A,FALSE,"Dist total"}</definedName>
    <definedName name="WWWWW" hidden="1">{"ANAR",#N/A,FALSE,"Dist total";"MARGEN",#N/A,FALSE,"Dist total";"COMENTARIO",#N/A,FALSE,"Ficha CODICE";"CONSEJO",#N/A,FALSE,"Dist p0";"uno",#N/A,FALSE,"Dist total"}</definedName>
    <definedName name="WWWWWW" localSheetId="8" hidden="1">{"CONSEJO",#N/A,FALSE,"Dist p0";"CONSEJO",#N/A,FALSE,"Ficha CODICE"}</definedName>
    <definedName name="WWWWWW" hidden="1">{"CONSEJO",#N/A,FALSE,"Dist p0";"CONSEJO",#N/A,FALSE,"Ficha CODICE"}</definedName>
    <definedName name="WWWWWWW" localSheetId="8" hidden="1">{"uno",#N/A,FALSE,"Dist total";"COMENTARIO",#N/A,FALSE,"Ficha CODICE"}</definedName>
    <definedName name="WWWWWWW" hidden="1">{"uno",#N/A,FALSE,"Dist total";"COMENTARIO",#N/A,FALSE,"Ficha CODICE"}</definedName>
    <definedName name="WYNIK" localSheetId="8" hidden="1">{#N/A,#N/A,FALSE,"F-01";#N/A,#N/A,FALSE,"F-01";#N/A,#N/A,FALSE,"F-01"}</definedName>
    <definedName name="WYNIK" hidden="1">{#N/A,#N/A,FALSE,"F-01";#N/A,#N/A,FALSE,"F-01";#N/A,#N/A,FALSE,"F-01"}</definedName>
    <definedName name="x" localSheetId="0" hidden="1">[79]Calc!$D$38:$D$83</definedName>
    <definedName name="x" localSheetId="2" hidden="1">#REF!</definedName>
    <definedName name="x" localSheetId="4" hidden="1">#REF!</definedName>
    <definedName name="x" localSheetId="8" hidden="1">#REF!</definedName>
    <definedName name="x" hidden="1">#REF!</definedName>
    <definedName name="xcfghjnhfj" localSheetId="4" hidden="1">{"CF",#N/A,FALSE,"Cash Flow";"RET",#N/A,FALSE,"Returns";"NPV",#N/A,FALSE,"Values";"ASMPT",#N/A,FALSE,"Assumptions"}</definedName>
    <definedName name="xcfghjnhfj" localSheetId="6" hidden="1">{"CF",#N/A,FALSE,"Cash Flow";"RET",#N/A,FALSE,"Returns";"NPV",#N/A,FALSE,"Values";"ASMPT",#N/A,FALSE,"Assumptions"}</definedName>
    <definedName name="xcfghjnhfj" hidden="1">{"CF",#N/A,FALSE,"Cash Flow";"RET",#N/A,FALSE,"Returns";"NPV",#N/A,FALSE,"Values";"ASMPT",#N/A,FALSE,"Assumptions"}</definedName>
    <definedName name="xcvxv" localSheetId="4" hidden="1">{#N/A,#N/A,FALSE,"COVER";#N/A,#N/A,FALSE,"PROFORMA";#N/A,#N/A,FALSE,"Construction CF";#N/A,#N/A,FALSE,"CASHFLOW";#N/A,#N/A,FALSE,"Sale &amp; IRR Analysis";#N/A,#N/A,FALSE,"Amortization Table";#N/A,#N/A,FALSE,"Amortization FEMA";#N/A,#N/A,FALSE,"INCOME"}</definedName>
    <definedName name="xcvxv" localSheetId="8" hidden="1">{#N/A,#N/A,FALSE,"COVER";#N/A,#N/A,FALSE,"PROFORMA";#N/A,#N/A,FALSE,"Construction CF";#N/A,#N/A,FALSE,"CASHFLOW";#N/A,#N/A,FALSE,"Sale &amp; IRR Analysis";#N/A,#N/A,FALSE,"Amortization Table";#N/A,#N/A,FALSE,"Amortization FEMA";#N/A,#N/A,FALSE,"INCOME"}</definedName>
    <definedName name="xcvxv" localSheetId="6" hidden="1">{#N/A,#N/A,FALSE,"COVER";#N/A,#N/A,FALSE,"PROFORMA";#N/A,#N/A,FALSE,"Construction CF";#N/A,#N/A,FALSE,"CASHFLOW";#N/A,#N/A,FALSE,"Sale &amp; IRR Analysis";#N/A,#N/A,FALSE,"Amortization Table";#N/A,#N/A,FALSE,"Amortization FEMA";#N/A,#N/A,FALSE,"INCOME"}</definedName>
    <definedName name="xcvxv" hidden="1">{#N/A,#N/A,FALSE,"COVER";#N/A,#N/A,FALSE,"PROFORMA";#N/A,#N/A,FALSE,"Construction CF";#N/A,#N/A,FALSE,"CASHFLOW";#N/A,#N/A,FALSE,"Sale &amp; IRR Analysis";#N/A,#N/A,FALSE,"Amortization Table";#N/A,#N/A,FALSE,"Amortization FEMA";#N/A,#N/A,FALSE,"INCOME"}</definedName>
    <definedName name="xdrtuyxftgu" localSheetId="4"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xdrtuyxftgu" localSheetId="8"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xdrtuyxftgu" localSheetId="6"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xdrtuyxftgu" hidden="1">{#N/A,#N/A,FALSE,"Expense Detail";#N/A,#N/A,FALSE,"Worksheet";#N/A,#N/A,FALSE,"Audit";#N/A,#N/A,FALSE,"Exclusions";#N/A,#N/A,FALSE,"Variance";#N/A,#N/A,FALSE,"Average Occupancy";#N/A,#N/A,FALSE,"Maintenance &amp; Repairs Occ. Adj.";#N/A,#N/A,FALSE,"Cleaning Occupancy Adj.";#N/A,#N/A,FALSE,"Escalatable Expenses 95";#N/A,#N/A,FALSE,"Rec 95";#N/A,#N/A,FALSE,"Statements"}</definedName>
    <definedName name="xdxdy" localSheetId="4" hidden="1">{#N/A,#N/A,FALSE,"A";#N/A,#N/A,FALSE,"B"}</definedName>
    <definedName name="xdxdy" localSheetId="8" hidden="1">{#N/A,#N/A,FALSE,"A";#N/A,#N/A,FALSE,"B"}</definedName>
    <definedName name="xdxdy" localSheetId="6" hidden="1">{#N/A,#N/A,FALSE,"A";#N/A,#N/A,FALSE,"B"}</definedName>
    <definedName name="xdxdy" hidden="1">{#N/A,#N/A,FALSE,"A";#N/A,#N/A,FALSE,"B"}</definedName>
    <definedName name="xfgjxcfgj" localSheetId="4" hidden="1">{#N/A,#N/A,FALSE,"LP Exp";#N/A,#N/A,FALSE,"Salary";#N/A,#N/A,FALSE,"Admin Exp";#N/A,#N/A,FALSE,"QTS Bud";#N/A,#N/A,FALSE,"Marketing"}</definedName>
    <definedName name="xfgjxcfgj" localSheetId="8" hidden="1">{#N/A,#N/A,FALSE,"LP Exp";#N/A,#N/A,FALSE,"Salary";#N/A,#N/A,FALSE,"Admin Exp";#N/A,#N/A,FALSE,"QTS Bud";#N/A,#N/A,FALSE,"Marketing"}</definedName>
    <definedName name="xfgjxcfgj" localSheetId="6" hidden="1">{#N/A,#N/A,FALSE,"LP Exp";#N/A,#N/A,FALSE,"Salary";#N/A,#N/A,FALSE,"Admin Exp";#N/A,#N/A,FALSE,"QTS Bud";#N/A,#N/A,FALSE,"Marketing"}</definedName>
    <definedName name="xfgjxcfgj" hidden="1">{#N/A,#N/A,FALSE,"LP Exp";#N/A,#N/A,FALSE,"Salary";#N/A,#N/A,FALSE,"Admin Exp";#N/A,#N/A,FALSE,"QTS Bud";#N/A,#N/A,FALSE,"Marketing"}</definedName>
    <definedName name="xfgnxfgn" localSheetId="4" hidden="1">{"CF",#N/A,FALSE,"Cash Flow";"RET",#N/A,FALSE,"Returns";"NPV",#N/A,FALSE,"Values";"ASMPT",#N/A,FALSE,"Assumptions"}</definedName>
    <definedName name="xfgnxfgn" localSheetId="6" hidden="1">{"CF",#N/A,FALSE,"Cash Flow";"RET",#N/A,FALSE,"Returns";"NPV",#N/A,FALSE,"Values";"ASMPT",#N/A,FALSE,"Assumptions"}</definedName>
    <definedName name="xfgnxfgn" hidden="1">{"CF",#N/A,FALSE,"Cash Flow";"RET",#N/A,FALSE,"Returns";"NPV",#N/A,FALSE,"Values";"ASMPT",#N/A,FALSE,"Assumptions"}</definedName>
    <definedName name="xfgujxcfgj" localSheetId="4" hidden="1">{#N/A,#N/A,FALSE,"Common Area Accrual";#N/A,#N/A,FALSE,"Unit One LaSalle";#N/A,#N/A,FALSE,"Unit One CW";#N/A,#N/A,FALSE,"Unit One LaSallle + C &amp; W";#N/A,#N/A,FALSE,"Consolidated Accrual"}</definedName>
    <definedName name="xfgujxcfgj" localSheetId="8" hidden="1">{#N/A,#N/A,FALSE,"Common Area Accrual";#N/A,#N/A,FALSE,"Unit One LaSalle";#N/A,#N/A,FALSE,"Unit One CW";#N/A,#N/A,FALSE,"Unit One LaSallle + C &amp; W";#N/A,#N/A,FALSE,"Consolidated Accrual"}</definedName>
    <definedName name="xfgujxcfgj" localSheetId="6" hidden="1">{#N/A,#N/A,FALSE,"Common Area Accrual";#N/A,#N/A,FALSE,"Unit One LaSalle";#N/A,#N/A,FALSE,"Unit One CW";#N/A,#N/A,FALSE,"Unit One LaSallle + C &amp; W";#N/A,#N/A,FALSE,"Consolidated Accrual"}</definedName>
    <definedName name="xfgujxcfgj" hidden="1">{#N/A,#N/A,FALSE,"Common Area Accrual";#N/A,#N/A,FALSE,"Unit One LaSalle";#N/A,#N/A,FALSE,"Unit One CW";#N/A,#N/A,FALSE,"Unit One LaSallle + C &amp; W";#N/A,#N/A,FALSE,"Consolidated Accrual"}</definedName>
    <definedName name="xfgxcfgj" localSheetId="4" hidden="1">{#N/A,#N/A,FALSE,"399 Park Var";#N/A,#N/A,FALSE,"PK NOTES"}</definedName>
    <definedName name="xfgxcfgj" localSheetId="8" hidden="1">{#N/A,#N/A,FALSE,"399 Park Var";#N/A,#N/A,FALSE,"PK NOTES"}</definedName>
    <definedName name="xfgxcfgj" localSheetId="6" hidden="1">{#N/A,#N/A,FALSE,"399 Park Var";#N/A,#N/A,FALSE,"PK NOTES"}</definedName>
    <definedName name="xfgxcfgj" hidden="1">{#N/A,#N/A,FALSE,"399 Park Var";#N/A,#N/A,FALSE,"PK NOTES"}</definedName>
    <definedName name="xftxft" localSheetId="4" hidden="1">{#N/A,#N/A,FALSE,"A";#N/A,#N/A,FALSE,"C"}</definedName>
    <definedName name="xftxft" localSheetId="8" hidden="1">{#N/A,#N/A,FALSE,"A";#N/A,#N/A,FALSE,"C"}</definedName>
    <definedName name="xftxft" localSheetId="6" hidden="1">{#N/A,#N/A,FALSE,"A";#N/A,#N/A,FALSE,"C"}</definedName>
    <definedName name="xftxft" hidden="1">{#N/A,#N/A,FALSE,"A";#N/A,#N/A,FALSE,"C"}</definedName>
    <definedName name="XREF_COLUMN_1" localSheetId="2" hidden="1">#REF!</definedName>
    <definedName name="XREF_COLUMN_1" localSheetId="4" hidden="1">#REF!</definedName>
    <definedName name="XREF_COLUMN_1" localSheetId="8" hidden="1">#REF!</definedName>
    <definedName name="XREF_COLUMN_1" hidden="1">#REF!</definedName>
    <definedName name="XREF_COLUMN_6" localSheetId="2" hidden="1">#REF!</definedName>
    <definedName name="XREF_COLUMN_6" localSheetId="8" hidden="1">#REF!</definedName>
    <definedName name="XREF_COLUMN_6" hidden="1">#REF!</definedName>
    <definedName name="XRefActiveRow" localSheetId="2" hidden="1">#REF!</definedName>
    <definedName name="XRefActiveRow" localSheetId="4" hidden="1">#REF!</definedName>
    <definedName name="XRefActiveRow" localSheetId="8" hidden="1">#REF!</definedName>
    <definedName name="XRefActiveRow" hidden="1">#REF!</definedName>
    <definedName name="XRefColumnsCount" hidden="1">1</definedName>
    <definedName name="XRefCopy1" localSheetId="2" hidden="1">#REF!</definedName>
    <definedName name="XRefCopy1" localSheetId="4" hidden="1">#REF!</definedName>
    <definedName name="XRefCopy1" localSheetId="8" hidden="1">#REF!</definedName>
    <definedName name="XRefCopy1" hidden="1">#REF!</definedName>
    <definedName name="XRefCopy12Row" localSheetId="2" hidden="1">#REF!</definedName>
    <definedName name="XRefCopy12Row" localSheetId="8" hidden="1">#REF!</definedName>
    <definedName name="XRefCopy12Row" hidden="1">#REF!</definedName>
    <definedName name="XRefCopy13Row" localSheetId="2" hidden="1">#REF!</definedName>
    <definedName name="XRefCopy13Row" localSheetId="8" hidden="1">#REF!</definedName>
    <definedName name="XRefCopy13Row" hidden="1">#REF!</definedName>
    <definedName name="XRefCopy14" localSheetId="2" hidden="1">#REF!</definedName>
    <definedName name="XRefCopy14" localSheetId="8" hidden="1">#REF!</definedName>
    <definedName name="XRefCopy14" hidden="1">#REF!</definedName>
    <definedName name="XRefCopy16Row" localSheetId="2" hidden="1">#REF!</definedName>
    <definedName name="XRefCopy16Row" localSheetId="8" hidden="1">#REF!</definedName>
    <definedName name="XRefCopy16Row" hidden="1">#REF!</definedName>
    <definedName name="XRefCopy17Row" localSheetId="2" hidden="1">#REF!</definedName>
    <definedName name="XRefCopy17Row" localSheetId="8" hidden="1">#REF!</definedName>
    <definedName name="XRefCopy17Row" hidden="1">#REF!</definedName>
    <definedName name="XRefCopy18Row" localSheetId="2" hidden="1">#REF!</definedName>
    <definedName name="XRefCopy18Row" localSheetId="8" hidden="1">#REF!</definedName>
    <definedName name="XRefCopy18Row" hidden="1">#REF!</definedName>
    <definedName name="XRefCopy19Row" localSheetId="2" hidden="1">#REF!</definedName>
    <definedName name="XRefCopy19Row" localSheetId="8" hidden="1">#REF!</definedName>
    <definedName name="XRefCopy19Row" hidden="1">#REF!</definedName>
    <definedName name="XRefCopy2" localSheetId="2" hidden="1">#REF!</definedName>
    <definedName name="XRefCopy2" localSheetId="4" hidden="1">#REF!</definedName>
    <definedName name="XRefCopy2" localSheetId="8" hidden="1">#REF!</definedName>
    <definedName name="XRefCopy2" hidden="1">#REF!</definedName>
    <definedName name="XRefCopy20" localSheetId="2" hidden="1">#REF!</definedName>
    <definedName name="XRefCopy20" localSheetId="8" hidden="1">#REF!</definedName>
    <definedName name="XRefCopy20" hidden="1">#REF!</definedName>
    <definedName name="XRefCopy20Row" localSheetId="2" hidden="1">#REF!</definedName>
    <definedName name="XRefCopy20Row" localSheetId="8" hidden="1">#REF!</definedName>
    <definedName name="XRefCopy20Row" hidden="1">#REF!</definedName>
    <definedName name="XRefCopy21Row" localSheetId="2" hidden="1">#REF!</definedName>
    <definedName name="XRefCopy21Row" localSheetId="8" hidden="1">#REF!</definedName>
    <definedName name="XRefCopy21Row" hidden="1">#REF!</definedName>
    <definedName name="XRefCopy22Row" localSheetId="2" hidden="1">#REF!</definedName>
    <definedName name="XRefCopy22Row" localSheetId="8" hidden="1">#REF!</definedName>
    <definedName name="XRefCopy22Row" hidden="1">#REF!</definedName>
    <definedName name="XRefCopy23" localSheetId="2" hidden="1">#REF!</definedName>
    <definedName name="XRefCopy23" localSheetId="8" hidden="1">#REF!</definedName>
    <definedName name="XRefCopy23" hidden="1">#REF!</definedName>
    <definedName name="XRefCopy25Row" localSheetId="2" hidden="1">#REF!</definedName>
    <definedName name="XRefCopy25Row" localSheetId="8" hidden="1">#REF!</definedName>
    <definedName name="XRefCopy25Row" hidden="1">#REF!</definedName>
    <definedName name="XRefCopy26Row" localSheetId="2" hidden="1">#REF!</definedName>
    <definedName name="XRefCopy26Row" localSheetId="8" hidden="1">#REF!</definedName>
    <definedName name="XRefCopy26Row" hidden="1">#REF!</definedName>
    <definedName name="XRefCopy27Row" localSheetId="2" hidden="1">#REF!</definedName>
    <definedName name="XRefCopy27Row" localSheetId="8" hidden="1">#REF!</definedName>
    <definedName name="XRefCopy27Row" hidden="1">#REF!</definedName>
    <definedName name="XRefCopy28Row" localSheetId="2" hidden="1">#REF!</definedName>
    <definedName name="XRefCopy28Row" localSheetId="8" hidden="1">#REF!</definedName>
    <definedName name="XRefCopy28Row" hidden="1">#REF!</definedName>
    <definedName name="XRefCopy29" localSheetId="2" hidden="1">#REF!</definedName>
    <definedName name="XRefCopy29" localSheetId="8" hidden="1">#REF!</definedName>
    <definedName name="XRefCopy29" hidden="1">#REF!</definedName>
    <definedName name="XRefCopy29Row" localSheetId="2" hidden="1">#REF!</definedName>
    <definedName name="XRefCopy29Row" localSheetId="8" hidden="1">#REF!</definedName>
    <definedName name="XRefCopy29Row" hidden="1">#REF!</definedName>
    <definedName name="XRefCopy2Row" localSheetId="2" hidden="1">#REF!</definedName>
    <definedName name="XRefCopy2Row" localSheetId="4" hidden="1">#REF!</definedName>
    <definedName name="XRefCopy2Row" localSheetId="8" hidden="1">#REF!</definedName>
    <definedName name="XRefCopy2Row" hidden="1">#REF!</definedName>
    <definedName name="XRefCopy3" localSheetId="2" hidden="1">#REF!</definedName>
    <definedName name="XRefCopy3" localSheetId="4" hidden="1">#REF!</definedName>
    <definedName name="XRefCopy3" localSheetId="8" hidden="1">#REF!</definedName>
    <definedName name="XRefCopy3" hidden="1">#REF!</definedName>
    <definedName name="XRefCopy30" localSheetId="2" hidden="1">#REF!</definedName>
    <definedName name="XRefCopy30" localSheetId="8" hidden="1">#REF!</definedName>
    <definedName name="XRefCopy30" hidden="1">#REF!</definedName>
    <definedName name="XRefCopy30Row" localSheetId="2" hidden="1">#REF!</definedName>
    <definedName name="XRefCopy30Row" localSheetId="8" hidden="1">#REF!</definedName>
    <definedName name="XRefCopy30Row" hidden="1">#REF!</definedName>
    <definedName name="XRefCopy3Row" localSheetId="2" hidden="1">#REF!</definedName>
    <definedName name="XRefCopy3Row" localSheetId="4" hidden="1">#REF!</definedName>
    <definedName name="XRefCopy3Row" localSheetId="8" hidden="1">#REF!</definedName>
    <definedName name="XRefCopy3Row" hidden="1">#REF!</definedName>
    <definedName name="XRefCopy4" localSheetId="2" hidden="1">#REF!</definedName>
    <definedName name="XRefCopy4" localSheetId="4" hidden="1">#REF!</definedName>
    <definedName name="XRefCopy4" localSheetId="8" hidden="1">#REF!</definedName>
    <definedName name="XRefCopy4" hidden="1">#REF!</definedName>
    <definedName name="XRefCopy4Row" localSheetId="2" hidden="1">#REF!</definedName>
    <definedName name="XRefCopy4Row" localSheetId="4" hidden="1">#REF!</definedName>
    <definedName name="XRefCopy4Row" localSheetId="8" hidden="1">#REF!</definedName>
    <definedName name="XRefCopy4Row" hidden="1">#REF!</definedName>
    <definedName name="XRefCopy5" localSheetId="2" hidden="1">#REF!</definedName>
    <definedName name="XRefCopy5" localSheetId="4" hidden="1">#REF!</definedName>
    <definedName name="XRefCopy5" localSheetId="8" hidden="1">#REF!</definedName>
    <definedName name="XRefCopy5" hidden="1">#REF!</definedName>
    <definedName name="XRefCopy5Row" localSheetId="2" hidden="1">#REF!</definedName>
    <definedName name="XRefCopy5Row" localSheetId="4" hidden="1">#REF!</definedName>
    <definedName name="XRefCopy5Row" localSheetId="8" hidden="1">#REF!</definedName>
    <definedName name="XRefCopy5Row" hidden="1">#REF!</definedName>
    <definedName name="XRefCopyRangeCount" hidden="1">5</definedName>
    <definedName name="XRefPaste20" localSheetId="2" hidden="1">#REF!</definedName>
    <definedName name="XRefPaste20" localSheetId="8" hidden="1">#REF!</definedName>
    <definedName name="XRefPaste20" hidden="1">#REF!</definedName>
    <definedName name="XRefPaste20Row" localSheetId="2" hidden="1">#REF!</definedName>
    <definedName name="XRefPaste20Row" localSheetId="8" hidden="1">#REF!</definedName>
    <definedName name="XRefPaste20Row" hidden="1">#REF!</definedName>
    <definedName name="XRefPaste21" localSheetId="2" hidden="1">#REF!</definedName>
    <definedName name="XRefPaste21" localSheetId="8" hidden="1">#REF!</definedName>
    <definedName name="XRefPaste21" hidden="1">#REF!</definedName>
    <definedName name="XRefPaste21Row" localSheetId="2" hidden="1">#REF!</definedName>
    <definedName name="XRefPaste21Row" localSheetId="8" hidden="1">#REF!</definedName>
    <definedName name="XRefPaste21Row" hidden="1">#REF!</definedName>
    <definedName name="XRefPaste23" localSheetId="2" hidden="1">#REF!</definedName>
    <definedName name="XRefPaste23" localSheetId="8" hidden="1">#REF!</definedName>
    <definedName name="XRefPaste23" hidden="1">#REF!</definedName>
    <definedName name="XRefPaste23Row" localSheetId="2" hidden="1">#REF!</definedName>
    <definedName name="XRefPaste23Row" localSheetId="8" hidden="1">#REF!</definedName>
    <definedName name="XRefPaste23Row" hidden="1">#REF!</definedName>
    <definedName name="XRefPaste30Row" localSheetId="2" hidden="1">#REF!</definedName>
    <definedName name="XRefPaste30Row" localSheetId="8" hidden="1">#REF!</definedName>
    <definedName name="XRefPaste30Row" hidden="1">#REF!</definedName>
    <definedName name="XRefPaste33Row" localSheetId="2" hidden="1">#REF!</definedName>
    <definedName name="XRefPaste33Row" localSheetId="8" hidden="1">#REF!</definedName>
    <definedName name="XRefPaste33Row" hidden="1">#REF!</definedName>
    <definedName name="XRefPaste34Row" localSheetId="2" hidden="1">#REF!</definedName>
    <definedName name="XRefPaste34Row" localSheetId="8" hidden="1">#REF!</definedName>
    <definedName name="XRefPaste34Row" hidden="1">#REF!</definedName>
    <definedName name="XRefPaste35" localSheetId="2" hidden="1">#REF!</definedName>
    <definedName name="XRefPaste35" localSheetId="8" hidden="1">#REF!</definedName>
    <definedName name="XRefPaste35" hidden="1">#REF!</definedName>
    <definedName name="XRefPaste35Row" localSheetId="2" hidden="1">#REF!</definedName>
    <definedName name="XRefPaste35Row" localSheetId="8" hidden="1">#REF!</definedName>
    <definedName name="XRefPaste35Row" hidden="1">#REF!</definedName>
    <definedName name="XRefPaste36" localSheetId="2" hidden="1">#REF!</definedName>
    <definedName name="XRefPaste36" localSheetId="8" hidden="1">#REF!</definedName>
    <definedName name="XRefPaste36" hidden="1">#REF!</definedName>
    <definedName name="XRefPaste36Row" localSheetId="2" hidden="1">#REF!</definedName>
    <definedName name="XRefPaste36Row" localSheetId="8" hidden="1">#REF!</definedName>
    <definedName name="XRefPaste36Row" hidden="1">#REF!</definedName>
    <definedName name="XRefPaste37" localSheetId="2" hidden="1">#REF!</definedName>
    <definedName name="XRefPaste37" localSheetId="8" hidden="1">#REF!</definedName>
    <definedName name="XRefPaste37" hidden="1">#REF!</definedName>
    <definedName name="XRefPaste37Row" localSheetId="2" hidden="1">#REF!</definedName>
    <definedName name="XRefPaste37Row" localSheetId="8" hidden="1">#REF!</definedName>
    <definedName name="XRefPaste37Row" hidden="1">#REF!</definedName>
    <definedName name="XRefPaste38Row" localSheetId="2" hidden="1">#REF!</definedName>
    <definedName name="XRefPaste38Row" localSheetId="8" hidden="1">#REF!</definedName>
    <definedName name="XRefPaste38Row" hidden="1">#REF!</definedName>
    <definedName name="XRefPaste40Row" localSheetId="2" hidden="1">#REF!</definedName>
    <definedName name="XRefPaste40Row" localSheetId="8" hidden="1">#REF!</definedName>
    <definedName name="XRefPaste40Row" hidden="1">#REF!</definedName>
    <definedName name="XRefPaste41" localSheetId="2" hidden="1">#REF!</definedName>
    <definedName name="XRefPaste41" localSheetId="8" hidden="1">#REF!</definedName>
    <definedName name="XRefPaste41" hidden="1">#REF!</definedName>
    <definedName name="XRefPaste41Row" localSheetId="2" hidden="1">#REF!</definedName>
    <definedName name="XRefPaste41Row" localSheetId="8" hidden="1">#REF!</definedName>
    <definedName name="XRefPaste41Row" hidden="1">#REF!</definedName>
    <definedName name="XRefPaste42" localSheetId="2" hidden="1">#REF!</definedName>
    <definedName name="XRefPaste42" localSheetId="8" hidden="1">#REF!</definedName>
    <definedName name="XRefPaste42" hidden="1">#REF!</definedName>
    <definedName name="XRefPaste42Row" localSheetId="2" hidden="1">#REF!</definedName>
    <definedName name="XRefPaste42Row" localSheetId="8" hidden="1">#REF!</definedName>
    <definedName name="XRefPaste42Row" hidden="1">#REF!</definedName>
    <definedName name="XRefPaste43Row" localSheetId="2" hidden="1">#REF!</definedName>
    <definedName name="XRefPaste43Row" localSheetId="8" hidden="1">#REF!</definedName>
    <definedName name="XRefPaste43Row" hidden="1">#REF!</definedName>
    <definedName name="XRefPaste8Row" localSheetId="2" hidden="1">#REF!</definedName>
    <definedName name="XRefPaste8Row" localSheetId="8" hidden="1">#REF!</definedName>
    <definedName name="XRefPaste8Row" hidden="1">#REF!</definedName>
    <definedName name="xryjxtjnx" localSheetId="4" hidden="1">{"Investor",#N/A,FALSE,"Model";"Property",#N/A,FALSE,"Model";"Incentive Taxes",#N/A,FALSE,"Model"}</definedName>
    <definedName name="xryjxtjnx" localSheetId="6" hidden="1">{"Investor",#N/A,FALSE,"Model";"Property",#N/A,FALSE,"Model";"Incentive Taxes",#N/A,FALSE,"Model"}</definedName>
    <definedName name="xryjxtjnx" hidden="1">{"Investor",#N/A,FALSE,"Model";"Property",#N/A,FALSE,"Model";"Incentive Taxes",#N/A,FALSE,"Model"}</definedName>
    <definedName name="xx" localSheetId="8" hidden="1">{#N/A,#N/A,FALSE,"Aging Summary";#N/A,#N/A,FALSE,"Ratio Analysis";#N/A,#N/A,FALSE,"Test 120 Day Accts";#N/A,#N/A,FALSE,"Tickmarks"}</definedName>
    <definedName name="xx" hidden="1">{#N/A,#N/A,FALSE,"Aging Summary";#N/A,#N/A,FALSE,"Ratio Analysis";#N/A,#N/A,FALSE,"Test 120 Day Accts";#N/A,#N/A,FALSE,"Tickmarks"}</definedName>
    <definedName name="xxxx" localSheetId="0" hidden="1">{#N/A,#N/A,FALSE,"Table of content";#N/A,#N/A,FALSE,"Assumptions";#N/A,#N/A,FALSE,"Economy";#N/A,#N/A,FALSE,"Revenue Detail";#N/A,#N/A,FALSE,"Energy fee";#N/A,#N/A,FALSE,"Capacity fee";#N/A,#N/A,FALSE,"Production Income";#N/A,#N/A,FALSE,"Fuel Costs";#N/A,#N/A,FALSE,"O&amp;M Cost";#N/A,#N/A,FALSE,"Profit Loss";#N/A,#N/A,FALSE,"Financing";#N/A,#N/A,FALSE,"Cash Flow";#N/A,#N/A,FALSE,"Sources&amp;Uses";#N/A,#N/A,FALSE,"Balance";#N/A,#N/A,FALSE,"Investment";#N/A,#N/A,FALSE,"Investment Cost";#N/A,#N/A,FALSE,"Investment Financing";#N/A,#N/A,FALSE,"Assets";#N/A,#N/A,FALSE,"IRR"}</definedName>
    <definedName name="xxxx" localSheetId="4" hidden="1">{"a_sales",#N/A,FALSE,"Summary";"a_debt",#N/A,FALSE,"Summary";"a_cash",#N/A,FALSE,"Summary";"a_accrual",#N/A,FALSE,"Summary"}</definedName>
    <definedName name="xxxx" localSheetId="6" hidden="1">{"a_sales",#N/A,FALSE,"Summary";"a_debt",#N/A,FALSE,"Summary";"a_cash",#N/A,FALSE,"Summary";"a_accrual",#N/A,FALSE,"Summary"}</definedName>
    <definedName name="xxxx" hidden="1">{"a_sales",#N/A,FALSE,"Summary";"a_debt",#N/A,FALSE,"Summary";"a_cash",#N/A,FALSE,"Summary";"a_accrual",#N/A,FALSE,"Summary"}</definedName>
    <definedName name="xxxxxxxxxxxxxxxxxxxxxxxxxx" localSheetId="8" hidden="1">{"uno",#N/A,FALSE,"Dist total";"COMENTARIO",#N/A,FALSE,"Ficha CODICE"}</definedName>
    <definedName name="xxxxxxxxxxxxxxxxxxxxxxxxxx" hidden="1">{"uno",#N/A,FALSE,"Dist total";"COMENTARIO",#N/A,FALSE,"Ficha CODICE"}</definedName>
    <definedName name="y" localSheetId="0" hidden="1">{"CONSEJO",#N/A,FALSE,"Dist p0";"CONSEJO",#N/A,FALSE,"Ficha CODICE"}</definedName>
    <definedName name="y" localSheetId="2" hidden="1">#REF!</definedName>
    <definedName name="y" localSheetId="4" hidden="1">#REF!</definedName>
    <definedName name="y" localSheetId="8" hidden="1">#REF!</definedName>
    <definedName name="y" hidden="1">#REF!</definedName>
    <definedName name="ydfbgeartg" localSheetId="2" hidden="1">#REF!</definedName>
    <definedName name="ydfbgeartg" localSheetId="4" hidden="1">#REF!</definedName>
    <definedName name="ydfbgeartg" localSheetId="8" hidden="1">#REF!</definedName>
    <definedName name="ydfbgeartg" hidden="1">#REF!</definedName>
    <definedName name="YEAR" localSheetId="2">#REF!</definedName>
    <definedName name="YEAR" localSheetId="4">#REF!</definedName>
    <definedName name="YEAR" localSheetId="8">#REF!</definedName>
    <definedName name="YEAR">#REF!</definedName>
    <definedName name="YORN">'[80]IRR - Land Sale (PP)'!$A$2:$A$3</definedName>
    <definedName name="YORN1">'[80]IRR - Land Sale (PP)'!$A$2:$A$3</definedName>
    <definedName name="yt8jih" localSheetId="8" hidden="1">{"uno",#N/A,FALSE,"Dist total";"COMENTARIO",#N/A,FALSE,"Ficha CODICE"}</definedName>
    <definedName name="yt8jih" hidden="1">{"uno",#N/A,FALSE,"Dist total";"COMENTARIO",#N/A,FALSE,"Ficha CODICE"}</definedName>
    <definedName name="YUI" localSheetId="8" hidden="1">{"ANAR",#N/A,FALSE,"Dist total";"MARGEN",#N/A,FALSE,"Dist total";"COMENTARIO",#N/A,FALSE,"Ficha CODICE";"CONSEJO",#N/A,FALSE,"Dist p0";"uno",#N/A,FALSE,"Dist total"}</definedName>
    <definedName name="YUI" hidden="1">{"ANAR",#N/A,FALSE,"Dist total";"MARGEN",#N/A,FALSE,"Dist total";"COMENTARIO",#N/A,FALSE,"Ficha CODICE";"CONSEJO",#N/A,FALSE,"Dist p0";"uno",#N/A,FALSE,"Dist total"}</definedName>
    <definedName name="yuiy" localSheetId="4" hidden="1">{#N/A,#N/A,FALSE,"COVER";#N/A,#N/A,FALSE,"Construction CF";#N/A,#N/A,FALSE,"PROFORMA";#N/A,#N/A,FALSE,"CASHFLOW"}</definedName>
    <definedName name="yuiy" localSheetId="8" hidden="1">{#N/A,#N/A,FALSE,"COVER";#N/A,#N/A,FALSE,"Construction CF";#N/A,#N/A,FALSE,"PROFORMA";#N/A,#N/A,FALSE,"CASHFLOW"}</definedName>
    <definedName name="yuiy" localSheetId="6" hidden="1">{#N/A,#N/A,FALSE,"COVER";#N/A,#N/A,FALSE,"Construction CF";#N/A,#N/A,FALSE,"PROFORMA";#N/A,#N/A,FALSE,"CASHFLOW"}</definedName>
    <definedName name="yuiy" hidden="1">{#N/A,#N/A,FALSE,"COVER";#N/A,#N/A,FALSE,"Construction CF";#N/A,#N/A,FALSE,"PROFORMA";#N/A,#N/A,FALSE,"CASHFLOW"}</definedName>
    <definedName name="yy" localSheetId="8" hidden="1">{"uno",#N/A,FALSE,"Dist total";"COMENTARIO",#N/A,FALSE,"Ficha CODICE"}</definedName>
    <definedName name="yy" hidden="1">{"uno",#N/A,FALSE,"Dist total";"COMENTARIO",#N/A,FALSE,"Ficha CODICE"}</definedName>
    <definedName name="YYY" localSheetId="8" hidden="1">{"uno",#N/A,FALSE,"Dist total";"COMENTARIO",#N/A,FALSE,"Ficha CODICE"}</definedName>
    <definedName name="YYY" hidden="1">{"uno",#N/A,FALSE,"Dist total";"COMENTARIO",#N/A,FALSE,"Ficha CODICE"}</definedName>
    <definedName name="yyyyy" localSheetId="4" hidden="1">{"a_releases",#N/A,FALSE,"Summary";"a_cash",#N/A,FALSE,"Summary";"a_accrual",#N/A,FALSE,"Summary"}</definedName>
    <definedName name="yyyyy" localSheetId="6" hidden="1">{"a_releases",#N/A,FALSE,"Summary";"a_cash",#N/A,FALSE,"Summary";"a_accrual",#N/A,FALSE,"Summary"}</definedName>
    <definedName name="yyyyy" hidden="1">{"a_releases",#N/A,FALSE,"Summary";"a_cash",#N/A,FALSE,"Summary";"a_accrual",#N/A,FALSE,"Summary"}</definedName>
    <definedName name="Z_0DF4CCD5_BD29_11D2_B943_0050040AC21C_.wvu.FilterData" hidden="1">'[81]13 BU'!$A$9:$X$102</definedName>
    <definedName name="Z_1906290E_BC61_11D2_B941_0050040AC21C_.wvu.FilterData" hidden="1">'[81]12 BU'!$A$10:$X$41</definedName>
    <definedName name="Z_19062910_BC61_11D2_B941_0050040AC21C_.wvu.FilterData" hidden="1">'[81]12 BU'!$A$10:$X$41</definedName>
    <definedName name="Z_2891AF67_639B_11D2_AA4E_AB73DC59AB4D_.wvu.PrintArea" localSheetId="2" hidden="1">#REF!</definedName>
    <definedName name="Z_2891AF67_639B_11D2_AA4E_AB73DC59AB4D_.wvu.PrintArea" localSheetId="8" hidden="1">#REF!</definedName>
    <definedName name="Z_2891AF67_639B_11D2_AA4E_AB73DC59AB4D_.wvu.PrintArea" hidden="1">#REF!</definedName>
    <definedName name="Z_2891AF68_639B_11D2_AA4E_AB73DC59AB4D_.wvu.PrintArea" localSheetId="2" hidden="1">#REF!</definedName>
    <definedName name="Z_2891AF68_639B_11D2_AA4E_AB73DC59AB4D_.wvu.PrintArea" localSheetId="8" hidden="1">#REF!</definedName>
    <definedName name="Z_2891AF68_639B_11D2_AA4E_AB73DC59AB4D_.wvu.PrintArea" hidden="1">#REF!</definedName>
    <definedName name="Z_2DF11753_B84B_11D2_B93A_0050040AC227_.wvu.PrintArea" hidden="1">'[81]5 BU'!$A$9:$M$578</definedName>
    <definedName name="Z_4C1CBF02_B7B5_11D2_B93A_0050040AC21C_.wvu.FilterData" localSheetId="2" hidden="1">#REF!</definedName>
    <definedName name="Z_4C1CBF02_B7B5_11D2_B93A_0050040AC21C_.wvu.FilterData" localSheetId="4" hidden="1">#REF!</definedName>
    <definedName name="Z_4C1CBF02_B7B5_11D2_B93A_0050040AC21C_.wvu.FilterData" localSheetId="8" hidden="1">#REF!</definedName>
    <definedName name="Z_4C1CBF02_B7B5_11D2_B93A_0050040AC21C_.wvu.FilterData" hidden="1">#REF!</definedName>
    <definedName name="Z_4C1CBF02_B7B5_11D2_B93A_0050040AC21C_.wvu.PrintArea" localSheetId="2" hidden="1">#REF!</definedName>
    <definedName name="Z_4C1CBF02_B7B5_11D2_B93A_0050040AC21C_.wvu.PrintArea" localSheetId="4" hidden="1">#REF!</definedName>
    <definedName name="Z_4C1CBF02_B7B5_11D2_B93A_0050040AC21C_.wvu.PrintArea" localSheetId="8" hidden="1">#REF!</definedName>
    <definedName name="Z_4C1CBF02_B7B5_11D2_B93A_0050040AC21C_.wvu.PrintArea" hidden="1">#REF!</definedName>
    <definedName name="Z_4C1CBF02_B7B5_11D2_B93A_0050040AC21C_.wvu.PrintTitles" localSheetId="2" hidden="1">#REF!</definedName>
    <definedName name="Z_4C1CBF02_B7B5_11D2_B93A_0050040AC21C_.wvu.PrintTitles" localSheetId="4" hidden="1">#REF!</definedName>
    <definedName name="Z_4C1CBF02_B7B5_11D2_B93A_0050040AC21C_.wvu.PrintTitles" localSheetId="8" hidden="1">#REF!</definedName>
    <definedName name="Z_4C1CBF02_B7B5_11D2_B93A_0050040AC21C_.wvu.PrintTitles" hidden="1">#REF!</definedName>
    <definedName name="Z_66231A85_C0F1_11D2_B93B_0050040AC227_.wvu.FilterData" localSheetId="2" hidden="1">#REF!</definedName>
    <definedName name="Z_66231A85_C0F1_11D2_B93B_0050040AC227_.wvu.FilterData" localSheetId="4" hidden="1">#REF!</definedName>
    <definedName name="Z_66231A85_C0F1_11D2_B93B_0050040AC227_.wvu.FilterData" localSheetId="8" hidden="1">#REF!</definedName>
    <definedName name="Z_66231A85_C0F1_11D2_B93B_0050040AC227_.wvu.FilterData" hidden="1">#REF!</definedName>
    <definedName name="Z_66231A86_C0F1_11D2_B93B_0050040AC227_.wvu.FilterData" localSheetId="2" hidden="1">#REF!</definedName>
    <definedName name="Z_66231A86_C0F1_11D2_B93B_0050040AC227_.wvu.FilterData" localSheetId="4" hidden="1">#REF!</definedName>
    <definedName name="Z_66231A86_C0F1_11D2_B93B_0050040AC227_.wvu.FilterData" localSheetId="8" hidden="1">#REF!</definedName>
    <definedName name="Z_66231A86_C0F1_11D2_B93B_0050040AC227_.wvu.FilterData" hidden="1">#REF!</definedName>
    <definedName name="Z_A2426FEA_B812_466E_AD56_91907F9FA6F0_.wvu.PrintArea" localSheetId="2" hidden="1">#REF!</definedName>
    <definedName name="Z_A2426FEA_B812_466E_AD56_91907F9FA6F0_.wvu.PrintArea" localSheetId="4" hidden="1">#REF!</definedName>
    <definedName name="Z_A2426FEA_B812_466E_AD56_91907F9FA6F0_.wvu.PrintArea" localSheetId="8" hidden="1">#REF!</definedName>
    <definedName name="Z_A2426FEA_B812_466E_AD56_91907F9FA6F0_.wvu.PrintArea" hidden="1">#REF!</definedName>
    <definedName name="Z_A99CC723_C1C7_11D2_B941_0050040AC228_.wvu.FilterData" hidden="1">'[81]23 BU'!$A$9:$Z$45</definedName>
    <definedName name="Z_A99CC729_C1C7_11D2_B941_0050040AC228_.wvu.FilterData" hidden="1">'[81]23 BU'!$A$9:$Z$45</definedName>
    <definedName name="Z_A99CC733_C1C7_11D2_B941_0050040AC228_.wvu.FilterData" hidden="1">'[81]1 BU'!$A$15:$Y$152</definedName>
    <definedName name="Z_A99CC736_C1C7_11D2_B941_0050040AC228_.wvu.FilterData" hidden="1">'[81]38 BU'!$A$9:$W$15</definedName>
    <definedName name="Z_B3F6EA45_C4B0_11D6_A93C_F3538214D62E_.wvu.Cols" localSheetId="2" hidden="1">#REF!</definedName>
    <definedName name="Z_B3F6EA45_C4B0_11D6_A93C_F3538214D62E_.wvu.Cols" localSheetId="4" hidden="1">#REF!</definedName>
    <definedName name="Z_B3F6EA45_C4B0_11D6_A93C_F3538214D62E_.wvu.Cols" localSheetId="8" hidden="1">#REF!</definedName>
    <definedName name="Z_B3F6EA45_C4B0_11D6_A93C_F3538214D62E_.wvu.Cols" hidden="1">#REF!</definedName>
    <definedName name="Z_B3F6EA45_C4B0_11D6_A93C_F3538214D62E_.wvu.PrintArea" localSheetId="2" hidden="1">#REF!</definedName>
    <definedName name="Z_B3F6EA45_C4B0_11D6_A93C_F3538214D62E_.wvu.PrintArea" localSheetId="4" hidden="1">#REF!</definedName>
    <definedName name="Z_B3F6EA45_C4B0_11D6_A93C_F3538214D62E_.wvu.PrintArea" localSheetId="8" hidden="1">#REF!</definedName>
    <definedName name="Z_B3F6EA45_C4B0_11D6_A93C_F3538214D62E_.wvu.PrintArea" hidden="1">#REF!</definedName>
    <definedName name="Z_B3F6EA45_C4B0_11D6_A93C_F3538214D62E_.wvu.PrintTitles" localSheetId="2" hidden="1">#REF!</definedName>
    <definedName name="Z_B3F6EA45_C4B0_11D6_A93C_F3538214D62E_.wvu.PrintTitles" localSheetId="4" hidden="1">#REF!</definedName>
    <definedName name="Z_B3F6EA45_C4B0_11D6_A93C_F3538214D62E_.wvu.PrintTitles" localSheetId="8" hidden="1">#REF!</definedName>
    <definedName name="Z_B3F6EA45_C4B0_11D6_A93C_F3538214D62E_.wvu.PrintTitles" hidden="1">#REF!</definedName>
    <definedName name="Z_B3F6EA45_C4B0_11D6_A93C_F3538214D62E_.wvu.Rows" localSheetId="2" hidden="1">#REF!,#REF!,#REF!</definedName>
    <definedName name="Z_B3F6EA45_C4B0_11D6_A93C_F3538214D62E_.wvu.Rows" localSheetId="4" hidden="1">#REF!,#REF!,#REF!</definedName>
    <definedName name="Z_B3F6EA45_C4B0_11D6_A93C_F3538214D62E_.wvu.Rows" localSheetId="8" hidden="1">#REF!,#REF!,#REF!</definedName>
    <definedName name="Z_B3F6EA45_C4B0_11D6_A93C_F3538214D62E_.wvu.Rows" localSheetId="6" hidden="1">#REF!,#REF!,#REF!</definedName>
    <definedName name="Z_B3F6EA45_C4B0_11D6_A93C_F3538214D62E_.wvu.Rows" hidden="1">#REF!,#REF!,#REF!</definedName>
    <definedName name="Z_C9FB2A72_5C56_11D3_AD66_0050040A13CD_.wvu.PrintArea" localSheetId="2" hidden="1">#REF!</definedName>
    <definedName name="Z_C9FB2A72_5C56_11D3_AD66_0050040A13CD_.wvu.PrintArea" localSheetId="4" hidden="1">#REF!</definedName>
    <definedName name="Z_C9FB2A72_5C56_11D3_AD66_0050040A13CD_.wvu.PrintArea" localSheetId="8" hidden="1">#REF!</definedName>
    <definedName name="Z_C9FB2A72_5C56_11D3_AD66_0050040A13CD_.wvu.PrintArea" hidden="1">#REF!</definedName>
    <definedName name="Z_C9FB2A72_5C56_11D3_AD66_0050040A13CD_.wvu.PrintTitles" localSheetId="2" hidden="1">#REF!</definedName>
    <definedName name="Z_C9FB2A72_5C56_11D3_AD66_0050040A13CD_.wvu.PrintTitles" localSheetId="4" hidden="1">#REF!</definedName>
    <definedName name="Z_C9FB2A72_5C56_11D3_AD66_0050040A13CD_.wvu.PrintTitles" localSheetId="8" hidden="1">#REF!</definedName>
    <definedName name="Z_C9FB2A72_5C56_11D3_AD66_0050040A13CD_.wvu.PrintTitles" hidden="1">#REF!</definedName>
    <definedName name="Z_C9FB2A73_5C56_11D3_AD66_0050040A13CD_.wvu.PrintArea" localSheetId="2" hidden="1">#REF!</definedName>
    <definedName name="Z_C9FB2A73_5C56_11D3_AD66_0050040A13CD_.wvu.PrintArea" localSheetId="4" hidden="1">#REF!</definedName>
    <definedName name="Z_C9FB2A73_5C56_11D3_AD66_0050040A13CD_.wvu.PrintArea" localSheetId="8" hidden="1">#REF!</definedName>
    <definedName name="Z_C9FB2A73_5C56_11D3_AD66_0050040A13CD_.wvu.PrintArea" hidden="1">#REF!</definedName>
    <definedName name="Z_C9FB2A73_5C56_11D3_AD66_0050040A13CD_.wvu.PrintTitles" localSheetId="2" hidden="1">#REF!</definedName>
    <definedName name="Z_C9FB2A73_5C56_11D3_AD66_0050040A13CD_.wvu.PrintTitles" localSheetId="4" hidden="1">#REF!</definedName>
    <definedName name="Z_C9FB2A73_5C56_11D3_AD66_0050040A13CD_.wvu.PrintTitles" localSheetId="8" hidden="1">#REF!</definedName>
    <definedName name="Z_C9FB2A73_5C56_11D3_AD66_0050040A13CD_.wvu.PrintTitles" hidden="1">#REF!</definedName>
    <definedName name="Z_C9FB2A75_5C56_11D3_AD66_0050040A13CD_.wvu.PrintArea" localSheetId="2" hidden="1">#REF!</definedName>
    <definedName name="Z_C9FB2A75_5C56_11D3_AD66_0050040A13CD_.wvu.PrintArea" localSheetId="4" hidden="1">#REF!</definedName>
    <definedName name="Z_C9FB2A75_5C56_11D3_AD66_0050040A13CD_.wvu.PrintArea" localSheetId="8" hidden="1">#REF!</definedName>
    <definedName name="Z_C9FB2A75_5C56_11D3_AD66_0050040A13CD_.wvu.PrintArea" hidden="1">#REF!</definedName>
    <definedName name="Z_C9FB2A75_5C56_11D3_AD66_0050040A13CD_.wvu.PrintTitles" localSheetId="2" hidden="1">#REF!</definedName>
    <definedName name="Z_C9FB2A75_5C56_11D3_AD66_0050040A13CD_.wvu.PrintTitles" localSheetId="4" hidden="1">#REF!</definedName>
    <definedName name="Z_C9FB2A75_5C56_11D3_AD66_0050040A13CD_.wvu.PrintTitles" localSheetId="8" hidden="1">#REF!</definedName>
    <definedName name="Z_C9FB2A75_5C56_11D3_AD66_0050040A13CD_.wvu.PrintTitles" hidden="1">#REF!</definedName>
    <definedName name="Z_C9FB2A76_5C56_11D3_AD66_0050040A13CD_.wvu.PrintArea" localSheetId="2" hidden="1">#REF!</definedName>
    <definedName name="Z_C9FB2A76_5C56_11D3_AD66_0050040A13CD_.wvu.PrintArea" localSheetId="4" hidden="1">#REF!</definedName>
    <definedName name="Z_C9FB2A76_5C56_11D3_AD66_0050040A13CD_.wvu.PrintArea" localSheetId="8" hidden="1">#REF!</definedName>
    <definedName name="Z_C9FB2A76_5C56_11D3_AD66_0050040A13CD_.wvu.PrintArea" hidden="1">#REF!</definedName>
    <definedName name="Z_C9FB2A76_5C56_11D3_AD66_0050040A13CD_.wvu.PrintTitles" localSheetId="2" hidden="1">#REF!</definedName>
    <definedName name="Z_C9FB2A76_5C56_11D3_AD66_0050040A13CD_.wvu.PrintTitles" localSheetId="4" hidden="1">#REF!</definedName>
    <definedName name="Z_C9FB2A76_5C56_11D3_AD66_0050040A13CD_.wvu.PrintTitles" localSheetId="8" hidden="1">#REF!</definedName>
    <definedName name="Z_C9FB2A76_5C56_11D3_AD66_0050040A13CD_.wvu.PrintTitles" hidden="1">#REF!</definedName>
    <definedName name="Z_C9FB2A77_5C56_11D3_AD66_0050040A13CD_.wvu.PrintArea" localSheetId="2" hidden="1">#REF!</definedName>
    <definedName name="Z_C9FB2A77_5C56_11D3_AD66_0050040A13CD_.wvu.PrintArea" localSheetId="4" hidden="1">#REF!</definedName>
    <definedName name="Z_C9FB2A77_5C56_11D3_AD66_0050040A13CD_.wvu.PrintArea" localSheetId="8" hidden="1">#REF!</definedName>
    <definedName name="Z_C9FB2A77_5C56_11D3_AD66_0050040A13CD_.wvu.PrintArea" hidden="1">#REF!</definedName>
    <definedName name="Z_C9FB2A77_5C56_11D3_AD66_0050040A13CD_.wvu.PrintTitles" localSheetId="2" hidden="1">#REF!</definedName>
    <definedName name="Z_C9FB2A77_5C56_11D3_AD66_0050040A13CD_.wvu.PrintTitles" localSheetId="4" hidden="1">#REF!</definedName>
    <definedName name="Z_C9FB2A77_5C56_11D3_AD66_0050040A13CD_.wvu.PrintTitles" localSheetId="8" hidden="1">#REF!</definedName>
    <definedName name="Z_C9FB2A77_5C56_11D3_AD66_0050040A13CD_.wvu.PrintTitles" hidden="1">#REF!</definedName>
    <definedName name="Z_C9FB2A79_5C56_11D3_AD66_0050040A13CD_.wvu.PrintArea" localSheetId="2" hidden="1">#REF!</definedName>
    <definedName name="Z_C9FB2A79_5C56_11D3_AD66_0050040A13CD_.wvu.PrintArea" localSheetId="4" hidden="1">#REF!</definedName>
    <definedName name="Z_C9FB2A79_5C56_11D3_AD66_0050040A13CD_.wvu.PrintArea" localSheetId="8" hidden="1">#REF!</definedName>
    <definedName name="Z_C9FB2A79_5C56_11D3_AD66_0050040A13CD_.wvu.PrintArea" hidden="1">#REF!</definedName>
    <definedName name="Z_C9FB2A79_5C56_11D3_AD66_0050040A13CD_.wvu.PrintTitles" localSheetId="2" hidden="1">#REF!</definedName>
    <definedName name="Z_C9FB2A79_5C56_11D3_AD66_0050040A13CD_.wvu.PrintTitles" localSheetId="4" hidden="1">#REF!</definedName>
    <definedName name="Z_C9FB2A79_5C56_11D3_AD66_0050040A13CD_.wvu.PrintTitles" localSheetId="8" hidden="1">#REF!</definedName>
    <definedName name="Z_C9FB2A79_5C56_11D3_AD66_0050040A13CD_.wvu.PrintTitles" hidden="1">#REF!</definedName>
    <definedName name="Z_D782F750_C0FB_11D2_B941_0050040AC228_.wvu.FilterData" hidden="1">'[81]1 BU'!$A$15:$Y$152</definedName>
    <definedName name="Z_DC379DF6_BBB3_11D2_B93F_0050040AC228_.wvu.FilterData" hidden="1">'[81]12 BU'!$A$10:$X$41</definedName>
    <definedName name="Z_ED7DF65E_BB85_11D2_B93F_0050040AC228_.wvu.FilterData" localSheetId="2" hidden="1">#REF!</definedName>
    <definedName name="Z_ED7DF65E_BB85_11D2_B93F_0050040AC228_.wvu.FilterData" localSheetId="4" hidden="1">#REF!</definedName>
    <definedName name="Z_ED7DF65E_BB85_11D2_B93F_0050040AC228_.wvu.FilterData" localSheetId="8" hidden="1">#REF!</definedName>
    <definedName name="Z_ED7DF65E_BB85_11D2_B93F_0050040AC228_.wvu.FilterData" hidden="1">#REF!</definedName>
    <definedName name="Z_F14718EE_5AC2_11D3_AD63_0050040A13CD_.wvu.PrintArea" localSheetId="2" hidden="1">#REF!</definedName>
    <definedName name="Z_F14718EE_5AC2_11D3_AD63_0050040A13CD_.wvu.PrintArea" localSheetId="4" hidden="1">#REF!</definedName>
    <definedName name="Z_F14718EE_5AC2_11D3_AD63_0050040A13CD_.wvu.PrintArea" localSheetId="8" hidden="1">#REF!</definedName>
    <definedName name="Z_F14718EE_5AC2_11D3_AD63_0050040A13CD_.wvu.PrintArea" hidden="1">#REF!</definedName>
    <definedName name="Z_F14718EF_5AC2_11D3_AD63_0050040A13CD_.wvu.PrintArea" localSheetId="2" hidden="1">#REF!</definedName>
    <definedName name="Z_F14718EF_5AC2_11D3_AD63_0050040A13CD_.wvu.PrintArea" localSheetId="4" hidden="1">#REF!</definedName>
    <definedName name="Z_F14718EF_5AC2_11D3_AD63_0050040A13CD_.wvu.PrintArea" localSheetId="8" hidden="1">#REF!</definedName>
    <definedName name="Z_F14718EF_5AC2_11D3_AD63_0050040A13CD_.wvu.PrintArea" hidden="1">#REF!</definedName>
    <definedName name="Z_F14718F1_5AC2_11D3_AD63_0050040A13CD_.wvu.PrintArea" localSheetId="2" hidden="1">#REF!</definedName>
    <definedName name="Z_F14718F1_5AC2_11D3_AD63_0050040A13CD_.wvu.PrintArea" localSheetId="4" hidden="1">#REF!</definedName>
    <definedName name="Z_F14718F1_5AC2_11D3_AD63_0050040A13CD_.wvu.PrintArea" localSheetId="8" hidden="1">#REF!</definedName>
    <definedName name="Z_F14718F1_5AC2_11D3_AD63_0050040A13CD_.wvu.PrintArea" hidden="1">#REF!</definedName>
    <definedName name="Z_F14718F2_5AC2_11D3_AD63_0050040A13CD_.wvu.PrintArea" localSheetId="2" hidden="1">#REF!</definedName>
    <definedName name="Z_F14718F2_5AC2_11D3_AD63_0050040A13CD_.wvu.PrintArea" localSheetId="4" hidden="1">#REF!</definedName>
    <definedName name="Z_F14718F2_5AC2_11D3_AD63_0050040A13CD_.wvu.PrintArea" localSheetId="8" hidden="1">#REF!</definedName>
    <definedName name="Z_F14718F2_5AC2_11D3_AD63_0050040A13CD_.wvu.PrintArea" hidden="1">#REF!</definedName>
    <definedName name="Z_F14718F3_5AC2_11D3_AD63_0050040A13CD_.wvu.PrintArea" localSheetId="2" hidden="1">#REF!</definedName>
    <definedName name="Z_F14718F3_5AC2_11D3_AD63_0050040A13CD_.wvu.PrintArea" localSheetId="4" hidden="1">#REF!</definedName>
    <definedName name="Z_F14718F3_5AC2_11D3_AD63_0050040A13CD_.wvu.PrintArea" localSheetId="8" hidden="1">#REF!</definedName>
    <definedName name="Z_F14718F3_5AC2_11D3_AD63_0050040A13CD_.wvu.PrintArea" hidden="1">#REF!</definedName>
    <definedName name="Z_F14718F5_5AC2_11D3_AD63_0050040A13CD_.wvu.PrintArea" localSheetId="2" hidden="1">#REF!</definedName>
    <definedName name="Z_F14718F5_5AC2_11D3_AD63_0050040A13CD_.wvu.PrintArea" localSheetId="4" hidden="1">#REF!</definedName>
    <definedName name="Z_F14718F5_5AC2_11D3_AD63_0050040A13CD_.wvu.PrintArea" localSheetId="8" hidden="1">#REF!</definedName>
    <definedName name="Z_F14718F5_5AC2_11D3_AD63_0050040A13CD_.wvu.PrintArea" hidden="1">#REF!</definedName>
    <definedName name="Z_F1471909_5AC2_11D3_AD63_0050040A13CD_.wvu.PrintArea" localSheetId="2" hidden="1">#REF!</definedName>
    <definedName name="Z_F1471909_5AC2_11D3_AD63_0050040A13CD_.wvu.PrintArea" localSheetId="4" hidden="1">#REF!</definedName>
    <definedName name="Z_F1471909_5AC2_11D3_AD63_0050040A13CD_.wvu.PrintArea" localSheetId="8" hidden="1">#REF!</definedName>
    <definedName name="Z_F1471909_5AC2_11D3_AD63_0050040A13CD_.wvu.PrintArea" hidden="1">#REF!</definedName>
    <definedName name="Z_F1471909_5AC2_11D3_AD63_0050040A13CD_.wvu.PrintTitles" localSheetId="2" hidden="1">#REF!</definedName>
    <definedName name="Z_F1471909_5AC2_11D3_AD63_0050040A13CD_.wvu.PrintTitles" localSheetId="4" hidden="1">#REF!</definedName>
    <definedName name="Z_F1471909_5AC2_11D3_AD63_0050040A13CD_.wvu.PrintTitles" localSheetId="8" hidden="1">#REF!</definedName>
    <definedName name="Z_F1471909_5AC2_11D3_AD63_0050040A13CD_.wvu.PrintTitles" hidden="1">#REF!</definedName>
    <definedName name="Z_F147190A_5AC2_11D3_AD63_0050040A13CD_.wvu.PrintArea" localSheetId="2" hidden="1">#REF!</definedName>
    <definedName name="Z_F147190A_5AC2_11D3_AD63_0050040A13CD_.wvu.PrintArea" localSheetId="4" hidden="1">#REF!</definedName>
    <definedName name="Z_F147190A_5AC2_11D3_AD63_0050040A13CD_.wvu.PrintArea" localSheetId="8" hidden="1">#REF!</definedName>
    <definedName name="Z_F147190A_5AC2_11D3_AD63_0050040A13CD_.wvu.PrintArea" hidden="1">#REF!</definedName>
    <definedName name="Z_F147190A_5AC2_11D3_AD63_0050040A13CD_.wvu.PrintTitles" localSheetId="2" hidden="1">#REF!</definedName>
    <definedName name="Z_F147190A_5AC2_11D3_AD63_0050040A13CD_.wvu.PrintTitles" localSheetId="4" hidden="1">#REF!</definedName>
    <definedName name="Z_F147190A_5AC2_11D3_AD63_0050040A13CD_.wvu.PrintTitles" localSheetId="8" hidden="1">#REF!</definedName>
    <definedName name="Z_F147190A_5AC2_11D3_AD63_0050040A13CD_.wvu.PrintTitles" hidden="1">#REF!</definedName>
    <definedName name="Z_F147190C_5AC2_11D3_AD63_0050040A13CD_.wvu.PrintArea" localSheetId="2" hidden="1">#REF!</definedName>
    <definedName name="Z_F147190C_5AC2_11D3_AD63_0050040A13CD_.wvu.PrintArea" localSheetId="4" hidden="1">#REF!</definedName>
    <definedName name="Z_F147190C_5AC2_11D3_AD63_0050040A13CD_.wvu.PrintArea" localSheetId="8" hidden="1">#REF!</definedName>
    <definedName name="Z_F147190C_5AC2_11D3_AD63_0050040A13CD_.wvu.PrintArea" hidden="1">#REF!</definedName>
    <definedName name="Z_F147190C_5AC2_11D3_AD63_0050040A13CD_.wvu.PrintTitles" localSheetId="2" hidden="1">#REF!</definedName>
    <definedName name="Z_F147190C_5AC2_11D3_AD63_0050040A13CD_.wvu.PrintTitles" localSheetId="4" hidden="1">#REF!</definedName>
    <definedName name="Z_F147190C_5AC2_11D3_AD63_0050040A13CD_.wvu.PrintTitles" localSheetId="8" hidden="1">#REF!</definedName>
    <definedName name="Z_F147190C_5AC2_11D3_AD63_0050040A13CD_.wvu.PrintTitles" hidden="1">#REF!</definedName>
    <definedName name="Z_F147190D_5AC2_11D3_AD63_0050040A13CD_.wvu.PrintArea" localSheetId="2" hidden="1">#REF!</definedName>
    <definedName name="Z_F147190D_5AC2_11D3_AD63_0050040A13CD_.wvu.PrintArea" localSheetId="4" hidden="1">#REF!</definedName>
    <definedName name="Z_F147190D_5AC2_11D3_AD63_0050040A13CD_.wvu.PrintArea" localSheetId="8" hidden="1">#REF!</definedName>
    <definedName name="Z_F147190D_5AC2_11D3_AD63_0050040A13CD_.wvu.PrintArea" hidden="1">#REF!</definedName>
    <definedName name="Z_F147190D_5AC2_11D3_AD63_0050040A13CD_.wvu.PrintTitles" localSheetId="2" hidden="1">#REF!</definedName>
    <definedName name="Z_F147190D_5AC2_11D3_AD63_0050040A13CD_.wvu.PrintTitles" localSheetId="4" hidden="1">#REF!</definedName>
    <definedName name="Z_F147190D_5AC2_11D3_AD63_0050040A13CD_.wvu.PrintTitles" localSheetId="8" hidden="1">#REF!</definedName>
    <definedName name="Z_F147190D_5AC2_11D3_AD63_0050040A13CD_.wvu.PrintTitles" hidden="1">#REF!</definedName>
    <definedName name="Z_F147190E_5AC2_11D3_AD63_0050040A13CD_.wvu.PrintArea" localSheetId="2" hidden="1">#REF!</definedName>
    <definedName name="Z_F147190E_5AC2_11D3_AD63_0050040A13CD_.wvu.PrintArea" localSheetId="4" hidden="1">#REF!</definedName>
    <definedName name="Z_F147190E_5AC2_11D3_AD63_0050040A13CD_.wvu.PrintArea" localSheetId="8" hidden="1">#REF!</definedName>
    <definedName name="Z_F147190E_5AC2_11D3_AD63_0050040A13CD_.wvu.PrintArea" hidden="1">#REF!</definedName>
    <definedName name="Z_F147190E_5AC2_11D3_AD63_0050040A13CD_.wvu.PrintTitles" localSheetId="2" hidden="1">#REF!</definedName>
    <definedName name="Z_F147190E_5AC2_11D3_AD63_0050040A13CD_.wvu.PrintTitles" localSheetId="4" hidden="1">#REF!</definedName>
    <definedName name="Z_F147190E_5AC2_11D3_AD63_0050040A13CD_.wvu.PrintTitles" localSheetId="8" hidden="1">#REF!</definedName>
    <definedName name="Z_F147190E_5AC2_11D3_AD63_0050040A13CD_.wvu.PrintTitles" hidden="1">#REF!</definedName>
    <definedName name="Z_F1471910_5AC2_11D3_AD63_0050040A13CD_.wvu.PrintArea" localSheetId="2" hidden="1">#REF!</definedName>
    <definedName name="Z_F1471910_5AC2_11D3_AD63_0050040A13CD_.wvu.PrintArea" localSheetId="4" hidden="1">#REF!</definedName>
    <definedName name="Z_F1471910_5AC2_11D3_AD63_0050040A13CD_.wvu.PrintArea" localSheetId="8" hidden="1">#REF!</definedName>
    <definedName name="Z_F1471910_5AC2_11D3_AD63_0050040A13CD_.wvu.PrintArea" hidden="1">#REF!</definedName>
    <definedName name="Z_F1471910_5AC2_11D3_AD63_0050040A13CD_.wvu.PrintTitles" localSheetId="2" hidden="1">#REF!</definedName>
    <definedName name="Z_F1471910_5AC2_11D3_AD63_0050040A13CD_.wvu.PrintTitles" localSheetId="4" hidden="1">#REF!</definedName>
    <definedName name="Z_F1471910_5AC2_11D3_AD63_0050040A13CD_.wvu.PrintTitles" localSheetId="8" hidden="1">#REF!</definedName>
    <definedName name="Z_F1471910_5AC2_11D3_AD63_0050040A13CD_.wvu.PrintTitles" hidden="1">#REF!</definedName>
    <definedName name="Z_F1471912_5AC2_11D3_AD63_0050040A13CD_.wvu.PrintArea" localSheetId="2" hidden="1">#REF!</definedName>
    <definedName name="Z_F1471912_5AC2_11D3_AD63_0050040A13CD_.wvu.PrintArea" localSheetId="4" hidden="1">#REF!</definedName>
    <definedName name="Z_F1471912_5AC2_11D3_AD63_0050040A13CD_.wvu.PrintArea" localSheetId="8" hidden="1">#REF!</definedName>
    <definedName name="Z_F1471912_5AC2_11D3_AD63_0050040A13CD_.wvu.PrintArea" hidden="1">#REF!</definedName>
    <definedName name="Z_F1471912_5AC2_11D3_AD63_0050040A13CD_.wvu.PrintTitles" localSheetId="2" hidden="1">#REF!</definedName>
    <definedName name="Z_F1471912_5AC2_11D3_AD63_0050040A13CD_.wvu.PrintTitles" localSheetId="4" hidden="1">#REF!</definedName>
    <definedName name="Z_F1471912_5AC2_11D3_AD63_0050040A13CD_.wvu.PrintTitles" localSheetId="8" hidden="1">#REF!</definedName>
    <definedName name="Z_F1471912_5AC2_11D3_AD63_0050040A13CD_.wvu.PrintTitles" hidden="1">#REF!</definedName>
    <definedName name="Z_F1471913_5AC2_11D3_AD63_0050040A13CD_.wvu.PrintArea" localSheetId="2" hidden="1">#REF!</definedName>
    <definedName name="Z_F1471913_5AC2_11D3_AD63_0050040A13CD_.wvu.PrintArea" localSheetId="4" hidden="1">#REF!</definedName>
    <definedName name="Z_F1471913_5AC2_11D3_AD63_0050040A13CD_.wvu.PrintArea" localSheetId="8" hidden="1">#REF!</definedName>
    <definedName name="Z_F1471913_5AC2_11D3_AD63_0050040A13CD_.wvu.PrintArea" hidden="1">#REF!</definedName>
    <definedName name="Z_F1471913_5AC2_11D3_AD63_0050040A13CD_.wvu.PrintTitles" localSheetId="2" hidden="1">#REF!</definedName>
    <definedName name="Z_F1471913_5AC2_11D3_AD63_0050040A13CD_.wvu.PrintTitles" localSheetId="4" hidden="1">#REF!</definedName>
    <definedName name="Z_F1471913_5AC2_11D3_AD63_0050040A13CD_.wvu.PrintTitles" localSheetId="8" hidden="1">#REF!</definedName>
    <definedName name="Z_F1471913_5AC2_11D3_AD63_0050040A13CD_.wvu.PrintTitles" hidden="1">#REF!</definedName>
    <definedName name="Z_F1471915_5AC2_11D3_AD63_0050040A13CD_.wvu.PrintArea" localSheetId="2" hidden="1">#REF!</definedName>
    <definedName name="Z_F1471915_5AC2_11D3_AD63_0050040A13CD_.wvu.PrintArea" localSheetId="4" hidden="1">#REF!</definedName>
    <definedName name="Z_F1471915_5AC2_11D3_AD63_0050040A13CD_.wvu.PrintArea" localSheetId="8" hidden="1">#REF!</definedName>
    <definedName name="Z_F1471915_5AC2_11D3_AD63_0050040A13CD_.wvu.PrintArea" hidden="1">#REF!</definedName>
    <definedName name="Z_F1471915_5AC2_11D3_AD63_0050040A13CD_.wvu.PrintTitles" localSheetId="2" hidden="1">#REF!</definedName>
    <definedName name="Z_F1471915_5AC2_11D3_AD63_0050040A13CD_.wvu.PrintTitles" localSheetId="4" hidden="1">#REF!</definedName>
    <definedName name="Z_F1471915_5AC2_11D3_AD63_0050040A13CD_.wvu.PrintTitles" localSheetId="8" hidden="1">#REF!</definedName>
    <definedName name="Z_F1471915_5AC2_11D3_AD63_0050040A13CD_.wvu.PrintTitles" hidden="1">#REF!</definedName>
    <definedName name="Z_F1471916_5AC2_11D3_AD63_0050040A13CD_.wvu.PrintArea" localSheetId="2" hidden="1">#REF!</definedName>
    <definedName name="Z_F1471916_5AC2_11D3_AD63_0050040A13CD_.wvu.PrintArea" localSheetId="4" hidden="1">#REF!</definedName>
    <definedName name="Z_F1471916_5AC2_11D3_AD63_0050040A13CD_.wvu.PrintArea" localSheetId="8" hidden="1">#REF!</definedName>
    <definedName name="Z_F1471916_5AC2_11D3_AD63_0050040A13CD_.wvu.PrintArea" hidden="1">#REF!</definedName>
    <definedName name="Z_F1471916_5AC2_11D3_AD63_0050040A13CD_.wvu.PrintTitles" localSheetId="2" hidden="1">#REF!</definedName>
    <definedName name="Z_F1471916_5AC2_11D3_AD63_0050040A13CD_.wvu.PrintTitles" localSheetId="4" hidden="1">#REF!</definedName>
    <definedName name="Z_F1471916_5AC2_11D3_AD63_0050040A13CD_.wvu.PrintTitles" localSheetId="8" hidden="1">#REF!</definedName>
    <definedName name="Z_F1471916_5AC2_11D3_AD63_0050040A13CD_.wvu.PrintTitles" hidden="1">#REF!</definedName>
    <definedName name="Z_F1471917_5AC2_11D3_AD63_0050040A13CD_.wvu.PrintArea" localSheetId="2" hidden="1">#REF!</definedName>
    <definedName name="Z_F1471917_5AC2_11D3_AD63_0050040A13CD_.wvu.PrintArea" localSheetId="4" hidden="1">#REF!</definedName>
    <definedName name="Z_F1471917_5AC2_11D3_AD63_0050040A13CD_.wvu.PrintArea" localSheetId="8" hidden="1">#REF!</definedName>
    <definedName name="Z_F1471917_5AC2_11D3_AD63_0050040A13CD_.wvu.PrintArea" hidden="1">#REF!</definedName>
    <definedName name="Z_F1471917_5AC2_11D3_AD63_0050040A13CD_.wvu.PrintTitles" localSheetId="2" hidden="1">#REF!</definedName>
    <definedName name="Z_F1471917_5AC2_11D3_AD63_0050040A13CD_.wvu.PrintTitles" localSheetId="4" hidden="1">#REF!</definedName>
    <definedName name="Z_F1471917_5AC2_11D3_AD63_0050040A13CD_.wvu.PrintTitles" localSheetId="8" hidden="1">#REF!</definedName>
    <definedName name="Z_F1471917_5AC2_11D3_AD63_0050040A13CD_.wvu.PrintTitles" hidden="1">#REF!</definedName>
    <definedName name="Z_F1471919_5AC2_11D3_AD63_0050040A13CD_.wvu.PrintArea" localSheetId="2" hidden="1">#REF!</definedName>
    <definedName name="Z_F1471919_5AC2_11D3_AD63_0050040A13CD_.wvu.PrintArea" localSheetId="4" hidden="1">#REF!</definedName>
    <definedName name="Z_F1471919_5AC2_11D3_AD63_0050040A13CD_.wvu.PrintArea" localSheetId="8" hidden="1">#REF!</definedName>
    <definedName name="Z_F1471919_5AC2_11D3_AD63_0050040A13CD_.wvu.PrintArea" hidden="1">#REF!</definedName>
    <definedName name="Z_F1471919_5AC2_11D3_AD63_0050040A13CD_.wvu.PrintTitles" localSheetId="2" hidden="1">#REF!</definedName>
    <definedName name="Z_F1471919_5AC2_11D3_AD63_0050040A13CD_.wvu.PrintTitles" localSheetId="4" hidden="1">#REF!</definedName>
    <definedName name="Z_F1471919_5AC2_11D3_AD63_0050040A13CD_.wvu.PrintTitles" localSheetId="8" hidden="1">#REF!</definedName>
    <definedName name="Z_F1471919_5AC2_11D3_AD63_0050040A13CD_.wvu.PrintTitles" hidden="1">#REF!</definedName>
    <definedName name="ZESTAW" localSheetId="8" hidden="1">{#N/A,#N/A,FALSE,"F-01";#N/A,#N/A,FALSE,"F-01";#N/A,#N/A,FALSE,"F-01"}</definedName>
    <definedName name="ZESTAW" hidden="1">{#N/A,#N/A,FALSE,"F-01";#N/A,#N/A,FALSE,"F-01";#N/A,#N/A,FALSE,"F-01"}</definedName>
    <definedName name="zxcxc" localSheetId="4" hidden="1">{#N/A,#N/A,TRUE,"CashFlowSummary";#N/A,#N/A,TRUE,"FinanceCashFlow";#N/A,#N/A,TRUE,"LandCashFlow";#N/A,#N/A,TRUE,"ConstCashFlow";#N/A,#N/A,TRUE,"A&amp;ECashFlow";#N/A,#N/A,TRUE,"IndirectCashFlow";#N/A,#N/A,TRUE,"MarketingCashFlow";#N/A,#N/A,TRUE,"LeaseUp";#N/A,#N/A,TRUE,"G&amp;ACashFlow"}</definedName>
    <definedName name="zxcxc" localSheetId="8" hidden="1">{#N/A,#N/A,TRUE,"CashFlowSummary";#N/A,#N/A,TRUE,"FinanceCashFlow";#N/A,#N/A,TRUE,"LandCashFlow";#N/A,#N/A,TRUE,"ConstCashFlow";#N/A,#N/A,TRUE,"A&amp;ECashFlow";#N/A,#N/A,TRUE,"IndirectCashFlow";#N/A,#N/A,TRUE,"MarketingCashFlow";#N/A,#N/A,TRUE,"LeaseUp";#N/A,#N/A,TRUE,"G&amp;ACashFlow"}</definedName>
    <definedName name="zxcxc" localSheetId="6" hidden="1">{#N/A,#N/A,TRUE,"CashFlowSummary";#N/A,#N/A,TRUE,"FinanceCashFlow";#N/A,#N/A,TRUE,"LandCashFlow";#N/A,#N/A,TRUE,"ConstCashFlow";#N/A,#N/A,TRUE,"A&amp;ECashFlow";#N/A,#N/A,TRUE,"IndirectCashFlow";#N/A,#N/A,TRUE,"MarketingCashFlow";#N/A,#N/A,TRUE,"LeaseUp";#N/A,#N/A,TRUE,"G&amp;ACashFlow"}</definedName>
    <definedName name="zxcxc" hidden="1">{#N/A,#N/A,TRUE,"CashFlowSummary";#N/A,#N/A,TRUE,"FinanceCashFlow";#N/A,#N/A,TRUE,"LandCashFlow";#N/A,#N/A,TRUE,"ConstCashFlow";#N/A,#N/A,TRUE,"A&amp;ECashFlow";#N/A,#N/A,TRUE,"IndirectCashFlow";#N/A,#N/A,TRUE,"MarketingCashFlow";#N/A,#N/A,TRUE,"LeaseUp";#N/A,#N/A,TRUE,"G&amp;ACashFlow"}</definedName>
    <definedName name="zxd" localSheetId="8" hidden="1">{"ANAR",#N/A,FALSE,"Dist total";"MARGEN",#N/A,FALSE,"Dist total";"COMENTARIO",#N/A,FALSE,"Ficha CODICE";"CONSEJO",#N/A,FALSE,"Dist p0";"uno",#N/A,FALSE,"Dist total"}</definedName>
    <definedName name="zxd" hidden="1">{"ANAR",#N/A,FALSE,"Dist total";"MARGEN",#N/A,FALSE,"Dist total";"COMENTARIO",#N/A,FALSE,"Ficha CODICE";"CONSEJO",#N/A,FALSE,"Dist p0";"uno",#N/A,FALSE,"Dist total"}</definedName>
    <definedName name="ZZZ" localSheetId="8" hidden="1">{"ANAR",#N/A,FALSE,"Dist total";"MARGEN",#N/A,FALSE,"Dist total";"COMENTARIO",#N/A,FALSE,"Ficha CODICE";"CONSEJO",#N/A,FALSE,"Dist p0";"uno",#N/A,FALSE,"Dist total"}</definedName>
    <definedName name="ZZZ" hidden="1">{"ANAR",#N/A,FALSE,"Dist total";"MARGEN",#N/A,FALSE,"Dist total";"COMENTARIO",#N/A,FALSE,"Ficha CODICE";"CONSEJO",#N/A,FALSE,"Dist p0";"uno",#N/A,FALSE,"Dist total"}</definedName>
    <definedName name="zzzz" localSheetId="4" hidden="1">{"cash flow",#N/A,FALSE,"Shared Costs";"allocations",#N/A,FALSE,"Shared Costs"}</definedName>
    <definedName name="zzzz" localSheetId="6" hidden="1">{"cash flow",#N/A,FALSE,"Shared Costs";"allocations",#N/A,FALSE,"Shared Costs"}</definedName>
    <definedName name="zzzz" hidden="1">{"cash flow",#N/A,FALSE,"Shared Costs";"allocations",#N/A,FALSE,"Shared Costs"}</definedName>
    <definedName name="ZZZZZ" localSheetId="8" hidden="1">{"CONSEJO",#N/A,FALSE,"Dist p0";"CONSEJO",#N/A,FALSE,"Ficha CODICE"}</definedName>
    <definedName name="ZZZZZ" hidden="1">{"CONSEJO",#N/A,FALSE,"Dist p0";"CONSEJO",#N/A,FALSE,"Ficha CODICE"}</definedName>
    <definedName name="ZZZZZZ" localSheetId="8" hidden="1">{"uno",#N/A,FALSE,"Dist total";"COMENTARIO",#N/A,FALSE,"Ficha CODICE"}</definedName>
    <definedName name="ZZZZZZ" hidden="1">{"uno",#N/A,FALSE,"Dist total";"COMENTARIO",#N/A,FALSE,"Ficha CODICE"}</definedName>
    <definedName name="zzzzzzzzzzzzzzzzzzzzzzzzzz" localSheetId="8" hidden="1">{"ANAR",#N/A,FALSE,"Dist total";"MARGEN",#N/A,FALSE,"Dist total";"COMENTARIO",#N/A,FALSE,"Ficha CODICE";"CONSEJO",#N/A,FALSE,"Dist p0";"uno",#N/A,FALSE,"Dist total"}</definedName>
    <definedName name="zzzzzzzzzzzzzzzzzzzzzzzzzz" hidden="1">{"ANAR",#N/A,FALSE,"Dist total";"MARGEN",#N/A,FALSE,"Dist total";"COMENTARIO",#N/A,FALSE,"Ficha CODICE";"CONSEJO",#N/A,FALSE,"Dist p0";"uno",#N/A,FALSE,"Dist total"}</definedName>
  </definedNames>
  <calcPr calcId="191029" calcMode="autoNoTable" iterate="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E20" i="68" l="1"/>
  <c r="FD20" i="68"/>
  <c r="FE19" i="68"/>
  <c r="FD19" i="68"/>
  <c r="FE18" i="68"/>
  <c r="FD18" i="68"/>
  <c r="FE17" i="68"/>
  <c r="FD17" i="68"/>
  <c r="FE16" i="68"/>
  <c r="FD16" i="68"/>
  <c r="FB8" i="68"/>
  <c r="FB9" i="68" s="1"/>
  <c r="FB6" i="68"/>
  <c r="FB7" i="68" s="1"/>
  <c r="BZ89" i="3"/>
  <c r="BY206" i="3"/>
  <c r="BY198" i="3"/>
  <c r="BY183" i="3"/>
  <c r="BY182" i="3"/>
  <c r="BY181" i="3"/>
  <c r="BY179" i="3"/>
  <c r="BY178" i="3"/>
  <c r="BY170" i="3"/>
  <c r="BY168" i="3"/>
  <c r="BY167" i="3"/>
  <c r="BY166" i="3"/>
  <c r="BY346" i="3"/>
  <c r="BY96" i="3"/>
  <c r="BY91" i="3"/>
  <c r="BY92" i="3"/>
  <c r="BY94" i="3"/>
  <c r="BY95" i="3"/>
  <c r="BY138" i="3"/>
  <c r="BY137" i="3"/>
  <c r="BY136" i="3"/>
  <c r="BY135" i="3"/>
  <c r="BY134" i="3"/>
  <c r="BY133" i="3"/>
  <c r="BY158" i="3"/>
  <c r="BY155" i="3"/>
  <c r="BY123" i="3"/>
  <c r="BY117" i="3"/>
  <c r="BY116" i="3"/>
  <c r="BY115" i="3"/>
  <c r="BY107" i="3"/>
  <c r="BW107" i="3"/>
  <c r="BY106" i="3"/>
  <c r="BY105" i="3"/>
  <c r="BY104" i="3"/>
  <c r="BY103" i="3"/>
  <c r="BY102" i="3"/>
  <c r="BY99" i="3"/>
  <c r="FA20" i="68"/>
  <c r="EZ20" i="68"/>
  <c r="FA19" i="68"/>
  <c r="EZ19" i="68"/>
  <c r="FA18" i="68"/>
  <c r="EZ18" i="68"/>
  <c r="FA17" i="68"/>
  <c r="EZ17" i="68"/>
  <c r="FA16" i="68"/>
  <c r="EZ16" i="68"/>
  <c r="BX92" i="3"/>
  <c r="BX91" i="3"/>
  <c r="BX94" i="3"/>
  <c r="BX95" i="3"/>
  <c r="BX346" i="3"/>
  <c r="BX303" i="3"/>
  <c r="BX144" i="3"/>
  <c r="BX145" i="3"/>
  <c r="BX134" i="3"/>
  <c r="BX139" i="3"/>
  <c r="BX138" i="3"/>
  <c r="BX137" i="3"/>
  <c r="BX136" i="3"/>
  <c r="BX135" i="3"/>
  <c r="BX133" i="3"/>
  <c r="BX123" i="3"/>
  <c r="BX117" i="3"/>
  <c r="BX116" i="3"/>
  <c r="BX115" i="3"/>
  <c r="BX106" i="3"/>
  <c r="BX105" i="3"/>
  <c r="BX104" i="3"/>
  <c r="BX103" i="3"/>
  <c r="BX102" i="3"/>
  <c r="BX99" i="3"/>
  <c r="BX405" i="3" s="1"/>
  <c r="BX198" i="3"/>
  <c r="BX183" i="3"/>
  <c r="BX182" i="3"/>
  <c r="BX181" i="3"/>
  <c r="BX179" i="3"/>
  <c r="BX170" i="3"/>
  <c r="BX178" i="3"/>
  <c r="BX168" i="3"/>
  <c r="BX167" i="3"/>
  <c r="BX166" i="3"/>
  <c r="BX158" i="3"/>
  <c r="BX157" i="3"/>
  <c r="BX155" i="3"/>
  <c r="EW20" i="68"/>
  <c r="EV20" i="68"/>
  <c r="EW19" i="68"/>
  <c r="EV19" i="68"/>
  <c r="EW18" i="68"/>
  <c r="EV18" i="68"/>
  <c r="EW17" i="68"/>
  <c r="EV17" i="68"/>
  <c r="EW16" i="68"/>
  <c r="EV16" i="68"/>
  <c r="E404" i="3"/>
  <c r="BW144" i="3"/>
  <c r="BW133" i="3"/>
  <c r="BW138" i="3"/>
  <c r="BW123" i="3"/>
  <c r="BW117" i="3"/>
  <c r="BW115" i="3"/>
  <c r="BW106" i="3"/>
  <c r="BW105" i="3"/>
  <c r="BW103" i="3"/>
  <c r="BW102" i="3"/>
  <c r="BW99" i="3"/>
  <c r="BW405" i="3" s="1"/>
  <c r="BV138" i="3"/>
  <c r="BW212" i="3"/>
  <c r="BW136" i="3" s="1"/>
  <c r="BW206" i="3"/>
  <c r="BW198" i="3"/>
  <c r="BW139" i="3" s="1"/>
  <c r="BW183" i="3"/>
  <c r="BW181" i="3"/>
  <c r="BW182" i="3"/>
  <c r="BW179" i="3"/>
  <c r="BW137" i="3" s="1"/>
  <c r="BW171" i="3"/>
  <c r="BW178" i="3"/>
  <c r="BW168" i="3"/>
  <c r="BW166" i="3"/>
  <c r="BW158" i="3"/>
  <c r="BW157" i="3"/>
  <c r="BW135" i="3" s="1"/>
  <c r="BW155" i="3"/>
  <c r="ES20" i="68"/>
  <c r="ER20" i="68"/>
  <c r="ES19" i="68"/>
  <c r="ER19" i="68"/>
  <c r="ES18" i="68"/>
  <c r="ER18" i="68"/>
  <c r="ES17" i="68"/>
  <c r="ER17" i="68"/>
  <c r="ES16" i="68"/>
  <c r="ER16" i="68"/>
  <c r="EO20" i="68"/>
  <c r="EN20" i="68"/>
  <c r="EO19" i="68"/>
  <c r="EN19" i="68"/>
  <c r="EO18" i="68"/>
  <c r="EN18" i="68"/>
  <c r="EO17" i="68"/>
  <c r="EN17" i="68"/>
  <c r="EO16" i="68"/>
  <c r="EN16" i="68"/>
  <c r="BV145" i="3"/>
  <c r="BV144" i="3"/>
  <c r="BV116" i="3"/>
  <c r="BV106" i="3"/>
  <c r="BV104" i="3"/>
  <c r="BV99" i="3"/>
  <c r="BV405" i="3" s="1"/>
  <c r="BV183" i="3"/>
  <c r="BV182" i="3"/>
  <c r="BV181" i="3"/>
  <c r="BV137" i="3" s="1"/>
  <c r="BV179" i="3"/>
  <c r="BV176" i="3"/>
  <c r="BV175" i="3"/>
  <c r="BV178" i="3"/>
  <c r="BV168" i="3"/>
  <c r="BV166" i="3"/>
  <c r="BV158" i="3"/>
  <c r="BV157" i="3"/>
  <c r="BV155" i="3"/>
  <c r="BV133" i="3" s="1"/>
  <c r="BX132" i="3" l="1"/>
  <c r="BV107" i="3"/>
  <c r="BV146" i="3"/>
  <c r="BV147" i="3" s="1"/>
  <c r="BW104" i="3"/>
  <c r="BW134" i="3"/>
  <c r="BW132" i="3" s="1"/>
  <c r="BW145" i="3"/>
  <c r="BV109" i="3"/>
  <c r="BV111" i="3" s="1"/>
  <c r="BW146" i="3"/>
  <c r="BV136" i="3"/>
  <c r="BV123" i="3"/>
  <c r="BW303" i="3"/>
  <c r="BV135" i="3"/>
  <c r="BV134" i="3"/>
  <c r="BW116" i="3"/>
  <c r="BW346" i="3"/>
  <c r="BV102" i="3"/>
  <c r="BV103" i="3"/>
  <c r="BV115" i="3"/>
  <c r="BV346" i="3"/>
  <c r="BV105" i="3"/>
  <c r="BV117" i="3"/>
  <c r="BV139" i="3"/>
  <c r="BV132" i="3" l="1"/>
  <c r="BV140" i="3" s="1"/>
  <c r="BU99" i="3" l="1"/>
  <c r="BU138" i="3" s="1"/>
  <c r="BU123" i="3" l="1"/>
  <c r="BU346" i="3"/>
  <c r="BU106" i="3"/>
  <c r="BU103" i="3"/>
  <c r="BU105" i="3"/>
  <c r="BU107" i="3"/>
  <c r="BU115" i="3"/>
  <c r="BU116" i="3"/>
  <c r="BU102" i="3"/>
  <c r="BU109" i="3"/>
  <c r="BU134" i="3"/>
  <c r="BU146" i="3"/>
  <c r="BU145" i="3"/>
  <c r="BU144" i="3"/>
  <c r="BU139" i="3"/>
  <c r="BU117" i="3"/>
  <c r="BU104" i="3"/>
  <c r="BU405" i="3"/>
  <c r="BU212" i="3"/>
  <c r="BU207" i="3"/>
  <c r="BU206" i="3"/>
  <c r="BU204" i="3"/>
  <c r="BU183" i="3"/>
  <c r="BU182" i="3"/>
  <c r="BU181" i="3"/>
  <c r="BU179" i="3"/>
  <c r="BU178" i="3"/>
  <c r="BU168" i="3"/>
  <c r="BU166" i="3"/>
  <c r="BU135" i="3" s="1"/>
  <c r="BU158" i="3"/>
  <c r="BU155" i="3"/>
  <c r="BU133" i="3" s="1"/>
  <c r="EK20" i="68"/>
  <c r="EJ20" i="68"/>
  <c r="EK19" i="68"/>
  <c r="EJ19" i="68"/>
  <c r="EK18" i="68"/>
  <c r="EJ18" i="68"/>
  <c r="EK17" i="68"/>
  <c r="EJ17" i="68"/>
  <c r="EK16" i="68"/>
  <c r="EJ16" i="68"/>
  <c r="BU147" i="3" l="1"/>
  <c r="BU136" i="3"/>
  <c r="BU137" i="3"/>
  <c r="BT99" i="3"/>
  <c r="BT138" i="3" s="1"/>
  <c r="BT206" i="3"/>
  <c r="BU132" i="3" l="1"/>
  <c r="BU140" i="3" s="1"/>
  <c r="BT346" i="3"/>
  <c r="BT105" i="3"/>
  <c r="BT104" i="3"/>
  <c r="BT107" i="3"/>
  <c r="BT103" i="3"/>
  <c r="BT123" i="3"/>
  <c r="BT102" i="3"/>
  <c r="BT115" i="3"/>
  <c r="BT117" i="3"/>
  <c r="BT116" i="3"/>
  <c r="BT106" i="3"/>
  <c r="BT134" i="3"/>
  <c r="BT144" i="3"/>
  <c r="BT139" i="3"/>
  <c r="BT405" i="3"/>
  <c r="BT146" i="3"/>
  <c r="BT145" i="3"/>
  <c r="BT183" i="3"/>
  <c r="BT182" i="3"/>
  <c r="BT181" i="3"/>
  <c r="BT179" i="3"/>
  <c r="BT178" i="3"/>
  <c r="BT168" i="3"/>
  <c r="BT166" i="3"/>
  <c r="BT158" i="3"/>
  <c r="BT136" i="3" s="1"/>
  <c r="BT157" i="3"/>
  <c r="BT155" i="3"/>
  <c r="BT133" i="3" s="1"/>
  <c r="EG20" i="68"/>
  <c r="EF20" i="68"/>
  <c r="EG19" i="68"/>
  <c r="EF19" i="68"/>
  <c r="EG18" i="68"/>
  <c r="EF18" i="68"/>
  <c r="EG17" i="68"/>
  <c r="EF17" i="68"/>
  <c r="EG16" i="68"/>
  <c r="EF16" i="68"/>
  <c r="BS212" i="3"/>
  <c r="BS206" i="3"/>
  <c r="BS204" i="3"/>
  <c r="BS181" i="3"/>
  <c r="BS182" i="3"/>
  <c r="BS179" i="3"/>
  <c r="BS178" i="3"/>
  <c r="BS169" i="3"/>
  <c r="BS168" i="3"/>
  <c r="BS166" i="3"/>
  <c r="BS158" i="3"/>
  <c r="BS155" i="3"/>
  <c r="BS99" i="3"/>
  <c r="BS138" i="3" s="1"/>
  <c r="EC20" i="68"/>
  <c r="EB20" i="68"/>
  <c r="EC19" i="68"/>
  <c r="EB19" i="68"/>
  <c r="EC18" i="68"/>
  <c r="EB18" i="68"/>
  <c r="EC17" i="68"/>
  <c r="EB17" i="68"/>
  <c r="EC16" i="68"/>
  <c r="EB16" i="68"/>
  <c r="BR182" i="3"/>
  <c r="BR181" i="3"/>
  <c r="BR179" i="3"/>
  <c r="BR168" i="3"/>
  <c r="BR166" i="3"/>
  <c r="BR158" i="3"/>
  <c r="BR99" i="3"/>
  <c r="BR138" i="3" s="1"/>
  <c r="BI80" i="3"/>
  <c r="BR136" i="3" l="1"/>
  <c r="BS136" i="3"/>
  <c r="BR104" i="3"/>
  <c r="BS146" i="3"/>
  <c r="BT137" i="3"/>
  <c r="BR135" i="3"/>
  <c r="BT135" i="3"/>
  <c r="BS135" i="3"/>
  <c r="BS133" i="3"/>
  <c r="BS405" i="3"/>
  <c r="BS137" i="3"/>
  <c r="BS105" i="3"/>
  <c r="BS134" i="3"/>
  <c r="BS144" i="3"/>
  <c r="BS106" i="3"/>
  <c r="BS109" i="3"/>
  <c r="BS115" i="3"/>
  <c r="BS346" i="3"/>
  <c r="BS116" i="3"/>
  <c r="BS102" i="3"/>
  <c r="BS117" i="3"/>
  <c r="BS139" i="3"/>
  <c r="BS103" i="3"/>
  <c r="BS123" i="3"/>
  <c r="BS145" i="3"/>
  <c r="BR137" i="3"/>
  <c r="BS104" i="3"/>
  <c r="BR139" i="3"/>
  <c r="BR106" i="3"/>
  <c r="BR346" i="3"/>
  <c r="BR144" i="3"/>
  <c r="BR105" i="3"/>
  <c r="BR133" i="3"/>
  <c r="BR145" i="3"/>
  <c r="BR116" i="3"/>
  <c r="BR134" i="3"/>
  <c r="BR146" i="3"/>
  <c r="BR117" i="3"/>
  <c r="BR102" i="3"/>
  <c r="BR123" i="3"/>
  <c r="BR103" i="3"/>
  <c r="BR115" i="3"/>
  <c r="BT132" i="3" l="1"/>
  <c r="BS132" i="3"/>
  <c r="BS140" i="3" s="1"/>
  <c r="BR132" i="3"/>
  <c r="BR147" i="3"/>
  <c r="DY20" i="68"/>
  <c r="DX20" i="68"/>
  <c r="DY19" i="68"/>
  <c r="DX19" i="68"/>
  <c r="DY18" i="68"/>
  <c r="DX18" i="68"/>
  <c r="DY17" i="68"/>
  <c r="DX17" i="68"/>
  <c r="DY16" i="68"/>
  <c r="DX16" i="68"/>
  <c r="BQ168" i="3"/>
  <c r="BQ135" i="3" s="1"/>
  <c r="BQ99" i="3"/>
  <c r="BQ136" i="3" l="1"/>
  <c r="BQ138" i="3"/>
  <c r="BQ346" i="3"/>
  <c r="BQ134" i="3"/>
  <c r="BQ137" i="3"/>
  <c r="BQ105" i="3"/>
  <c r="BQ405" i="3"/>
  <c r="BQ144" i="3"/>
  <c r="BQ139" i="3"/>
  <c r="BQ145" i="3"/>
  <c r="BQ133" i="3"/>
  <c r="BQ146" i="3"/>
  <c r="BQ106" i="3"/>
  <c r="BQ115" i="3"/>
  <c r="BQ116" i="3"/>
  <c r="BQ117" i="3"/>
  <c r="BQ103" i="3"/>
  <c r="BQ123" i="3"/>
  <c r="BQ127" i="3" s="1"/>
  <c r="BQ104" i="3"/>
  <c r="BQ102" i="3"/>
  <c r="BQ132" i="3" l="1"/>
  <c r="BQ147" i="3"/>
  <c r="DU20" i="68"/>
  <c r="DT20" i="68"/>
  <c r="DU19" i="68"/>
  <c r="DT19" i="68"/>
  <c r="DU18" i="68"/>
  <c r="DT18" i="68"/>
  <c r="DU17" i="68"/>
  <c r="DT17" i="68"/>
  <c r="DU16" i="68"/>
  <c r="DT16" i="68"/>
  <c r="DQ20" i="68"/>
  <c r="DP20" i="68"/>
  <c r="DQ19" i="68"/>
  <c r="DP19" i="68"/>
  <c r="DQ18" i="68"/>
  <c r="DP18" i="68"/>
  <c r="DQ17" i="68"/>
  <c r="DP17" i="68"/>
  <c r="DQ16" i="68"/>
  <c r="DP16" i="68"/>
  <c r="BP111" i="3"/>
  <c r="BP99" i="3" l="1"/>
  <c r="BP136" i="3" l="1"/>
  <c r="BP138" i="3"/>
  <c r="BP135" i="3"/>
  <c r="BP102" i="3"/>
  <c r="BP123" i="3"/>
  <c r="BP117" i="3"/>
  <c r="BP116" i="3"/>
  <c r="BP115" i="3"/>
  <c r="BP405" i="3"/>
  <c r="BP106" i="3"/>
  <c r="BP105" i="3"/>
  <c r="BP346" i="3"/>
  <c r="BP104" i="3"/>
  <c r="BP103" i="3"/>
  <c r="BP146" i="3"/>
  <c r="BP134" i="3"/>
  <c r="BP145" i="3"/>
  <c r="BP133" i="3"/>
  <c r="BP144" i="3"/>
  <c r="BP139" i="3"/>
  <c r="BP137" i="3"/>
  <c r="G26" i="2"/>
  <c r="BO99" i="3"/>
  <c r="BI99" i="3"/>
  <c r="BJ99" i="3"/>
  <c r="BK99" i="3"/>
  <c r="BL99" i="3"/>
  <c r="BM99" i="3"/>
  <c r="BN99" i="3"/>
  <c r="BM136" i="3" l="1"/>
  <c r="BM138" i="3"/>
  <c r="BN136" i="3"/>
  <c r="BN138" i="3"/>
  <c r="BL136" i="3"/>
  <c r="BL138" i="3"/>
  <c r="BO136" i="3"/>
  <c r="BO138" i="3"/>
  <c r="BI136" i="3"/>
  <c r="BI138" i="3"/>
  <c r="BK136" i="3"/>
  <c r="BK138" i="3"/>
  <c r="BJ136" i="3"/>
  <c r="BJ138" i="3"/>
  <c r="BJ135" i="3"/>
  <c r="BO135" i="3"/>
  <c r="BL135" i="3"/>
  <c r="BK135" i="3"/>
  <c r="BI135" i="3"/>
  <c r="BN135" i="3"/>
  <c r="BM135" i="3"/>
  <c r="BN137" i="3"/>
  <c r="BL137" i="3"/>
  <c r="BO405" i="3"/>
  <c r="BM137" i="3"/>
  <c r="BK137" i="3"/>
  <c r="BJ137" i="3"/>
  <c r="BI137" i="3"/>
  <c r="BP132" i="3"/>
  <c r="BO106" i="3"/>
  <c r="BO137" i="3"/>
  <c r="BO117" i="3"/>
  <c r="BT311" i="3"/>
  <c r="BS311" i="3"/>
  <c r="BR311" i="3"/>
  <c r="BQ311" i="3"/>
  <c r="BP311" i="3"/>
  <c r="BO311" i="3"/>
  <c r="D280" i="3" l="1"/>
  <c r="K79" i="2" l="1"/>
  <c r="G132" i="2"/>
  <c r="G130" i="2"/>
  <c r="G128" i="2"/>
  <c r="G126" i="2"/>
  <c r="E266" i="3"/>
  <c r="E264" i="3"/>
  <c r="E262" i="3"/>
  <c r="E260" i="3"/>
  <c r="E258" i="3"/>
  <c r="F93" i="2" l="1"/>
  <c r="D117" i="3" s="1"/>
  <c r="I138" i="54" l="1"/>
  <c r="I137" i="54"/>
  <c r="I136" i="54"/>
  <c r="D32" i="53"/>
  <c r="D31" i="53"/>
  <c r="D30" i="53"/>
  <c r="D29" i="53"/>
  <c r="D28" i="53"/>
  <c r="G32" i="2"/>
  <c r="G31" i="2"/>
  <c r="G30" i="2"/>
  <c r="G29" i="2"/>
  <c r="BO104" i="3" l="1"/>
  <c r="BO346" i="3"/>
  <c r="BO134" i="3"/>
  <c r="BO144" i="3"/>
  <c r="BO146" i="3"/>
  <c r="BO133" i="3"/>
  <c r="BO139" i="3"/>
  <c r="BO145" i="3"/>
  <c r="BY145" i="3" s="1"/>
  <c r="BZ145" i="3" s="1"/>
  <c r="CA145" i="3" s="1"/>
  <c r="CB145" i="3" s="1"/>
  <c r="CC145" i="3" s="1"/>
  <c r="CD145" i="3" s="1"/>
  <c r="CE145" i="3" s="1"/>
  <c r="CF145" i="3" s="1"/>
  <c r="CG145" i="3" s="1"/>
  <c r="CH145" i="3" s="1"/>
  <c r="CI145" i="3" s="1"/>
  <c r="CJ145" i="3" s="1"/>
  <c r="CK145" i="3" s="1"/>
  <c r="CL145" i="3" s="1"/>
  <c r="CM145" i="3" s="1"/>
  <c r="CN145" i="3" s="1"/>
  <c r="CO145" i="3" s="1"/>
  <c r="CP145" i="3" s="1"/>
  <c r="CQ145" i="3" s="1"/>
  <c r="CR145" i="3" s="1"/>
  <c r="CS145" i="3" s="1"/>
  <c r="CT145" i="3" s="1"/>
  <c r="CU145" i="3" s="1"/>
  <c r="CV145" i="3" s="1"/>
  <c r="CW145" i="3" s="1"/>
  <c r="CX145" i="3" s="1"/>
  <c r="CY145" i="3" s="1"/>
  <c r="CZ145" i="3" s="1"/>
  <c r="DA145" i="3" s="1"/>
  <c r="DB145" i="3" s="1"/>
  <c r="DC145" i="3" s="1"/>
  <c r="DD145" i="3" s="1"/>
  <c r="DE145" i="3" s="1"/>
  <c r="DF145" i="3" s="1"/>
  <c r="DG145" i="3" s="1"/>
  <c r="DH145" i="3" s="1"/>
  <c r="DI145" i="3" s="1"/>
  <c r="DJ145" i="3" s="1"/>
  <c r="DK145" i="3" s="1"/>
  <c r="DL145" i="3" s="1"/>
  <c r="DM145" i="3" s="1"/>
  <c r="DN145" i="3" s="1"/>
  <c r="DO145" i="3" s="1"/>
  <c r="DP145" i="3" s="1"/>
  <c r="DQ145" i="3" s="1"/>
  <c r="DR145" i="3" s="1"/>
  <c r="DS145" i="3" s="1"/>
  <c r="DT145" i="3" s="1"/>
  <c r="DU145" i="3" s="1"/>
  <c r="DV145" i="3" s="1"/>
  <c r="DW145" i="3" s="1"/>
  <c r="DX145" i="3" s="1"/>
  <c r="DY145" i="3" s="1"/>
  <c r="BO105" i="3"/>
  <c r="BO102" i="3"/>
  <c r="BO115" i="3"/>
  <c r="BO116" i="3"/>
  <c r="BO123" i="3"/>
  <c r="BO103" i="3"/>
  <c r="DM20" i="68"/>
  <c r="DL20" i="68"/>
  <c r="DM19" i="68"/>
  <c r="DL19" i="68"/>
  <c r="DM18" i="68"/>
  <c r="DL18" i="68"/>
  <c r="DM17" i="68"/>
  <c r="DL17" i="68"/>
  <c r="DM16" i="68"/>
  <c r="DL16" i="68"/>
  <c r="DI20" i="68"/>
  <c r="DH20" i="68"/>
  <c r="DI19" i="68"/>
  <c r="DH19" i="68"/>
  <c r="DI18" i="68"/>
  <c r="DH18" i="68"/>
  <c r="DI17" i="68"/>
  <c r="DH17" i="68"/>
  <c r="DI16" i="68"/>
  <c r="DH16" i="68"/>
  <c r="BO132" i="3" l="1"/>
  <c r="BN146" i="3"/>
  <c r="BN139" i="3"/>
  <c r="BN144" i="3"/>
  <c r="BN134" i="3"/>
  <c r="BN145" i="3"/>
  <c r="BN116" i="3"/>
  <c r="BN133" i="3"/>
  <c r="BN346" i="3"/>
  <c r="BN405" i="3"/>
  <c r="BN117" i="3"/>
  <c r="BN103" i="3"/>
  <c r="BN104" i="3"/>
  <c r="BN102" i="3"/>
  <c r="BN105" i="3"/>
  <c r="BN106" i="3"/>
  <c r="BN123" i="3"/>
  <c r="BN115" i="3"/>
  <c r="BK133" i="3" l="1"/>
  <c r="BK146" i="3"/>
  <c r="BK139" i="3"/>
  <c r="BK145" i="3"/>
  <c r="BK144" i="3"/>
  <c r="BK134" i="3"/>
  <c r="BM134" i="3"/>
  <c r="BM145" i="3"/>
  <c r="BM133" i="3"/>
  <c r="BM146" i="3"/>
  <c r="BL139" i="3"/>
  <c r="BL145" i="3"/>
  <c r="BL144" i="3"/>
  <c r="BL134" i="3"/>
  <c r="BL146" i="3"/>
  <c r="BI133" i="3"/>
  <c r="BI139" i="3"/>
  <c r="BI145" i="3"/>
  <c r="BI146" i="3"/>
  <c r="BI134" i="3"/>
  <c r="BI144" i="3"/>
  <c r="BJ133" i="3"/>
  <c r="BJ145" i="3"/>
  <c r="BJ134" i="3"/>
  <c r="BJ146" i="3"/>
  <c r="BJ139" i="3"/>
  <c r="BJ144" i="3"/>
  <c r="BL133" i="3"/>
  <c r="BN132" i="3"/>
  <c r="BL405" i="3"/>
  <c r="BM117" i="3"/>
  <c r="BM405" i="3"/>
  <c r="BM139" i="3"/>
  <c r="BM144" i="3"/>
  <c r="BM116" i="3"/>
  <c r="BM103" i="3"/>
  <c r="BM106" i="3"/>
  <c r="BM123" i="3"/>
  <c r="BM102" i="3"/>
  <c r="BM104" i="3"/>
  <c r="BM115" i="3"/>
  <c r="DE20" i="68"/>
  <c r="DD20" i="68"/>
  <c r="DE19" i="68"/>
  <c r="DD19" i="68"/>
  <c r="DE18" i="68"/>
  <c r="DD18" i="68"/>
  <c r="DE17" i="68"/>
  <c r="DD17" i="68"/>
  <c r="DE16" i="68"/>
  <c r="DD16" i="68"/>
  <c r="BM132" i="3" l="1"/>
  <c r="BL346" i="3"/>
  <c r="BL123" i="3" l="1"/>
  <c r="BL117" i="3"/>
  <c r="BL115" i="3"/>
  <c r="BL106" i="3"/>
  <c r="BL105" i="3"/>
  <c r="BL104" i="3"/>
  <c r="BL103" i="3"/>
  <c r="BL102" i="3"/>
  <c r="BK102" i="3"/>
  <c r="BL132" i="3" l="1"/>
  <c r="DA20" i="68"/>
  <c r="CZ20" i="68"/>
  <c r="DA19" i="68"/>
  <c r="CZ19" i="68"/>
  <c r="DA18" i="68"/>
  <c r="CZ18" i="68"/>
  <c r="DA17" i="68"/>
  <c r="CZ17" i="68"/>
  <c r="DA16" i="68"/>
  <c r="CZ16" i="68"/>
  <c r="BK346" i="3" l="1"/>
  <c r="BI346" i="3"/>
  <c r="BJ346" i="3"/>
  <c r="BK405" i="3"/>
  <c r="BK123" i="3"/>
  <c r="BK117" i="3"/>
  <c r="BK115" i="3"/>
  <c r="BK106" i="3"/>
  <c r="BK105" i="3"/>
  <c r="BK104" i="3"/>
  <c r="BK103" i="3"/>
  <c r="BH132" i="3"/>
  <c r="BG132" i="3"/>
  <c r="BF132" i="3"/>
  <c r="BE132" i="3"/>
  <c r="BD132" i="3"/>
  <c r="BC132" i="3"/>
  <c r="BB132" i="3"/>
  <c r="BA132" i="3"/>
  <c r="AZ132" i="3"/>
  <c r="AY132" i="3"/>
  <c r="AX132" i="3"/>
  <c r="AW132" i="3"/>
  <c r="AV132" i="3"/>
  <c r="AU132" i="3"/>
  <c r="AT132" i="3"/>
  <c r="AS132" i="3"/>
  <c r="AR132" i="3"/>
  <c r="AQ132" i="3"/>
  <c r="AP132" i="3"/>
  <c r="AO132" i="3"/>
  <c r="AN132" i="3"/>
  <c r="AM132" i="3"/>
  <c r="AL132" i="3"/>
  <c r="AK132" i="3"/>
  <c r="AJ132" i="3"/>
  <c r="AI132" i="3"/>
  <c r="AH132" i="3"/>
  <c r="AG132" i="3"/>
  <c r="AF132" i="3"/>
  <c r="AE132" i="3"/>
  <c r="AD132" i="3"/>
  <c r="AC132" i="3"/>
  <c r="AB132" i="3"/>
  <c r="AA132" i="3"/>
  <c r="Z132" i="3"/>
  <c r="Y132" i="3"/>
  <c r="X132" i="3"/>
  <c r="W132" i="3"/>
  <c r="V132" i="3"/>
  <c r="U132" i="3"/>
  <c r="T132" i="3"/>
  <c r="S132" i="3"/>
  <c r="R132" i="3"/>
  <c r="Q132" i="3"/>
  <c r="P132" i="3"/>
  <c r="O132" i="3"/>
  <c r="N132" i="3"/>
  <c r="M132" i="3"/>
  <c r="L132" i="3"/>
  <c r="K132" i="3"/>
  <c r="J132" i="3"/>
  <c r="I132" i="3"/>
  <c r="BJ405" i="3"/>
  <c r="BJ123" i="3"/>
  <c r="BJ115" i="3"/>
  <c r="BJ117" i="3"/>
  <c r="BI123" i="3"/>
  <c r="BJ106" i="3"/>
  <c r="BJ105" i="3"/>
  <c r="BJ104" i="3"/>
  <c r="BJ103" i="3"/>
  <c r="BJ102" i="3"/>
  <c r="BK120" i="3" l="1"/>
  <c r="BK132" i="3"/>
  <c r="BI132" i="3"/>
  <c r="H138" i="3"/>
  <c r="BJ132" i="3"/>
  <c r="BI140" i="3" l="1"/>
  <c r="BI117" i="3"/>
  <c r="BI115" i="3"/>
  <c r="BI106" i="3"/>
  <c r="BI104" i="3"/>
  <c r="BI103" i="3"/>
  <c r="H103" i="3" s="1"/>
  <c r="BI102" i="3"/>
  <c r="BH54" i="3"/>
  <c r="D64" i="3"/>
  <c r="CW20" i="68"/>
  <c r="CV20" i="68"/>
  <c r="CW19" i="68"/>
  <c r="CV19" i="68"/>
  <c r="CW18" i="68"/>
  <c r="CV18" i="68"/>
  <c r="CW17" i="68"/>
  <c r="CV17" i="68"/>
  <c r="CW16" i="68"/>
  <c r="CV16" i="68"/>
  <c r="BJ42" i="3"/>
  <c r="BJ33" i="3"/>
  <c r="CS20" i="68"/>
  <c r="CR20" i="68"/>
  <c r="CS19" i="68"/>
  <c r="CR19" i="68"/>
  <c r="CS18" i="68"/>
  <c r="CR18" i="68"/>
  <c r="CS17" i="68"/>
  <c r="CR17" i="68"/>
  <c r="CS16" i="68"/>
  <c r="CR16" i="68"/>
  <c r="BI42" i="3" l="1"/>
  <c r="D59" i="3"/>
  <c r="BI54" i="3"/>
  <c r="BH33" i="3"/>
  <c r="H136" i="3"/>
  <c r="H137" i="3"/>
  <c r="H135" i="3"/>
  <c r="H134" i="3"/>
  <c r="H133" i="3"/>
  <c r="CO20" i="68" l="1"/>
  <c r="CN20" i="68"/>
  <c r="CO19" i="68"/>
  <c r="CN19" i="68"/>
  <c r="CO18" i="68"/>
  <c r="CN18" i="68"/>
  <c r="CO17" i="68"/>
  <c r="CN17" i="68"/>
  <c r="CO16" i="68"/>
  <c r="CN16" i="68"/>
  <c r="CK20" i="68" l="1"/>
  <c r="CJ20" i="68"/>
  <c r="CK19" i="68"/>
  <c r="CJ19" i="68"/>
  <c r="CK18" i="68"/>
  <c r="CJ18" i="68"/>
  <c r="CK17" i="68"/>
  <c r="CJ17" i="68"/>
  <c r="CK16" i="68"/>
  <c r="CJ16" i="68"/>
  <c r="BG51" i="3"/>
  <c r="G51" i="3" s="1"/>
  <c r="I460" i="3" l="1"/>
  <c r="I526" i="3" s="1"/>
  <c r="DY460" i="3"/>
  <c r="DX460" i="3"/>
  <c r="DW460" i="3"/>
  <c r="DV460" i="3"/>
  <c r="DU460" i="3"/>
  <c r="DT460" i="3"/>
  <c r="DS460" i="3"/>
  <c r="DR460" i="3"/>
  <c r="DQ460" i="3"/>
  <c r="DP460" i="3"/>
  <c r="DO460" i="3"/>
  <c r="DN460" i="3"/>
  <c r="DM460" i="3"/>
  <c r="DL460" i="3"/>
  <c r="DK460" i="3"/>
  <c r="DJ460" i="3"/>
  <c r="DI460" i="3"/>
  <c r="DH460" i="3"/>
  <c r="DG460" i="3"/>
  <c r="DF460" i="3"/>
  <c r="DE460" i="3"/>
  <c r="DD460" i="3"/>
  <c r="DC460" i="3"/>
  <c r="DB460" i="3"/>
  <c r="DA460" i="3"/>
  <c r="CZ460" i="3"/>
  <c r="CY460" i="3"/>
  <c r="CX460" i="3"/>
  <c r="CW460" i="3"/>
  <c r="CV460" i="3"/>
  <c r="CU460" i="3"/>
  <c r="CT460" i="3"/>
  <c r="CS460" i="3"/>
  <c r="CR460" i="3"/>
  <c r="CQ460" i="3"/>
  <c r="CP460" i="3"/>
  <c r="CP488" i="3" s="1"/>
  <c r="CO460" i="3"/>
  <c r="CN460" i="3"/>
  <c r="CM460" i="3"/>
  <c r="CL460" i="3"/>
  <c r="CK460" i="3"/>
  <c r="CJ460" i="3"/>
  <c r="CI460" i="3"/>
  <c r="CH460" i="3"/>
  <c r="CH488" i="3" s="1"/>
  <c r="CG460" i="3"/>
  <c r="CG470" i="3" s="1"/>
  <c r="CF460" i="3"/>
  <c r="CE460" i="3"/>
  <c r="CD460" i="3"/>
  <c r="CC460" i="3"/>
  <c r="CB460" i="3"/>
  <c r="CA460" i="3"/>
  <c r="BZ460" i="3"/>
  <c r="BZ488" i="3" s="1"/>
  <c r="BY460" i="3"/>
  <c r="BY470" i="3" s="1"/>
  <c r="BX460" i="3"/>
  <c r="BW460" i="3"/>
  <c r="BV460" i="3"/>
  <c r="BU460" i="3"/>
  <c r="BT460" i="3"/>
  <c r="BS460" i="3"/>
  <c r="BR460" i="3"/>
  <c r="BQ460" i="3"/>
  <c r="BP460" i="3"/>
  <c r="BO460" i="3"/>
  <c r="BN460" i="3"/>
  <c r="BM460" i="3"/>
  <c r="BL460" i="3"/>
  <c r="BK460" i="3"/>
  <c r="BJ460" i="3"/>
  <c r="BI460" i="3"/>
  <c r="BH460" i="3"/>
  <c r="BG460" i="3"/>
  <c r="BF460" i="3"/>
  <c r="BE460" i="3"/>
  <c r="BD460" i="3"/>
  <c r="BC460" i="3"/>
  <c r="BB460" i="3"/>
  <c r="BA460" i="3"/>
  <c r="AZ460" i="3"/>
  <c r="AY460" i="3"/>
  <c r="AX460" i="3"/>
  <c r="AW460" i="3"/>
  <c r="AV460" i="3"/>
  <c r="AU460" i="3"/>
  <c r="AT460" i="3"/>
  <c r="AS460" i="3"/>
  <c r="AR460" i="3"/>
  <c r="AQ460" i="3"/>
  <c r="AP460" i="3"/>
  <c r="AO460" i="3"/>
  <c r="AN460" i="3"/>
  <c r="AM460" i="3"/>
  <c r="AL460" i="3"/>
  <c r="AK460" i="3"/>
  <c r="AJ460" i="3"/>
  <c r="AI460" i="3"/>
  <c r="AH460" i="3"/>
  <c r="AG460" i="3"/>
  <c r="AF460" i="3"/>
  <c r="AE460" i="3"/>
  <c r="AD460" i="3"/>
  <c r="AD488" i="3" s="1"/>
  <c r="AC460" i="3"/>
  <c r="AB460" i="3"/>
  <c r="AA460" i="3"/>
  <c r="Z460" i="3"/>
  <c r="Y460" i="3"/>
  <c r="X460" i="3"/>
  <c r="W460" i="3"/>
  <c r="V460" i="3"/>
  <c r="V488" i="3" s="1"/>
  <c r="U460" i="3"/>
  <c r="U470" i="3" s="1"/>
  <c r="T460" i="3"/>
  <c r="S460" i="3"/>
  <c r="R460" i="3"/>
  <c r="Q460" i="3"/>
  <c r="P460" i="3"/>
  <c r="O460" i="3"/>
  <c r="N460" i="3"/>
  <c r="N488" i="3" s="1"/>
  <c r="M460" i="3"/>
  <c r="M470" i="3" s="1"/>
  <c r="L460" i="3"/>
  <c r="K460" i="3"/>
  <c r="J460" i="3"/>
  <c r="D515" i="3"/>
  <c r="D508" i="3"/>
  <c r="E489" i="3"/>
  <c r="E471" i="3"/>
  <c r="D464" i="3"/>
  <c r="D461" i="3"/>
  <c r="CG20" i="68"/>
  <c r="CF20" i="68"/>
  <c r="CG19" i="68"/>
  <c r="CF19" i="68"/>
  <c r="CG18" i="68"/>
  <c r="CF18" i="68"/>
  <c r="CG17" i="68"/>
  <c r="CF17" i="68"/>
  <c r="CG16" i="68"/>
  <c r="CF16" i="68"/>
  <c r="AV399" i="3"/>
  <c r="BE406" i="3"/>
  <c r="BD406" i="3"/>
  <c r="BC406" i="3"/>
  <c r="BB406" i="3"/>
  <c r="BA406" i="3"/>
  <c r="AZ406" i="3"/>
  <c r="AY406" i="3"/>
  <c r="AX406" i="3"/>
  <c r="AW406" i="3"/>
  <c r="AV406" i="3"/>
  <c r="AU406" i="3"/>
  <c r="AT406" i="3"/>
  <c r="AR406" i="3"/>
  <c r="AQ406" i="3"/>
  <c r="AP406" i="3"/>
  <c r="AO406" i="3"/>
  <c r="AN406" i="3"/>
  <c r="AM406" i="3"/>
  <c r="AL406" i="3"/>
  <c r="AK406" i="3"/>
  <c r="AJ406" i="3"/>
  <c r="AI406" i="3"/>
  <c r="AH406" i="3"/>
  <c r="AG406" i="3"/>
  <c r="AF406" i="3"/>
  <c r="AE406" i="3"/>
  <c r="AD406" i="3"/>
  <c r="AC406" i="3"/>
  <c r="AB406" i="3"/>
  <c r="AA406" i="3"/>
  <c r="Z406" i="3"/>
  <c r="Y406" i="3"/>
  <c r="X406" i="3"/>
  <c r="W406" i="3"/>
  <c r="V406" i="3"/>
  <c r="U406" i="3"/>
  <c r="T406" i="3"/>
  <c r="S406" i="3"/>
  <c r="R406" i="3"/>
  <c r="Q406" i="3"/>
  <c r="P406" i="3"/>
  <c r="O406" i="3"/>
  <c r="N406" i="3"/>
  <c r="M406" i="3"/>
  <c r="L406" i="3"/>
  <c r="K406" i="3"/>
  <c r="J406" i="3"/>
  <c r="I406" i="3"/>
  <c r="AS406" i="3"/>
  <c r="DM461" i="3" l="1"/>
  <c r="DM497" i="3" s="1"/>
  <c r="BD461" i="3"/>
  <c r="I470" i="3"/>
  <c r="I488" i="3"/>
  <c r="AZ464" i="3"/>
  <c r="AR464" i="3"/>
  <c r="AJ464" i="3"/>
  <c r="AB464" i="3"/>
  <c r="T464" i="3"/>
  <c r="L464" i="3"/>
  <c r="AT464" i="3"/>
  <c r="AY464" i="3"/>
  <c r="AQ464" i="3"/>
  <c r="AI464" i="3"/>
  <c r="AA464" i="3"/>
  <c r="S464" i="3"/>
  <c r="K464" i="3"/>
  <c r="AD464" i="3"/>
  <c r="AX464" i="3"/>
  <c r="AP464" i="3"/>
  <c r="AH464" i="3"/>
  <c r="Z464" i="3"/>
  <c r="R464" i="3"/>
  <c r="J464" i="3"/>
  <c r="BF464" i="3"/>
  <c r="AW464" i="3"/>
  <c r="AO464" i="3"/>
  <c r="AG464" i="3"/>
  <c r="Y464" i="3"/>
  <c r="Q464" i="3"/>
  <c r="V464" i="3"/>
  <c r="BD464" i="3"/>
  <c r="BE464" i="3"/>
  <c r="AV464" i="3"/>
  <c r="AN464" i="3"/>
  <c r="AF464" i="3"/>
  <c r="X464" i="3"/>
  <c r="P464" i="3"/>
  <c r="I464" i="3"/>
  <c r="N464" i="3"/>
  <c r="BC464" i="3"/>
  <c r="AU464" i="3"/>
  <c r="AM464" i="3"/>
  <c r="AE464" i="3"/>
  <c r="W464" i="3"/>
  <c r="O464" i="3"/>
  <c r="AL464" i="3"/>
  <c r="BA464" i="3"/>
  <c r="AS464" i="3"/>
  <c r="AK464" i="3"/>
  <c r="AC464" i="3"/>
  <c r="U464" i="3"/>
  <c r="M464" i="3"/>
  <c r="BB464" i="3"/>
  <c r="K526" i="3"/>
  <c r="K470" i="3"/>
  <c r="K488" i="3"/>
  <c r="S526" i="3"/>
  <c r="S470" i="3"/>
  <c r="S488" i="3"/>
  <c r="AA526" i="3"/>
  <c r="AA470" i="3"/>
  <c r="AA488" i="3"/>
  <c r="AI526" i="3"/>
  <c r="AI470" i="3"/>
  <c r="AI488" i="3"/>
  <c r="AQ526" i="3"/>
  <c r="AQ470" i="3"/>
  <c r="AQ488" i="3"/>
  <c r="AY526" i="3"/>
  <c r="AY470" i="3"/>
  <c r="AY488" i="3"/>
  <c r="BG526" i="3"/>
  <c r="BG470" i="3"/>
  <c r="BG488" i="3"/>
  <c r="BO526" i="3"/>
  <c r="BO470" i="3"/>
  <c r="BO488" i="3"/>
  <c r="BW526" i="3"/>
  <c r="BW470" i="3"/>
  <c r="BW488" i="3"/>
  <c r="CE526" i="3"/>
  <c r="CE470" i="3"/>
  <c r="CE488" i="3"/>
  <c r="CM526" i="3"/>
  <c r="CM470" i="3"/>
  <c r="CM488" i="3"/>
  <c r="CU526" i="3"/>
  <c r="CU470" i="3"/>
  <c r="CU488" i="3"/>
  <c r="DC526" i="3"/>
  <c r="DC470" i="3"/>
  <c r="DC488" i="3"/>
  <c r="DK526" i="3"/>
  <c r="DK470" i="3"/>
  <c r="DK488" i="3"/>
  <c r="DS526" i="3"/>
  <c r="DS470" i="3"/>
  <c r="DS488" i="3"/>
  <c r="K461" i="3"/>
  <c r="S461" i="3"/>
  <c r="AA461" i="3"/>
  <c r="AI461" i="3"/>
  <c r="AQ461" i="3"/>
  <c r="AY461" i="3"/>
  <c r="BG461" i="3"/>
  <c r="BO461" i="3"/>
  <c r="BW461" i="3"/>
  <c r="CE461" i="3"/>
  <c r="CM461" i="3"/>
  <c r="CU461" i="3"/>
  <c r="DD461" i="3"/>
  <c r="I471" i="3"/>
  <c r="I479" i="3"/>
  <c r="L526" i="3"/>
  <c r="L470" i="3"/>
  <c r="L488" i="3"/>
  <c r="T526" i="3"/>
  <c r="T470" i="3"/>
  <c r="T488" i="3"/>
  <c r="AB526" i="3"/>
  <c r="AB470" i="3"/>
  <c r="AB488" i="3"/>
  <c r="AJ526" i="3"/>
  <c r="AJ470" i="3"/>
  <c r="AJ488" i="3"/>
  <c r="AR526" i="3"/>
  <c r="AR470" i="3"/>
  <c r="AR488" i="3"/>
  <c r="AZ526" i="3"/>
  <c r="AZ470" i="3"/>
  <c r="AZ488" i="3"/>
  <c r="BH526" i="3"/>
  <c r="BH470" i="3"/>
  <c r="BH488" i="3"/>
  <c r="BP526" i="3"/>
  <c r="BP470" i="3"/>
  <c r="BP488" i="3"/>
  <c r="BX526" i="3"/>
  <c r="BX470" i="3"/>
  <c r="BX488" i="3"/>
  <c r="CF526" i="3"/>
  <c r="CF470" i="3"/>
  <c r="CF488" i="3"/>
  <c r="CN526" i="3"/>
  <c r="CN470" i="3"/>
  <c r="CN488" i="3"/>
  <c r="CV526" i="3"/>
  <c r="CV470" i="3"/>
  <c r="CV488" i="3"/>
  <c r="DD526" i="3"/>
  <c r="DD470" i="3"/>
  <c r="DD488" i="3"/>
  <c r="DL526" i="3"/>
  <c r="DL470" i="3"/>
  <c r="DL488" i="3"/>
  <c r="DT526" i="3"/>
  <c r="DT470" i="3"/>
  <c r="DT488" i="3"/>
  <c r="L461" i="3"/>
  <c r="T461" i="3"/>
  <c r="AB461" i="3"/>
  <c r="AJ461" i="3"/>
  <c r="AR461" i="3"/>
  <c r="AZ461" i="3"/>
  <c r="BH461" i="3"/>
  <c r="BP461" i="3"/>
  <c r="BX461" i="3"/>
  <c r="CF461" i="3"/>
  <c r="CN461" i="3"/>
  <c r="CV461" i="3"/>
  <c r="DE461" i="3"/>
  <c r="I489" i="3"/>
  <c r="I498" i="3"/>
  <c r="M526" i="3"/>
  <c r="M488" i="3"/>
  <c r="U526" i="3"/>
  <c r="U488" i="3"/>
  <c r="AC526" i="3"/>
  <c r="AC488" i="3"/>
  <c r="AK526" i="3"/>
  <c r="AK488" i="3"/>
  <c r="AS526" i="3"/>
  <c r="AS488" i="3"/>
  <c r="BA526" i="3"/>
  <c r="BA488" i="3"/>
  <c r="BI526" i="3"/>
  <c r="BI488" i="3"/>
  <c r="BQ526" i="3"/>
  <c r="BQ488" i="3"/>
  <c r="BY526" i="3"/>
  <c r="BY488" i="3"/>
  <c r="CG526" i="3"/>
  <c r="CG488" i="3"/>
  <c r="CO526" i="3"/>
  <c r="CO488" i="3"/>
  <c r="CW526" i="3"/>
  <c r="CW488" i="3"/>
  <c r="DE526" i="3"/>
  <c r="DE488" i="3"/>
  <c r="DM526" i="3"/>
  <c r="DM488" i="3"/>
  <c r="DU526" i="3"/>
  <c r="DU488" i="3"/>
  <c r="M461" i="3"/>
  <c r="U461" i="3"/>
  <c r="AC461" i="3"/>
  <c r="AK461" i="3"/>
  <c r="AS461" i="3"/>
  <c r="BA461" i="3"/>
  <c r="BI461" i="3"/>
  <c r="BQ461" i="3"/>
  <c r="BY461" i="3"/>
  <c r="CG461" i="3"/>
  <c r="CO461" i="3"/>
  <c r="CW461" i="3"/>
  <c r="DF461" i="3"/>
  <c r="AC470" i="3"/>
  <c r="CO470" i="3"/>
  <c r="N526" i="3"/>
  <c r="N470" i="3"/>
  <c r="V526" i="3"/>
  <c r="V470" i="3"/>
  <c r="AD526" i="3"/>
  <c r="AD470" i="3"/>
  <c r="AL526" i="3"/>
  <c r="AL470" i="3"/>
  <c r="AT526" i="3"/>
  <c r="AT470" i="3"/>
  <c r="BB526" i="3"/>
  <c r="BB470" i="3"/>
  <c r="BJ526" i="3"/>
  <c r="BJ470" i="3"/>
  <c r="BR526" i="3"/>
  <c r="BR470" i="3"/>
  <c r="BZ526" i="3"/>
  <c r="BZ470" i="3"/>
  <c r="CH526" i="3"/>
  <c r="CH470" i="3"/>
  <c r="CP526" i="3"/>
  <c r="CP470" i="3"/>
  <c r="CX526" i="3"/>
  <c r="CX470" i="3"/>
  <c r="DF526" i="3"/>
  <c r="DF470" i="3"/>
  <c r="DN526" i="3"/>
  <c r="DN470" i="3"/>
  <c r="DV526" i="3"/>
  <c r="DV470" i="3"/>
  <c r="N461" i="3"/>
  <c r="V461" i="3"/>
  <c r="AD461" i="3"/>
  <c r="AL461" i="3"/>
  <c r="AT461" i="3"/>
  <c r="BB461" i="3"/>
  <c r="BJ461" i="3"/>
  <c r="BR461" i="3"/>
  <c r="BZ461" i="3"/>
  <c r="CH461" i="3"/>
  <c r="CP461" i="3"/>
  <c r="CX461" i="3"/>
  <c r="DG461" i="3"/>
  <c r="AK470" i="3"/>
  <c r="CW470" i="3"/>
  <c r="AL488" i="3"/>
  <c r="CX488" i="3"/>
  <c r="O526" i="3"/>
  <c r="O470" i="3"/>
  <c r="O488" i="3"/>
  <c r="W526" i="3"/>
  <c r="W470" i="3"/>
  <c r="W488" i="3"/>
  <c r="AE526" i="3"/>
  <c r="AE470" i="3"/>
  <c r="AE488" i="3"/>
  <c r="AM526" i="3"/>
  <c r="AM470" i="3"/>
  <c r="AM488" i="3"/>
  <c r="AU526" i="3"/>
  <c r="AU470" i="3"/>
  <c r="AU488" i="3"/>
  <c r="BC526" i="3"/>
  <c r="BC470" i="3"/>
  <c r="BC488" i="3"/>
  <c r="BK526" i="3"/>
  <c r="BK470" i="3"/>
  <c r="BK488" i="3"/>
  <c r="BS526" i="3"/>
  <c r="BS470" i="3"/>
  <c r="BS488" i="3"/>
  <c r="CA526" i="3"/>
  <c r="CA470" i="3"/>
  <c r="CA488" i="3"/>
  <c r="CI526" i="3"/>
  <c r="CI470" i="3"/>
  <c r="CI488" i="3"/>
  <c r="CQ526" i="3"/>
  <c r="CQ470" i="3"/>
  <c r="CQ488" i="3"/>
  <c r="CY526" i="3"/>
  <c r="CY470" i="3"/>
  <c r="CY488" i="3"/>
  <c r="DG526" i="3"/>
  <c r="DG470" i="3"/>
  <c r="DG488" i="3"/>
  <c r="DO526" i="3"/>
  <c r="DO470" i="3"/>
  <c r="DO488" i="3"/>
  <c r="DW526" i="3"/>
  <c r="DW470" i="3"/>
  <c r="DW488" i="3"/>
  <c r="O461" i="3"/>
  <c r="W461" i="3"/>
  <c r="AE461" i="3"/>
  <c r="AM461" i="3"/>
  <c r="AU461" i="3"/>
  <c r="BC461" i="3"/>
  <c r="BK461" i="3"/>
  <c r="BS461" i="3"/>
  <c r="CA461" i="3"/>
  <c r="CI461" i="3"/>
  <c r="CQ461" i="3"/>
  <c r="CY461" i="3"/>
  <c r="DH461" i="3"/>
  <c r="AS470" i="3"/>
  <c r="DE470" i="3"/>
  <c r="AT488" i="3"/>
  <c r="DF488" i="3"/>
  <c r="P526" i="3"/>
  <c r="P470" i="3"/>
  <c r="P488" i="3"/>
  <c r="X526" i="3"/>
  <c r="X470" i="3"/>
  <c r="X488" i="3"/>
  <c r="AF526" i="3"/>
  <c r="AF470" i="3"/>
  <c r="AF488" i="3"/>
  <c r="AN526" i="3"/>
  <c r="AN470" i="3"/>
  <c r="AN488" i="3"/>
  <c r="AV526" i="3"/>
  <c r="AV470" i="3"/>
  <c r="AV488" i="3"/>
  <c r="BD526" i="3"/>
  <c r="BD470" i="3"/>
  <c r="BD488" i="3"/>
  <c r="BL526" i="3"/>
  <c r="BL470" i="3"/>
  <c r="BL488" i="3"/>
  <c r="BT526" i="3"/>
  <c r="BT470" i="3"/>
  <c r="BT488" i="3"/>
  <c r="CB526" i="3"/>
  <c r="CB470" i="3"/>
  <c r="CB488" i="3"/>
  <c r="CJ526" i="3"/>
  <c r="CJ470" i="3"/>
  <c r="CJ488" i="3"/>
  <c r="CR526" i="3"/>
  <c r="CR470" i="3"/>
  <c r="CR488" i="3"/>
  <c r="CZ526" i="3"/>
  <c r="CZ470" i="3"/>
  <c r="CZ488" i="3"/>
  <c r="DH526" i="3"/>
  <c r="DH470" i="3"/>
  <c r="DH488" i="3"/>
  <c r="DP526" i="3"/>
  <c r="DP470" i="3"/>
  <c r="DP488" i="3"/>
  <c r="DX526" i="3"/>
  <c r="DX470" i="3"/>
  <c r="DX488" i="3"/>
  <c r="P461" i="3"/>
  <c r="X461" i="3"/>
  <c r="AF461" i="3"/>
  <c r="AN461" i="3"/>
  <c r="AV461" i="3"/>
  <c r="BL461" i="3"/>
  <c r="BT461" i="3"/>
  <c r="CB461" i="3"/>
  <c r="CJ461" i="3"/>
  <c r="CR461" i="3"/>
  <c r="CZ461" i="3"/>
  <c r="DI461" i="3"/>
  <c r="BA470" i="3"/>
  <c r="DM470" i="3"/>
  <c r="BB488" i="3"/>
  <c r="DN488" i="3"/>
  <c r="Q526" i="3"/>
  <c r="Q470" i="3"/>
  <c r="Q488" i="3"/>
  <c r="Y526" i="3"/>
  <c r="Y470" i="3"/>
  <c r="Y488" i="3"/>
  <c r="AG526" i="3"/>
  <c r="AG470" i="3"/>
  <c r="AG488" i="3"/>
  <c r="AO526" i="3"/>
  <c r="AO470" i="3"/>
  <c r="AO488" i="3"/>
  <c r="AW526" i="3"/>
  <c r="AW470" i="3"/>
  <c r="AW488" i="3"/>
  <c r="BE526" i="3"/>
  <c r="BE470" i="3"/>
  <c r="BE488" i="3"/>
  <c r="BM526" i="3"/>
  <c r="BM470" i="3"/>
  <c r="BM488" i="3"/>
  <c r="BU526" i="3"/>
  <c r="BU470" i="3"/>
  <c r="BU488" i="3"/>
  <c r="CC526" i="3"/>
  <c r="CC470" i="3"/>
  <c r="CC488" i="3"/>
  <c r="CK526" i="3"/>
  <c r="CK470" i="3"/>
  <c r="CK488" i="3"/>
  <c r="CS526" i="3"/>
  <c r="CS470" i="3"/>
  <c r="CS488" i="3"/>
  <c r="DA526" i="3"/>
  <c r="DA470" i="3"/>
  <c r="DA488" i="3"/>
  <c r="DI526" i="3"/>
  <c r="DI470" i="3"/>
  <c r="DI488" i="3"/>
  <c r="DQ526" i="3"/>
  <c r="DQ470" i="3"/>
  <c r="DQ488" i="3"/>
  <c r="DY526" i="3"/>
  <c r="DY470" i="3"/>
  <c r="DY488" i="3"/>
  <c r="Q461" i="3"/>
  <c r="Y461" i="3"/>
  <c r="AG461" i="3"/>
  <c r="AO461" i="3"/>
  <c r="AW461" i="3"/>
  <c r="BE461" i="3"/>
  <c r="BM461" i="3"/>
  <c r="BU461" i="3"/>
  <c r="CC461" i="3"/>
  <c r="CK461" i="3"/>
  <c r="CS461" i="3"/>
  <c r="DA461" i="3"/>
  <c r="BI470" i="3"/>
  <c r="DU470" i="3"/>
  <c r="BJ488" i="3"/>
  <c r="DV488" i="3"/>
  <c r="D465" i="3"/>
  <c r="DT461" i="3"/>
  <c r="DL461" i="3"/>
  <c r="DS461" i="3"/>
  <c r="DK461" i="3"/>
  <c r="I461" i="3"/>
  <c r="DR461" i="3"/>
  <c r="DJ461" i="3"/>
  <c r="DB461" i="3"/>
  <c r="DY461" i="3"/>
  <c r="DQ461" i="3"/>
  <c r="DX461" i="3"/>
  <c r="DP461" i="3"/>
  <c r="DW461" i="3"/>
  <c r="DO461" i="3"/>
  <c r="DV461" i="3"/>
  <c r="DN461" i="3"/>
  <c r="J526" i="3"/>
  <c r="J470" i="3"/>
  <c r="J488" i="3"/>
  <c r="R526" i="3"/>
  <c r="R470" i="3"/>
  <c r="R488" i="3"/>
  <c r="Z526" i="3"/>
  <c r="Z470" i="3"/>
  <c r="Z488" i="3"/>
  <c r="AH526" i="3"/>
  <c r="AH470" i="3"/>
  <c r="AH488" i="3"/>
  <c r="AP526" i="3"/>
  <c r="AP470" i="3"/>
  <c r="AP488" i="3"/>
  <c r="AX526" i="3"/>
  <c r="AX470" i="3"/>
  <c r="AX488" i="3"/>
  <c r="BF526" i="3"/>
  <c r="BF470" i="3"/>
  <c r="BF488" i="3"/>
  <c r="BN526" i="3"/>
  <c r="BN470" i="3"/>
  <c r="BN488" i="3"/>
  <c r="BV526" i="3"/>
  <c r="BV470" i="3"/>
  <c r="BV488" i="3"/>
  <c r="CD526" i="3"/>
  <c r="CD470" i="3"/>
  <c r="CD488" i="3"/>
  <c r="CL526" i="3"/>
  <c r="CL470" i="3"/>
  <c r="CL488" i="3"/>
  <c r="CT526" i="3"/>
  <c r="CT470" i="3"/>
  <c r="CT488" i="3"/>
  <c r="DB526" i="3"/>
  <c r="DB470" i="3"/>
  <c r="DB488" i="3"/>
  <c r="DJ526" i="3"/>
  <c r="DJ470" i="3"/>
  <c r="DJ488" i="3"/>
  <c r="DR526" i="3"/>
  <c r="DR470" i="3"/>
  <c r="DR488" i="3"/>
  <c r="J461" i="3"/>
  <c r="R461" i="3"/>
  <c r="Z461" i="3"/>
  <c r="AH461" i="3"/>
  <c r="AP461" i="3"/>
  <c r="AX461" i="3"/>
  <c r="BF461" i="3"/>
  <c r="BN461" i="3"/>
  <c r="BV461" i="3"/>
  <c r="CD461" i="3"/>
  <c r="CL461" i="3"/>
  <c r="CT461" i="3"/>
  <c r="DC461" i="3"/>
  <c r="DU461" i="3"/>
  <c r="BQ470" i="3"/>
  <c r="BR488" i="3"/>
  <c r="H460" i="3"/>
  <c r="CC20" i="68"/>
  <c r="CB20" i="68"/>
  <c r="CC19" i="68"/>
  <c r="CB19" i="68"/>
  <c r="CC18" i="68"/>
  <c r="CB18" i="68"/>
  <c r="CC17" i="68"/>
  <c r="CB17" i="68"/>
  <c r="CC16" i="68"/>
  <c r="CB16" i="68"/>
  <c r="BY20" i="68"/>
  <c r="BX20" i="68"/>
  <c r="BY19" i="68"/>
  <c r="BX19" i="68"/>
  <c r="BY18" i="68"/>
  <c r="BX18" i="68"/>
  <c r="BY17" i="68"/>
  <c r="BX17" i="68"/>
  <c r="BY16" i="68"/>
  <c r="BX16" i="68"/>
  <c r="I78" i="3"/>
  <c r="BU20" i="68"/>
  <c r="BT20" i="68"/>
  <c r="BU19" i="68"/>
  <c r="BT19" i="68"/>
  <c r="BU18" i="68"/>
  <c r="BT18" i="68"/>
  <c r="BU17" i="68"/>
  <c r="BT17" i="68"/>
  <c r="BU16" i="68"/>
  <c r="BT16" i="68"/>
  <c r="DM478" i="3" l="1"/>
  <c r="DM544" i="3"/>
  <c r="I472" i="3"/>
  <c r="I490" i="3" s="1"/>
  <c r="I491" i="3" s="1"/>
  <c r="I508" i="3" s="1"/>
  <c r="I527" i="3" s="1"/>
  <c r="H470" i="3"/>
  <c r="H526" i="3"/>
  <c r="BB465" i="3"/>
  <c r="AT465" i="3"/>
  <c r="AL465" i="3"/>
  <c r="AD465" i="3"/>
  <c r="V465" i="3"/>
  <c r="N465" i="3"/>
  <c r="P465" i="3"/>
  <c r="BA465" i="3"/>
  <c r="AS465" i="3"/>
  <c r="AK465" i="3"/>
  <c r="AC465" i="3"/>
  <c r="U465" i="3"/>
  <c r="M465" i="3"/>
  <c r="AV465" i="3"/>
  <c r="AZ465" i="3"/>
  <c r="AR465" i="3"/>
  <c r="AJ465" i="3"/>
  <c r="AB465" i="3"/>
  <c r="T465" i="3"/>
  <c r="L465" i="3"/>
  <c r="BE465" i="3"/>
  <c r="BD465" i="3"/>
  <c r="AY465" i="3"/>
  <c r="AQ465" i="3"/>
  <c r="AI465" i="3"/>
  <c r="AA465" i="3"/>
  <c r="S465" i="3"/>
  <c r="K465" i="3"/>
  <c r="I465" i="3"/>
  <c r="AX465" i="3"/>
  <c r="AP465" i="3"/>
  <c r="AH465" i="3"/>
  <c r="Z465" i="3"/>
  <c r="R465" i="3"/>
  <c r="J465" i="3"/>
  <c r="AN465" i="3"/>
  <c r="BF465" i="3"/>
  <c r="AW465" i="3"/>
  <c r="AO465" i="3"/>
  <c r="AG465" i="3"/>
  <c r="Y465" i="3"/>
  <c r="Q465" i="3"/>
  <c r="AF465" i="3"/>
  <c r="BC465" i="3"/>
  <c r="AU465" i="3"/>
  <c r="AM465" i="3"/>
  <c r="AE465" i="3"/>
  <c r="W465" i="3"/>
  <c r="O465" i="3"/>
  <c r="X465" i="3"/>
  <c r="H461" i="3"/>
  <c r="CD544" i="3"/>
  <c r="CD497" i="3"/>
  <c r="CD478" i="3"/>
  <c r="R544" i="3"/>
  <c r="R497" i="3"/>
  <c r="R478" i="3"/>
  <c r="DV544" i="3"/>
  <c r="DV497" i="3"/>
  <c r="DV478" i="3"/>
  <c r="DJ544" i="3"/>
  <c r="DJ497" i="3"/>
  <c r="DJ478" i="3"/>
  <c r="BU544" i="3"/>
  <c r="BU478" i="3"/>
  <c r="BU497" i="3"/>
  <c r="BD544" i="3"/>
  <c r="BD478" i="3"/>
  <c r="BD497" i="3"/>
  <c r="CY544" i="3"/>
  <c r="CY497" i="3"/>
  <c r="CY478" i="3"/>
  <c r="AM544" i="3"/>
  <c r="AM497" i="3"/>
  <c r="AM478" i="3"/>
  <c r="CH544" i="3"/>
  <c r="CH497" i="3"/>
  <c r="CH478" i="3"/>
  <c r="V544" i="3"/>
  <c r="V497" i="3"/>
  <c r="V478" i="3"/>
  <c r="BI544" i="3"/>
  <c r="BI497" i="3"/>
  <c r="BI478" i="3"/>
  <c r="CV544" i="3"/>
  <c r="CV497" i="3"/>
  <c r="CV478" i="3"/>
  <c r="AJ544" i="3"/>
  <c r="AJ497" i="3"/>
  <c r="AJ478" i="3"/>
  <c r="BO544" i="3"/>
  <c r="BO497" i="3"/>
  <c r="BO478" i="3"/>
  <c r="BV544" i="3"/>
  <c r="BV497" i="3"/>
  <c r="BV478" i="3"/>
  <c r="J544" i="3"/>
  <c r="J497" i="3"/>
  <c r="J478" i="3"/>
  <c r="DO544" i="3"/>
  <c r="DO497" i="3"/>
  <c r="DO478" i="3"/>
  <c r="DR544" i="3"/>
  <c r="DR497" i="3"/>
  <c r="DR478" i="3"/>
  <c r="BM544" i="3"/>
  <c r="BM478" i="3"/>
  <c r="BM497" i="3"/>
  <c r="DI544" i="3"/>
  <c r="DI478" i="3"/>
  <c r="DI497" i="3"/>
  <c r="AV544" i="3"/>
  <c r="AV478" i="3"/>
  <c r="AV497" i="3"/>
  <c r="CQ544" i="3"/>
  <c r="CQ497" i="3"/>
  <c r="CQ478" i="3"/>
  <c r="AE544" i="3"/>
  <c r="AE497" i="3"/>
  <c r="AE478" i="3"/>
  <c r="BZ544" i="3"/>
  <c r="BZ497" i="3"/>
  <c r="BZ478" i="3"/>
  <c r="N544" i="3"/>
  <c r="N497" i="3"/>
  <c r="N478" i="3"/>
  <c r="BA544" i="3"/>
  <c r="BA497" i="3"/>
  <c r="BA478" i="3"/>
  <c r="CN544" i="3"/>
  <c r="CN497" i="3"/>
  <c r="CN478" i="3"/>
  <c r="AB544" i="3"/>
  <c r="AB497" i="3"/>
  <c r="AB478" i="3"/>
  <c r="BG544" i="3"/>
  <c r="BG497" i="3"/>
  <c r="BG478" i="3"/>
  <c r="BN544" i="3"/>
  <c r="BN497" i="3"/>
  <c r="BN478" i="3"/>
  <c r="DW544" i="3"/>
  <c r="DW497" i="3"/>
  <c r="DW478" i="3"/>
  <c r="I544" i="3"/>
  <c r="I497" i="3"/>
  <c r="I478" i="3"/>
  <c r="BE544" i="3"/>
  <c r="BE478" i="3"/>
  <c r="BE497" i="3"/>
  <c r="CZ544" i="3"/>
  <c r="CZ478" i="3"/>
  <c r="CZ497" i="3"/>
  <c r="AN544" i="3"/>
  <c r="AN478" i="3"/>
  <c r="AN497" i="3"/>
  <c r="CI544" i="3"/>
  <c r="CI497" i="3"/>
  <c r="CI478" i="3"/>
  <c r="W544" i="3"/>
  <c r="W497" i="3"/>
  <c r="W478" i="3"/>
  <c r="BR544" i="3"/>
  <c r="BR497" i="3"/>
  <c r="BR478" i="3"/>
  <c r="DF544" i="3"/>
  <c r="DF497" i="3"/>
  <c r="DF478" i="3"/>
  <c r="AS544" i="3"/>
  <c r="AS497" i="3"/>
  <c r="AS478" i="3"/>
  <c r="CF544" i="3"/>
  <c r="CF497" i="3"/>
  <c r="CF478" i="3"/>
  <c r="T544" i="3"/>
  <c r="T497" i="3"/>
  <c r="T478" i="3"/>
  <c r="AY544" i="3"/>
  <c r="AY497" i="3"/>
  <c r="AY478" i="3"/>
  <c r="BF544" i="3"/>
  <c r="BF497" i="3"/>
  <c r="BF478" i="3"/>
  <c r="DP544" i="3"/>
  <c r="DP478" i="3"/>
  <c r="DP497" i="3"/>
  <c r="DK544" i="3"/>
  <c r="DK497" i="3"/>
  <c r="DK478" i="3"/>
  <c r="AW544" i="3"/>
  <c r="AW478" i="3"/>
  <c r="AW497" i="3"/>
  <c r="CR544" i="3"/>
  <c r="CR478" i="3"/>
  <c r="CR497" i="3"/>
  <c r="AF544" i="3"/>
  <c r="AF478" i="3"/>
  <c r="AF497" i="3"/>
  <c r="CA544" i="3"/>
  <c r="CA497" i="3"/>
  <c r="CA478" i="3"/>
  <c r="O544" i="3"/>
  <c r="O497" i="3"/>
  <c r="O478" i="3"/>
  <c r="BJ544" i="3"/>
  <c r="BJ497" i="3"/>
  <c r="BJ478" i="3"/>
  <c r="CW544" i="3"/>
  <c r="CW497" i="3"/>
  <c r="CW478" i="3"/>
  <c r="AK544" i="3"/>
  <c r="AK497" i="3"/>
  <c r="AK478" i="3"/>
  <c r="BX544" i="3"/>
  <c r="BX497" i="3"/>
  <c r="BX478" i="3"/>
  <c r="L544" i="3"/>
  <c r="L497" i="3"/>
  <c r="L478" i="3"/>
  <c r="DD544" i="3"/>
  <c r="DD497" i="3"/>
  <c r="DD478" i="3"/>
  <c r="AQ544" i="3"/>
  <c r="AQ497" i="3"/>
  <c r="AQ478" i="3"/>
  <c r="DU544" i="3"/>
  <c r="DU497" i="3"/>
  <c r="DU478" i="3"/>
  <c r="AX544" i="3"/>
  <c r="AX497" i="3"/>
  <c r="AX478" i="3"/>
  <c r="H488" i="3"/>
  <c r="DX544" i="3"/>
  <c r="DX478" i="3"/>
  <c r="DX497" i="3"/>
  <c r="DS544" i="3"/>
  <c r="DS497" i="3"/>
  <c r="DS478" i="3"/>
  <c r="DA544" i="3"/>
  <c r="DA478" i="3"/>
  <c r="DA497" i="3"/>
  <c r="AO544" i="3"/>
  <c r="AO478" i="3"/>
  <c r="AO497" i="3"/>
  <c r="CJ544" i="3"/>
  <c r="CJ478" i="3"/>
  <c r="CJ497" i="3"/>
  <c r="X544" i="3"/>
  <c r="X478" i="3"/>
  <c r="X497" i="3"/>
  <c r="BS544" i="3"/>
  <c r="BS497" i="3"/>
  <c r="BS478" i="3"/>
  <c r="BB544" i="3"/>
  <c r="BB497" i="3"/>
  <c r="BB478" i="3"/>
  <c r="CO544" i="3"/>
  <c r="CO497" i="3"/>
  <c r="CO478" i="3"/>
  <c r="AC544" i="3"/>
  <c r="AC497" i="3"/>
  <c r="AC478" i="3"/>
  <c r="BP544" i="3"/>
  <c r="BP497" i="3"/>
  <c r="BP478" i="3"/>
  <c r="CU544" i="3"/>
  <c r="CU497" i="3"/>
  <c r="CU478" i="3"/>
  <c r="AI544" i="3"/>
  <c r="AI497" i="3"/>
  <c r="AI478" i="3"/>
  <c r="DC544" i="3"/>
  <c r="DC497" i="3"/>
  <c r="DC478" i="3"/>
  <c r="AP544" i="3"/>
  <c r="AP497" i="3"/>
  <c r="AP478" i="3"/>
  <c r="DQ544" i="3"/>
  <c r="DQ478" i="3"/>
  <c r="DQ497" i="3"/>
  <c r="DL544" i="3"/>
  <c r="DL497" i="3"/>
  <c r="DL478" i="3"/>
  <c r="CS544" i="3"/>
  <c r="CS478" i="3"/>
  <c r="CS497" i="3"/>
  <c r="AG544" i="3"/>
  <c r="AG478" i="3"/>
  <c r="AG497" i="3"/>
  <c r="CB544" i="3"/>
  <c r="CB478" i="3"/>
  <c r="CB497" i="3"/>
  <c r="P544" i="3"/>
  <c r="P478" i="3"/>
  <c r="P497" i="3"/>
  <c r="BK544" i="3"/>
  <c r="BK497" i="3"/>
  <c r="BK478" i="3"/>
  <c r="DG544" i="3"/>
  <c r="DG497" i="3"/>
  <c r="DG478" i="3"/>
  <c r="AT544" i="3"/>
  <c r="AT497" i="3"/>
  <c r="AT478" i="3"/>
  <c r="CG544" i="3"/>
  <c r="CG497" i="3"/>
  <c r="CG478" i="3"/>
  <c r="U544" i="3"/>
  <c r="U497" i="3"/>
  <c r="U478" i="3"/>
  <c r="BH544" i="3"/>
  <c r="BH497" i="3"/>
  <c r="BH478" i="3"/>
  <c r="CM544" i="3"/>
  <c r="CM497" i="3"/>
  <c r="CM478" i="3"/>
  <c r="AA544" i="3"/>
  <c r="AA497" i="3"/>
  <c r="AA478" i="3"/>
  <c r="CT544" i="3"/>
  <c r="CT497" i="3"/>
  <c r="CT478" i="3"/>
  <c r="AH544" i="3"/>
  <c r="AH497" i="3"/>
  <c r="AH478" i="3"/>
  <c r="DY544" i="3"/>
  <c r="DY478" i="3"/>
  <c r="DY497" i="3"/>
  <c r="DT544" i="3"/>
  <c r="DT497" i="3"/>
  <c r="DT478" i="3"/>
  <c r="CK544" i="3"/>
  <c r="CK478" i="3"/>
  <c r="CK497" i="3"/>
  <c r="Y544" i="3"/>
  <c r="Y478" i="3"/>
  <c r="Y497" i="3"/>
  <c r="BT544" i="3"/>
  <c r="BT478" i="3"/>
  <c r="BT497" i="3"/>
  <c r="BC544" i="3"/>
  <c r="BC497" i="3"/>
  <c r="BC478" i="3"/>
  <c r="CX544" i="3"/>
  <c r="CX497" i="3"/>
  <c r="CX478" i="3"/>
  <c r="AL544" i="3"/>
  <c r="AL497" i="3"/>
  <c r="AL478" i="3"/>
  <c r="BY544" i="3"/>
  <c r="BY497" i="3"/>
  <c r="BY478" i="3"/>
  <c r="M544" i="3"/>
  <c r="M497" i="3"/>
  <c r="M478" i="3"/>
  <c r="AZ544" i="3"/>
  <c r="AZ497" i="3"/>
  <c r="AZ478" i="3"/>
  <c r="CE544" i="3"/>
  <c r="CE497" i="3"/>
  <c r="CE478" i="3"/>
  <c r="S544" i="3"/>
  <c r="S497" i="3"/>
  <c r="S478" i="3"/>
  <c r="CL544" i="3"/>
  <c r="CL497" i="3"/>
  <c r="CL478" i="3"/>
  <c r="Z544" i="3"/>
  <c r="Z497" i="3"/>
  <c r="Z478" i="3"/>
  <c r="DN544" i="3"/>
  <c r="DN497" i="3"/>
  <c r="DN478" i="3"/>
  <c r="DB544" i="3"/>
  <c r="DB497" i="3"/>
  <c r="DB478" i="3"/>
  <c r="CC544" i="3"/>
  <c r="CC478" i="3"/>
  <c r="CC497" i="3"/>
  <c r="Q544" i="3"/>
  <c r="Q478" i="3"/>
  <c r="Q497" i="3"/>
  <c r="BL544" i="3"/>
  <c r="BL478" i="3"/>
  <c r="BL497" i="3"/>
  <c r="DH544" i="3"/>
  <c r="DH478" i="3"/>
  <c r="DH497" i="3"/>
  <c r="AU544" i="3"/>
  <c r="AU497" i="3"/>
  <c r="AU478" i="3"/>
  <c r="CP544" i="3"/>
  <c r="CP497" i="3"/>
  <c r="CP478" i="3"/>
  <c r="AD544" i="3"/>
  <c r="AD497" i="3"/>
  <c r="AD478" i="3"/>
  <c r="BQ544" i="3"/>
  <c r="BQ497" i="3"/>
  <c r="BQ478" i="3"/>
  <c r="DE544" i="3"/>
  <c r="DE497" i="3"/>
  <c r="DE478" i="3"/>
  <c r="AR544" i="3"/>
  <c r="AR497" i="3"/>
  <c r="AR478" i="3"/>
  <c r="BW544" i="3"/>
  <c r="BW497" i="3"/>
  <c r="BW478" i="3"/>
  <c r="K544" i="3"/>
  <c r="K497" i="3"/>
  <c r="K478" i="3"/>
  <c r="BQ20" i="68"/>
  <c r="BP20" i="68"/>
  <c r="BQ19" i="68"/>
  <c r="BP19" i="68"/>
  <c r="BQ18" i="68"/>
  <c r="BP18" i="68"/>
  <c r="BQ17" i="68"/>
  <c r="BP17" i="68"/>
  <c r="BQ16" i="68"/>
  <c r="BP16" i="68"/>
  <c r="I473" i="3" l="1"/>
  <c r="J469" i="3" s="1"/>
  <c r="J471" i="3" s="1"/>
  <c r="I492" i="3"/>
  <c r="J487" i="3" s="1"/>
  <c r="J489" i="3" s="1"/>
  <c r="I509" i="3"/>
  <c r="I520" i="3" s="1"/>
  <c r="I480" i="3"/>
  <c r="I481" i="3" s="1"/>
  <c r="J477" i="3" s="1"/>
  <c r="J479" i="3" s="1"/>
  <c r="J472" i="3" l="1"/>
  <c r="J473" i="3" s="1"/>
  <c r="K469" i="3" s="1"/>
  <c r="K471" i="3" s="1"/>
  <c r="J480" i="3"/>
  <c r="I499" i="3"/>
  <c r="I528" i="3"/>
  <c r="I510" i="3"/>
  <c r="BM20" i="68"/>
  <c r="BL20" i="68"/>
  <c r="BM19" i="68"/>
  <c r="BL19" i="68"/>
  <c r="BM18" i="68"/>
  <c r="BL18" i="68"/>
  <c r="BM17" i="68"/>
  <c r="BL17" i="68"/>
  <c r="BM16" i="68"/>
  <c r="BL16" i="68"/>
  <c r="J490" i="3" l="1"/>
  <c r="J491" i="3" s="1"/>
  <c r="J508" i="3" s="1"/>
  <c r="J499" i="3"/>
  <c r="J481" i="3"/>
  <c r="K477" i="3" s="1"/>
  <c r="K479" i="3" s="1"/>
  <c r="I500" i="3"/>
  <c r="I531" i="3"/>
  <c r="I529" i="3"/>
  <c r="J509" i="3" l="1"/>
  <c r="J520" i="3" s="1"/>
  <c r="I515" i="3"/>
  <c r="I545" i="3" s="1"/>
  <c r="I546" i="3" s="1"/>
  <c r="I516" i="3"/>
  <c r="I501" i="3"/>
  <c r="J496" i="3" s="1"/>
  <c r="J527" i="3"/>
  <c r="J528" i="3" s="1"/>
  <c r="J492" i="3"/>
  <c r="K487" i="3" s="1"/>
  <c r="K472" i="3"/>
  <c r="K480" i="3"/>
  <c r="AZ379" i="3"/>
  <c r="AY379" i="3"/>
  <c r="AX379" i="3"/>
  <c r="AU379" i="3"/>
  <c r="AR379" i="3"/>
  <c r="AQ379" i="3"/>
  <c r="AP379" i="3"/>
  <c r="AO379" i="3"/>
  <c r="AN379" i="3"/>
  <c r="AM379" i="3"/>
  <c r="AL379" i="3"/>
  <c r="AK379" i="3"/>
  <c r="AJ379" i="3"/>
  <c r="AI379" i="3"/>
  <c r="AH379" i="3"/>
  <c r="AG379" i="3"/>
  <c r="AF379" i="3"/>
  <c r="AE379" i="3"/>
  <c r="AD379" i="3"/>
  <c r="AC379" i="3"/>
  <c r="AB379" i="3"/>
  <c r="AA379" i="3"/>
  <c r="Z379" i="3"/>
  <c r="Y379" i="3"/>
  <c r="X379" i="3"/>
  <c r="W379" i="3"/>
  <c r="V379" i="3"/>
  <c r="U379" i="3"/>
  <c r="T379" i="3"/>
  <c r="S379" i="3"/>
  <c r="R379" i="3"/>
  <c r="Q379" i="3"/>
  <c r="P379" i="3"/>
  <c r="O379" i="3"/>
  <c r="N379" i="3"/>
  <c r="M379" i="3"/>
  <c r="L379" i="3"/>
  <c r="K379" i="3"/>
  <c r="J379" i="3"/>
  <c r="I379" i="3"/>
  <c r="AP383" i="3"/>
  <c r="AZ377" i="3"/>
  <c r="AY377" i="3"/>
  <c r="AX377" i="3"/>
  <c r="AW377" i="3"/>
  <c r="AV377" i="3"/>
  <c r="AU377" i="3"/>
  <c r="AT377" i="3"/>
  <c r="AS377" i="3"/>
  <c r="AR377" i="3"/>
  <c r="AQ377" i="3"/>
  <c r="AP377" i="3"/>
  <c r="AO377" i="3"/>
  <c r="AN377" i="3"/>
  <c r="AM377" i="3"/>
  <c r="AL377" i="3"/>
  <c r="AK377" i="3"/>
  <c r="AJ377" i="3"/>
  <c r="AI377" i="3"/>
  <c r="AH377" i="3"/>
  <c r="AG377" i="3"/>
  <c r="AF377" i="3"/>
  <c r="AE377" i="3"/>
  <c r="AD377" i="3"/>
  <c r="AC377" i="3"/>
  <c r="AB377" i="3"/>
  <c r="AA377" i="3"/>
  <c r="Z377" i="3"/>
  <c r="Y377" i="3"/>
  <c r="X377" i="3"/>
  <c r="W377" i="3"/>
  <c r="V377" i="3"/>
  <c r="U377" i="3"/>
  <c r="T377" i="3"/>
  <c r="S377" i="3"/>
  <c r="R377" i="3"/>
  <c r="Q377" i="3"/>
  <c r="P377" i="3"/>
  <c r="O377" i="3"/>
  <c r="N377" i="3"/>
  <c r="M377" i="3"/>
  <c r="L377" i="3"/>
  <c r="K377" i="3"/>
  <c r="J377" i="3"/>
  <c r="I377" i="3"/>
  <c r="J531" i="3" l="1"/>
  <c r="I521" i="3"/>
  <c r="J498" i="3"/>
  <c r="J500" i="3" s="1"/>
  <c r="J501" i="3" s="1"/>
  <c r="K496" i="3" s="1"/>
  <c r="K481" i="3"/>
  <c r="L477" i="3" s="1"/>
  <c r="L479" i="3" s="1"/>
  <c r="K499" i="3"/>
  <c r="K473" i="3"/>
  <c r="L469" i="3" s="1"/>
  <c r="L471" i="3" s="1"/>
  <c r="K490" i="3"/>
  <c r="I549" i="3"/>
  <c r="I547" i="3"/>
  <c r="I517" i="3"/>
  <c r="K489" i="3"/>
  <c r="J529" i="3"/>
  <c r="J510" i="3"/>
  <c r="D126" i="3"/>
  <c r="D125" i="3"/>
  <c r="D124" i="3"/>
  <c r="D119" i="3"/>
  <c r="K491" i="3" l="1"/>
  <c r="K508" i="3" s="1"/>
  <c r="K527" i="3" s="1"/>
  <c r="L472" i="3"/>
  <c r="L473" i="3" s="1"/>
  <c r="M469" i="3" s="1"/>
  <c r="M471" i="3" s="1"/>
  <c r="K498" i="3"/>
  <c r="K500" i="3" s="1"/>
  <c r="K501" i="3" s="1"/>
  <c r="L496" i="3" s="1"/>
  <c r="J515" i="3"/>
  <c r="J545" i="3" s="1"/>
  <c r="J546" i="3" s="1"/>
  <c r="J516" i="3"/>
  <c r="L480" i="3"/>
  <c r="F63" i="16"/>
  <c r="F62" i="16"/>
  <c r="F52" i="16"/>
  <c r="F49" i="16"/>
  <c r="F45" i="16"/>
  <c r="F44" i="16"/>
  <c r="F43" i="16"/>
  <c r="F41" i="16"/>
  <c r="F40" i="16"/>
  <c r="F39" i="16"/>
  <c r="F38" i="16"/>
  <c r="F37" i="16"/>
  <c r="F36" i="16"/>
  <c r="F35" i="16"/>
  <c r="F34" i="16"/>
  <c r="F33" i="16"/>
  <c r="L32" i="2" s="1"/>
  <c r="L110" i="2"/>
  <c r="I387" i="3"/>
  <c r="I390" i="3" s="1"/>
  <c r="J387" i="3" s="1"/>
  <c r="J390" i="3" s="1"/>
  <c r="K387" i="3" s="1"/>
  <c r="K390" i="3" s="1"/>
  <c r="L387" i="3" s="1"/>
  <c r="L390" i="3" s="1"/>
  <c r="M387" i="3" s="1"/>
  <c r="M390" i="3" s="1"/>
  <c r="N387" i="3" s="1"/>
  <c r="N390" i="3" s="1"/>
  <c r="O387" i="3" s="1"/>
  <c r="O390" i="3" s="1"/>
  <c r="P387" i="3" s="1"/>
  <c r="P390" i="3" s="1"/>
  <c r="Q387" i="3" s="1"/>
  <c r="Q390" i="3" s="1"/>
  <c r="R387" i="3" s="1"/>
  <c r="R390" i="3" s="1"/>
  <c r="S387" i="3" s="1"/>
  <c r="S390" i="3" s="1"/>
  <c r="T387" i="3" s="1"/>
  <c r="T390" i="3" s="1"/>
  <c r="U387" i="3" s="1"/>
  <c r="U390" i="3" s="1"/>
  <c r="V387" i="3" s="1"/>
  <c r="V390" i="3" s="1"/>
  <c r="W387" i="3" s="1"/>
  <c r="W390" i="3" s="1"/>
  <c r="X387" i="3" s="1"/>
  <c r="X390" i="3" s="1"/>
  <c r="Y387" i="3" s="1"/>
  <c r="Y390" i="3" s="1"/>
  <c r="Z387" i="3" s="1"/>
  <c r="Z390" i="3" s="1"/>
  <c r="AA387" i="3" s="1"/>
  <c r="AA390" i="3" s="1"/>
  <c r="AB387" i="3" s="1"/>
  <c r="AB390" i="3" s="1"/>
  <c r="AC387" i="3" s="1"/>
  <c r="AC390" i="3" s="1"/>
  <c r="AD387" i="3" s="1"/>
  <c r="AD390" i="3" s="1"/>
  <c r="AE387" i="3" s="1"/>
  <c r="AE390" i="3" s="1"/>
  <c r="AF387" i="3" s="1"/>
  <c r="AF390" i="3" s="1"/>
  <c r="AG387" i="3" s="1"/>
  <c r="AG390" i="3" s="1"/>
  <c r="AH387" i="3" s="1"/>
  <c r="AH390" i="3" s="1"/>
  <c r="AI387" i="3" s="1"/>
  <c r="AI390" i="3" s="1"/>
  <c r="AJ387" i="3" s="1"/>
  <c r="AJ390" i="3" s="1"/>
  <c r="AK387" i="3" s="1"/>
  <c r="AK390" i="3" s="1"/>
  <c r="AL387" i="3" s="1"/>
  <c r="AL390" i="3" s="1"/>
  <c r="AM387" i="3" s="1"/>
  <c r="AM390" i="3" s="1"/>
  <c r="AN387" i="3" s="1"/>
  <c r="AN390" i="3" s="1"/>
  <c r="AO387" i="3" s="1"/>
  <c r="AO390" i="3" s="1"/>
  <c r="AP387" i="3" s="1"/>
  <c r="AP390" i="3" s="1"/>
  <c r="AQ387" i="3" s="1"/>
  <c r="AQ390" i="3" s="1"/>
  <c r="AR387" i="3" s="1"/>
  <c r="AR390" i="3" s="1"/>
  <c r="AS387" i="3" s="1"/>
  <c r="AS390" i="3" s="1"/>
  <c r="AT387" i="3" s="1"/>
  <c r="AT390" i="3" s="1"/>
  <c r="AU387" i="3" s="1"/>
  <c r="AU390" i="3" s="1"/>
  <c r="AV387" i="3" s="1"/>
  <c r="AV390" i="3" s="1"/>
  <c r="AW387" i="3" s="1"/>
  <c r="AW390" i="3" s="1"/>
  <c r="AX387" i="3" s="1"/>
  <c r="AX390" i="3" s="1"/>
  <c r="AY387" i="3" s="1"/>
  <c r="AY390" i="3" s="1"/>
  <c r="AZ387" i="3" s="1"/>
  <c r="AZ390" i="3" s="1"/>
  <c r="BA387" i="3" s="1"/>
  <c r="BA390" i="3" s="1"/>
  <c r="BB387" i="3" s="1"/>
  <c r="BB390" i="3" s="1"/>
  <c r="BC387" i="3" s="1"/>
  <c r="BC390" i="3" s="1"/>
  <c r="BD387" i="3" s="1"/>
  <c r="BD390" i="3" s="1"/>
  <c r="BE387" i="3" s="1"/>
  <c r="BE390" i="3" s="1"/>
  <c r="BF387" i="3" s="1"/>
  <c r="BF390" i="3" s="1"/>
  <c r="BG387" i="3" s="1"/>
  <c r="BG390" i="3" s="1"/>
  <c r="BH387" i="3" s="1"/>
  <c r="BH390" i="3" s="1"/>
  <c r="BI387" i="3" s="1"/>
  <c r="BI390" i="3" s="1"/>
  <c r="BJ387" i="3" s="1"/>
  <c r="BJ390" i="3" s="1"/>
  <c r="BK387" i="3" s="1"/>
  <c r="BK390" i="3" s="1"/>
  <c r="BL387" i="3" s="1"/>
  <c r="BL390" i="3" s="1"/>
  <c r="BM387" i="3" s="1"/>
  <c r="BM390" i="3" s="1"/>
  <c r="BN387" i="3" s="1"/>
  <c r="BN390" i="3" s="1"/>
  <c r="BO387" i="3" s="1"/>
  <c r="BO390" i="3" s="1"/>
  <c r="BP387" i="3" s="1"/>
  <c r="BP390" i="3" s="1"/>
  <c r="BQ387" i="3" s="1"/>
  <c r="BQ390" i="3" s="1"/>
  <c r="BR387" i="3" s="1"/>
  <c r="BR390" i="3" s="1"/>
  <c r="BS387" i="3" s="1"/>
  <c r="BS390" i="3" s="1"/>
  <c r="BT387" i="3" s="1"/>
  <c r="BT390" i="3" s="1"/>
  <c r="BU387" i="3" s="1"/>
  <c r="BU390" i="3" s="1"/>
  <c r="BV387" i="3" s="1"/>
  <c r="BV390" i="3" s="1"/>
  <c r="BW387" i="3" s="1"/>
  <c r="BW390" i="3" s="1"/>
  <c r="BX387" i="3" s="1"/>
  <c r="BX390" i="3" s="1"/>
  <c r="BY387" i="3" s="1"/>
  <c r="BY390" i="3" s="1"/>
  <c r="BZ387" i="3" s="1"/>
  <c r="BZ390" i="3" s="1"/>
  <c r="CA387" i="3" s="1"/>
  <c r="CA390" i="3" s="1"/>
  <c r="CB387" i="3" s="1"/>
  <c r="CB390" i="3" s="1"/>
  <c r="CC387" i="3" s="1"/>
  <c r="CC390" i="3" s="1"/>
  <c r="CD387" i="3" s="1"/>
  <c r="CD390" i="3" s="1"/>
  <c r="CE387" i="3" s="1"/>
  <c r="CE390" i="3" s="1"/>
  <c r="CF387" i="3" s="1"/>
  <c r="CF390" i="3" s="1"/>
  <c r="CG387" i="3" s="1"/>
  <c r="CG390" i="3" s="1"/>
  <c r="CH387" i="3" s="1"/>
  <c r="CH390" i="3" s="1"/>
  <c r="CI387" i="3" s="1"/>
  <c r="CI390" i="3" s="1"/>
  <c r="CJ387" i="3" s="1"/>
  <c r="CJ390" i="3" s="1"/>
  <c r="CK387" i="3" s="1"/>
  <c r="CK390" i="3" s="1"/>
  <c r="CL387" i="3" s="1"/>
  <c r="CL390" i="3" s="1"/>
  <c r="CM387" i="3" s="1"/>
  <c r="CM390" i="3" s="1"/>
  <c r="CN387" i="3" s="1"/>
  <c r="CN390" i="3" s="1"/>
  <c r="CO387" i="3" s="1"/>
  <c r="CO390" i="3" s="1"/>
  <c r="CP387" i="3" s="1"/>
  <c r="CP390" i="3" s="1"/>
  <c r="CQ387" i="3" s="1"/>
  <c r="CQ390" i="3" s="1"/>
  <c r="CR387" i="3" s="1"/>
  <c r="CR390" i="3" s="1"/>
  <c r="CS387" i="3" s="1"/>
  <c r="CS390" i="3" s="1"/>
  <c r="CT387" i="3" s="1"/>
  <c r="CT390" i="3" s="1"/>
  <c r="CU387" i="3" s="1"/>
  <c r="CU390" i="3" s="1"/>
  <c r="CV387" i="3" s="1"/>
  <c r="CV390" i="3" s="1"/>
  <c r="CW387" i="3" s="1"/>
  <c r="CW390" i="3" s="1"/>
  <c r="CX387" i="3" s="1"/>
  <c r="CX390" i="3" s="1"/>
  <c r="CY387" i="3" s="1"/>
  <c r="CY390" i="3" s="1"/>
  <c r="CZ387" i="3" s="1"/>
  <c r="CZ390" i="3" s="1"/>
  <c r="DA387" i="3" s="1"/>
  <c r="DA390" i="3" s="1"/>
  <c r="DB387" i="3" s="1"/>
  <c r="DB390" i="3" s="1"/>
  <c r="DC387" i="3" s="1"/>
  <c r="DC390" i="3" s="1"/>
  <c r="DD387" i="3" s="1"/>
  <c r="DD390" i="3" s="1"/>
  <c r="DE387" i="3" s="1"/>
  <c r="DE390" i="3" s="1"/>
  <c r="DF387" i="3" s="1"/>
  <c r="DF390" i="3" s="1"/>
  <c r="DG387" i="3" s="1"/>
  <c r="DG390" i="3" s="1"/>
  <c r="DH387" i="3" s="1"/>
  <c r="DH390" i="3" s="1"/>
  <c r="DI387" i="3" s="1"/>
  <c r="DI390" i="3" s="1"/>
  <c r="DJ387" i="3" s="1"/>
  <c r="DJ390" i="3" s="1"/>
  <c r="DK387" i="3" s="1"/>
  <c r="DK390" i="3" s="1"/>
  <c r="DL387" i="3" s="1"/>
  <c r="DL390" i="3" s="1"/>
  <c r="DM387" i="3" s="1"/>
  <c r="DM390" i="3" s="1"/>
  <c r="DN387" i="3" s="1"/>
  <c r="DN390" i="3" s="1"/>
  <c r="DO387" i="3" s="1"/>
  <c r="DO390" i="3" s="1"/>
  <c r="DP387" i="3" s="1"/>
  <c r="DP390" i="3" s="1"/>
  <c r="DQ387" i="3" s="1"/>
  <c r="DQ390" i="3" s="1"/>
  <c r="DR387" i="3" s="1"/>
  <c r="DR390" i="3" s="1"/>
  <c r="DS387" i="3" s="1"/>
  <c r="DS390" i="3" s="1"/>
  <c r="DT387" i="3" s="1"/>
  <c r="DT390" i="3" s="1"/>
  <c r="DU387" i="3" s="1"/>
  <c r="DU390" i="3" s="1"/>
  <c r="DV387" i="3" s="1"/>
  <c r="DV390" i="3" s="1"/>
  <c r="DW387" i="3" s="1"/>
  <c r="DW390" i="3" s="1"/>
  <c r="DX387" i="3" s="1"/>
  <c r="DX390" i="3" s="1"/>
  <c r="DY387" i="3" s="1"/>
  <c r="DY390" i="3" s="1"/>
  <c r="H388" i="3"/>
  <c r="H389" i="3"/>
  <c r="H393" i="3"/>
  <c r="I394" i="3"/>
  <c r="J394" i="3"/>
  <c r="K394" i="3"/>
  <c r="L394" i="3"/>
  <c r="M394" i="3"/>
  <c r="N394" i="3"/>
  <c r="O394" i="3"/>
  <c r="P394" i="3"/>
  <c r="Q394" i="3"/>
  <c r="R394" i="3"/>
  <c r="S394" i="3"/>
  <c r="T394" i="3"/>
  <c r="U394" i="3"/>
  <c r="V394" i="3"/>
  <c r="W394" i="3"/>
  <c r="X394" i="3"/>
  <c r="Y394" i="3"/>
  <c r="Z394" i="3"/>
  <c r="AA394" i="3"/>
  <c r="AB394" i="3"/>
  <c r="AC394" i="3"/>
  <c r="AD394" i="3"/>
  <c r="AE394" i="3"/>
  <c r="AF394" i="3"/>
  <c r="AG394" i="3"/>
  <c r="AH394" i="3"/>
  <c r="AI394" i="3"/>
  <c r="AJ394" i="3"/>
  <c r="AK394" i="3"/>
  <c r="AL394" i="3"/>
  <c r="AM394" i="3"/>
  <c r="AN394" i="3"/>
  <c r="AO394" i="3"/>
  <c r="AP394" i="3"/>
  <c r="AQ394" i="3"/>
  <c r="AR394" i="3"/>
  <c r="AS394" i="3"/>
  <c r="AT394" i="3"/>
  <c r="AU394" i="3"/>
  <c r="AV394" i="3"/>
  <c r="AW394" i="3"/>
  <c r="AX394" i="3"/>
  <c r="AY394" i="3"/>
  <c r="AZ394" i="3"/>
  <c r="BA394" i="3"/>
  <c r="BB394" i="3"/>
  <c r="BC394" i="3"/>
  <c r="BD394" i="3"/>
  <c r="BE394" i="3"/>
  <c r="BF394" i="3"/>
  <c r="BG394" i="3"/>
  <c r="BH394" i="3"/>
  <c r="BI394" i="3"/>
  <c r="BJ394" i="3"/>
  <c r="BK394" i="3"/>
  <c r="BL394" i="3"/>
  <c r="BM394" i="3"/>
  <c r="BN394" i="3"/>
  <c r="BO394" i="3"/>
  <c r="BP394" i="3"/>
  <c r="BQ394" i="3"/>
  <c r="BR394" i="3"/>
  <c r="BS394" i="3"/>
  <c r="BT394" i="3"/>
  <c r="BU394" i="3"/>
  <c r="BV394" i="3"/>
  <c r="BW394" i="3"/>
  <c r="BX394" i="3"/>
  <c r="BY394" i="3"/>
  <c r="BZ394" i="3"/>
  <c r="CA394" i="3"/>
  <c r="CB394" i="3"/>
  <c r="CC394" i="3"/>
  <c r="CD394" i="3"/>
  <c r="CE394" i="3"/>
  <c r="CF394" i="3"/>
  <c r="CG394" i="3"/>
  <c r="CH394" i="3"/>
  <c r="CI394" i="3"/>
  <c r="CJ394" i="3"/>
  <c r="CK394" i="3"/>
  <c r="CL394" i="3"/>
  <c r="CM394" i="3"/>
  <c r="CN394" i="3"/>
  <c r="CO394" i="3"/>
  <c r="CP394" i="3"/>
  <c r="CQ394" i="3"/>
  <c r="CR394" i="3"/>
  <c r="CS394" i="3"/>
  <c r="CT394" i="3"/>
  <c r="CU394" i="3"/>
  <c r="CV394" i="3"/>
  <c r="CW394" i="3"/>
  <c r="CX394" i="3"/>
  <c r="CY394" i="3"/>
  <c r="CZ394" i="3"/>
  <c r="DA394" i="3"/>
  <c r="DB394" i="3"/>
  <c r="DC394" i="3"/>
  <c r="DD394" i="3"/>
  <c r="DE394" i="3"/>
  <c r="DF394" i="3"/>
  <c r="DG394" i="3"/>
  <c r="DH394" i="3"/>
  <c r="DI394" i="3"/>
  <c r="DJ394" i="3"/>
  <c r="DK394" i="3"/>
  <c r="DL394" i="3"/>
  <c r="DM394" i="3"/>
  <c r="DN394" i="3"/>
  <c r="DO394" i="3"/>
  <c r="DP394" i="3"/>
  <c r="DQ394" i="3"/>
  <c r="DR394" i="3"/>
  <c r="DS394" i="3"/>
  <c r="DT394" i="3"/>
  <c r="DU394" i="3"/>
  <c r="DV394" i="3"/>
  <c r="DW394" i="3"/>
  <c r="DX394" i="3"/>
  <c r="DY394" i="3"/>
  <c r="I441" i="3"/>
  <c r="J441" i="3"/>
  <c r="K441" i="3"/>
  <c r="L441" i="3"/>
  <c r="M441" i="3"/>
  <c r="N441" i="3"/>
  <c r="O441" i="3"/>
  <c r="P441" i="3"/>
  <c r="Q441" i="3"/>
  <c r="R441" i="3"/>
  <c r="S441" i="3"/>
  <c r="T441" i="3"/>
  <c r="U441" i="3"/>
  <c r="V441" i="3"/>
  <c r="W441" i="3"/>
  <c r="X441" i="3"/>
  <c r="Y441" i="3"/>
  <c r="Z441" i="3"/>
  <c r="AA441" i="3"/>
  <c r="AB441" i="3"/>
  <c r="AC441" i="3"/>
  <c r="AD441" i="3"/>
  <c r="AE441" i="3"/>
  <c r="AF441" i="3"/>
  <c r="AH441" i="3"/>
  <c r="AI441" i="3"/>
  <c r="AJ441" i="3"/>
  <c r="AL441" i="3"/>
  <c r="AM441" i="3"/>
  <c r="AN441" i="3"/>
  <c r="AO441" i="3"/>
  <c r="AP441" i="3"/>
  <c r="AQ441" i="3"/>
  <c r="AR441" i="3"/>
  <c r="AT441" i="3"/>
  <c r="AU441" i="3"/>
  <c r="AX441" i="3"/>
  <c r="AY441" i="3"/>
  <c r="AZ441" i="3"/>
  <c r="BI20" i="68"/>
  <c r="BH20" i="68"/>
  <c r="BE20" i="68"/>
  <c r="BD20" i="68"/>
  <c r="BA20" i="68"/>
  <c r="AZ20" i="68"/>
  <c r="AW20" i="68"/>
  <c r="AV20" i="68"/>
  <c r="AS20" i="68"/>
  <c r="AR20" i="68"/>
  <c r="AO20" i="68"/>
  <c r="AN20" i="68"/>
  <c r="AK20" i="68"/>
  <c r="AJ20" i="68"/>
  <c r="AG20" i="68"/>
  <c r="AF20" i="68"/>
  <c r="AC20" i="68"/>
  <c r="AB20" i="68"/>
  <c r="Y20" i="68"/>
  <c r="X20" i="68"/>
  <c r="U20" i="68"/>
  <c r="T20" i="68"/>
  <c r="Q20" i="68"/>
  <c r="P20" i="68"/>
  <c r="M20" i="68"/>
  <c r="L20" i="68"/>
  <c r="I20" i="68"/>
  <c r="BI19" i="68"/>
  <c r="BH19" i="68"/>
  <c r="BE19" i="68"/>
  <c r="BD19" i="68"/>
  <c r="BA19" i="68"/>
  <c r="AZ19" i="68"/>
  <c r="AW19" i="68"/>
  <c r="AV19" i="68"/>
  <c r="AS19" i="68"/>
  <c r="AR19" i="68"/>
  <c r="AO19" i="68"/>
  <c r="AN19" i="68"/>
  <c r="AK19" i="68"/>
  <c r="AJ19" i="68"/>
  <c r="AG19" i="68"/>
  <c r="AF19" i="68"/>
  <c r="AC19" i="68"/>
  <c r="AB19" i="68"/>
  <c r="Y19" i="68"/>
  <c r="X19" i="68"/>
  <c r="U19" i="68"/>
  <c r="T19" i="68"/>
  <c r="Q19" i="68"/>
  <c r="P19" i="68"/>
  <c r="M19" i="68"/>
  <c r="L19" i="68"/>
  <c r="I19" i="68"/>
  <c r="BI18" i="68"/>
  <c r="BH18" i="68"/>
  <c r="BE18" i="68"/>
  <c r="BD18" i="68"/>
  <c r="BA18" i="68"/>
  <c r="AZ18" i="68"/>
  <c r="AW18" i="68"/>
  <c r="AV18" i="68"/>
  <c r="AS18" i="68"/>
  <c r="AR18" i="68"/>
  <c r="AO18" i="68"/>
  <c r="AN18" i="68"/>
  <c r="AK18" i="68"/>
  <c r="AJ18" i="68"/>
  <c r="AG18" i="68"/>
  <c r="AF18" i="68"/>
  <c r="AC18" i="68"/>
  <c r="AB18" i="68"/>
  <c r="Y18" i="68"/>
  <c r="X18" i="68"/>
  <c r="U18" i="68"/>
  <c r="T18" i="68"/>
  <c r="Q18" i="68"/>
  <c r="P18" i="68"/>
  <c r="M18" i="68"/>
  <c r="L18" i="68"/>
  <c r="I18" i="68"/>
  <c r="BI17" i="68"/>
  <c r="BH17" i="68"/>
  <c r="BE17" i="68"/>
  <c r="BD17" i="68"/>
  <c r="BA17" i="68"/>
  <c r="AZ17" i="68"/>
  <c r="AW17" i="68"/>
  <c r="AV17" i="68"/>
  <c r="AS17" i="68"/>
  <c r="AR17" i="68"/>
  <c r="AO17" i="68"/>
  <c r="AN17" i="68"/>
  <c r="AK17" i="68"/>
  <c r="AJ17" i="68"/>
  <c r="AG17" i="68"/>
  <c r="AF17" i="68"/>
  <c r="AC17" i="68"/>
  <c r="AB17" i="68"/>
  <c r="Y17" i="68"/>
  <c r="X17" i="68"/>
  <c r="U17" i="68"/>
  <c r="T17" i="68"/>
  <c r="Q17" i="68"/>
  <c r="P17" i="68"/>
  <c r="M17" i="68"/>
  <c r="L17" i="68"/>
  <c r="I17" i="68"/>
  <c r="BI16" i="68"/>
  <c r="BH16" i="68"/>
  <c r="BE16" i="68"/>
  <c r="BD16" i="68"/>
  <c r="BA16" i="68"/>
  <c r="AZ16" i="68"/>
  <c r="AW16" i="68"/>
  <c r="AV16" i="68"/>
  <c r="AS16" i="68"/>
  <c r="AR16" i="68"/>
  <c r="AO16" i="68"/>
  <c r="AN16" i="68"/>
  <c r="AK16" i="68"/>
  <c r="AJ16" i="68"/>
  <c r="AG16" i="68"/>
  <c r="AF16" i="68"/>
  <c r="AC16" i="68"/>
  <c r="AB16" i="68"/>
  <c r="Y16" i="68"/>
  <c r="X16" i="68"/>
  <c r="U16" i="68"/>
  <c r="T16" i="68"/>
  <c r="Q16" i="68"/>
  <c r="P16" i="68"/>
  <c r="M16" i="68"/>
  <c r="L16" i="68"/>
  <c r="I16" i="68"/>
  <c r="F9" i="68"/>
  <c r="J8" i="68"/>
  <c r="J9" i="68" s="1"/>
  <c r="F7" i="68"/>
  <c r="J6" i="68" s="1"/>
  <c r="J7" i="68" s="1"/>
  <c r="N6" i="68" s="1"/>
  <c r="N7" i="68" s="1"/>
  <c r="R6" i="68" s="1"/>
  <c r="R7" i="68" s="1"/>
  <c r="V6" i="68" s="1"/>
  <c r="V7" i="68" s="1"/>
  <c r="Z6" i="68" s="1"/>
  <c r="Z7" i="68" s="1"/>
  <c r="AD6" i="68" s="1"/>
  <c r="AD7" i="68" s="1"/>
  <c r="AH6" i="68" s="1"/>
  <c r="AH7" i="68" s="1"/>
  <c r="AL6" i="68" s="1"/>
  <c r="AL7" i="68" s="1"/>
  <c r="AP6" i="68" s="1"/>
  <c r="AP7" i="68" s="1"/>
  <c r="AT6" i="68" s="1"/>
  <c r="AT7" i="68" s="1"/>
  <c r="AX6" i="68" s="1"/>
  <c r="AX7" i="68" s="1"/>
  <c r="BB6" i="68" s="1"/>
  <c r="BB7" i="68" s="1"/>
  <c r="BF6" i="68" s="1"/>
  <c r="BF7" i="68" s="1"/>
  <c r="BJ6" i="68" s="1"/>
  <c r="BJ7" i="68" s="1"/>
  <c r="BN6" i="68" s="1"/>
  <c r="BN7" i="68" s="1"/>
  <c r="BR6" i="68" s="1"/>
  <c r="BR7" i="68" s="1"/>
  <c r="BV6" i="68" s="1"/>
  <c r="BV7" i="68" s="1"/>
  <c r="BZ6" i="68" s="1"/>
  <c r="BZ7" i="68" s="1"/>
  <c r="CD6" i="68" s="1"/>
  <c r="CD7" i="68" s="1"/>
  <c r="CH6" i="68" s="1"/>
  <c r="CH7" i="68" s="1"/>
  <c r="CL6" i="68" s="1"/>
  <c r="CL7" i="68" s="1"/>
  <c r="CP6" i="68" s="1"/>
  <c r="CP7" i="68" s="1"/>
  <c r="CT6" i="68" s="1"/>
  <c r="CT7" i="68" s="1"/>
  <c r="CX6" i="68" s="1"/>
  <c r="CX7" i="68" s="1"/>
  <c r="DB6" i="68" s="1"/>
  <c r="DB7" i="68" s="1"/>
  <c r="DF6" i="68" s="1"/>
  <c r="DF7" i="68" s="1"/>
  <c r="DJ6" i="68" s="1"/>
  <c r="DJ7" i="68" s="1"/>
  <c r="DN6" i="68" s="1"/>
  <c r="DN7" i="68" s="1"/>
  <c r="DR6" i="68" s="1"/>
  <c r="DR7" i="68" s="1"/>
  <c r="DV6" i="68" s="1"/>
  <c r="DV7" i="68" s="1"/>
  <c r="DZ6" i="68" s="1"/>
  <c r="DZ7" i="68" s="1"/>
  <c r="ED6" i="68" s="1"/>
  <c r="ED7" i="68" s="1"/>
  <c r="EH6" i="68" s="1"/>
  <c r="EH7" i="68" s="1"/>
  <c r="EL6" i="68" s="1"/>
  <c r="EL7" i="68" s="1"/>
  <c r="EP6" i="68" s="1"/>
  <c r="EP7" i="68" s="1"/>
  <c r="ET6" i="68" s="1"/>
  <c r="ET7" i="68" s="1"/>
  <c r="EX6" i="68" s="1"/>
  <c r="EX7" i="68" s="1"/>
  <c r="L87" i="2"/>
  <c r="K91" i="2" s="1"/>
  <c r="K90" i="2"/>
  <c r="K89" i="2"/>
  <c r="K88" i="2"/>
  <c r="K86" i="2"/>
  <c r="K85" i="2"/>
  <c r="K84" i="2"/>
  <c r="G27" i="2"/>
  <c r="L42" i="53"/>
  <c r="L41" i="53"/>
  <c r="L40" i="53"/>
  <c r="L39" i="53"/>
  <c r="H42" i="53"/>
  <c r="H41" i="53"/>
  <c r="H40" i="53"/>
  <c r="E64" i="3" l="1"/>
  <c r="E47" i="3"/>
  <c r="E52" i="3"/>
  <c r="E41" i="3"/>
  <c r="E50" i="3"/>
  <c r="E53" i="3"/>
  <c r="E51" i="3"/>
  <c r="E48" i="3"/>
  <c r="E49" i="3"/>
  <c r="E340" i="3"/>
  <c r="E46" i="3"/>
  <c r="E40" i="3"/>
  <c r="E39" i="3"/>
  <c r="E25" i="3"/>
  <c r="K509" i="3"/>
  <c r="K520" i="3" s="1"/>
  <c r="L490" i="3"/>
  <c r="E29" i="3"/>
  <c r="E58" i="3"/>
  <c r="E28" i="3"/>
  <c r="E32" i="3"/>
  <c r="E24" i="3"/>
  <c r="E20" i="3"/>
  <c r="E31" i="3"/>
  <c r="E23" i="3"/>
  <c r="E21" i="3"/>
  <c r="E30" i="3"/>
  <c r="E22" i="3"/>
  <c r="E26" i="3"/>
  <c r="E27" i="3"/>
  <c r="J549" i="3"/>
  <c r="J547" i="3"/>
  <c r="J517" i="3"/>
  <c r="L481" i="3"/>
  <c r="M477" i="3" s="1"/>
  <c r="M479" i="3" s="1"/>
  <c r="L499" i="3"/>
  <c r="K516" i="3"/>
  <c r="K515" i="3"/>
  <c r="J521" i="3"/>
  <c r="L498" i="3"/>
  <c r="K492" i="3"/>
  <c r="L487" i="3" s="1"/>
  <c r="M472" i="3"/>
  <c r="N8" i="68"/>
  <c r="R8" i="68" s="1"/>
  <c r="R9" i="68" s="1"/>
  <c r="E38" i="3"/>
  <c r="E37" i="3"/>
  <c r="H394" i="3"/>
  <c r="I398" i="3"/>
  <c r="L500" i="3" l="1"/>
  <c r="L516" i="3" s="1"/>
  <c r="K517" i="3"/>
  <c r="K521" i="3"/>
  <c r="K545" i="3"/>
  <c r="K546" i="3" s="1"/>
  <c r="M473" i="3"/>
  <c r="N469" i="3" s="1"/>
  <c r="N471" i="3" s="1"/>
  <c r="M490" i="3"/>
  <c r="L489" i="3"/>
  <c r="L491" i="3" s="1"/>
  <c r="K528" i="3"/>
  <c r="K531" i="3" s="1"/>
  <c r="K510" i="3"/>
  <c r="M480" i="3"/>
  <c r="N9" i="68"/>
  <c r="V8" i="68"/>
  <c r="V9" i="68" s="1"/>
  <c r="I383" i="3"/>
  <c r="AZ383" i="3"/>
  <c r="AY383" i="3"/>
  <c r="AX383" i="3"/>
  <c r="AU383" i="3"/>
  <c r="AT383" i="3"/>
  <c r="AR383" i="3"/>
  <c r="AQ383" i="3"/>
  <c r="AO383" i="3"/>
  <c r="AN383" i="3"/>
  <c r="AM383" i="3"/>
  <c r="AL383" i="3"/>
  <c r="AJ383" i="3"/>
  <c r="AI383" i="3"/>
  <c r="AH383" i="3"/>
  <c r="AF383" i="3"/>
  <c r="AE383" i="3"/>
  <c r="AD383" i="3"/>
  <c r="AC383" i="3"/>
  <c r="AB383" i="3"/>
  <c r="AA383" i="3"/>
  <c r="Z383" i="3"/>
  <c r="Y383" i="3"/>
  <c r="X383" i="3"/>
  <c r="W383" i="3"/>
  <c r="V383" i="3"/>
  <c r="U383" i="3"/>
  <c r="T383" i="3"/>
  <c r="S383" i="3"/>
  <c r="R383" i="3"/>
  <c r="Q383" i="3"/>
  <c r="P383" i="3"/>
  <c r="O383" i="3"/>
  <c r="N383" i="3"/>
  <c r="M383" i="3"/>
  <c r="L383" i="3"/>
  <c r="K383" i="3"/>
  <c r="J383" i="3"/>
  <c r="N472" i="3" l="1"/>
  <c r="N473" i="3" s="1"/>
  <c r="O469" i="3" s="1"/>
  <c r="O471" i="3" s="1"/>
  <c r="L515" i="3"/>
  <c r="L521" i="3" s="1"/>
  <c r="M499" i="3"/>
  <c r="K549" i="3"/>
  <c r="K547" i="3"/>
  <c r="L509" i="3"/>
  <c r="L508" i="3"/>
  <c r="L501" i="3"/>
  <c r="M496" i="3" s="1"/>
  <c r="K529" i="3"/>
  <c r="M481" i="3"/>
  <c r="N477" i="3" s="1"/>
  <c r="N479" i="3" s="1"/>
  <c r="L492" i="3"/>
  <c r="M487" i="3" s="1"/>
  <c r="Z8" i="68"/>
  <c r="Z9" i="68" s="1"/>
  <c r="D340" i="3"/>
  <c r="AZ409" i="3"/>
  <c r="AY409" i="3"/>
  <c r="AX409" i="3"/>
  <c r="AU409" i="3"/>
  <c r="AR409" i="3"/>
  <c r="AQ409" i="3"/>
  <c r="AP409" i="3"/>
  <c r="AO409" i="3"/>
  <c r="AN409" i="3"/>
  <c r="AM409" i="3"/>
  <c r="AL409" i="3"/>
  <c r="AK409" i="3"/>
  <c r="AJ409" i="3"/>
  <c r="AI409" i="3"/>
  <c r="AH409" i="3"/>
  <c r="AG409" i="3"/>
  <c r="AF409" i="3"/>
  <c r="AE409" i="3"/>
  <c r="AD409" i="3"/>
  <c r="AC409" i="3"/>
  <c r="AB409" i="3"/>
  <c r="AA409" i="3"/>
  <c r="Z409" i="3"/>
  <c r="Y409" i="3"/>
  <c r="X409" i="3"/>
  <c r="W409" i="3"/>
  <c r="V409" i="3"/>
  <c r="U409" i="3"/>
  <c r="T409" i="3"/>
  <c r="S409" i="3"/>
  <c r="R409" i="3"/>
  <c r="Q409" i="3"/>
  <c r="P409" i="3"/>
  <c r="O409" i="3"/>
  <c r="N409" i="3"/>
  <c r="M409" i="3"/>
  <c r="L409" i="3"/>
  <c r="K409" i="3"/>
  <c r="J409" i="3"/>
  <c r="AW410" i="3"/>
  <c r="AV410" i="3"/>
  <c r="AT410" i="3"/>
  <c r="AS410" i="3"/>
  <c r="I376" i="3"/>
  <c r="I375" i="3"/>
  <c r="AZ376" i="3"/>
  <c r="AY376" i="3"/>
  <c r="AX376" i="3"/>
  <c r="AW376" i="3"/>
  <c r="AV376" i="3"/>
  <c r="AU376" i="3"/>
  <c r="AT376" i="3"/>
  <c r="AS376" i="3"/>
  <c r="AR376" i="3"/>
  <c r="AQ376" i="3"/>
  <c r="AP376" i="3"/>
  <c r="AO376" i="3"/>
  <c r="AN376" i="3"/>
  <c r="AM376" i="3"/>
  <c r="AL376" i="3"/>
  <c r="AK376" i="3"/>
  <c r="AJ376" i="3"/>
  <c r="AI376" i="3"/>
  <c r="AH376" i="3"/>
  <c r="AG376" i="3"/>
  <c r="AF376" i="3"/>
  <c r="AE376" i="3"/>
  <c r="AD376" i="3"/>
  <c r="AC376" i="3"/>
  <c r="AB376" i="3"/>
  <c r="AA376" i="3"/>
  <c r="Z376" i="3"/>
  <c r="Y376" i="3"/>
  <c r="X376" i="3"/>
  <c r="W376" i="3"/>
  <c r="V376" i="3"/>
  <c r="U376" i="3"/>
  <c r="T376" i="3"/>
  <c r="S376" i="3"/>
  <c r="R376" i="3"/>
  <c r="Q376" i="3"/>
  <c r="P376" i="3"/>
  <c r="O376" i="3"/>
  <c r="N376" i="3"/>
  <c r="M376" i="3"/>
  <c r="L376" i="3"/>
  <c r="K376" i="3"/>
  <c r="J376" i="3"/>
  <c r="AW399" i="3"/>
  <c r="AV441" i="3"/>
  <c r="AS399" i="3"/>
  <c r="AS441" i="3" s="1"/>
  <c r="AK399" i="3"/>
  <c r="AK441" i="3" s="1"/>
  <c r="AG399" i="3"/>
  <c r="I59" i="3"/>
  <c r="AZ59" i="3"/>
  <c r="AY59" i="3"/>
  <c r="AX59" i="3"/>
  <c r="AW59" i="3"/>
  <c r="AV59" i="3"/>
  <c r="AU59" i="3"/>
  <c r="AT59" i="3"/>
  <c r="AS59" i="3"/>
  <c r="AR59" i="3"/>
  <c r="AQ59" i="3"/>
  <c r="AP59" i="3"/>
  <c r="AO59" i="3"/>
  <c r="AN59" i="3"/>
  <c r="AM59" i="3"/>
  <c r="AL59" i="3"/>
  <c r="AK59" i="3"/>
  <c r="AJ59" i="3"/>
  <c r="AI59" i="3"/>
  <c r="AH59" i="3"/>
  <c r="AG59" i="3"/>
  <c r="AF59" i="3"/>
  <c r="AE59" i="3"/>
  <c r="AD59" i="3"/>
  <c r="AC59" i="3"/>
  <c r="AB59" i="3"/>
  <c r="AA59" i="3"/>
  <c r="Z59" i="3"/>
  <c r="Y59" i="3"/>
  <c r="X59" i="3"/>
  <c r="W59" i="3"/>
  <c r="V59" i="3"/>
  <c r="U59" i="3"/>
  <c r="T59" i="3"/>
  <c r="S59" i="3"/>
  <c r="R59" i="3"/>
  <c r="Q59" i="3"/>
  <c r="P59" i="3"/>
  <c r="O59" i="3"/>
  <c r="N59" i="3"/>
  <c r="M59" i="3"/>
  <c r="L59" i="3"/>
  <c r="K59" i="3"/>
  <c r="J59" i="3"/>
  <c r="G70" i="16"/>
  <c r="D70" i="16"/>
  <c r="E69" i="16"/>
  <c r="E68" i="16"/>
  <c r="E64" i="16"/>
  <c r="E63" i="16"/>
  <c r="E62" i="16"/>
  <c r="E61" i="16"/>
  <c r="E60" i="16"/>
  <c r="E59" i="16"/>
  <c r="E58" i="16"/>
  <c r="E57" i="16"/>
  <c r="E53" i="16"/>
  <c r="E52" i="16"/>
  <c r="E51" i="16"/>
  <c r="E50" i="16"/>
  <c r="E49" i="16"/>
  <c r="E45" i="16"/>
  <c r="E44" i="16"/>
  <c r="E43" i="16"/>
  <c r="E42" i="16"/>
  <c r="E41" i="16"/>
  <c r="E40" i="16"/>
  <c r="E39" i="16"/>
  <c r="E38" i="16"/>
  <c r="E37" i="16"/>
  <c r="E36" i="16"/>
  <c r="E35" i="16"/>
  <c r="E34" i="16"/>
  <c r="E33" i="16"/>
  <c r="D65" i="16"/>
  <c r="D54" i="16"/>
  <c r="D46" i="16"/>
  <c r="N490" i="3" l="1"/>
  <c r="L520" i="3"/>
  <c r="L545" i="3"/>
  <c r="L546" i="3" s="1"/>
  <c r="L549" i="3" s="1"/>
  <c r="L517" i="3"/>
  <c r="L527" i="3"/>
  <c r="M498" i="3"/>
  <c r="M500" i="3" s="1"/>
  <c r="M489" i="3"/>
  <c r="M491" i="3" s="1"/>
  <c r="N480" i="3"/>
  <c r="AW441" i="3"/>
  <c r="AD8" i="68"/>
  <c r="AH8" i="68" s="1"/>
  <c r="AS409" i="3"/>
  <c r="AS443" i="3" s="1"/>
  <c r="AS379" i="3"/>
  <c r="AT409" i="3"/>
  <c r="AT443" i="3" s="1"/>
  <c r="AT379" i="3"/>
  <c r="AV409" i="3"/>
  <c r="AV443" i="3" s="1"/>
  <c r="AV379" i="3"/>
  <c r="AW409" i="3"/>
  <c r="AW443" i="3" s="1"/>
  <c r="AW379" i="3"/>
  <c r="AG441" i="3"/>
  <c r="T443" i="3"/>
  <c r="AU443" i="3"/>
  <c r="N443" i="3"/>
  <c r="V443" i="3"/>
  <c r="AD443" i="3"/>
  <c r="AL443" i="3"/>
  <c r="AX443" i="3"/>
  <c r="L443" i="3"/>
  <c r="AK443" i="3"/>
  <c r="O443" i="3"/>
  <c r="W443" i="3"/>
  <c r="AE443" i="3"/>
  <c r="AM443" i="3"/>
  <c r="AY443" i="3"/>
  <c r="U443" i="3"/>
  <c r="P443" i="3"/>
  <c r="X443" i="3"/>
  <c r="AF443" i="3"/>
  <c r="AN443" i="3"/>
  <c r="AZ443" i="3"/>
  <c r="AB443" i="3"/>
  <c r="AC443" i="3"/>
  <c r="Q443" i="3"/>
  <c r="Y443" i="3"/>
  <c r="AG443" i="3"/>
  <c r="AO443" i="3"/>
  <c r="AR443" i="3"/>
  <c r="M443" i="3"/>
  <c r="J443" i="3"/>
  <c r="R443" i="3"/>
  <c r="Z443" i="3"/>
  <c r="AH443" i="3"/>
  <c r="AP443" i="3"/>
  <c r="AJ443" i="3"/>
  <c r="K443" i="3"/>
  <c r="S443" i="3"/>
  <c r="AA443" i="3"/>
  <c r="AI443" i="3"/>
  <c r="AQ443" i="3"/>
  <c r="D72" i="16"/>
  <c r="D75" i="16" s="1"/>
  <c r="AS383" i="3"/>
  <c r="AV383" i="3"/>
  <c r="AW383" i="3"/>
  <c r="AG383" i="3"/>
  <c r="AK383" i="3"/>
  <c r="G65" i="16"/>
  <c r="G69" i="2"/>
  <c r="K34" i="39"/>
  <c r="K33" i="39"/>
  <c r="K32" i="39"/>
  <c r="B32" i="39"/>
  <c r="B33" i="39" s="1"/>
  <c r="B34" i="39" s="1"/>
  <c r="G38" i="39"/>
  <c r="G25" i="2" s="1"/>
  <c r="H38" i="39"/>
  <c r="F38" i="39"/>
  <c r="L547" i="3" l="1"/>
  <c r="N499" i="3"/>
  <c r="M508" i="3"/>
  <c r="M527" i="3" s="1"/>
  <c r="M528" i="3" s="1"/>
  <c r="M509" i="3"/>
  <c r="M515" i="3"/>
  <c r="M545" i="3" s="1"/>
  <c r="M546" i="3" s="1"/>
  <c r="M516" i="3"/>
  <c r="N481" i="3"/>
  <c r="O477" i="3" s="1"/>
  <c r="O479" i="3" s="1"/>
  <c r="O472" i="3"/>
  <c r="L528" i="3"/>
  <c r="L531" i="3" s="1"/>
  <c r="L510" i="3"/>
  <c r="M501" i="3"/>
  <c r="N496" i="3" s="1"/>
  <c r="M492" i="3"/>
  <c r="N487" i="3" s="1"/>
  <c r="AD9" i="68"/>
  <c r="AH9" i="68"/>
  <c r="AL8" i="68"/>
  <c r="E65" i="16"/>
  <c r="E70" i="16"/>
  <c r="J33" i="39"/>
  <c r="E33" i="39" s="1"/>
  <c r="J32" i="39"/>
  <c r="E32" i="39" s="1"/>
  <c r="J34" i="39"/>
  <c r="E34" i="39" s="1"/>
  <c r="D264" i="3"/>
  <c r="D265" i="3" s="1"/>
  <c r="R38" i="39"/>
  <c r="O38" i="39"/>
  <c r="I38" i="39"/>
  <c r="M38" i="39"/>
  <c r="S21" i="39"/>
  <c r="S20" i="39"/>
  <c r="S19" i="39"/>
  <c r="S18" i="39"/>
  <c r="S17" i="39"/>
  <c r="S16" i="39"/>
  <c r="S15" i="39"/>
  <c r="S14" i="39"/>
  <c r="K14" i="39"/>
  <c r="J14" i="39" s="1"/>
  <c r="E14" i="39" s="1"/>
  <c r="S22" i="39"/>
  <c r="AE31" i="39"/>
  <c r="AE32" i="39" s="1"/>
  <c r="AE33" i="39" s="1"/>
  <c r="AE34" i="39" s="1"/>
  <c r="K31" i="39"/>
  <c r="S24" i="39"/>
  <c r="D31" i="39"/>
  <c r="M520" i="3" l="1"/>
  <c r="M521" i="3"/>
  <c r="M531" i="3"/>
  <c r="M517" i="3"/>
  <c r="O490" i="3"/>
  <c r="M549" i="3"/>
  <c r="M547" i="3"/>
  <c r="N498" i="3"/>
  <c r="N500" i="3" s="1"/>
  <c r="N489" i="3"/>
  <c r="N491" i="3" s="1"/>
  <c r="L529" i="3"/>
  <c r="M529" i="3" s="1"/>
  <c r="O480" i="3"/>
  <c r="O473" i="3"/>
  <c r="P469" i="3" s="1"/>
  <c r="P471" i="3" s="1"/>
  <c r="AP8" i="68"/>
  <c r="AL9" i="68"/>
  <c r="L33" i="39"/>
  <c r="L34" i="39"/>
  <c r="L32" i="39"/>
  <c r="F39" i="39"/>
  <c r="J31" i="39"/>
  <c r="L14" i="39"/>
  <c r="D360" i="3"/>
  <c r="N516" i="3" l="1"/>
  <c r="N515" i="3"/>
  <c r="N545" i="3" s="1"/>
  <c r="N546" i="3" s="1"/>
  <c r="O499" i="3"/>
  <c r="N508" i="3"/>
  <c r="N509" i="3"/>
  <c r="N501" i="3"/>
  <c r="O496" i="3" s="1"/>
  <c r="O498" i="3" s="1"/>
  <c r="O481" i="3"/>
  <c r="P477" i="3" s="1"/>
  <c r="P479" i="3" s="1"/>
  <c r="N492" i="3"/>
  <c r="O487" i="3" s="1"/>
  <c r="M510" i="3"/>
  <c r="P472" i="3"/>
  <c r="AP9" i="68"/>
  <c r="AT8" i="68"/>
  <c r="L31" i="39"/>
  <c r="E31" i="39"/>
  <c r="O500" i="3" l="1"/>
  <c r="O515" i="3" s="1"/>
  <c r="N517" i="3"/>
  <c r="N520" i="3"/>
  <c r="N549" i="3"/>
  <c r="N547" i="3"/>
  <c r="N527" i="3"/>
  <c r="N528" i="3" s="1"/>
  <c r="N531" i="3" s="1"/>
  <c r="N521" i="3"/>
  <c r="P490" i="3"/>
  <c r="O489" i="3"/>
  <c r="O491" i="3" s="1"/>
  <c r="N510" i="3"/>
  <c r="P480" i="3"/>
  <c r="P473" i="3"/>
  <c r="Q469" i="3" s="1"/>
  <c r="Q471" i="3" s="1"/>
  <c r="AX8" i="68"/>
  <c r="AT9" i="68"/>
  <c r="S23" i="39"/>
  <c r="S25" i="39"/>
  <c r="O516" i="3" l="1"/>
  <c r="O517" i="3" s="1"/>
  <c r="O545" i="3"/>
  <c r="O546" i="3" s="1"/>
  <c r="O509" i="3"/>
  <c r="O508" i="3"/>
  <c r="P499" i="3"/>
  <c r="N529" i="3"/>
  <c r="O492" i="3"/>
  <c r="P487" i="3" s="1"/>
  <c r="O501" i="3"/>
  <c r="P496" i="3" s="1"/>
  <c r="P481" i="3"/>
  <c r="Q477" i="3" s="1"/>
  <c r="Q479" i="3" s="1"/>
  <c r="AX9" i="68"/>
  <c r="BB8" i="68"/>
  <c r="D30" i="3"/>
  <c r="I7" i="3"/>
  <c r="D80" i="3"/>
  <c r="D104" i="3"/>
  <c r="D106" i="3"/>
  <c r="D107" i="3"/>
  <c r="D139" i="3"/>
  <c r="D146" i="3"/>
  <c r="D276" i="3"/>
  <c r="D277" i="3"/>
  <c r="D279" i="3"/>
  <c r="D260" i="3"/>
  <c r="D282" i="3"/>
  <c r="D283" i="3"/>
  <c r="D262" i="3"/>
  <c r="D285" i="3"/>
  <c r="D286" i="3"/>
  <c r="D288" i="3"/>
  <c r="D289" i="3"/>
  <c r="E259" i="3"/>
  <c r="E261" i="3"/>
  <c r="E263" i="3"/>
  <c r="E265" i="3"/>
  <c r="E267" i="3"/>
  <c r="D310" i="3"/>
  <c r="D323" i="3"/>
  <c r="D324" i="3"/>
  <c r="K94" i="2"/>
  <c r="E345" i="3" s="1"/>
  <c r="D355" i="3"/>
  <c r="D356" i="3"/>
  <c r="D361" i="3"/>
  <c r="F73" i="2"/>
  <c r="F74" i="2" s="1"/>
  <c r="M7" i="16"/>
  <c r="M9" i="16"/>
  <c r="M10" i="16"/>
  <c r="M11" i="16"/>
  <c r="M12" i="16"/>
  <c r="M14" i="16"/>
  <c r="F183" i="2"/>
  <c r="D115" i="3" s="1"/>
  <c r="K179" i="54"/>
  <c r="K180" i="54"/>
  <c r="K181" i="54" s="1"/>
  <c r="K121" i="54"/>
  <c r="K122" i="54" s="1"/>
  <c r="K7" i="54"/>
  <c r="D37" i="3"/>
  <c r="I291" i="3"/>
  <c r="J291" i="3" s="1"/>
  <c r="K291" i="3" s="1"/>
  <c r="L291" i="3" s="1"/>
  <c r="M291" i="3" s="1"/>
  <c r="N291" i="3" s="1"/>
  <c r="O291" i="3" s="1"/>
  <c r="P291" i="3" s="1"/>
  <c r="Q291" i="3" s="1"/>
  <c r="R291" i="3" s="1"/>
  <c r="S291" i="3" s="1"/>
  <c r="T291" i="3" s="1"/>
  <c r="U291" i="3" s="1"/>
  <c r="V291" i="3" s="1"/>
  <c r="W291" i="3" s="1"/>
  <c r="X291" i="3" s="1"/>
  <c r="Y291" i="3" s="1"/>
  <c r="Z291" i="3" s="1"/>
  <c r="AA291" i="3" s="1"/>
  <c r="AB291" i="3" s="1"/>
  <c r="AC291" i="3" s="1"/>
  <c r="AD291" i="3" s="1"/>
  <c r="AE291" i="3" s="1"/>
  <c r="AF291" i="3" s="1"/>
  <c r="AG291" i="3" s="1"/>
  <c r="AH291" i="3" s="1"/>
  <c r="AI291" i="3" s="1"/>
  <c r="AJ291" i="3" s="1"/>
  <c r="AK291" i="3" s="1"/>
  <c r="AL291" i="3" s="1"/>
  <c r="AM291" i="3" s="1"/>
  <c r="AN291" i="3" s="1"/>
  <c r="AO291" i="3" s="1"/>
  <c r="AP291" i="3" s="1"/>
  <c r="AQ291" i="3" s="1"/>
  <c r="AR291" i="3" s="1"/>
  <c r="AS291" i="3" s="1"/>
  <c r="AT291" i="3" s="1"/>
  <c r="AU291" i="3" s="1"/>
  <c r="AV291" i="3" s="1"/>
  <c r="AW291" i="3" s="1"/>
  <c r="AX291" i="3" s="1"/>
  <c r="AY291" i="3" s="1"/>
  <c r="AZ291" i="3" s="1"/>
  <c r="BA291" i="3" s="1"/>
  <c r="BB291" i="3" s="1"/>
  <c r="BC291" i="3" s="1"/>
  <c r="BD291" i="3" s="1"/>
  <c r="BE291" i="3" s="1"/>
  <c r="BF291" i="3" s="1"/>
  <c r="BG291" i="3" s="1"/>
  <c r="BH291" i="3" s="1"/>
  <c r="BI291" i="3" s="1"/>
  <c r="BJ291" i="3" s="1"/>
  <c r="BK291" i="3" s="1"/>
  <c r="BL291" i="3" s="1"/>
  <c r="BM291" i="3" s="1"/>
  <c r="BN291" i="3" s="1"/>
  <c r="BO291" i="3" s="1"/>
  <c r="BP291" i="3" s="1"/>
  <c r="BQ291" i="3" s="1"/>
  <c r="BR291" i="3" s="1"/>
  <c r="BS291" i="3" s="1"/>
  <c r="BT291" i="3" s="1"/>
  <c r="BU291" i="3" s="1"/>
  <c r="BV291" i="3" s="1"/>
  <c r="BW291" i="3" s="1"/>
  <c r="BX291" i="3" s="1"/>
  <c r="BY291" i="3" s="1"/>
  <c r="BZ291" i="3" s="1"/>
  <c r="CA291" i="3" s="1"/>
  <c r="CB291" i="3" s="1"/>
  <c r="CC291" i="3" s="1"/>
  <c r="CD291" i="3" s="1"/>
  <c r="CE291" i="3" s="1"/>
  <c r="CF291" i="3" s="1"/>
  <c r="CG291" i="3" s="1"/>
  <c r="CH291" i="3" s="1"/>
  <c r="CI291" i="3" s="1"/>
  <c r="CJ291" i="3" s="1"/>
  <c r="CK291" i="3" s="1"/>
  <c r="CL291" i="3" s="1"/>
  <c r="CM291" i="3" s="1"/>
  <c r="CN291" i="3" s="1"/>
  <c r="CO291" i="3" s="1"/>
  <c r="CP291" i="3" s="1"/>
  <c r="CQ291" i="3" s="1"/>
  <c r="CR291" i="3" s="1"/>
  <c r="CS291" i="3" s="1"/>
  <c r="CT291" i="3" s="1"/>
  <c r="CU291" i="3" s="1"/>
  <c r="CV291" i="3" s="1"/>
  <c r="CW291" i="3" s="1"/>
  <c r="CX291" i="3" s="1"/>
  <c r="CY291" i="3" s="1"/>
  <c r="CZ291" i="3" s="1"/>
  <c r="DA291" i="3" s="1"/>
  <c r="DB291" i="3" s="1"/>
  <c r="DC291" i="3" s="1"/>
  <c r="DD291" i="3" s="1"/>
  <c r="DE291" i="3" s="1"/>
  <c r="DF291" i="3" s="1"/>
  <c r="DG291" i="3" s="1"/>
  <c r="DH291" i="3" s="1"/>
  <c r="DI291" i="3" s="1"/>
  <c r="DJ291" i="3" s="1"/>
  <c r="DK291" i="3" s="1"/>
  <c r="DL291" i="3" s="1"/>
  <c r="DM291" i="3" s="1"/>
  <c r="DN291" i="3" s="1"/>
  <c r="DO291" i="3" s="1"/>
  <c r="DP291" i="3" s="1"/>
  <c r="DQ291" i="3" s="1"/>
  <c r="DR291" i="3" s="1"/>
  <c r="DS291" i="3" s="1"/>
  <c r="DT291" i="3" s="1"/>
  <c r="DU291" i="3" s="1"/>
  <c r="DV291" i="3" s="1"/>
  <c r="DW291" i="3" s="1"/>
  <c r="DX291" i="3" s="1"/>
  <c r="DY291" i="3" s="1"/>
  <c r="I257" i="3"/>
  <c r="J9" i="3"/>
  <c r="K9" i="3" s="1"/>
  <c r="L9" i="3" s="1"/>
  <c r="D21" i="3"/>
  <c r="D27" i="3"/>
  <c r="D31" i="3"/>
  <c r="D32" i="3"/>
  <c r="M13" i="16"/>
  <c r="D51" i="3"/>
  <c r="D18" i="2"/>
  <c r="F18" i="2" s="1"/>
  <c r="D24" i="3"/>
  <c r="D25" i="3"/>
  <c r="D26" i="3"/>
  <c r="D28" i="3"/>
  <c r="I339" i="3"/>
  <c r="BE37" i="39"/>
  <c r="S53" i="39" s="1"/>
  <c r="R53" i="39" s="1"/>
  <c r="BD37" i="39"/>
  <c r="H39" i="53" s="1"/>
  <c r="H44" i="53" s="1"/>
  <c r="K29" i="39"/>
  <c r="K30" i="39"/>
  <c r="J30" i="39" s="1"/>
  <c r="E30" i="39" s="1"/>
  <c r="P37" i="39"/>
  <c r="G37" i="39"/>
  <c r="S13" i="39"/>
  <c r="S26" i="39"/>
  <c r="S27" i="39"/>
  <c r="S28" i="39"/>
  <c r="S29" i="39"/>
  <c r="S30" i="39"/>
  <c r="AF37" i="39"/>
  <c r="AH38" i="39" s="1"/>
  <c r="AI37" i="39"/>
  <c r="AL37" i="39"/>
  <c r="AM38" i="39" s="1"/>
  <c r="AO37" i="39"/>
  <c r="AP38" i="39" s="1"/>
  <c r="AR37" i="39"/>
  <c r="AU37" i="39"/>
  <c r="AX37" i="39"/>
  <c r="AY38" i="39" s="1"/>
  <c r="BA37" i="39"/>
  <c r="BB38" i="39" s="1"/>
  <c r="K38" i="39"/>
  <c r="K13" i="39"/>
  <c r="J13" i="39" s="1"/>
  <c r="B29" i="39"/>
  <c r="B28" i="39" s="1"/>
  <c r="B27" i="39" s="1"/>
  <c r="B26" i="39" s="1"/>
  <c r="O37" i="39"/>
  <c r="Q37" i="39"/>
  <c r="R37" i="39"/>
  <c r="K102" i="54"/>
  <c r="F18" i="54" s="1"/>
  <c r="H37" i="39"/>
  <c r="D308" i="3"/>
  <c r="D13" i="39"/>
  <c r="AE29" i="39"/>
  <c r="AE28" i="39" s="1"/>
  <c r="AE27" i="39" s="1"/>
  <c r="AE26" i="39" s="1"/>
  <c r="AE25" i="39" s="1"/>
  <c r="F37" i="39"/>
  <c r="I37" i="39"/>
  <c r="I66" i="2"/>
  <c r="I68" i="2"/>
  <c r="I67" i="2"/>
  <c r="I63" i="2"/>
  <c r="I62" i="2"/>
  <c r="I61" i="2"/>
  <c r="I60" i="2"/>
  <c r="I59" i="2"/>
  <c r="I58" i="2"/>
  <c r="I57" i="2"/>
  <c r="I56" i="2"/>
  <c r="I55" i="2"/>
  <c r="I54" i="2"/>
  <c r="N21" i="2"/>
  <c r="K185" i="54"/>
  <c r="K190" i="54"/>
  <c r="K194" i="54" s="1"/>
  <c r="K196" i="54" s="1"/>
  <c r="K200" i="54"/>
  <c r="K204" i="54" s="1"/>
  <c r="K206" i="54" s="1"/>
  <c r="K84" i="54"/>
  <c r="K92" i="54"/>
  <c r="F16" i="54" s="1"/>
  <c r="K97" i="54"/>
  <c r="F17" i="54" s="1"/>
  <c r="K111" i="54"/>
  <c r="K131" i="54"/>
  <c r="F21" i="54" s="1"/>
  <c r="D38" i="39"/>
  <c r="M37" i="39"/>
  <c r="B58" i="3"/>
  <c r="B53" i="3"/>
  <c r="K97" i="2"/>
  <c r="D11" i="2"/>
  <c r="F11" i="2" s="1"/>
  <c r="H9" i="56"/>
  <c r="I9" i="56" s="1"/>
  <c r="B73" i="2"/>
  <c r="B74" i="2" s="1"/>
  <c r="B75" i="2" s="1"/>
  <c r="B76" i="2" s="1"/>
  <c r="B77" i="2" s="1"/>
  <c r="B78" i="2" s="1"/>
  <c r="B79" i="2" s="1"/>
  <c r="F87" i="2"/>
  <c r="AE13" i="39"/>
  <c r="B52" i="3"/>
  <c r="B51" i="3"/>
  <c r="B50" i="3"/>
  <c r="B49" i="3"/>
  <c r="B48" i="3"/>
  <c r="B47" i="3"/>
  <c r="B46" i="3"/>
  <c r="B41" i="3"/>
  <c r="B40" i="3"/>
  <c r="B39" i="3"/>
  <c r="B38" i="3"/>
  <c r="B37" i="3"/>
  <c r="B32" i="3"/>
  <c r="B31" i="3"/>
  <c r="B30" i="3"/>
  <c r="B29" i="3"/>
  <c r="B28" i="3"/>
  <c r="B27" i="3"/>
  <c r="B26" i="3"/>
  <c r="B25" i="3"/>
  <c r="B24" i="3"/>
  <c r="B23" i="3"/>
  <c r="B22" i="3"/>
  <c r="B21" i="3"/>
  <c r="B20" i="3"/>
  <c r="C19" i="56"/>
  <c r="D19" i="56" s="1"/>
  <c r="C18" i="56"/>
  <c r="D18" i="56" s="1"/>
  <c r="B2" i="56"/>
  <c r="E11" i="2"/>
  <c r="F9" i="53"/>
  <c r="B2" i="53"/>
  <c r="I139" i="54"/>
  <c r="B2" i="54"/>
  <c r="B2" i="3"/>
  <c r="B3" i="2"/>
  <c r="B2" i="16"/>
  <c r="H55" i="56"/>
  <c r="F155" i="2" l="1"/>
  <c r="F151" i="2"/>
  <c r="F147" i="2"/>
  <c r="F139" i="2"/>
  <c r="F143" i="2"/>
  <c r="O549" i="3"/>
  <c r="O521" i="3"/>
  <c r="O547" i="3"/>
  <c r="D261" i="3"/>
  <c r="O510" i="3"/>
  <c r="O527" i="3"/>
  <c r="O528" i="3" s="1"/>
  <c r="O520" i="3"/>
  <c r="P498" i="3"/>
  <c r="P500" i="3" s="1"/>
  <c r="P489" i="3"/>
  <c r="Q472" i="3"/>
  <c r="Q480" i="3"/>
  <c r="D37" i="39"/>
  <c r="D39" i="39" s="1"/>
  <c r="G28" i="2"/>
  <c r="F61" i="16"/>
  <c r="F60" i="16"/>
  <c r="BB9" i="68"/>
  <c r="BF8" i="68"/>
  <c r="S54" i="39"/>
  <c r="R54" i="39" s="1"/>
  <c r="AE24" i="39"/>
  <c r="AE23" i="39" s="1"/>
  <c r="AE22" i="39" s="1"/>
  <c r="AE21" i="39" s="1"/>
  <c r="AE20" i="39" s="1"/>
  <c r="AE19" i="39" s="1"/>
  <c r="AE18" i="39" s="1"/>
  <c r="AE17" i="39" s="1"/>
  <c r="AE16" i="39" s="1"/>
  <c r="AE15" i="39" s="1"/>
  <c r="AE14" i="39" s="1"/>
  <c r="I8" i="3"/>
  <c r="J10" i="3"/>
  <c r="M84" i="16"/>
  <c r="M103" i="16" s="1"/>
  <c r="H7" i="56"/>
  <c r="K10" i="3"/>
  <c r="M9" i="3"/>
  <c r="L10" i="3"/>
  <c r="I6" i="3"/>
  <c r="J7" i="3"/>
  <c r="J6" i="3"/>
  <c r="J38" i="39"/>
  <c r="N41" i="53"/>
  <c r="F184" i="2"/>
  <c r="Q14" i="2"/>
  <c r="N42" i="53"/>
  <c r="H39" i="39"/>
  <c r="I39" i="39"/>
  <c r="B25" i="39"/>
  <c r="B24" i="39" s="1"/>
  <c r="B23" i="39" s="1"/>
  <c r="B22" i="39" s="1"/>
  <c r="B21" i="39" s="1"/>
  <c r="B20" i="39" s="1"/>
  <c r="B19" i="39" s="1"/>
  <c r="B18" i="39" s="1"/>
  <c r="B17" i="39" s="1"/>
  <c r="B16" i="39" s="1"/>
  <c r="B15" i="39" s="1"/>
  <c r="B14" i="39" s="1"/>
  <c r="R39" i="39"/>
  <c r="M39" i="39"/>
  <c r="E178" i="2"/>
  <c r="G176" i="2" s="1"/>
  <c r="AN38" i="39"/>
  <c r="AN39" i="39" s="1"/>
  <c r="S37" i="39"/>
  <c r="G23" i="2" s="1"/>
  <c r="F53" i="16" s="1"/>
  <c r="G115" i="2" s="1"/>
  <c r="E14" i="53"/>
  <c r="E15" i="53"/>
  <c r="AZ38" i="39"/>
  <c r="AZ39" i="39" s="1"/>
  <c r="E12" i="53"/>
  <c r="AG38" i="39"/>
  <c r="AH39" i="39" s="1"/>
  <c r="E13" i="53"/>
  <c r="D258" i="3"/>
  <c r="D259" i="3" s="1"/>
  <c r="AT38" i="39"/>
  <c r="AS38" i="39"/>
  <c r="O39" i="39"/>
  <c r="R61" i="39"/>
  <c r="R60" i="39"/>
  <c r="S46" i="39"/>
  <c r="AK38" i="39"/>
  <c r="E13" i="39"/>
  <c r="L13" i="39"/>
  <c r="L30" i="39"/>
  <c r="BC38" i="39"/>
  <c r="BC39" i="39" s="1"/>
  <c r="AQ38" i="39"/>
  <c r="AQ39" i="39" s="1"/>
  <c r="AJ38" i="39"/>
  <c r="J29" i="39"/>
  <c r="E29" i="39" s="1"/>
  <c r="S45" i="39"/>
  <c r="K117" i="54"/>
  <c r="D23" i="3"/>
  <c r="J9" i="56"/>
  <c r="I10" i="56"/>
  <c r="N40" i="53"/>
  <c r="DZ271" i="3"/>
  <c r="BY21" i="56"/>
  <c r="BZ21" i="56" s="1"/>
  <c r="CA21" i="56" s="1"/>
  <c r="CB21" i="56" s="1"/>
  <c r="CC21" i="56" s="1"/>
  <c r="CD21" i="56" s="1"/>
  <c r="CE21" i="56" s="1"/>
  <c r="CF21" i="56" s="1"/>
  <c r="CG21" i="56" s="1"/>
  <c r="CH21" i="56" s="1"/>
  <c r="CI21" i="56" s="1"/>
  <c r="CJ21" i="56" s="1"/>
  <c r="CK21" i="56" s="1"/>
  <c r="CL21" i="56" s="1"/>
  <c r="CM21" i="56" s="1"/>
  <c r="CN21" i="56" s="1"/>
  <c r="CO21" i="56" s="1"/>
  <c r="CP21" i="56" s="1"/>
  <c r="CQ21" i="56" s="1"/>
  <c r="CR21" i="56" s="1"/>
  <c r="CS21" i="56" s="1"/>
  <c r="CT21" i="56" s="1"/>
  <c r="CU21" i="56" s="1"/>
  <c r="CV21" i="56" s="1"/>
  <c r="CW21" i="56" s="1"/>
  <c r="CX21" i="56" s="1"/>
  <c r="CY21" i="56" s="1"/>
  <c r="CZ21" i="56" s="1"/>
  <c r="DA21" i="56" s="1"/>
  <c r="DB21" i="56" s="1"/>
  <c r="DC21" i="56" s="1"/>
  <c r="DD21" i="56" s="1"/>
  <c r="DE21" i="56" s="1"/>
  <c r="DF21" i="56" s="1"/>
  <c r="DG21" i="56" s="1"/>
  <c r="DH21" i="56" s="1"/>
  <c r="DI21" i="56" s="1"/>
  <c r="DJ21" i="56" s="1"/>
  <c r="DK21" i="56" s="1"/>
  <c r="DL21" i="56" s="1"/>
  <c r="DM21" i="56" s="1"/>
  <c r="DN21" i="56" s="1"/>
  <c r="DO21" i="56" s="1"/>
  <c r="DP21" i="56" s="1"/>
  <c r="DQ21" i="56" s="1"/>
  <c r="DR21" i="56" s="1"/>
  <c r="DS21" i="56" s="1"/>
  <c r="DT21" i="56" s="1"/>
  <c r="DU21" i="56" s="1"/>
  <c r="DV21" i="56" s="1"/>
  <c r="DW21" i="56" s="1"/>
  <c r="DX21" i="56" s="1"/>
  <c r="M8" i="16"/>
  <c r="M15" i="16"/>
  <c r="F68" i="16" s="1"/>
  <c r="G109" i="2" s="1"/>
  <c r="G169" i="2" s="1"/>
  <c r="D263" i="3"/>
  <c r="D20" i="3"/>
  <c r="E23" i="53" l="1"/>
  <c r="I23" i="53" s="1"/>
  <c r="I30" i="53" s="1"/>
  <c r="E30" i="53"/>
  <c r="E22" i="53"/>
  <c r="I22" i="53" s="1"/>
  <c r="I29" i="53" s="1"/>
  <c r="E29" i="53"/>
  <c r="E24" i="53"/>
  <c r="I24" i="53" s="1"/>
  <c r="I31" i="53" s="1"/>
  <c r="E31" i="53"/>
  <c r="E25" i="53"/>
  <c r="I25" i="53" s="1"/>
  <c r="E32" i="53"/>
  <c r="I7" i="56"/>
  <c r="J6" i="56" s="1"/>
  <c r="P516" i="3"/>
  <c r="P515" i="3"/>
  <c r="Q499" i="3"/>
  <c r="O531" i="3"/>
  <c r="O529" i="3"/>
  <c r="Q490" i="3"/>
  <c r="P491" i="3"/>
  <c r="P501" i="3"/>
  <c r="Q496" i="3" s="1"/>
  <c r="Q481" i="3"/>
  <c r="R477" i="3" s="1"/>
  <c r="R479" i="3" s="1"/>
  <c r="Q473" i="3"/>
  <c r="R469" i="3" s="1"/>
  <c r="R471" i="3" s="1"/>
  <c r="BF9" i="68"/>
  <c r="BJ8" i="68"/>
  <c r="F89" i="2"/>
  <c r="F75" i="2"/>
  <c r="F57" i="16"/>
  <c r="K7" i="3"/>
  <c r="N39" i="53"/>
  <c r="L44" i="53"/>
  <c r="H8" i="56"/>
  <c r="H6" i="56"/>
  <c r="K6" i="3"/>
  <c r="I6" i="56"/>
  <c r="J8" i="3"/>
  <c r="M10" i="3"/>
  <c r="N9" i="3"/>
  <c r="F68" i="2"/>
  <c r="F70" i="2" s="1"/>
  <c r="D116" i="3" s="1"/>
  <c r="AV37" i="39"/>
  <c r="G24" i="53"/>
  <c r="G31" i="53" s="1"/>
  <c r="E177" i="2"/>
  <c r="G177" i="2" s="1"/>
  <c r="P38" i="39"/>
  <c r="P39" i="39"/>
  <c r="BB37" i="39"/>
  <c r="AY37" i="39"/>
  <c r="AG37" i="39"/>
  <c r="AM37" i="39"/>
  <c r="L29" i="39"/>
  <c r="AK39" i="39"/>
  <c r="AJ37" i="39"/>
  <c r="AP37" i="39"/>
  <c r="AS37" i="39"/>
  <c r="G22" i="53"/>
  <c r="R62" i="39"/>
  <c r="E16" i="53"/>
  <c r="F13" i="53" s="1"/>
  <c r="G25" i="53"/>
  <c r="G32" i="53" s="1"/>
  <c r="AT39" i="39"/>
  <c r="R46" i="39"/>
  <c r="D16" i="2"/>
  <c r="F16" i="2" s="1"/>
  <c r="D15" i="2"/>
  <c r="R45" i="39"/>
  <c r="C15" i="2" s="1"/>
  <c r="K9" i="56"/>
  <c r="J10" i="56"/>
  <c r="L74" i="2"/>
  <c r="I22" i="56"/>
  <c r="M16" i="16"/>
  <c r="D22" i="3"/>
  <c r="L22" i="53" l="1"/>
  <c r="J7" i="56"/>
  <c r="K7" i="56" s="1"/>
  <c r="L7" i="56" s="1"/>
  <c r="L8" i="56" s="1"/>
  <c r="I8" i="56"/>
  <c r="L31" i="53"/>
  <c r="D109" i="3"/>
  <c r="F94" i="2"/>
  <c r="Q16" i="2" s="1"/>
  <c r="F76" i="2"/>
  <c r="I32" i="53"/>
  <c r="L32" i="53" s="1"/>
  <c r="P517" i="3"/>
  <c r="P521" i="3"/>
  <c r="P492" i="3"/>
  <c r="Q487" i="3" s="1"/>
  <c r="Q489" i="3" s="1"/>
  <c r="Q491" i="3" s="1"/>
  <c r="P508" i="3"/>
  <c r="P509" i="3"/>
  <c r="P545" i="3"/>
  <c r="P546" i="3" s="1"/>
  <c r="Q498" i="3"/>
  <c r="Q500" i="3" s="1"/>
  <c r="R472" i="3"/>
  <c r="BJ9" i="68"/>
  <c r="BN8" i="68"/>
  <c r="C16" i="2"/>
  <c r="E16" i="2" s="1"/>
  <c r="L7" i="3"/>
  <c r="K8" i="3"/>
  <c r="L6" i="3"/>
  <c r="Q15" i="2"/>
  <c r="R15" i="2" s="1"/>
  <c r="F136" i="2"/>
  <c r="Q34" i="2" s="1"/>
  <c r="N44" i="53"/>
  <c r="K124" i="54"/>
  <c r="K126" i="54" s="1"/>
  <c r="F20" i="54" s="1"/>
  <c r="F177" i="2"/>
  <c r="E38" i="39"/>
  <c r="F50" i="16" s="1"/>
  <c r="D50" i="3"/>
  <c r="F176" i="2"/>
  <c r="K176" i="54"/>
  <c r="K182" i="54" s="1"/>
  <c r="K186" i="54" s="1"/>
  <c r="K75" i="54"/>
  <c r="K77" i="54" s="1"/>
  <c r="F14" i="54" s="1"/>
  <c r="R14" i="2"/>
  <c r="D81" i="3"/>
  <c r="O9" i="3"/>
  <c r="N10" i="3"/>
  <c r="H31" i="53"/>
  <c r="L24" i="53"/>
  <c r="H24" i="53"/>
  <c r="F12" i="53"/>
  <c r="H22" i="53"/>
  <c r="G29" i="53"/>
  <c r="H29" i="53" s="1"/>
  <c r="F189" i="2"/>
  <c r="F190" i="2" s="1"/>
  <c r="F15" i="53"/>
  <c r="F16" i="53"/>
  <c r="F14" i="53"/>
  <c r="H32" i="53"/>
  <c r="E33" i="53"/>
  <c r="F30" i="53" s="1"/>
  <c r="H25" i="53"/>
  <c r="T60" i="39"/>
  <c r="T61" i="39"/>
  <c r="K158" i="54" s="1"/>
  <c r="L26" i="16"/>
  <c r="L22" i="16"/>
  <c r="D268" i="3"/>
  <c r="F15" i="2"/>
  <c r="L25" i="53"/>
  <c r="D49" i="3"/>
  <c r="L9" i="56"/>
  <c r="K10" i="56"/>
  <c r="I13" i="56"/>
  <c r="H13" i="56"/>
  <c r="I13" i="3"/>
  <c r="J13" i="3"/>
  <c r="J70" i="3" s="1"/>
  <c r="K13" i="3"/>
  <c r="K70" i="3" s="1"/>
  <c r="K147" i="54"/>
  <c r="J22" i="56"/>
  <c r="J375" i="3"/>
  <c r="BV95" i="3" l="1"/>
  <c r="BW95" i="3"/>
  <c r="K13" i="56"/>
  <c r="K8" i="56"/>
  <c r="L13" i="56"/>
  <c r="M7" i="56"/>
  <c r="M8" i="56" s="1"/>
  <c r="M6" i="56"/>
  <c r="BT95" i="3"/>
  <c r="BU95" i="3"/>
  <c r="K6" i="56"/>
  <c r="J8" i="56"/>
  <c r="L6" i="56"/>
  <c r="J13" i="56"/>
  <c r="BR95" i="3"/>
  <c r="BS95" i="3"/>
  <c r="BQ95" i="3"/>
  <c r="BP95" i="3"/>
  <c r="L29" i="53"/>
  <c r="BH95" i="3"/>
  <c r="BO95" i="3"/>
  <c r="BN95" i="3"/>
  <c r="BM95" i="3"/>
  <c r="BL95" i="3"/>
  <c r="BK95" i="3"/>
  <c r="BI95" i="3"/>
  <c r="BJ95" i="3"/>
  <c r="F77" i="2"/>
  <c r="F78" i="2" s="1"/>
  <c r="P510" i="3"/>
  <c r="Q509" i="3"/>
  <c r="Q508" i="3"/>
  <c r="P549" i="3"/>
  <c r="P547" i="3"/>
  <c r="Q516" i="3"/>
  <c r="Q515" i="3"/>
  <c r="R490" i="3"/>
  <c r="P527" i="3"/>
  <c r="P528" i="3" s="1"/>
  <c r="P520" i="3"/>
  <c r="Q501" i="3"/>
  <c r="R496" i="3" s="1"/>
  <c r="R480" i="3"/>
  <c r="Q492" i="3"/>
  <c r="R487" i="3" s="1"/>
  <c r="R473" i="3"/>
  <c r="S469" i="3" s="1"/>
  <c r="S471" i="3" s="1"/>
  <c r="BN9" i="68"/>
  <c r="BR8" i="68"/>
  <c r="M6" i="3"/>
  <c r="K208" i="54"/>
  <c r="H58" i="54" s="1"/>
  <c r="E106" i="3"/>
  <c r="E125" i="3"/>
  <c r="L13" i="3"/>
  <c r="L70" i="3" s="1"/>
  <c r="M7" i="3"/>
  <c r="E378" i="3"/>
  <c r="L378" i="3" s="1"/>
  <c r="L8" i="3"/>
  <c r="P9" i="3"/>
  <c r="O10" i="3"/>
  <c r="R55" i="39"/>
  <c r="C18" i="2" s="1"/>
  <c r="R47" i="39"/>
  <c r="T62" i="39"/>
  <c r="D306" i="3"/>
  <c r="Q36" i="2"/>
  <c r="S36" i="2" s="1"/>
  <c r="F23" i="53"/>
  <c r="F32" i="53"/>
  <c r="F24" i="53"/>
  <c r="F29" i="53"/>
  <c r="F33" i="53"/>
  <c r="I33" i="53"/>
  <c r="F22" i="53"/>
  <c r="F31" i="53"/>
  <c r="F25" i="53"/>
  <c r="S34" i="2"/>
  <c r="J41" i="54"/>
  <c r="J37" i="54"/>
  <c r="K83" i="54" s="1"/>
  <c r="E15" i="2"/>
  <c r="M9" i="56"/>
  <c r="L10" i="56"/>
  <c r="D46" i="3"/>
  <c r="K22" i="56"/>
  <c r="D58" i="3"/>
  <c r="M89" i="16"/>
  <c r="K375" i="3"/>
  <c r="N7" i="56" l="1"/>
  <c r="M13" i="56"/>
  <c r="N6" i="56"/>
  <c r="Q510" i="3"/>
  <c r="P531" i="3"/>
  <c r="P529" i="3"/>
  <c r="Q517" i="3"/>
  <c r="R499" i="3"/>
  <c r="Q527" i="3"/>
  <c r="Q528" i="3" s="1"/>
  <c r="Q521" i="3"/>
  <c r="Q520" i="3"/>
  <c r="Q545" i="3"/>
  <c r="Q546" i="3" s="1"/>
  <c r="R498" i="3"/>
  <c r="R489" i="3"/>
  <c r="R491" i="3" s="1"/>
  <c r="R481" i="3"/>
  <c r="S477" i="3" s="1"/>
  <c r="S479" i="3" s="1"/>
  <c r="S472" i="3"/>
  <c r="BR9" i="68"/>
  <c r="BV8" i="68"/>
  <c r="N7" i="3"/>
  <c r="M378" i="3"/>
  <c r="I378" i="3"/>
  <c r="J378" i="3"/>
  <c r="K378" i="3"/>
  <c r="E285" i="3"/>
  <c r="N6" i="3"/>
  <c r="R16" i="2"/>
  <c r="E279" i="3"/>
  <c r="I279" i="3" s="1"/>
  <c r="M13" i="3"/>
  <c r="M70" i="3" s="1"/>
  <c r="M8" i="3"/>
  <c r="E282" i="3"/>
  <c r="E18" i="2"/>
  <c r="K116" i="54"/>
  <c r="K118" i="54" s="1"/>
  <c r="J42" i="54"/>
  <c r="L23" i="16"/>
  <c r="Q9" i="3"/>
  <c r="P10" i="3"/>
  <c r="Q37" i="2"/>
  <c r="S37" i="2" s="1"/>
  <c r="M10" i="56"/>
  <c r="N9" i="56"/>
  <c r="O7" i="56"/>
  <c r="N8" i="56"/>
  <c r="O6" i="56"/>
  <c r="N13" i="56"/>
  <c r="M108" i="16"/>
  <c r="L22" i="56"/>
  <c r="L375" i="3"/>
  <c r="J286" i="3" l="1"/>
  <c r="I286" i="3"/>
  <c r="K286" i="3"/>
  <c r="N286" i="3"/>
  <c r="M286" i="3"/>
  <c r="L286" i="3"/>
  <c r="I283" i="3"/>
  <c r="J283" i="3"/>
  <c r="K283" i="3"/>
  <c r="L283" i="3"/>
  <c r="N283" i="3"/>
  <c r="M283" i="3"/>
  <c r="L279" i="3"/>
  <c r="I280" i="3"/>
  <c r="J280" i="3"/>
  <c r="K280" i="3"/>
  <c r="L280" i="3"/>
  <c r="N280" i="3"/>
  <c r="M280" i="3"/>
  <c r="N378" i="3"/>
  <c r="E79" i="3"/>
  <c r="S473" i="3"/>
  <c r="T469" i="3" s="1"/>
  <c r="T471" i="3" s="1"/>
  <c r="S490" i="3"/>
  <c r="R492" i="3"/>
  <c r="S487" i="3" s="1"/>
  <c r="S489" i="3" s="1"/>
  <c r="R508" i="3"/>
  <c r="R509" i="3"/>
  <c r="R500" i="3"/>
  <c r="Q547" i="3"/>
  <c r="Q549" i="3"/>
  <c r="Q531" i="3"/>
  <c r="Q529" i="3"/>
  <c r="S480" i="3"/>
  <c r="BV9" i="68"/>
  <c r="BZ8" i="68"/>
  <c r="I81" i="3"/>
  <c r="J78" i="3" s="1"/>
  <c r="O7" i="3"/>
  <c r="O6" i="3"/>
  <c r="N13" i="3"/>
  <c r="N70" i="3" s="1"/>
  <c r="N8" i="3"/>
  <c r="N279" i="3"/>
  <c r="M279" i="3"/>
  <c r="J279" i="3"/>
  <c r="K279" i="3"/>
  <c r="E276" i="3"/>
  <c r="E288" i="3"/>
  <c r="D38" i="3"/>
  <c r="R9" i="3"/>
  <c r="Q10" i="3"/>
  <c r="M85" i="16"/>
  <c r="L85" i="16" s="1"/>
  <c r="N10" i="56"/>
  <c r="O9" i="56"/>
  <c r="P7" i="56"/>
  <c r="O8" i="56"/>
  <c r="P6" i="56"/>
  <c r="O13" i="56"/>
  <c r="K285" i="3"/>
  <c r="I285" i="3"/>
  <c r="J285" i="3"/>
  <c r="L285" i="3"/>
  <c r="M285" i="3"/>
  <c r="N285" i="3"/>
  <c r="M22" i="56"/>
  <c r="I282" i="3"/>
  <c r="L282" i="3"/>
  <c r="K282" i="3"/>
  <c r="J282" i="3"/>
  <c r="M282" i="3"/>
  <c r="N282" i="3"/>
  <c r="M375" i="3"/>
  <c r="N375" i="3"/>
  <c r="O289" i="3" l="1"/>
  <c r="J288" i="3"/>
  <c r="J298" i="3" s="1"/>
  <c r="I289" i="3"/>
  <c r="J289" i="3"/>
  <c r="K289" i="3"/>
  <c r="L289" i="3"/>
  <c r="M289" i="3"/>
  <c r="O286" i="3"/>
  <c r="N289" i="3"/>
  <c r="O280" i="3"/>
  <c r="O283" i="3"/>
  <c r="J276" i="3"/>
  <c r="K277" i="3"/>
  <c r="I276" i="3"/>
  <c r="J277" i="3"/>
  <c r="I277" i="3"/>
  <c r="O276" i="3"/>
  <c r="M277" i="3"/>
  <c r="N276" i="3"/>
  <c r="O277" i="3"/>
  <c r="L276" i="3"/>
  <c r="M276" i="3"/>
  <c r="N277" i="3"/>
  <c r="K276" i="3"/>
  <c r="L277" i="3"/>
  <c r="S491" i="3"/>
  <c r="S509" i="3" s="1"/>
  <c r="R520" i="3"/>
  <c r="R516" i="3"/>
  <c r="R515" i="3"/>
  <c r="R545" i="3" s="1"/>
  <c r="R546" i="3" s="1"/>
  <c r="S499" i="3"/>
  <c r="R510" i="3"/>
  <c r="R501" i="3"/>
  <c r="S496" i="3" s="1"/>
  <c r="S498" i="3" s="1"/>
  <c r="R527" i="3"/>
  <c r="R528" i="3" s="1"/>
  <c r="S481" i="3"/>
  <c r="T477" i="3" s="1"/>
  <c r="O378" i="3"/>
  <c r="T472" i="3"/>
  <c r="BZ9" i="68"/>
  <c r="CD8" i="68"/>
  <c r="J81" i="3"/>
  <c r="K78" i="3" s="1"/>
  <c r="K81" i="3" s="1"/>
  <c r="L78" i="3" s="1"/>
  <c r="L81" i="3" s="1"/>
  <c r="M78" i="3" s="1"/>
  <c r="M81" i="3" s="1"/>
  <c r="N78" i="3" s="1"/>
  <c r="N81" i="3" s="1"/>
  <c r="O78" i="3" s="1"/>
  <c r="O8" i="3"/>
  <c r="O285" i="3"/>
  <c r="P7" i="3"/>
  <c r="O13" i="3"/>
  <c r="O70" i="3" s="1"/>
  <c r="O279" i="3"/>
  <c r="P6" i="3"/>
  <c r="O282" i="3"/>
  <c r="K297" i="3"/>
  <c r="I268" i="3"/>
  <c r="I270" i="3" s="1"/>
  <c r="J296" i="3"/>
  <c r="I288" i="3"/>
  <c r="N288" i="3"/>
  <c r="L288" i="3"/>
  <c r="M288" i="3"/>
  <c r="K288" i="3"/>
  <c r="O288" i="3"/>
  <c r="L295" i="3"/>
  <c r="M104" i="16"/>
  <c r="R10" i="3"/>
  <c r="S9" i="3"/>
  <c r="I85" i="3"/>
  <c r="P9" i="56"/>
  <c r="O10" i="56"/>
  <c r="I83" i="3"/>
  <c r="N22" i="56"/>
  <c r="Q7" i="56"/>
  <c r="P8" i="56"/>
  <c r="Q6" i="56"/>
  <c r="P13" i="56"/>
  <c r="O375" i="3"/>
  <c r="P289" i="3" l="1"/>
  <c r="P286" i="3"/>
  <c r="P280" i="3"/>
  <c r="P283" i="3"/>
  <c r="P277" i="3"/>
  <c r="P276" i="3"/>
  <c r="J294" i="3"/>
  <c r="S508" i="3"/>
  <c r="S527" i="3" s="1"/>
  <c r="S528" i="3" s="1"/>
  <c r="S531" i="3" s="1"/>
  <c r="S492" i="3"/>
  <c r="T487" i="3" s="1"/>
  <c r="T489" i="3" s="1"/>
  <c r="R517" i="3"/>
  <c r="CD9" i="68"/>
  <c r="CH8" i="68"/>
  <c r="R531" i="3"/>
  <c r="R529" i="3"/>
  <c r="R521" i="3"/>
  <c r="R549" i="3"/>
  <c r="R547" i="3"/>
  <c r="S500" i="3"/>
  <c r="T490" i="3"/>
  <c r="T479" i="3"/>
  <c r="T480" i="3" s="1"/>
  <c r="T473" i="3"/>
  <c r="U469" i="3" s="1"/>
  <c r="U471" i="3" s="1"/>
  <c r="P279" i="3"/>
  <c r="O81" i="3"/>
  <c r="P78" i="3" s="1"/>
  <c r="P378" i="3"/>
  <c r="P282" i="3"/>
  <c r="Q6" i="3"/>
  <c r="Q7" i="3"/>
  <c r="P13" i="3"/>
  <c r="P70" i="3" s="1"/>
  <c r="P285" i="3"/>
  <c r="P288" i="3"/>
  <c r="P8" i="3"/>
  <c r="N297" i="3"/>
  <c r="L294" i="3"/>
  <c r="O297" i="3"/>
  <c r="J297" i="3"/>
  <c r="M297" i="3"/>
  <c r="I297" i="3"/>
  <c r="L297" i="3"/>
  <c r="K294" i="3"/>
  <c r="J257" i="3"/>
  <c r="J268" i="3" s="1"/>
  <c r="J270" i="3" s="1"/>
  <c r="I294" i="3"/>
  <c r="N294" i="3"/>
  <c r="L296" i="3"/>
  <c r="O298" i="3"/>
  <c r="O294" i="3"/>
  <c r="M294" i="3"/>
  <c r="N298" i="3"/>
  <c r="M298" i="3"/>
  <c r="N295" i="3"/>
  <c r="L298" i="3"/>
  <c r="N296" i="3"/>
  <c r="K298" i="3"/>
  <c r="M295" i="3"/>
  <c r="M296" i="3"/>
  <c r="I298" i="3"/>
  <c r="O296" i="3"/>
  <c r="I296" i="3"/>
  <c r="K296" i="3"/>
  <c r="K295" i="3"/>
  <c r="O295" i="3"/>
  <c r="I295" i="3"/>
  <c r="J295" i="3"/>
  <c r="I86" i="3"/>
  <c r="S10" i="3"/>
  <c r="T9" i="3"/>
  <c r="P10" i="56"/>
  <c r="Q9" i="56"/>
  <c r="O22" i="56"/>
  <c r="I271" i="3"/>
  <c r="I272" i="3"/>
  <c r="I84" i="3"/>
  <c r="R6" i="56"/>
  <c r="R7" i="56"/>
  <c r="Q8" i="56"/>
  <c r="Q13" i="56"/>
  <c r="P375" i="3"/>
  <c r="Q289" i="3" l="1"/>
  <c r="Q286" i="3"/>
  <c r="Q280" i="3"/>
  <c r="Q283" i="3"/>
  <c r="Q277" i="3"/>
  <c r="Q276" i="3"/>
  <c r="CH9" i="68"/>
  <c r="CL8" i="68"/>
  <c r="S529" i="3"/>
  <c r="S520" i="3"/>
  <c r="S510" i="3"/>
  <c r="T491" i="3"/>
  <c r="T509" i="3" s="1"/>
  <c r="T499" i="3"/>
  <c r="S516" i="3"/>
  <c r="S515" i="3"/>
  <c r="S501" i="3"/>
  <c r="T496" i="3" s="1"/>
  <c r="T498" i="3" s="1"/>
  <c r="T481" i="3"/>
  <c r="U477" i="3" s="1"/>
  <c r="U479" i="3" s="1"/>
  <c r="P294" i="3"/>
  <c r="P81" i="3"/>
  <c r="Q78" i="3" s="1"/>
  <c r="Q378" i="3"/>
  <c r="P296" i="3"/>
  <c r="P297" i="3"/>
  <c r="P295" i="3"/>
  <c r="Q279" i="3"/>
  <c r="Q288" i="3"/>
  <c r="Q285" i="3"/>
  <c r="R6" i="3"/>
  <c r="Q8" i="3"/>
  <c r="R7" i="3"/>
  <c r="Q13" i="3"/>
  <c r="Q70" i="3" s="1"/>
  <c r="Q282" i="3"/>
  <c r="P298" i="3"/>
  <c r="K257" i="3"/>
  <c r="K268" i="3" s="1"/>
  <c r="K270" i="3" s="1"/>
  <c r="U9" i="3"/>
  <c r="T10" i="3"/>
  <c r="R9" i="56"/>
  <c r="Q10" i="56"/>
  <c r="J271" i="3"/>
  <c r="J272" i="3"/>
  <c r="S7" i="56"/>
  <c r="R8" i="56"/>
  <c r="S6" i="56"/>
  <c r="R13" i="56"/>
  <c r="P22" i="56"/>
  <c r="J85" i="3"/>
  <c r="J83" i="3"/>
  <c r="Q375" i="3"/>
  <c r="R289" i="3" l="1"/>
  <c r="R286" i="3"/>
  <c r="R280" i="3"/>
  <c r="R283" i="3"/>
  <c r="R276" i="3"/>
  <c r="R277" i="3"/>
  <c r="CL9" i="68"/>
  <c r="CP8" i="68"/>
  <c r="T500" i="3"/>
  <c r="T516" i="3" s="1"/>
  <c r="T492" i="3"/>
  <c r="U487" i="3" s="1"/>
  <c r="U489" i="3" s="1"/>
  <c r="S517" i="3"/>
  <c r="T508" i="3"/>
  <c r="T520" i="3" s="1"/>
  <c r="S521" i="3"/>
  <c r="S545" i="3"/>
  <c r="S546" i="3" s="1"/>
  <c r="U472" i="3"/>
  <c r="U480" i="3"/>
  <c r="Q81" i="3"/>
  <c r="R78" i="3" s="1"/>
  <c r="R378" i="3"/>
  <c r="R13" i="3"/>
  <c r="R70" i="3" s="1"/>
  <c r="R285" i="3"/>
  <c r="R288" i="3"/>
  <c r="L257" i="3"/>
  <c r="L268" i="3" s="1"/>
  <c r="L270" i="3" s="1"/>
  <c r="Q294" i="3"/>
  <c r="S7" i="3"/>
  <c r="R282" i="3"/>
  <c r="S6" i="3"/>
  <c r="R8" i="3"/>
  <c r="R279" i="3"/>
  <c r="Q298" i="3"/>
  <c r="Q295" i="3"/>
  <c r="Q297" i="3"/>
  <c r="Q296" i="3"/>
  <c r="J86" i="3"/>
  <c r="V9" i="3"/>
  <c r="U10" i="3"/>
  <c r="S9" i="56"/>
  <c r="R10" i="56"/>
  <c r="K271" i="3"/>
  <c r="K272" i="3"/>
  <c r="T6" i="56"/>
  <c r="S8" i="56"/>
  <c r="T7" i="56"/>
  <c r="S13" i="56"/>
  <c r="J84" i="3"/>
  <c r="Q22" i="56"/>
  <c r="R375" i="3"/>
  <c r="S289" i="3" l="1"/>
  <c r="S286" i="3"/>
  <c r="S280" i="3"/>
  <c r="S283" i="3"/>
  <c r="S276" i="3"/>
  <c r="S277" i="3"/>
  <c r="CP9" i="68"/>
  <c r="CT8" i="68"/>
  <c r="T515" i="3"/>
  <c r="T517" i="3" s="1"/>
  <c r="T501" i="3"/>
  <c r="U496" i="3" s="1"/>
  <c r="U498" i="3" s="1"/>
  <c r="T527" i="3"/>
  <c r="T528" i="3" s="1"/>
  <c r="T510" i="3"/>
  <c r="U499" i="3"/>
  <c r="S549" i="3"/>
  <c r="S547" i="3"/>
  <c r="U473" i="3"/>
  <c r="V469" i="3" s="1"/>
  <c r="V471" i="3" s="1"/>
  <c r="U490" i="3"/>
  <c r="U491" i="3" s="1"/>
  <c r="U481" i="3"/>
  <c r="V477" i="3" s="1"/>
  <c r="V479" i="3" s="1"/>
  <c r="R81" i="3"/>
  <c r="S78" i="3" s="1"/>
  <c r="S378" i="3"/>
  <c r="R298" i="3"/>
  <c r="M257" i="3"/>
  <c r="M268" i="3" s="1"/>
  <c r="N257" i="3" s="1"/>
  <c r="N268" i="3" s="1"/>
  <c r="T6" i="3"/>
  <c r="S13" i="3"/>
  <c r="S70" i="3" s="1"/>
  <c r="S282" i="3"/>
  <c r="R297" i="3"/>
  <c r="T7" i="3"/>
  <c r="R296" i="3"/>
  <c r="S279" i="3"/>
  <c r="S8" i="3"/>
  <c r="S285" i="3"/>
  <c r="S288" i="3"/>
  <c r="R294" i="3"/>
  <c r="R295" i="3"/>
  <c r="V10" i="3"/>
  <c r="W9" i="3"/>
  <c r="T9" i="56"/>
  <c r="S10" i="56"/>
  <c r="K85" i="3"/>
  <c r="T8" i="56"/>
  <c r="U6" i="56"/>
  <c r="U7" i="56"/>
  <c r="T13" i="56"/>
  <c r="L271" i="3"/>
  <c r="L272" i="3"/>
  <c r="R22" i="56"/>
  <c r="S375" i="3"/>
  <c r="T289" i="3" l="1"/>
  <c r="T286" i="3"/>
  <c r="T280" i="3"/>
  <c r="T283" i="3"/>
  <c r="T276" i="3"/>
  <c r="T277" i="3"/>
  <c r="CT9" i="68"/>
  <c r="CX8" i="68"/>
  <c r="T521" i="3"/>
  <c r="T545" i="3"/>
  <c r="T546" i="3" s="1"/>
  <c r="T547" i="3" s="1"/>
  <c r="U500" i="3"/>
  <c r="U501" i="3" s="1"/>
  <c r="V496" i="3" s="1"/>
  <c r="T531" i="3"/>
  <c r="T529" i="3"/>
  <c r="V472" i="3"/>
  <c r="V473" i="3" s="1"/>
  <c r="W469" i="3" s="1"/>
  <c r="W471" i="3" s="1"/>
  <c r="U508" i="3"/>
  <c r="U527" i="3" s="1"/>
  <c r="U528" i="3" s="1"/>
  <c r="U509" i="3"/>
  <c r="U492" i="3"/>
  <c r="V487" i="3" s="1"/>
  <c r="V480" i="3"/>
  <c r="S81" i="3"/>
  <c r="T78" i="3" s="1"/>
  <c r="M270" i="3"/>
  <c r="M271" i="3" s="1"/>
  <c r="T378" i="3"/>
  <c r="T288" i="3"/>
  <c r="S298" i="3"/>
  <c r="S297" i="3"/>
  <c r="S296" i="3"/>
  <c r="T282" i="3"/>
  <c r="U6" i="3"/>
  <c r="T279" i="3"/>
  <c r="S294" i="3"/>
  <c r="T13" i="3"/>
  <c r="T70" i="3" s="1"/>
  <c r="U7" i="3"/>
  <c r="T8" i="3"/>
  <c r="T285" i="3"/>
  <c r="S295" i="3"/>
  <c r="K86" i="3"/>
  <c r="W10" i="3"/>
  <c r="X9" i="3"/>
  <c r="U9" i="56"/>
  <c r="T10" i="56"/>
  <c r="O257" i="3"/>
  <c r="O268" i="3" s="1"/>
  <c r="N270" i="3"/>
  <c r="S22" i="56"/>
  <c r="U8" i="56"/>
  <c r="V7" i="56"/>
  <c r="V6" i="56"/>
  <c r="U13" i="56"/>
  <c r="K83" i="3"/>
  <c r="T375" i="3"/>
  <c r="U289" i="3" l="1"/>
  <c r="U286" i="3"/>
  <c r="U280" i="3"/>
  <c r="U283" i="3"/>
  <c r="U277" i="3"/>
  <c r="U276" i="3"/>
  <c r="CX9" i="68"/>
  <c r="DB8" i="68"/>
  <c r="T549" i="3"/>
  <c r="U516" i="3"/>
  <c r="U515" i="3"/>
  <c r="U545" i="3" s="1"/>
  <c r="U546" i="3" s="1"/>
  <c r="U547" i="3" s="1"/>
  <c r="V490" i="3"/>
  <c r="U531" i="3"/>
  <c r="W472" i="3"/>
  <c r="W490" i="3" s="1"/>
  <c r="U520" i="3"/>
  <c r="V499" i="3"/>
  <c r="V498" i="3"/>
  <c r="V489" i="3"/>
  <c r="U510" i="3"/>
  <c r="U529" i="3"/>
  <c r="V481" i="3"/>
  <c r="W477" i="3" s="1"/>
  <c r="W479" i="3" s="1"/>
  <c r="M272" i="3"/>
  <c r="T81" i="3"/>
  <c r="U78" i="3" s="1"/>
  <c r="U378" i="3"/>
  <c r="T294" i="3"/>
  <c r="U8" i="3"/>
  <c r="V7" i="3"/>
  <c r="V6" i="3"/>
  <c r="U282" i="3"/>
  <c r="U279" i="3"/>
  <c r="T295" i="3"/>
  <c r="T297" i="3"/>
  <c r="T298" i="3"/>
  <c r="T296" i="3"/>
  <c r="U13" i="3"/>
  <c r="U70" i="3" s="1"/>
  <c r="U288" i="3"/>
  <c r="U285" i="3"/>
  <c r="Y9" i="3"/>
  <c r="X10" i="3"/>
  <c r="U10" i="56"/>
  <c r="V9" i="56"/>
  <c r="K84" i="3"/>
  <c r="T22" i="56"/>
  <c r="N271" i="3"/>
  <c r="N272" i="3"/>
  <c r="P257" i="3"/>
  <c r="P268" i="3" s="1"/>
  <c r="O270" i="3"/>
  <c r="W7" i="56"/>
  <c r="V8" i="56"/>
  <c r="W6" i="56"/>
  <c r="V13" i="56"/>
  <c r="U375" i="3"/>
  <c r="V289" i="3" l="1"/>
  <c r="V286" i="3"/>
  <c r="V280" i="3"/>
  <c r="V283" i="3"/>
  <c r="V276" i="3"/>
  <c r="V277" i="3"/>
  <c r="DB9" i="68"/>
  <c r="DF8" i="68"/>
  <c r="U521" i="3"/>
  <c r="U549" i="3"/>
  <c r="U517" i="3"/>
  <c r="V491" i="3"/>
  <c r="V492" i="3" s="1"/>
  <c r="W487" i="3" s="1"/>
  <c r="W489" i="3" s="1"/>
  <c r="W491" i="3" s="1"/>
  <c r="W473" i="3"/>
  <c r="X469" i="3" s="1"/>
  <c r="X471" i="3" s="1"/>
  <c r="V500" i="3"/>
  <c r="V515" i="3" s="1"/>
  <c r="U81" i="3"/>
  <c r="V78" i="3" s="1"/>
  <c r="V378" i="3"/>
  <c r="W6" i="3"/>
  <c r="V8" i="3"/>
  <c r="V282" i="3"/>
  <c r="V285" i="3"/>
  <c r="V13" i="3"/>
  <c r="V70" i="3" s="1"/>
  <c r="V279" i="3"/>
  <c r="W7" i="3"/>
  <c r="U296" i="3"/>
  <c r="V288" i="3"/>
  <c r="U297" i="3"/>
  <c r="U298" i="3"/>
  <c r="U294" i="3"/>
  <c r="U295" i="3"/>
  <c r="Z9" i="3"/>
  <c r="Y10" i="3"/>
  <c r="V10" i="56"/>
  <c r="W9" i="56"/>
  <c r="Q257" i="3"/>
  <c r="Q268" i="3" s="1"/>
  <c r="P270" i="3"/>
  <c r="U22" i="56"/>
  <c r="W8" i="56"/>
  <c r="X7" i="56"/>
  <c r="X6" i="56"/>
  <c r="W13" i="56"/>
  <c r="L85" i="3"/>
  <c r="O271" i="3"/>
  <c r="O272" i="3"/>
  <c r="L83" i="3"/>
  <c r="V375" i="3"/>
  <c r="DF9" i="68" l="1"/>
  <c r="DJ8" i="68"/>
  <c r="W289" i="3"/>
  <c r="W286" i="3"/>
  <c r="W280" i="3"/>
  <c r="W283" i="3"/>
  <c r="W276" i="3"/>
  <c r="W277" i="3"/>
  <c r="V508" i="3"/>
  <c r="V527" i="3" s="1"/>
  <c r="V528" i="3" s="1"/>
  <c r="V509" i="3"/>
  <c r="V516" i="3"/>
  <c r="V521" i="3" s="1"/>
  <c r="V501" i="3"/>
  <c r="W496" i="3" s="1"/>
  <c r="W498" i="3" s="1"/>
  <c r="X472" i="3"/>
  <c r="X490" i="3" s="1"/>
  <c r="W508" i="3"/>
  <c r="W527" i="3" s="1"/>
  <c r="W528" i="3" s="1"/>
  <c r="W509" i="3"/>
  <c r="V545" i="3"/>
  <c r="V546" i="3" s="1"/>
  <c r="W480" i="3"/>
  <c r="V81" i="3"/>
  <c r="W78" i="3" s="1"/>
  <c r="W378" i="3"/>
  <c r="V294" i="3"/>
  <c r="V297" i="3"/>
  <c r="W13" i="3"/>
  <c r="W70" i="3" s="1"/>
  <c r="V296" i="3"/>
  <c r="V298" i="3"/>
  <c r="V295" i="3"/>
  <c r="W288" i="3"/>
  <c r="X6" i="3"/>
  <c r="W8" i="3"/>
  <c r="W279" i="3"/>
  <c r="W282" i="3"/>
  <c r="X7" i="3"/>
  <c r="W285" i="3"/>
  <c r="L86" i="3"/>
  <c r="Z10" i="3"/>
  <c r="AA9" i="3"/>
  <c r="W10" i="56"/>
  <c r="X9" i="56"/>
  <c r="V22" i="56"/>
  <c r="R257" i="3"/>
  <c r="R268" i="3" s="1"/>
  <c r="Q270" i="3"/>
  <c r="X8" i="56"/>
  <c r="Y6" i="56"/>
  <c r="Y7" i="56"/>
  <c r="X13" i="56"/>
  <c r="L84" i="3"/>
  <c r="P271" i="3"/>
  <c r="P272" i="3"/>
  <c r="W375" i="3"/>
  <c r="DJ9" i="68" l="1"/>
  <c r="DN8" i="68"/>
  <c r="X289" i="3"/>
  <c r="X286" i="3"/>
  <c r="X280" i="3"/>
  <c r="X283" i="3"/>
  <c r="X276" i="3"/>
  <c r="X277" i="3"/>
  <c r="X473" i="3"/>
  <c r="Y469" i="3" s="1"/>
  <c r="Y471" i="3" s="1"/>
  <c r="V510" i="3"/>
  <c r="V517" i="3"/>
  <c r="V520" i="3"/>
  <c r="V531" i="3"/>
  <c r="W531" i="3"/>
  <c r="W510" i="3"/>
  <c r="V529" i="3"/>
  <c r="W529" i="3" s="1"/>
  <c r="W520" i="3"/>
  <c r="W499" i="3"/>
  <c r="W500" i="3" s="1"/>
  <c r="V549" i="3"/>
  <c r="V547" i="3"/>
  <c r="W492" i="3"/>
  <c r="X487" i="3" s="1"/>
  <c r="W481" i="3"/>
  <c r="X477" i="3" s="1"/>
  <c r="X479" i="3" s="1"/>
  <c r="W81" i="3"/>
  <c r="X78" i="3" s="1"/>
  <c r="X378" i="3"/>
  <c r="W295" i="3"/>
  <c r="Y7" i="3"/>
  <c r="Y6" i="3"/>
  <c r="W296" i="3"/>
  <c r="X288" i="3"/>
  <c r="X8" i="3"/>
  <c r="W297" i="3"/>
  <c r="X13" i="3"/>
  <c r="X70" i="3" s="1"/>
  <c r="W294" i="3"/>
  <c r="W298" i="3"/>
  <c r="X282" i="3"/>
  <c r="X285" i="3"/>
  <c r="X279" i="3"/>
  <c r="AB9" i="3"/>
  <c r="AA10" i="3"/>
  <c r="X10" i="56"/>
  <c r="Y9" i="56"/>
  <c r="M83" i="3"/>
  <c r="Y8" i="56"/>
  <c r="Z6" i="56"/>
  <c r="Y13" i="56"/>
  <c r="Z7" i="56"/>
  <c r="W22" i="56"/>
  <c r="Q271" i="3"/>
  <c r="Q272" i="3"/>
  <c r="M85" i="3"/>
  <c r="S257" i="3"/>
  <c r="S268" i="3" s="1"/>
  <c r="R270" i="3"/>
  <c r="X375" i="3"/>
  <c r="DN9" i="68" l="1"/>
  <c r="DR8" i="68"/>
  <c r="Y289" i="3"/>
  <c r="Y286" i="3"/>
  <c r="Y280" i="3"/>
  <c r="Y283" i="3"/>
  <c r="Y277" i="3"/>
  <c r="Y276" i="3"/>
  <c r="W515" i="3"/>
  <c r="W516" i="3"/>
  <c r="X489" i="3"/>
  <c r="X491" i="3" s="1"/>
  <c r="Y472" i="3"/>
  <c r="X81" i="3"/>
  <c r="Y78" i="3" s="1"/>
  <c r="Y378" i="3"/>
  <c r="X296" i="3"/>
  <c r="Z6" i="3"/>
  <c r="X294" i="3"/>
  <c r="Y279" i="3"/>
  <c r="Y282" i="3"/>
  <c r="Y288" i="3"/>
  <c r="Z7" i="3"/>
  <c r="Y13" i="3"/>
  <c r="Y70" i="3" s="1"/>
  <c r="Y8" i="3"/>
  <c r="Y285" i="3"/>
  <c r="X295" i="3"/>
  <c r="X297" i="3"/>
  <c r="X298" i="3"/>
  <c r="M86" i="3"/>
  <c r="AC9" i="3"/>
  <c r="AB10" i="3"/>
  <c r="Y10" i="56"/>
  <c r="Z9" i="56"/>
  <c r="X22" i="56"/>
  <c r="Z8" i="56"/>
  <c r="AA7" i="56"/>
  <c r="AA6" i="56"/>
  <c r="Z13" i="56"/>
  <c r="R271" i="3"/>
  <c r="R272" i="3"/>
  <c r="T257" i="3"/>
  <c r="T268" i="3" s="1"/>
  <c r="S270" i="3"/>
  <c r="M84" i="3"/>
  <c r="N85" i="3"/>
  <c r="Y375" i="3"/>
  <c r="DR9" i="68" l="1"/>
  <c r="DV8" i="68"/>
  <c r="Z289" i="3"/>
  <c r="Z286" i="3"/>
  <c r="Z280" i="3"/>
  <c r="Z283" i="3"/>
  <c r="Z276" i="3"/>
  <c r="Z277" i="3"/>
  <c r="W521" i="3"/>
  <c r="Y473" i="3"/>
  <c r="Z469" i="3" s="1"/>
  <c r="Z471" i="3" s="1"/>
  <c r="Y490" i="3"/>
  <c r="X509" i="3"/>
  <c r="X508" i="3"/>
  <c r="W517" i="3"/>
  <c r="W545" i="3"/>
  <c r="W546" i="3" s="1"/>
  <c r="W501" i="3"/>
  <c r="X496" i="3" s="1"/>
  <c r="X480" i="3"/>
  <c r="Y81" i="3"/>
  <c r="Z78" i="3" s="1"/>
  <c r="Z378" i="3"/>
  <c r="AA6" i="3"/>
  <c r="Z13" i="3"/>
  <c r="Z70" i="3" s="1"/>
  <c r="Z279" i="3"/>
  <c r="Z288" i="3"/>
  <c r="Y296" i="3"/>
  <c r="AA7" i="3"/>
  <c r="Y297" i="3"/>
  <c r="Z285" i="3"/>
  <c r="Z282" i="3"/>
  <c r="Z8" i="3"/>
  <c r="Y295" i="3"/>
  <c r="Y298" i="3"/>
  <c r="Y294" i="3"/>
  <c r="N86" i="3"/>
  <c r="AD9" i="3"/>
  <c r="AC10" i="3"/>
  <c r="AA9" i="56"/>
  <c r="Z10" i="56"/>
  <c r="AB6" i="56"/>
  <c r="AA8" i="56"/>
  <c r="AB7" i="56"/>
  <c r="AA13" i="56"/>
  <c r="Y22" i="56"/>
  <c r="S271" i="3"/>
  <c r="S272" i="3"/>
  <c r="U257" i="3"/>
  <c r="U268" i="3" s="1"/>
  <c r="T270" i="3"/>
  <c r="Z375" i="3"/>
  <c r="DV9" i="68" l="1"/>
  <c r="DZ8" i="68"/>
  <c r="AA289" i="3"/>
  <c r="AA286" i="3"/>
  <c r="AA280" i="3"/>
  <c r="AA283" i="3"/>
  <c r="AA277" i="3"/>
  <c r="AA276" i="3"/>
  <c r="Z472" i="3"/>
  <c r="Z490" i="3" s="1"/>
  <c r="X520" i="3"/>
  <c r="X527" i="3"/>
  <c r="W549" i="3"/>
  <c r="W547" i="3"/>
  <c r="X499" i="3"/>
  <c r="X498" i="3"/>
  <c r="X481" i="3"/>
  <c r="Y477" i="3" s="1"/>
  <c r="Y479" i="3" s="1"/>
  <c r="X492" i="3"/>
  <c r="Y487" i="3" s="1"/>
  <c r="Z81" i="3"/>
  <c r="AA78" i="3" s="1"/>
  <c r="AA378" i="3"/>
  <c r="AA8" i="3"/>
  <c r="AA279" i="3"/>
  <c r="AA13" i="3"/>
  <c r="AA70" i="3" s="1"/>
  <c r="AA288" i="3"/>
  <c r="AB6" i="3"/>
  <c r="Z297" i="3"/>
  <c r="AA282" i="3"/>
  <c r="AB7" i="3"/>
  <c r="Z298" i="3"/>
  <c r="AA285" i="3"/>
  <c r="Z295" i="3"/>
  <c r="Z294" i="3"/>
  <c r="Z296" i="3"/>
  <c r="AD10" i="3"/>
  <c r="AE9" i="3"/>
  <c r="AA10" i="56"/>
  <c r="AB9" i="56"/>
  <c r="N83" i="3"/>
  <c r="N84" i="3" s="1"/>
  <c r="T271" i="3"/>
  <c r="T272" i="3"/>
  <c r="Z22" i="56"/>
  <c r="V257" i="3"/>
  <c r="V268" i="3" s="1"/>
  <c r="U270" i="3"/>
  <c r="AB8" i="56"/>
  <c r="AC7" i="56"/>
  <c r="AC6" i="56"/>
  <c r="AB13" i="56"/>
  <c r="AA375" i="3"/>
  <c r="DZ9" i="68" l="1"/>
  <c r="ED8" i="68"/>
  <c r="AB289" i="3"/>
  <c r="AB286" i="3"/>
  <c r="AB280" i="3"/>
  <c r="AB283" i="3"/>
  <c r="AB276" i="3"/>
  <c r="AB277" i="3"/>
  <c r="Z473" i="3"/>
  <c r="AA469" i="3" s="1"/>
  <c r="AA471" i="3" s="1"/>
  <c r="X500" i="3"/>
  <c r="X515" i="3" s="1"/>
  <c r="Y489" i="3"/>
  <c r="Y491" i="3" s="1"/>
  <c r="X528" i="3"/>
  <c r="X531" i="3" s="1"/>
  <c r="X510" i="3"/>
  <c r="AA81" i="3"/>
  <c r="AB78" i="3" s="1"/>
  <c r="AB378" i="3"/>
  <c r="AA298" i="3"/>
  <c r="AA295" i="3"/>
  <c r="AA294" i="3"/>
  <c r="AB279" i="3"/>
  <c r="AA296" i="3"/>
  <c r="AA297" i="3"/>
  <c r="AB282" i="3"/>
  <c r="AB288" i="3"/>
  <c r="AC7" i="3"/>
  <c r="AB8" i="3"/>
  <c r="AB13" i="3"/>
  <c r="AB70" i="3" s="1"/>
  <c r="AC6" i="3"/>
  <c r="AB285" i="3"/>
  <c r="AF9" i="3"/>
  <c r="AE10" i="3"/>
  <c r="AB10" i="56"/>
  <c r="AC9" i="56"/>
  <c r="AA22" i="56"/>
  <c r="O85" i="3"/>
  <c r="AC8" i="56"/>
  <c r="AD6" i="56"/>
  <c r="AD7" i="56"/>
  <c r="AC13" i="56"/>
  <c r="U271" i="3"/>
  <c r="U272" i="3"/>
  <c r="W257" i="3"/>
  <c r="W268" i="3" s="1"/>
  <c r="V270" i="3"/>
  <c r="AB375" i="3"/>
  <c r="ED9" i="68" l="1"/>
  <c r="EH8" i="68"/>
  <c r="AC289" i="3"/>
  <c r="AC286" i="3"/>
  <c r="AC280" i="3"/>
  <c r="AC283" i="3"/>
  <c r="AC277" i="3"/>
  <c r="AC276" i="3"/>
  <c r="X545" i="3"/>
  <c r="X546" i="3" s="1"/>
  <c r="X547" i="3" s="1"/>
  <c r="X516" i="3"/>
  <c r="X517" i="3" s="1"/>
  <c r="Y508" i="3"/>
  <c r="Y509" i="3"/>
  <c r="X529" i="3"/>
  <c r="Y480" i="3"/>
  <c r="X501" i="3"/>
  <c r="Y496" i="3" s="1"/>
  <c r="AA472" i="3"/>
  <c r="AB81" i="3"/>
  <c r="AC78" i="3" s="1"/>
  <c r="AC378" i="3"/>
  <c r="AB297" i="3"/>
  <c r="AB296" i="3"/>
  <c r="AB294" i="3"/>
  <c r="AB295" i="3"/>
  <c r="AB298" i="3"/>
  <c r="AC279" i="3"/>
  <c r="AD6" i="3"/>
  <c r="AC8" i="3"/>
  <c r="AD7" i="3"/>
  <c r="AC285" i="3"/>
  <c r="AC13" i="3"/>
  <c r="AC70" i="3" s="1"/>
  <c r="AC288" i="3"/>
  <c r="AC282" i="3"/>
  <c r="O86" i="3"/>
  <c r="AG9" i="3"/>
  <c r="AF10" i="3"/>
  <c r="AC10" i="56"/>
  <c r="AD9" i="56"/>
  <c r="V271" i="3"/>
  <c r="V272" i="3"/>
  <c r="X257" i="3"/>
  <c r="X268" i="3" s="1"/>
  <c r="W270" i="3"/>
  <c r="AB22" i="56"/>
  <c r="AE6" i="56"/>
  <c r="AD8" i="56"/>
  <c r="AD13" i="56"/>
  <c r="AE7" i="56"/>
  <c r="AC375" i="3"/>
  <c r="EH9" i="68" l="1"/>
  <c r="EL8" i="68"/>
  <c r="AD289" i="3"/>
  <c r="AD286" i="3"/>
  <c r="AD280" i="3"/>
  <c r="AD283" i="3"/>
  <c r="AD276" i="3"/>
  <c r="AD277" i="3"/>
  <c r="X549" i="3"/>
  <c r="X521" i="3"/>
  <c r="Y520" i="3"/>
  <c r="Y481" i="3"/>
  <c r="Z477" i="3" s="1"/>
  <c r="Z479" i="3" s="1"/>
  <c r="Y499" i="3"/>
  <c r="AA490" i="3"/>
  <c r="Y527" i="3"/>
  <c r="Y498" i="3"/>
  <c r="AA473" i="3"/>
  <c r="AB469" i="3" s="1"/>
  <c r="AB471" i="3" s="1"/>
  <c r="Y492" i="3"/>
  <c r="Z487" i="3" s="1"/>
  <c r="AC81" i="3"/>
  <c r="AD78" i="3" s="1"/>
  <c r="AD378" i="3"/>
  <c r="AC296" i="3"/>
  <c r="AC294" i="3"/>
  <c r="AC295" i="3"/>
  <c r="AC297" i="3"/>
  <c r="AC298" i="3"/>
  <c r="AD279" i="3"/>
  <c r="AD285" i="3"/>
  <c r="AE7" i="3"/>
  <c r="AD8" i="3"/>
  <c r="AE6" i="3"/>
  <c r="AD282" i="3"/>
  <c r="AD288" i="3"/>
  <c r="AD13" i="3"/>
  <c r="AD70" i="3" s="1"/>
  <c r="AH9" i="3"/>
  <c r="AG10" i="3"/>
  <c r="O83" i="3"/>
  <c r="O84" i="3" s="1"/>
  <c r="AE9" i="56"/>
  <c r="AD10" i="56"/>
  <c r="AF6" i="56"/>
  <c r="AF7" i="56"/>
  <c r="AE8" i="56"/>
  <c r="AE13" i="56"/>
  <c r="P85" i="3"/>
  <c r="W271" i="3"/>
  <c r="W272" i="3"/>
  <c r="AC22" i="56"/>
  <c r="Y257" i="3"/>
  <c r="Y268" i="3" s="1"/>
  <c r="X270" i="3"/>
  <c r="AD375" i="3"/>
  <c r="EL9" i="68" l="1"/>
  <c r="EP8" i="68"/>
  <c r="AE289" i="3"/>
  <c r="AE286" i="3"/>
  <c r="AE280" i="3"/>
  <c r="AE283" i="3"/>
  <c r="AE276" i="3"/>
  <c r="AE277" i="3"/>
  <c r="Y500" i="3"/>
  <c r="Y516" i="3" s="1"/>
  <c r="Z489" i="3"/>
  <c r="Z491" i="3" s="1"/>
  <c r="Y528" i="3"/>
  <c r="Y531" i="3" s="1"/>
  <c r="AB472" i="3"/>
  <c r="Z480" i="3"/>
  <c r="AD81" i="3"/>
  <c r="AE78" i="3" s="1"/>
  <c r="AE378" i="3"/>
  <c r="AD294" i="3"/>
  <c r="AD295" i="3"/>
  <c r="AD298" i="3"/>
  <c r="AD297" i="3"/>
  <c r="AE285" i="3"/>
  <c r="AE282" i="3"/>
  <c r="AD296" i="3"/>
  <c r="AE13" i="3"/>
  <c r="AE70" i="3" s="1"/>
  <c r="AE288" i="3"/>
  <c r="AE279" i="3"/>
  <c r="AE8" i="3"/>
  <c r="AF7" i="3"/>
  <c r="AF6" i="3"/>
  <c r="P86" i="3"/>
  <c r="AH10" i="3"/>
  <c r="AI9" i="3"/>
  <c r="AF9" i="56"/>
  <c r="AE10" i="56"/>
  <c r="X271" i="3"/>
  <c r="X272" i="3"/>
  <c r="Z257" i="3"/>
  <c r="Z268" i="3" s="1"/>
  <c r="Y270" i="3"/>
  <c r="AD22" i="56"/>
  <c r="AG7" i="56"/>
  <c r="AG6" i="56"/>
  <c r="AF8" i="56"/>
  <c r="AF13" i="56"/>
  <c r="AE375" i="3"/>
  <c r="EP9" i="68" l="1"/>
  <c r="ET8" i="68"/>
  <c r="AF289" i="3"/>
  <c r="AF286" i="3"/>
  <c r="AF280" i="3"/>
  <c r="AF283" i="3"/>
  <c r="AF276" i="3"/>
  <c r="AF277" i="3"/>
  <c r="Y515" i="3"/>
  <c r="Y517" i="3" s="1"/>
  <c r="Z508" i="3"/>
  <c r="Z509" i="3"/>
  <c r="Z499" i="3"/>
  <c r="AB490" i="3"/>
  <c r="Y501" i="3"/>
  <c r="Z496" i="3" s="1"/>
  <c r="Z492" i="3"/>
  <c r="AA487" i="3" s="1"/>
  <c r="Z481" i="3"/>
  <c r="AA477" i="3" s="1"/>
  <c r="AA479" i="3" s="1"/>
  <c r="AB473" i="3"/>
  <c r="AC469" i="3" s="1"/>
  <c r="AC471" i="3" s="1"/>
  <c r="Y529" i="3"/>
  <c r="Y510" i="3"/>
  <c r="AE81" i="3"/>
  <c r="AF78" i="3" s="1"/>
  <c r="AF378" i="3"/>
  <c r="AE297" i="3"/>
  <c r="AE298" i="3"/>
  <c r="AE295" i="3"/>
  <c r="AE294" i="3"/>
  <c r="AE296" i="3"/>
  <c r="AF279" i="3"/>
  <c r="AF282" i="3"/>
  <c r="AF13" i="3"/>
  <c r="AF70" i="3" s="1"/>
  <c r="AF288" i="3"/>
  <c r="AF285" i="3"/>
  <c r="AF8" i="3"/>
  <c r="AG6" i="3"/>
  <c r="AG7" i="3"/>
  <c r="AI10" i="3"/>
  <c r="AJ9" i="3"/>
  <c r="AF10" i="56"/>
  <c r="AG9" i="56"/>
  <c r="Y271" i="3"/>
  <c r="Y272" i="3"/>
  <c r="AA257" i="3"/>
  <c r="AA268" i="3" s="1"/>
  <c r="Z270" i="3"/>
  <c r="AG8" i="56"/>
  <c r="AH7" i="56"/>
  <c r="AH6" i="56"/>
  <c r="AG13" i="56"/>
  <c r="P83" i="3"/>
  <c r="P84" i="3" s="1"/>
  <c r="AE22" i="56"/>
  <c r="AF375" i="3"/>
  <c r="ET9" i="68" l="1"/>
  <c r="EX8" i="68"/>
  <c r="EX9" i="68" s="1"/>
  <c r="AG289" i="3"/>
  <c r="AG286" i="3"/>
  <c r="AG280" i="3"/>
  <c r="AG283" i="3"/>
  <c r="AG277" i="3"/>
  <c r="AG276" i="3"/>
  <c r="Y521" i="3"/>
  <c r="Y545" i="3"/>
  <c r="Y546" i="3" s="1"/>
  <c r="Y549" i="3" s="1"/>
  <c r="Z520" i="3"/>
  <c r="Z527" i="3"/>
  <c r="Z528" i="3" s="1"/>
  <c r="Z531" i="3" s="1"/>
  <c r="Z498" i="3"/>
  <c r="Z500" i="3" s="1"/>
  <c r="AA489" i="3"/>
  <c r="AA491" i="3" s="1"/>
  <c r="Z510" i="3"/>
  <c r="AF81" i="3"/>
  <c r="AG78" i="3" s="1"/>
  <c r="AG378" i="3"/>
  <c r="AF297" i="3"/>
  <c r="AF295" i="3"/>
  <c r="AF296" i="3"/>
  <c r="AF298" i="3"/>
  <c r="AF294" i="3"/>
  <c r="AH6" i="3"/>
  <c r="AG285" i="3"/>
  <c r="AG288" i="3"/>
  <c r="AH7" i="3"/>
  <c r="AG8" i="3"/>
  <c r="AG13" i="3"/>
  <c r="AG70" i="3" s="1"/>
  <c r="AG279" i="3"/>
  <c r="AG282" i="3"/>
  <c r="AK9" i="3"/>
  <c r="AJ10" i="3"/>
  <c r="AH9" i="56"/>
  <c r="AG10" i="56"/>
  <c r="Z271" i="3"/>
  <c r="Z272" i="3"/>
  <c r="AB257" i="3"/>
  <c r="AB268" i="3" s="1"/>
  <c r="AA270" i="3"/>
  <c r="AF22" i="56"/>
  <c r="Q85" i="3"/>
  <c r="AI7" i="56"/>
  <c r="AH8" i="56"/>
  <c r="AI6" i="56"/>
  <c r="AH13" i="56"/>
  <c r="AG375" i="3"/>
  <c r="AH289" i="3" l="1"/>
  <c r="AH286" i="3"/>
  <c r="AH280" i="3"/>
  <c r="AH283" i="3"/>
  <c r="AH276" i="3"/>
  <c r="AH277" i="3"/>
  <c r="Y547" i="3"/>
  <c r="AA509" i="3"/>
  <c r="AA508" i="3"/>
  <c r="AA527" i="3" s="1"/>
  <c r="Z516" i="3"/>
  <c r="Z515" i="3"/>
  <c r="AC472" i="3"/>
  <c r="AA480" i="3"/>
  <c r="Z529" i="3"/>
  <c r="Z501" i="3"/>
  <c r="AA496" i="3" s="1"/>
  <c r="AG81" i="3"/>
  <c r="AH78" i="3" s="1"/>
  <c r="AH378" i="3"/>
  <c r="AH285" i="3"/>
  <c r="AH288" i="3"/>
  <c r="AI7" i="3"/>
  <c r="AH13" i="3"/>
  <c r="AH70" i="3" s="1"/>
  <c r="AH282" i="3"/>
  <c r="AI6" i="3"/>
  <c r="AH8" i="3"/>
  <c r="AG294" i="3"/>
  <c r="AG296" i="3"/>
  <c r="AH279" i="3"/>
  <c r="AG295" i="3"/>
  <c r="AG297" i="3"/>
  <c r="AG298" i="3"/>
  <c r="Q86" i="3"/>
  <c r="AL9" i="3"/>
  <c r="AK10" i="3"/>
  <c r="AH10" i="56"/>
  <c r="AI9" i="56"/>
  <c r="AJ6" i="56"/>
  <c r="AI8" i="56"/>
  <c r="AJ7" i="56"/>
  <c r="AI13" i="56"/>
  <c r="AA271" i="3"/>
  <c r="AA272" i="3"/>
  <c r="AC257" i="3"/>
  <c r="AC268" i="3" s="1"/>
  <c r="AB270" i="3"/>
  <c r="AG22" i="56"/>
  <c r="AH375" i="3"/>
  <c r="AI289" i="3" l="1"/>
  <c r="AI286" i="3"/>
  <c r="AI280" i="3"/>
  <c r="AI283" i="3"/>
  <c r="AI277" i="3"/>
  <c r="AI276" i="3"/>
  <c r="Z517" i="3"/>
  <c r="AA520" i="3"/>
  <c r="Z545" i="3"/>
  <c r="Z546" i="3" s="1"/>
  <c r="Z549" i="3" s="1"/>
  <c r="Z521" i="3"/>
  <c r="AA499" i="3"/>
  <c r="AC473" i="3"/>
  <c r="AD469" i="3" s="1"/>
  <c r="AD471" i="3" s="1"/>
  <c r="AC490" i="3"/>
  <c r="AA498" i="3"/>
  <c r="AA481" i="3"/>
  <c r="AB477" i="3" s="1"/>
  <c r="AB479" i="3" s="1"/>
  <c r="AA492" i="3"/>
  <c r="AB487" i="3" s="1"/>
  <c r="AH81" i="3"/>
  <c r="AI78" i="3" s="1"/>
  <c r="AI378" i="3"/>
  <c r="AI282" i="3"/>
  <c r="AI285" i="3"/>
  <c r="AI288" i="3"/>
  <c r="AI13" i="3"/>
  <c r="AI70" i="3" s="1"/>
  <c r="AJ6" i="3"/>
  <c r="AI8" i="3"/>
  <c r="AH294" i="3"/>
  <c r="AJ7" i="3"/>
  <c r="AI279" i="3"/>
  <c r="AH298" i="3"/>
  <c r="AH297" i="3"/>
  <c r="AH296" i="3"/>
  <c r="AH295" i="3"/>
  <c r="AL10" i="3"/>
  <c r="AM9" i="3"/>
  <c r="Q83" i="3"/>
  <c r="Q84" i="3" s="1"/>
  <c r="AJ9" i="56"/>
  <c r="AI10" i="56"/>
  <c r="AK6" i="56"/>
  <c r="AK7" i="56"/>
  <c r="AJ8" i="56"/>
  <c r="AJ13" i="56"/>
  <c r="AB271" i="3"/>
  <c r="AB272" i="3"/>
  <c r="R85" i="3"/>
  <c r="AD257" i="3"/>
  <c r="AD268" i="3" s="1"/>
  <c r="AC270" i="3"/>
  <c r="AH22" i="56"/>
  <c r="AI375" i="3"/>
  <c r="AJ289" i="3" l="1"/>
  <c r="AJ286" i="3"/>
  <c r="AJ280" i="3"/>
  <c r="AJ283" i="3"/>
  <c r="AJ276" i="3"/>
  <c r="AJ277" i="3"/>
  <c r="Z547" i="3"/>
  <c r="AA500" i="3"/>
  <c r="AA516" i="3" s="1"/>
  <c r="AD472" i="3"/>
  <c r="AD473" i="3" s="1"/>
  <c r="AE469" i="3" s="1"/>
  <c r="AE471" i="3" s="1"/>
  <c r="AB489" i="3"/>
  <c r="AB491" i="3" s="1"/>
  <c r="AA528" i="3"/>
  <c r="AA531" i="3" s="1"/>
  <c r="AB480" i="3"/>
  <c r="AI81" i="3"/>
  <c r="AJ78" i="3" s="1"/>
  <c r="AI296" i="3"/>
  <c r="AJ378" i="3"/>
  <c r="AI294" i="3"/>
  <c r="AI297" i="3"/>
  <c r="AJ279" i="3"/>
  <c r="AJ13" i="3"/>
  <c r="AJ70" i="3" s="1"/>
  <c r="AJ8" i="3"/>
  <c r="AI295" i="3"/>
  <c r="AI298" i="3"/>
  <c r="AJ282" i="3"/>
  <c r="AJ288" i="3"/>
  <c r="AJ285" i="3"/>
  <c r="AK6" i="3"/>
  <c r="AK7" i="3"/>
  <c r="R86" i="3"/>
  <c r="AM10" i="3"/>
  <c r="AN9" i="3"/>
  <c r="AJ10" i="56"/>
  <c r="AK9" i="56"/>
  <c r="AI22" i="56"/>
  <c r="AC271" i="3"/>
  <c r="AC272" i="3"/>
  <c r="AE257" i="3"/>
  <c r="AE268" i="3" s="1"/>
  <c r="AD270" i="3"/>
  <c r="AL7" i="56"/>
  <c r="AL6" i="56"/>
  <c r="AK8" i="56"/>
  <c r="AK13" i="56"/>
  <c r="AJ375" i="3"/>
  <c r="AK289" i="3" l="1"/>
  <c r="AK286" i="3"/>
  <c r="AK280" i="3"/>
  <c r="AK283" i="3"/>
  <c r="AK277" i="3"/>
  <c r="AK276" i="3"/>
  <c r="AA501" i="3"/>
  <c r="AB496" i="3" s="1"/>
  <c r="AB498" i="3" s="1"/>
  <c r="AA515" i="3"/>
  <c r="AA517" i="3" s="1"/>
  <c r="AB509" i="3"/>
  <c r="AB508" i="3"/>
  <c r="AB527" i="3" s="1"/>
  <c r="AB528" i="3" s="1"/>
  <c r="AD490" i="3"/>
  <c r="AB499" i="3"/>
  <c r="AB481" i="3"/>
  <c r="AC477" i="3" s="1"/>
  <c r="AC479" i="3" s="1"/>
  <c r="AA529" i="3"/>
  <c r="AA510" i="3"/>
  <c r="AJ81" i="3"/>
  <c r="AK78" i="3" s="1"/>
  <c r="AK378" i="3"/>
  <c r="AJ295" i="3"/>
  <c r="AJ294" i="3"/>
  <c r="AJ298" i="3"/>
  <c r="AJ296" i="3"/>
  <c r="AJ297" i="3"/>
  <c r="AK282" i="3"/>
  <c r="AK13" i="3"/>
  <c r="AK70" i="3" s="1"/>
  <c r="AL7" i="3"/>
  <c r="AK279" i="3"/>
  <c r="AL6" i="3"/>
  <c r="AK8" i="3"/>
  <c r="AK288" i="3"/>
  <c r="AK285" i="3"/>
  <c r="AO9" i="3"/>
  <c r="AN10" i="3"/>
  <c r="AL9" i="56"/>
  <c r="AK10" i="56"/>
  <c r="R83" i="3"/>
  <c r="R84" i="3" s="1"/>
  <c r="AD271" i="3"/>
  <c r="AD272" i="3"/>
  <c r="AM6" i="56"/>
  <c r="AL8" i="56"/>
  <c r="AL13" i="56"/>
  <c r="AM7" i="56"/>
  <c r="AF257" i="3"/>
  <c r="AF268" i="3" s="1"/>
  <c r="AE270" i="3"/>
  <c r="AJ22" i="56"/>
  <c r="AK375" i="3"/>
  <c r="AL289" i="3" l="1"/>
  <c r="AL286" i="3"/>
  <c r="AL280" i="3"/>
  <c r="AL283" i="3"/>
  <c r="AL277" i="3"/>
  <c r="AL276" i="3"/>
  <c r="AA545" i="3"/>
  <c r="AA546" i="3" s="1"/>
  <c r="AA521" i="3"/>
  <c r="AB510" i="3"/>
  <c r="AB531" i="3"/>
  <c r="AB500" i="3"/>
  <c r="AB516" i="3" s="1"/>
  <c r="AB520" i="3"/>
  <c r="AC480" i="3"/>
  <c r="AE472" i="3"/>
  <c r="AB529" i="3"/>
  <c r="AB492" i="3"/>
  <c r="AC487" i="3" s="1"/>
  <c r="AK81" i="3"/>
  <c r="AL78" i="3" s="1"/>
  <c r="AL378" i="3"/>
  <c r="AL8" i="3"/>
  <c r="AM7" i="3"/>
  <c r="AK294" i="3"/>
  <c r="AL279" i="3"/>
  <c r="AL282" i="3"/>
  <c r="AL13" i="3"/>
  <c r="AL70" i="3" s="1"/>
  <c r="AL285" i="3"/>
  <c r="AM6" i="3"/>
  <c r="AL288" i="3"/>
  <c r="AK295" i="3"/>
  <c r="AK298" i="3"/>
  <c r="AK296" i="3"/>
  <c r="AK297" i="3"/>
  <c r="AP9" i="3"/>
  <c r="AO10" i="3"/>
  <c r="AL10" i="56"/>
  <c r="AM9" i="56"/>
  <c r="AE271" i="3"/>
  <c r="AE272" i="3"/>
  <c r="AN7" i="56"/>
  <c r="AM8" i="56"/>
  <c r="AM13" i="56"/>
  <c r="AN6" i="56"/>
  <c r="AG257" i="3"/>
  <c r="AG268" i="3" s="1"/>
  <c r="AF270" i="3"/>
  <c r="AK22" i="56"/>
  <c r="S85" i="3"/>
  <c r="AL375" i="3"/>
  <c r="AM289" i="3" l="1"/>
  <c r="AM286" i="3"/>
  <c r="AM280" i="3"/>
  <c r="AM283" i="3"/>
  <c r="AM276" i="3"/>
  <c r="AM277" i="3"/>
  <c r="AA549" i="3"/>
  <c r="AA547" i="3"/>
  <c r="AB501" i="3"/>
  <c r="AC496" i="3" s="1"/>
  <c r="AC498" i="3" s="1"/>
  <c r="AB515" i="3"/>
  <c r="AB521" i="3" s="1"/>
  <c r="AE490" i="3"/>
  <c r="AC499" i="3"/>
  <c r="AC489" i="3"/>
  <c r="AC491" i="3" s="1"/>
  <c r="AC481" i="3"/>
  <c r="AD477" i="3" s="1"/>
  <c r="AD479" i="3" s="1"/>
  <c r="AE473" i="3"/>
  <c r="AF469" i="3" s="1"/>
  <c r="AF471" i="3" s="1"/>
  <c r="AL81" i="3"/>
  <c r="AM78" i="3" s="1"/>
  <c r="AL296" i="3"/>
  <c r="AM285" i="3"/>
  <c r="AM378" i="3"/>
  <c r="AL298" i="3"/>
  <c r="AM8" i="3"/>
  <c r="AM282" i="3"/>
  <c r="AM279" i="3"/>
  <c r="AM13" i="3"/>
  <c r="AM70" i="3" s="1"/>
  <c r="AN6" i="3"/>
  <c r="AM288" i="3"/>
  <c r="AN7" i="3"/>
  <c r="AL297" i="3"/>
  <c r="AL294" i="3"/>
  <c r="AL295" i="3"/>
  <c r="S86" i="3"/>
  <c r="AP10" i="3"/>
  <c r="AQ9" i="3"/>
  <c r="AN9" i="56"/>
  <c r="AM10" i="56"/>
  <c r="AL22" i="56"/>
  <c r="AF271" i="3"/>
  <c r="AF272" i="3"/>
  <c r="AH257" i="3"/>
  <c r="AH268" i="3" s="1"/>
  <c r="AG270" i="3"/>
  <c r="AO7" i="56"/>
  <c r="AN8" i="56"/>
  <c r="AO6" i="56"/>
  <c r="AN13" i="56"/>
  <c r="AM375" i="3"/>
  <c r="AN289" i="3" l="1"/>
  <c r="AN286" i="3"/>
  <c r="AN280" i="3"/>
  <c r="AN283" i="3"/>
  <c r="AN276" i="3"/>
  <c r="AN277" i="3"/>
  <c r="AB545" i="3"/>
  <c r="AB546" i="3" s="1"/>
  <c r="AB517" i="3"/>
  <c r="AC500" i="3"/>
  <c r="AC516" i="3" s="1"/>
  <c r="AC509" i="3"/>
  <c r="AC508" i="3"/>
  <c r="AC527" i="3" s="1"/>
  <c r="AC528" i="3" s="1"/>
  <c r="AC492" i="3"/>
  <c r="AD487" i="3" s="1"/>
  <c r="AF472" i="3"/>
  <c r="AM81" i="3"/>
  <c r="AN78" i="3" s="1"/>
  <c r="AM295" i="3"/>
  <c r="AN378" i="3"/>
  <c r="AM296" i="3"/>
  <c r="AM294" i="3"/>
  <c r="AM297" i="3"/>
  <c r="AM298" i="3"/>
  <c r="AN288" i="3"/>
  <c r="AN282" i="3"/>
  <c r="AN285" i="3"/>
  <c r="AN279" i="3"/>
  <c r="AO7" i="3"/>
  <c r="AO6" i="3"/>
  <c r="AN13" i="3"/>
  <c r="AN70" i="3" s="1"/>
  <c r="AN8" i="3"/>
  <c r="AR9" i="3"/>
  <c r="AQ10" i="3"/>
  <c r="AO9" i="56"/>
  <c r="AN10" i="56"/>
  <c r="AG271" i="3"/>
  <c r="AG272" i="3"/>
  <c r="AI257" i="3"/>
  <c r="AI268" i="3" s="1"/>
  <c r="AH270" i="3"/>
  <c r="S83" i="3"/>
  <c r="S84" i="3" s="1"/>
  <c r="AP6" i="56"/>
  <c r="AP7" i="56"/>
  <c r="AO13" i="56"/>
  <c r="AO8" i="56"/>
  <c r="AM22" i="56"/>
  <c r="AN375" i="3"/>
  <c r="AO289" i="3" l="1"/>
  <c r="AO286" i="3"/>
  <c r="AO280" i="3"/>
  <c r="AO283" i="3"/>
  <c r="AO276" i="3"/>
  <c r="AO277" i="3"/>
  <c r="AC515" i="3"/>
  <c r="AC517" i="3" s="1"/>
  <c r="AC510" i="3"/>
  <c r="AB549" i="3"/>
  <c r="AB547" i="3"/>
  <c r="AC531" i="3"/>
  <c r="AC529" i="3"/>
  <c r="AF473" i="3"/>
  <c r="AG469" i="3" s="1"/>
  <c r="AG471" i="3" s="1"/>
  <c r="AF490" i="3"/>
  <c r="AC520" i="3"/>
  <c r="AD489" i="3"/>
  <c r="AD491" i="3" s="1"/>
  <c r="AD480" i="3"/>
  <c r="AC501" i="3"/>
  <c r="AD496" i="3" s="1"/>
  <c r="AN81" i="3"/>
  <c r="AO78" i="3" s="1"/>
  <c r="AO378" i="3"/>
  <c r="AN298" i="3"/>
  <c r="AO279" i="3"/>
  <c r="AP6" i="3"/>
  <c r="AO282" i="3"/>
  <c r="AO8" i="3"/>
  <c r="AN296" i="3"/>
  <c r="AN294" i="3"/>
  <c r="AO13" i="3"/>
  <c r="AO70" i="3" s="1"/>
  <c r="AN295" i="3"/>
  <c r="AN297" i="3"/>
  <c r="AO285" i="3"/>
  <c r="AP7" i="3"/>
  <c r="AO288" i="3"/>
  <c r="AS9" i="3"/>
  <c r="AR10" i="3"/>
  <c r="AP9" i="56"/>
  <c r="AO10" i="56"/>
  <c r="AH271" i="3"/>
  <c r="AH272" i="3"/>
  <c r="AN22" i="56"/>
  <c r="AJ257" i="3"/>
  <c r="AJ268" i="3" s="1"/>
  <c r="AI270" i="3"/>
  <c r="T85" i="3"/>
  <c r="AQ6" i="56"/>
  <c r="AQ7" i="56"/>
  <c r="AP8" i="56"/>
  <c r="AP13" i="56"/>
  <c r="AO375" i="3"/>
  <c r="AP289" i="3" l="1"/>
  <c r="AP286" i="3"/>
  <c r="AP280" i="3"/>
  <c r="AP283" i="3"/>
  <c r="AP276" i="3"/>
  <c r="AP277" i="3"/>
  <c r="AC545" i="3"/>
  <c r="AC546" i="3" s="1"/>
  <c r="AC549" i="3" s="1"/>
  <c r="AC521" i="3"/>
  <c r="AG472" i="3"/>
  <c r="AG473" i="3" s="1"/>
  <c r="AH469" i="3" s="1"/>
  <c r="AH471" i="3" s="1"/>
  <c r="AD481" i="3"/>
  <c r="AE477" i="3" s="1"/>
  <c r="AE479" i="3" s="1"/>
  <c r="AE480" i="3" s="1"/>
  <c r="AD499" i="3"/>
  <c r="AD509" i="3"/>
  <c r="AD508" i="3"/>
  <c r="AD498" i="3"/>
  <c r="AD492" i="3"/>
  <c r="AE487" i="3" s="1"/>
  <c r="AO81" i="3"/>
  <c r="AP78" i="3" s="1"/>
  <c r="AO297" i="3"/>
  <c r="AP378" i="3"/>
  <c r="AO296" i="3"/>
  <c r="AO294" i="3"/>
  <c r="AO298" i="3"/>
  <c r="AP282" i="3"/>
  <c r="AQ6" i="3"/>
  <c r="AP8" i="3"/>
  <c r="AQ7" i="3"/>
  <c r="AP288" i="3"/>
  <c r="AP13" i="3"/>
  <c r="AP70" i="3" s="1"/>
  <c r="AP285" i="3"/>
  <c r="AP279" i="3"/>
  <c r="AO295" i="3"/>
  <c r="T86" i="3"/>
  <c r="AT9" i="3"/>
  <c r="AS10" i="3"/>
  <c r="AP10" i="56"/>
  <c r="AQ9" i="56"/>
  <c r="AI271" i="3"/>
  <c r="AI272" i="3"/>
  <c r="AO22" i="56"/>
  <c r="AK257" i="3"/>
  <c r="AK268" i="3" s="1"/>
  <c r="AJ270" i="3"/>
  <c r="AQ8" i="56"/>
  <c r="AR7" i="56"/>
  <c r="AR6" i="56"/>
  <c r="AQ13" i="56"/>
  <c r="AP375" i="3"/>
  <c r="AQ289" i="3" l="1"/>
  <c r="AQ286" i="3"/>
  <c r="AQ280" i="3"/>
  <c r="AQ283" i="3"/>
  <c r="AQ277" i="3"/>
  <c r="AQ276" i="3"/>
  <c r="AC547" i="3"/>
  <c r="AD520" i="3"/>
  <c r="AG490" i="3"/>
  <c r="AD527" i="3"/>
  <c r="AD528" i="3" s="1"/>
  <c r="AD531" i="3" s="1"/>
  <c r="AE499" i="3"/>
  <c r="AD500" i="3"/>
  <c r="AE489" i="3"/>
  <c r="AE491" i="3" s="1"/>
  <c r="AE481" i="3"/>
  <c r="AF477" i="3" s="1"/>
  <c r="AF479" i="3" s="1"/>
  <c r="AH472" i="3"/>
  <c r="AP81" i="3"/>
  <c r="AQ78" i="3" s="1"/>
  <c r="AQ378" i="3"/>
  <c r="AP296" i="3"/>
  <c r="AQ288" i="3"/>
  <c r="AR7" i="3"/>
  <c r="AQ282" i="3"/>
  <c r="AP298" i="3"/>
  <c r="AQ8" i="3"/>
  <c r="AQ279" i="3"/>
  <c r="AP297" i="3"/>
  <c r="AP294" i="3"/>
  <c r="AQ13" i="3"/>
  <c r="AQ70" i="3" s="1"/>
  <c r="AP295" i="3"/>
  <c r="AQ285" i="3"/>
  <c r="AR6" i="3"/>
  <c r="AT10" i="3"/>
  <c r="AU9" i="3"/>
  <c r="T83" i="3"/>
  <c r="T84" i="3" s="1"/>
  <c r="AR9" i="56"/>
  <c r="AQ10" i="56"/>
  <c r="AS6" i="56"/>
  <c r="AR8" i="56"/>
  <c r="AS7" i="56"/>
  <c r="AR13" i="56"/>
  <c r="AJ271" i="3"/>
  <c r="AJ272" i="3"/>
  <c r="AL257" i="3"/>
  <c r="AL268" i="3" s="1"/>
  <c r="AK270" i="3"/>
  <c r="U85" i="3"/>
  <c r="AP22" i="56"/>
  <c r="AQ375" i="3"/>
  <c r="AR289" i="3" l="1"/>
  <c r="AR286" i="3"/>
  <c r="AR280" i="3"/>
  <c r="AR283" i="3"/>
  <c r="AR288" i="3"/>
  <c r="AR276" i="3"/>
  <c r="AR277" i="3"/>
  <c r="AE509" i="3"/>
  <c r="AE508" i="3"/>
  <c r="AD516" i="3"/>
  <c r="AD515" i="3"/>
  <c r="AH490" i="3"/>
  <c r="AD501" i="3"/>
  <c r="AE496" i="3" s="1"/>
  <c r="AE498" i="3" s="1"/>
  <c r="AE500" i="3" s="1"/>
  <c r="AE492" i="3"/>
  <c r="AF487" i="3" s="1"/>
  <c r="AH473" i="3"/>
  <c r="AI469" i="3" s="1"/>
  <c r="AF480" i="3"/>
  <c r="AD529" i="3"/>
  <c r="AD510" i="3"/>
  <c r="AR279" i="3"/>
  <c r="AQ81" i="3"/>
  <c r="AR78" i="3" s="1"/>
  <c r="AS7" i="3"/>
  <c r="AS6" i="3"/>
  <c r="AR13" i="3"/>
  <c r="AR70" i="3" s="1"/>
  <c r="AR8" i="3"/>
  <c r="AR282" i="3"/>
  <c r="AR285" i="3"/>
  <c r="AR378" i="3"/>
  <c r="AQ297" i="3"/>
  <c r="AQ298" i="3"/>
  <c r="AQ296" i="3"/>
  <c r="AQ294" i="3"/>
  <c r="AQ295" i="3"/>
  <c r="U86" i="3"/>
  <c r="AV9" i="3"/>
  <c r="AU10" i="3"/>
  <c r="AS9" i="56"/>
  <c r="AR10" i="56"/>
  <c r="AQ22" i="56"/>
  <c r="AK271" i="3"/>
  <c r="AK272" i="3"/>
  <c r="AM257" i="3"/>
  <c r="AM268" i="3" s="1"/>
  <c r="AL270" i="3"/>
  <c r="AT7" i="56"/>
  <c r="AT6" i="56"/>
  <c r="AS8" i="56"/>
  <c r="AS13" i="56"/>
  <c r="AR375" i="3"/>
  <c r="AS289" i="3" l="1"/>
  <c r="AS286" i="3"/>
  <c r="AS280" i="3"/>
  <c r="AS283" i="3"/>
  <c r="AS277" i="3"/>
  <c r="AS276" i="3"/>
  <c r="AE510" i="3"/>
  <c r="AE516" i="3"/>
  <c r="AE515" i="3"/>
  <c r="AD517" i="3"/>
  <c r="AF499" i="3"/>
  <c r="AD521" i="3"/>
  <c r="AD545" i="3"/>
  <c r="AD546" i="3" s="1"/>
  <c r="AE527" i="3"/>
  <c r="AE528" i="3" s="1"/>
  <c r="AE531" i="3" s="1"/>
  <c r="AE520" i="3"/>
  <c r="AF489" i="3"/>
  <c r="AF491" i="3" s="1"/>
  <c r="AE501" i="3"/>
  <c r="AF496" i="3" s="1"/>
  <c r="AI471" i="3"/>
  <c r="AI472" i="3" s="1"/>
  <c r="AF481" i="3"/>
  <c r="AG477" i="3" s="1"/>
  <c r="AG479" i="3" s="1"/>
  <c r="AS285" i="3"/>
  <c r="AS13" i="3"/>
  <c r="AS70" i="3" s="1"/>
  <c r="AS288" i="3"/>
  <c r="AS279" i="3"/>
  <c r="AR298" i="3"/>
  <c r="AT6" i="3"/>
  <c r="AS8" i="3"/>
  <c r="AS282" i="3"/>
  <c r="AS378" i="3"/>
  <c r="AR81" i="3"/>
  <c r="AS78" i="3" s="1"/>
  <c r="AT7" i="3"/>
  <c r="AR296" i="3"/>
  <c r="AR295" i="3"/>
  <c r="AR297" i="3"/>
  <c r="AR294" i="3"/>
  <c r="AW9" i="3"/>
  <c r="AV10" i="3"/>
  <c r="AS10" i="56"/>
  <c r="AT9" i="56"/>
  <c r="AT8" i="56"/>
  <c r="AU6" i="56"/>
  <c r="AU7" i="56"/>
  <c r="AT13" i="56"/>
  <c r="AL271" i="3"/>
  <c r="AL272" i="3"/>
  <c r="AN257" i="3"/>
  <c r="AN268" i="3" s="1"/>
  <c r="AM270" i="3"/>
  <c r="AR22" i="56"/>
  <c r="U83" i="3"/>
  <c r="U84" i="3" s="1"/>
  <c r="AS375" i="3"/>
  <c r="AT289" i="3" l="1"/>
  <c r="AT286" i="3"/>
  <c r="AT280" i="3"/>
  <c r="AT283" i="3"/>
  <c r="AT277" i="3"/>
  <c r="AT276" i="3"/>
  <c r="AE517" i="3"/>
  <c r="AE529" i="3"/>
  <c r="AF508" i="3"/>
  <c r="AF509" i="3"/>
  <c r="AD549" i="3"/>
  <c r="AD547" i="3"/>
  <c r="AI490" i="3"/>
  <c r="AE521" i="3"/>
  <c r="AE545" i="3"/>
  <c r="AE546" i="3" s="1"/>
  <c r="AF498" i="3"/>
  <c r="AF500" i="3" s="1"/>
  <c r="AI473" i="3"/>
  <c r="AJ469" i="3" s="1"/>
  <c r="AJ471" i="3" s="1"/>
  <c r="AG480" i="3"/>
  <c r="AF492" i="3"/>
  <c r="AG487" i="3" s="1"/>
  <c r="AS296" i="3"/>
  <c r="AS295" i="3"/>
  <c r="AS81" i="3"/>
  <c r="AT78" i="3" s="1"/>
  <c r="AT81" i="3" s="1"/>
  <c r="AU78" i="3" s="1"/>
  <c r="AS298" i="3"/>
  <c r="AT282" i="3"/>
  <c r="AT285" i="3"/>
  <c r="AT378" i="3"/>
  <c r="AT13" i="3"/>
  <c r="AT70" i="3" s="1"/>
  <c r="AT8" i="3"/>
  <c r="AU6" i="3"/>
  <c r="AU7" i="3"/>
  <c r="AT288" i="3"/>
  <c r="AT279" i="3"/>
  <c r="AS297" i="3"/>
  <c r="AS294" i="3"/>
  <c r="AX9" i="3"/>
  <c r="AW10" i="3"/>
  <c r="AT10" i="56"/>
  <c r="AU9" i="56"/>
  <c r="AM271" i="3"/>
  <c r="AM272" i="3"/>
  <c r="V85" i="3"/>
  <c r="AO257" i="3"/>
  <c r="AO268" i="3" s="1"/>
  <c r="AN270" i="3"/>
  <c r="AS22" i="56"/>
  <c r="AV6" i="56"/>
  <c r="AU8" i="56"/>
  <c r="AU13" i="56"/>
  <c r="AV7" i="56"/>
  <c r="AT375" i="3"/>
  <c r="AU289" i="3" l="1"/>
  <c r="AU286" i="3"/>
  <c r="AU280" i="3"/>
  <c r="AU283" i="3"/>
  <c r="AU276" i="3"/>
  <c r="AU277" i="3"/>
  <c r="AF520" i="3"/>
  <c r="AG499" i="3"/>
  <c r="AF516" i="3"/>
  <c r="AF515" i="3"/>
  <c r="AE549" i="3"/>
  <c r="AE547" i="3"/>
  <c r="AF510" i="3"/>
  <c r="AJ472" i="3"/>
  <c r="AJ473" i="3" s="1"/>
  <c r="AK469" i="3" s="1"/>
  <c r="AK471" i="3" s="1"/>
  <c r="AF527" i="3"/>
  <c r="AF528" i="3" s="1"/>
  <c r="AG489" i="3"/>
  <c r="AG491" i="3" s="1"/>
  <c r="AF501" i="3"/>
  <c r="AG496" i="3" s="1"/>
  <c r="AG481" i="3"/>
  <c r="AH477" i="3" s="1"/>
  <c r="AH479" i="3" s="1"/>
  <c r="AT297" i="3"/>
  <c r="AT295" i="3"/>
  <c r="AT296" i="3"/>
  <c r="AU279" i="3"/>
  <c r="AU288" i="3"/>
  <c r="AU282" i="3"/>
  <c r="AT298" i="3"/>
  <c r="AU8" i="3"/>
  <c r="AU285" i="3"/>
  <c r="AU378" i="3"/>
  <c r="AV7" i="3"/>
  <c r="AT294" i="3"/>
  <c r="AU13" i="3"/>
  <c r="AU70" i="3" s="1"/>
  <c r="AV6" i="3"/>
  <c r="AU81" i="3"/>
  <c r="AV78" i="3" s="1"/>
  <c r="V86" i="3"/>
  <c r="AX10" i="3"/>
  <c r="AY9" i="3"/>
  <c r="AV9" i="56"/>
  <c r="AU10" i="56"/>
  <c r="V83" i="3"/>
  <c r="V84" i="3" s="1"/>
  <c r="AP257" i="3"/>
  <c r="AP268" i="3" s="1"/>
  <c r="AO270" i="3"/>
  <c r="AV8" i="56"/>
  <c r="AW6" i="56"/>
  <c r="AW7" i="56"/>
  <c r="AV13" i="56"/>
  <c r="AT22" i="56"/>
  <c r="AN271" i="3"/>
  <c r="AN272" i="3"/>
  <c r="AU375" i="3"/>
  <c r="AV289" i="3" l="1"/>
  <c r="AV286" i="3"/>
  <c r="AV280" i="3"/>
  <c r="AV283" i="3"/>
  <c r="AV277" i="3"/>
  <c r="AV276" i="3"/>
  <c r="AG509" i="3"/>
  <c r="AG508" i="3"/>
  <c r="AG527" i="3" s="1"/>
  <c r="AG528" i="3" s="1"/>
  <c r="AF517" i="3"/>
  <c r="AF531" i="3"/>
  <c r="AF529" i="3"/>
  <c r="AF521" i="3"/>
  <c r="AJ490" i="3"/>
  <c r="AF545" i="3"/>
  <c r="AF546" i="3" s="1"/>
  <c r="AG498" i="3"/>
  <c r="AG500" i="3" s="1"/>
  <c r="AG492" i="3"/>
  <c r="AH487" i="3" s="1"/>
  <c r="AK472" i="3"/>
  <c r="AU294" i="3"/>
  <c r="AU297" i="3"/>
  <c r="AU295" i="3"/>
  <c r="AV282" i="3"/>
  <c r="AW6" i="3"/>
  <c r="AV13" i="3"/>
  <c r="AV70" i="3" s="1"/>
  <c r="AV285" i="3"/>
  <c r="AV8" i="3"/>
  <c r="AW7" i="3"/>
  <c r="AV288" i="3"/>
  <c r="AV378" i="3"/>
  <c r="AU296" i="3"/>
  <c r="AV81" i="3"/>
  <c r="AW78" i="3" s="1"/>
  <c r="AU298" i="3"/>
  <c r="AV279" i="3"/>
  <c r="AY10" i="3"/>
  <c r="AZ9" i="3"/>
  <c r="AW9" i="56"/>
  <c r="AV10" i="56"/>
  <c r="W85" i="3"/>
  <c r="AU22" i="56"/>
  <c r="AO271" i="3"/>
  <c r="AO272" i="3"/>
  <c r="AX7" i="56"/>
  <c r="AW8" i="56"/>
  <c r="AX6" i="56"/>
  <c r="AW13" i="56"/>
  <c r="AQ257" i="3"/>
  <c r="AQ268" i="3" s="1"/>
  <c r="AP270" i="3"/>
  <c r="AV375" i="3"/>
  <c r="AW289" i="3" l="1"/>
  <c r="AW286" i="3"/>
  <c r="AW280" i="3"/>
  <c r="AW283" i="3"/>
  <c r="AW277" i="3"/>
  <c r="AW276" i="3"/>
  <c r="AG531" i="3"/>
  <c r="AG510" i="3"/>
  <c r="AG520" i="3"/>
  <c r="AG516" i="3"/>
  <c r="AG515" i="3"/>
  <c r="AF549" i="3"/>
  <c r="AF547" i="3"/>
  <c r="AK473" i="3"/>
  <c r="AL469" i="3" s="1"/>
  <c r="AL471" i="3" s="1"/>
  <c r="AK490" i="3"/>
  <c r="AH489" i="3"/>
  <c r="AH491" i="3" s="1"/>
  <c r="AG501" i="3"/>
  <c r="AH496" i="3" s="1"/>
  <c r="AG529" i="3"/>
  <c r="AH480" i="3"/>
  <c r="AW288" i="3"/>
  <c r="AX6" i="3"/>
  <c r="AW279" i="3"/>
  <c r="AX7" i="3"/>
  <c r="AW81" i="3"/>
  <c r="AX78" i="3" s="1"/>
  <c r="AW378" i="3"/>
  <c r="AV295" i="3"/>
  <c r="AW8" i="3"/>
  <c r="AV296" i="3"/>
  <c r="AW13" i="3"/>
  <c r="AW70" i="3" s="1"/>
  <c r="AV298" i="3"/>
  <c r="AW282" i="3"/>
  <c r="AV297" i="3"/>
  <c r="AV294" i="3"/>
  <c r="AW285" i="3"/>
  <c r="W86" i="3"/>
  <c r="BA9" i="3"/>
  <c r="AZ10" i="3"/>
  <c r="W83" i="3"/>
  <c r="W84" i="3" s="1"/>
  <c r="AW10" i="56"/>
  <c r="AX9" i="56"/>
  <c r="AP271" i="3"/>
  <c r="AP272" i="3"/>
  <c r="AV22" i="56"/>
  <c r="AR257" i="3"/>
  <c r="AR268" i="3" s="1"/>
  <c r="AQ270" i="3"/>
  <c r="AX8" i="56"/>
  <c r="AY6" i="56"/>
  <c r="AY7" i="56"/>
  <c r="AX13" i="56"/>
  <c r="AW375" i="3"/>
  <c r="AX289" i="3" l="1"/>
  <c r="AX286" i="3"/>
  <c r="AX280" i="3"/>
  <c r="AX283" i="3"/>
  <c r="AX276" i="3"/>
  <c r="AX277" i="3"/>
  <c r="AG517" i="3"/>
  <c r="AG521" i="3"/>
  <c r="AG545" i="3"/>
  <c r="AG546" i="3" s="1"/>
  <c r="AG549" i="3" s="1"/>
  <c r="AH509" i="3"/>
  <c r="AH508" i="3"/>
  <c r="AH499" i="3"/>
  <c r="AH498" i="3"/>
  <c r="AH492" i="3"/>
  <c r="AI487" i="3" s="1"/>
  <c r="AH481" i="3"/>
  <c r="AI477" i="3" s="1"/>
  <c r="AI479" i="3" s="1"/>
  <c r="AL472" i="3"/>
  <c r="AX288" i="3"/>
  <c r="AX378" i="3"/>
  <c r="AX285" i="3"/>
  <c r="AX8" i="3"/>
  <c r="AX279" i="3"/>
  <c r="AX13" i="3"/>
  <c r="AX70" i="3" s="1"/>
  <c r="AX282" i="3"/>
  <c r="AY7" i="3"/>
  <c r="AY6" i="3"/>
  <c r="AW295" i="3"/>
  <c r="AW298" i="3"/>
  <c r="AW297" i="3"/>
  <c r="AW296" i="3"/>
  <c r="AW294" i="3"/>
  <c r="AX81" i="3"/>
  <c r="AY78" i="3" s="1"/>
  <c r="X85" i="3"/>
  <c r="BB9" i="3"/>
  <c r="BA10" i="3"/>
  <c r="AY9" i="56"/>
  <c r="AX10" i="56"/>
  <c r="AZ7" i="56"/>
  <c r="AY8" i="56"/>
  <c r="AZ6" i="56"/>
  <c r="AY13" i="56"/>
  <c r="AQ271" i="3"/>
  <c r="AQ272" i="3"/>
  <c r="AS257" i="3"/>
  <c r="AS268" i="3" s="1"/>
  <c r="AR270" i="3"/>
  <c r="AW22" i="56"/>
  <c r="AX375" i="3"/>
  <c r="AY289" i="3" l="1"/>
  <c r="AY286" i="3"/>
  <c r="AY280" i="3"/>
  <c r="AY283" i="3"/>
  <c r="AY277" i="3"/>
  <c r="AY276" i="3"/>
  <c r="AH520" i="3"/>
  <c r="AG547" i="3"/>
  <c r="AH500" i="3"/>
  <c r="AH515" i="3" s="1"/>
  <c r="AL490" i="3"/>
  <c r="AH527" i="3"/>
  <c r="AH528" i="3" s="1"/>
  <c r="AI489" i="3"/>
  <c r="AI491" i="3" s="1"/>
  <c r="AI480" i="3"/>
  <c r="AL473" i="3"/>
  <c r="AM469" i="3" s="1"/>
  <c r="AM471" i="3" s="1"/>
  <c r="AH510" i="3"/>
  <c r="AX294" i="3"/>
  <c r="AX295" i="3"/>
  <c r="AX296" i="3"/>
  <c r="AX298" i="3"/>
  <c r="AX297" i="3"/>
  <c r="AZ7" i="3"/>
  <c r="AZ6" i="3"/>
  <c r="AY279" i="3"/>
  <c r="AY81" i="3"/>
  <c r="AZ78" i="3" s="1"/>
  <c r="AY378" i="3"/>
  <c r="AY8" i="3"/>
  <c r="AY285" i="3"/>
  <c r="AY288" i="3"/>
  <c r="AY282" i="3"/>
  <c r="AY13" i="3"/>
  <c r="AY70" i="3" s="1"/>
  <c r="X86" i="3"/>
  <c r="BB10" i="3"/>
  <c r="BC9" i="3"/>
  <c r="AY10" i="56"/>
  <c r="AZ9" i="56"/>
  <c r="AX22" i="56"/>
  <c r="AR271" i="3"/>
  <c r="AR272" i="3"/>
  <c r="BA6" i="56"/>
  <c r="BA7" i="56"/>
  <c r="AZ8" i="56"/>
  <c r="AZ13" i="56"/>
  <c r="AT257" i="3"/>
  <c r="AT268" i="3" s="1"/>
  <c r="AS270" i="3"/>
  <c r="AY375" i="3"/>
  <c r="AZ289" i="3" l="1"/>
  <c r="AZ286" i="3"/>
  <c r="AZ280" i="3"/>
  <c r="AZ283" i="3"/>
  <c r="AZ277" i="3"/>
  <c r="AZ276" i="3"/>
  <c r="AH501" i="3"/>
  <c r="AI496" i="3" s="1"/>
  <c r="AI498" i="3" s="1"/>
  <c r="AH516" i="3"/>
  <c r="AH521" i="3" s="1"/>
  <c r="AI499" i="3"/>
  <c r="AI508" i="3"/>
  <c r="AI509" i="3"/>
  <c r="AH529" i="3"/>
  <c r="AH531" i="3"/>
  <c r="AH545" i="3"/>
  <c r="AH546" i="3" s="1"/>
  <c r="AI481" i="3"/>
  <c r="AJ477" i="3" s="1"/>
  <c r="AJ479" i="3" s="1"/>
  <c r="AY297" i="3"/>
  <c r="AZ288" i="3"/>
  <c r="AZ378" i="3"/>
  <c r="AZ13" i="3"/>
  <c r="AZ70" i="3" s="1"/>
  <c r="BA7" i="3"/>
  <c r="AZ279" i="3"/>
  <c r="AZ285" i="3"/>
  <c r="AZ282" i="3"/>
  <c r="AY298" i="3"/>
  <c r="AZ8" i="3"/>
  <c r="AY294" i="3"/>
  <c r="BA6" i="3"/>
  <c r="AY296" i="3"/>
  <c r="AY295" i="3"/>
  <c r="AZ81" i="3"/>
  <c r="BA78" i="3" s="1"/>
  <c r="BA59" i="3"/>
  <c r="BC10" i="3"/>
  <c r="BD9" i="3"/>
  <c r="BA9" i="56"/>
  <c r="AZ10" i="56"/>
  <c r="AY22" i="56"/>
  <c r="BB6" i="56"/>
  <c r="BA8" i="56"/>
  <c r="BA13" i="56"/>
  <c r="BB7" i="56"/>
  <c r="AS271" i="3"/>
  <c r="AS272" i="3"/>
  <c r="AU257" i="3"/>
  <c r="AU268" i="3" s="1"/>
  <c r="AT270" i="3"/>
  <c r="X83" i="3"/>
  <c r="X84" i="3" s="1"/>
  <c r="AZ375" i="3"/>
  <c r="BA289" i="3" l="1"/>
  <c r="BA286" i="3"/>
  <c r="BA280" i="3"/>
  <c r="BA283" i="3"/>
  <c r="BA277" i="3"/>
  <c r="BA276" i="3"/>
  <c r="AI500" i="3"/>
  <c r="AI516" i="3" s="1"/>
  <c r="AH517" i="3"/>
  <c r="AI520" i="3"/>
  <c r="AI527" i="3"/>
  <c r="AI528" i="3" s="1"/>
  <c r="AI531" i="3" s="1"/>
  <c r="AH549" i="3"/>
  <c r="AH547" i="3"/>
  <c r="AM472" i="3"/>
  <c r="AI510" i="3"/>
  <c r="AI492" i="3"/>
  <c r="AJ487" i="3" s="1"/>
  <c r="BA13" i="3"/>
  <c r="BB6" i="3"/>
  <c r="AZ298" i="3"/>
  <c r="BA282" i="3"/>
  <c r="BA8" i="3"/>
  <c r="BB7" i="3"/>
  <c r="AZ297" i="3"/>
  <c r="AZ294" i="3"/>
  <c r="BA279" i="3"/>
  <c r="BA285" i="3"/>
  <c r="BA288" i="3"/>
  <c r="AZ295" i="3"/>
  <c r="AZ296" i="3"/>
  <c r="BA81" i="3"/>
  <c r="BB78" i="3" s="1"/>
  <c r="BB59" i="3"/>
  <c r="BE9" i="3"/>
  <c r="BD10" i="3"/>
  <c r="BB9" i="56"/>
  <c r="BA10" i="56"/>
  <c r="AT271" i="3"/>
  <c r="AT272" i="3"/>
  <c r="AV257" i="3"/>
  <c r="AV268" i="3" s="1"/>
  <c r="AU270" i="3"/>
  <c r="BC6" i="56"/>
  <c r="BC7" i="56"/>
  <c r="BB8" i="56"/>
  <c r="BB13" i="56"/>
  <c r="AZ22" i="56"/>
  <c r="Y85" i="3"/>
  <c r="BA375" i="3"/>
  <c r="BB289" i="3" l="1"/>
  <c r="BB286" i="3"/>
  <c r="BB280" i="3"/>
  <c r="BB283" i="3"/>
  <c r="BB277" i="3"/>
  <c r="BB276" i="3"/>
  <c r="AI515" i="3"/>
  <c r="AI517" i="3" s="1"/>
  <c r="AM473" i="3"/>
  <c r="AN469" i="3" s="1"/>
  <c r="AN471" i="3" s="1"/>
  <c r="AM490" i="3"/>
  <c r="AJ489" i="3"/>
  <c r="AJ491" i="3" s="1"/>
  <c r="AJ480" i="3"/>
  <c r="AI529" i="3"/>
  <c r="AI501" i="3"/>
  <c r="AJ496" i="3" s="1"/>
  <c r="BA294" i="3"/>
  <c r="BA298" i="3"/>
  <c r="BA297" i="3"/>
  <c r="BB279" i="3"/>
  <c r="BC6" i="3"/>
  <c r="BB285" i="3"/>
  <c r="BB288" i="3"/>
  <c r="BB8" i="3"/>
  <c r="BB13" i="3"/>
  <c r="BA296" i="3"/>
  <c r="BC7" i="3"/>
  <c r="BB81" i="3"/>
  <c r="BC78" i="3" s="1"/>
  <c r="BB282" i="3"/>
  <c r="BA295" i="3"/>
  <c r="BC59" i="3"/>
  <c r="Y86" i="3"/>
  <c r="BF9" i="3"/>
  <c r="BE10" i="3"/>
  <c r="BC9" i="56"/>
  <c r="BB10" i="56"/>
  <c r="BC8" i="56"/>
  <c r="BD6" i="56"/>
  <c r="BC13" i="56"/>
  <c r="BD7" i="56"/>
  <c r="AW257" i="3"/>
  <c r="AW268" i="3" s="1"/>
  <c r="AV270" i="3"/>
  <c r="BA22" i="56"/>
  <c r="AU271" i="3"/>
  <c r="AU272" i="3"/>
  <c r="BB375" i="3"/>
  <c r="BC289" i="3" l="1"/>
  <c r="BC286" i="3"/>
  <c r="BC280" i="3"/>
  <c r="BC283" i="3"/>
  <c r="BC276" i="3"/>
  <c r="BC277" i="3"/>
  <c r="AI545" i="3"/>
  <c r="AI546" i="3" s="1"/>
  <c r="AI549" i="3" s="1"/>
  <c r="AI521" i="3"/>
  <c r="AJ481" i="3"/>
  <c r="AK477" i="3" s="1"/>
  <c r="AK479" i="3" s="1"/>
  <c r="AJ499" i="3"/>
  <c r="AN472" i="3"/>
  <c r="AN473" i="3" s="1"/>
  <c r="AO469" i="3" s="1"/>
  <c r="AO471" i="3" s="1"/>
  <c r="AJ509" i="3"/>
  <c r="AJ508" i="3"/>
  <c r="AJ498" i="3"/>
  <c r="AJ492" i="3"/>
  <c r="AK487" i="3" s="1"/>
  <c r="BB295" i="3"/>
  <c r="BB297" i="3"/>
  <c r="BB298" i="3"/>
  <c r="BD6" i="3"/>
  <c r="BB296" i="3"/>
  <c r="BB294" i="3"/>
  <c r="BC282" i="3"/>
  <c r="BC13" i="3"/>
  <c r="BD7" i="3"/>
  <c r="BC288" i="3"/>
  <c r="BC8" i="3"/>
  <c r="BC279" i="3"/>
  <c r="BC285" i="3"/>
  <c r="BC81" i="3"/>
  <c r="BD59" i="3"/>
  <c r="BF10" i="3"/>
  <c r="BG9" i="3"/>
  <c r="Y83" i="3"/>
  <c r="Y84" i="3" s="1"/>
  <c r="BC10" i="56"/>
  <c r="BD9" i="56"/>
  <c r="AV271" i="3"/>
  <c r="AV272" i="3"/>
  <c r="BD8" i="56"/>
  <c r="BE6" i="56"/>
  <c r="BE7" i="56"/>
  <c r="BD13" i="56"/>
  <c r="AX257" i="3"/>
  <c r="AX268" i="3" s="1"/>
  <c r="AW270" i="3"/>
  <c r="BB22" i="56"/>
  <c r="Z85" i="3"/>
  <c r="BC375" i="3"/>
  <c r="BD289" i="3" l="1"/>
  <c r="BD286" i="3"/>
  <c r="BD280" i="3"/>
  <c r="BD283" i="3"/>
  <c r="BD288" i="3"/>
  <c r="BD276" i="3"/>
  <c r="BD277" i="3"/>
  <c r="AI547" i="3"/>
  <c r="AJ500" i="3"/>
  <c r="AJ516" i="3" s="1"/>
  <c r="AJ520" i="3"/>
  <c r="AJ527" i="3"/>
  <c r="AJ528" i="3" s="1"/>
  <c r="AJ531" i="3" s="1"/>
  <c r="AN490" i="3"/>
  <c r="AK489" i="3"/>
  <c r="AK491" i="3" s="1"/>
  <c r="AK480" i="3"/>
  <c r="BC295" i="3"/>
  <c r="BE6" i="3"/>
  <c r="BD282" i="3"/>
  <c r="BD279" i="3"/>
  <c r="BD285" i="3"/>
  <c r="BD13" i="3"/>
  <c r="BC294" i="3"/>
  <c r="BE7" i="3"/>
  <c r="BC298" i="3"/>
  <c r="BC297" i="3"/>
  <c r="BD8" i="3"/>
  <c r="BC296" i="3"/>
  <c r="BE59" i="3"/>
  <c r="Z86" i="3"/>
  <c r="BH9" i="3"/>
  <c r="BG10" i="3"/>
  <c r="BE9" i="56"/>
  <c r="BD10" i="56"/>
  <c r="BF7" i="56"/>
  <c r="BE8" i="56"/>
  <c r="BF6" i="56"/>
  <c r="BE13" i="56"/>
  <c r="AW271" i="3"/>
  <c r="AW272" i="3"/>
  <c r="AY257" i="3"/>
  <c r="AY268" i="3" s="1"/>
  <c r="AX270" i="3"/>
  <c r="BC22" i="56"/>
  <c r="BD375" i="3"/>
  <c r="BE289" i="3" l="1"/>
  <c r="BE286" i="3"/>
  <c r="BE280" i="3"/>
  <c r="BE283" i="3"/>
  <c r="BE276" i="3"/>
  <c r="BE277" i="3"/>
  <c r="AJ515" i="3"/>
  <c r="AJ517" i="3" s="1"/>
  <c r="AK481" i="3"/>
  <c r="AL477" i="3" s="1"/>
  <c r="AL479" i="3" s="1"/>
  <c r="AK499" i="3"/>
  <c r="AK509" i="3"/>
  <c r="AK508" i="3"/>
  <c r="AO472" i="3"/>
  <c r="AJ501" i="3"/>
  <c r="AK496" i="3" s="1"/>
  <c r="AJ529" i="3"/>
  <c r="AJ510" i="3"/>
  <c r="AK492" i="3"/>
  <c r="AL487" i="3" s="1"/>
  <c r="BD297" i="3"/>
  <c r="BD296" i="3"/>
  <c r="BE13" i="3"/>
  <c r="BF7" i="3"/>
  <c r="BE279" i="3"/>
  <c r="BD298" i="3"/>
  <c r="BD295" i="3"/>
  <c r="BE8" i="3"/>
  <c r="BE285" i="3"/>
  <c r="BD294" i="3"/>
  <c r="BE288" i="3"/>
  <c r="BE282" i="3"/>
  <c r="BF6" i="3"/>
  <c r="BF59" i="3"/>
  <c r="BI9" i="3"/>
  <c r="BH10" i="3"/>
  <c r="BE10" i="56"/>
  <c r="BF9" i="56"/>
  <c r="BG6" i="56"/>
  <c r="BG7" i="56"/>
  <c r="BF8" i="56"/>
  <c r="BF13" i="56"/>
  <c r="AX271" i="3"/>
  <c r="AX272" i="3"/>
  <c r="Z83" i="3"/>
  <c r="Z84" i="3" s="1"/>
  <c r="AZ257" i="3"/>
  <c r="AZ268" i="3" s="1"/>
  <c r="AY270" i="3"/>
  <c r="BD22" i="56"/>
  <c r="BE375" i="3"/>
  <c r="BF289" i="3" l="1"/>
  <c r="BF286" i="3"/>
  <c r="BF280" i="3"/>
  <c r="BF283" i="3"/>
  <c r="BF285" i="3"/>
  <c r="BF276" i="3"/>
  <c r="BF277" i="3"/>
  <c r="AJ521" i="3"/>
  <c r="AJ545" i="3"/>
  <c r="AJ546" i="3" s="1"/>
  <c r="AJ549" i="3" s="1"/>
  <c r="AK520" i="3"/>
  <c r="BE294" i="3"/>
  <c r="AO490" i="3"/>
  <c r="AK527" i="3"/>
  <c r="AK498" i="3"/>
  <c r="AK500" i="3" s="1"/>
  <c r="AL489" i="3"/>
  <c r="AL491" i="3" s="1"/>
  <c r="AO473" i="3"/>
  <c r="AP469" i="3" s="1"/>
  <c r="AP471" i="3" s="1"/>
  <c r="AL480" i="3"/>
  <c r="BE295" i="3"/>
  <c r="BF279" i="3"/>
  <c r="BG7" i="3"/>
  <c r="BF8" i="3"/>
  <c r="BE298" i="3"/>
  <c r="BF13" i="3"/>
  <c r="BF282" i="3"/>
  <c r="BF288" i="3"/>
  <c r="BG6" i="3"/>
  <c r="BE297" i="3"/>
  <c r="BE296" i="3"/>
  <c r="BJ9" i="3"/>
  <c r="BI10" i="3"/>
  <c r="BF10" i="56"/>
  <c r="BG9" i="56"/>
  <c r="BE22" i="56"/>
  <c r="BG8" i="56"/>
  <c r="BH6" i="56"/>
  <c r="BH7" i="56"/>
  <c r="BG13" i="56"/>
  <c r="AY271" i="3"/>
  <c r="AY272" i="3"/>
  <c r="AA85" i="3"/>
  <c r="BA257" i="3"/>
  <c r="BA268" i="3" s="1"/>
  <c r="AZ270" i="3"/>
  <c r="BF375" i="3"/>
  <c r="BG289" i="3" l="1"/>
  <c r="BG286" i="3"/>
  <c r="BG280" i="3"/>
  <c r="BG283" i="3"/>
  <c r="AJ547" i="3"/>
  <c r="BG276" i="3"/>
  <c r="BG277" i="3"/>
  <c r="AL481" i="3"/>
  <c r="AM477" i="3" s="1"/>
  <c r="AM479" i="3" s="1"/>
  <c r="AM480" i="3" s="1"/>
  <c r="AL499" i="3"/>
  <c r="AL509" i="3"/>
  <c r="AL508" i="3"/>
  <c r="AL527" i="3" s="1"/>
  <c r="AK515" i="3"/>
  <c r="AK545" i="3" s="1"/>
  <c r="AK546" i="3" s="1"/>
  <c r="AK516" i="3"/>
  <c r="AL492" i="3"/>
  <c r="AM487" i="3" s="1"/>
  <c r="AK528" i="3"/>
  <c r="AK531" i="3" s="1"/>
  <c r="AK501" i="3"/>
  <c r="AL496" i="3" s="1"/>
  <c r="AP472" i="3"/>
  <c r="BG279" i="3"/>
  <c r="BH7" i="3"/>
  <c r="BG8" i="3"/>
  <c r="BG285" i="3"/>
  <c r="BG288" i="3"/>
  <c r="BG282" i="3"/>
  <c r="BG13" i="3"/>
  <c r="BH6" i="3"/>
  <c r="BG59" i="3"/>
  <c r="BF295" i="3"/>
  <c r="BF294" i="3"/>
  <c r="BF297" i="3"/>
  <c r="BF298" i="3"/>
  <c r="BF296" i="3"/>
  <c r="AA86" i="3"/>
  <c r="BJ10" i="3"/>
  <c r="BK9" i="3"/>
  <c r="BG10" i="56"/>
  <c r="BH9" i="56"/>
  <c r="BF22" i="56"/>
  <c r="BB257" i="3"/>
  <c r="BB268" i="3" s="1"/>
  <c r="BA270" i="3"/>
  <c r="BI6" i="56"/>
  <c r="BH8" i="56"/>
  <c r="BI7" i="56"/>
  <c r="BH13" i="56"/>
  <c r="AZ271" i="3"/>
  <c r="AZ272" i="3"/>
  <c r="BG375" i="3"/>
  <c r="BH289" i="3" l="1"/>
  <c r="BH286" i="3"/>
  <c r="BH280" i="3"/>
  <c r="BH283" i="3"/>
  <c r="BI7" i="3"/>
  <c r="BI13" i="3" s="1"/>
  <c r="BH277" i="3"/>
  <c r="BH276" i="3"/>
  <c r="AK521" i="3"/>
  <c r="AL520" i="3"/>
  <c r="AK549" i="3"/>
  <c r="AK547" i="3"/>
  <c r="AP490" i="3"/>
  <c r="AK517" i="3"/>
  <c r="AM499" i="3"/>
  <c r="AL498" i="3"/>
  <c r="AL500" i="3" s="1"/>
  <c r="AM489" i="3"/>
  <c r="AM491" i="3" s="1"/>
  <c r="AP473" i="3"/>
  <c r="AQ469" i="3" s="1"/>
  <c r="AK529" i="3"/>
  <c r="AK510" i="3"/>
  <c r="AM481" i="3"/>
  <c r="AN477" i="3" s="1"/>
  <c r="AN479" i="3" s="1"/>
  <c r="BH13" i="3"/>
  <c r="BH282" i="3"/>
  <c r="BH285" i="3"/>
  <c r="BH279" i="3"/>
  <c r="BI6" i="3"/>
  <c r="BH8" i="3"/>
  <c r="BH288" i="3"/>
  <c r="BG294" i="3"/>
  <c r="BG295" i="3"/>
  <c r="BG298" i="3"/>
  <c r="BG297" i="3"/>
  <c r="BG296" i="3"/>
  <c r="BH59" i="3"/>
  <c r="BL9" i="3"/>
  <c r="BK10" i="3"/>
  <c r="BI9" i="56"/>
  <c r="BH10" i="56"/>
  <c r="BA271" i="3"/>
  <c r="BA272" i="3"/>
  <c r="BC257" i="3"/>
  <c r="BC268" i="3" s="1"/>
  <c r="BB270" i="3"/>
  <c r="BG22" i="56"/>
  <c r="AA83" i="3"/>
  <c r="AA84" i="3" s="1"/>
  <c r="BI8" i="56"/>
  <c r="BJ6" i="56"/>
  <c r="BJ7" i="56"/>
  <c r="BI13" i="56"/>
  <c r="BI288" i="3" l="1"/>
  <c r="BI8" i="3"/>
  <c r="BJ7" i="3"/>
  <c r="BJ289" i="3" s="1"/>
  <c r="BI282" i="3"/>
  <c r="BI289" i="3"/>
  <c r="BI286" i="3"/>
  <c r="BJ6" i="3"/>
  <c r="BI279" i="3"/>
  <c r="BI280" i="3"/>
  <c r="BI283" i="3"/>
  <c r="BI285" i="3"/>
  <c r="BI277" i="3"/>
  <c r="BI276" i="3"/>
  <c r="AM509" i="3"/>
  <c r="AM508" i="3"/>
  <c r="AL516" i="3"/>
  <c r="AL515" i="3"/>
  <c r="AQ471" i="3"/>
  <c r="AQ472" i="3" s="1"/>
  <c r="AL528" i="3"/>
  <c r="AL531" i="3" s="1"/>
  <c r="AL510" i="3"/>
  <c r="AN480" i="3"/>
  <c r="AM492" i="3"/>
  <c r="AN487" i="3" s="1"/>
  <c r="BH295" i="3"/>
  <c r="BH294" i="3"/>
  <c r="BH298" i="3"/>
  <c r="BH297" i="3"/>
  <c r="BH296" i="3"/>
  <c r="BI59" i="3"/>
  <c r="BJ282" i="3"/>
  <c r="BM9" i="3"/>
  <c r="BL10" i="3"/>
  <c r="BI10" i="56"/>
  <c r="BJ9" i="56"/>
  <c r="AB85" i="3"/>
  <c r="BJ8" i="56"/>
  <c r="BK7" i="56"/>
  <c r="BK6" i="56"/>
  <c r="BJ13" i="56"/>
  <c r="BB271" i="3"/>
  <c r="BB272" i="3"/>
  <c r="BD257" i="3"/>
  <c r="BD268" i="3" s="1"/>
  <c r="BC270" i="3"/>
  <c r="BH22" i="56"/>
  <c r="BJ13" i="3" l="1"/>
  <c r="BK6" i="3"/>
  <c r="BK7" i="3"/>
  <c r="BK289" i="3" s="1"/>
  <c r="BI298" i="3"/>
  <c r="BJ279" i="3"/>
  <c r="BI296" i="3"/>
  <c r="BJ276" i="3"/>
  <c r="BJ288" i="3"/>
  <c r="BJ298" i="3" s="1"/>
  <c r="BJ277" i="3"/>
  <c r="BJ285" i="3"/>
  <c r="BI297" i="3"/>
  <c r="BJ283" i="3"/>
  <c r="BJ296" i="3" s="1"/>
  <c r="BJ286" i="3"/>
  <c r="BJ280" i="3"/>
  <c r="BJ8" i="3"/>
  <c r="BI294" i="3"/>
  <c r="BI295" i="3"/>
  <c r="AM520" i="3"/>
  <c r="AL517" i="3"/>
  <c r="AL521" i="3"/>
  <c r="AN499" i="3"/>
  <c r="AL545" i="3"/>
  <c r="AL546" i="3" s="1"/>
  <c r="AM527" i="3"/>
  <c r="AQ490" i="3"/>
  <c r="AN489" i="3"/>
  <c r="AN491" i="3" s="1"/>
  <c r="AQ473" i="3"/>
  <c r="AR469" i="3" s="1"/>
  <c r="AR471" i="3" s="1"/>
  <c r="AL501" i="3"/>
  <c r="AM496" i="3" s="1"/>
  <c r="AN481" i="3"/>
  <c r="AO477" i="3" s="1"/>
  <c r="AO479" i="3" s="1"/>
  <c r="AL529" i="3"/>
  <c r="BJ66" i="3"/>
  <c r="BJ59" i="3"/>
  <c r="AB86" i="3"/>
  <c r="BN9" i="3"/>
  <c r="BM10" i="3"/>
  <c r="BK9" i="56"/>
  <c r="BJ10" i="56"/>
  <c r="BL7" i="56"/>
  <c r="BK8" i="56"/>
  <c r="BK13" i="56"/>
  <c r="BL6" i="56"/>
  <c r="BC271" i="3"/>
  <c r="BC272" i="3"/>
  <c r="BE257" i="3"/>
  <c r="BE268" i="3" s="1"/>
  <c r="BD270" i="3"/>
  <c r="BI22" i="56"/>
  <c r="BK285" i="3" l="1"/>
  <c r="BK13" i="3"/>
  <c r="BL7" i="3"/>
  <c r="BL286" i="3" s="1"/>
  <c r="BJ294" i="3"/>
  <c r="BK282" i="3"/>
  <c r="BK288" i="3"/>
  <c r="BK298" i="3" s="1"/>
  <c r="BL6" i="3"/>
  <c r="BK8" i="3"/>
  <c r="BK279" i="3"/>
  <c r="BK276" i="3"/>
  <c r="BK277" i="3"/>
  <c r="BK283" i="3"/>
  <c r="BK280" i="3"/>
  <c r="BK286" i="3"/>
  <c r="BK297" i="3" s="1"/>
  <c r="BJ295" i="3"/>
  <c r="BJ297" i="3"/>
  <c r="AN509" i="3"/>
  <c r="AN508" i="3"/>
  <c r="AL549" i="3"/>
  <c r="AL547" i="3"/>
  <c r="AM498" i="3"/>
  <c r="AM500" i="3" s="1"/>
  <c r="AR472" i="3"/>
  <c r="BK66" i="3"/>
  <c r="BK59" i="3"/>
  <c r="BL8" i="3"/>
  <c r="BL285" i="3"/>
  <c r="BM6" i="3"/>
  <c r="BN10" i="3"/>
  <c r="BO9" i="3"/>
  <c r="BL9" i="56"/>
  <c r="BK10" i="56"/>
  <c r="AB83" i="3"/>
  <c r="AB84" i="3" s="1"/>
  <c r="BJ22" i="56"/>
  <c r="BD271" i="3"/>
  <c r="BD272" i="3"/>
  <c r="BF257" i="3"/>
  <c r="BF268" i="3" s="1"/>
  <c r="BE270" i="3"/>
  <c r="BM6" i="56"/>
  <c r="BL8" i="56"/>
  <c r="BM7" i="56"/>
  <c r="BL13" i="56"/>
  <c r="BL282" i="3" l="1"/>
  <c r="BM7" i="3"/>
  <c r="BM283" i="3" s="1"/>
  <c r="BL279" i="3"/>
  <c r="BL13" i="3"/>
  <c r="BL289" i="3"/>
  <c r="BL283" i="3"/>
  <c r="BL296" i="3" s="1"/>
  <c r="BL276" i="3"/>
  <c r="BL277" i="3"/>
  <c r="BL294" i="3" s="1"/>
  <c r="BL280" i="3"/>
  <c r="BK296" i="3"/>
  <c r="BL288" i="3"/>
  <c r="BK294" i="3"/>
  <c r="BK295" i="3"/>
  <c r="BM289" i="3"/>
  <c r="BM286" i="3"/>
  <c r="BM280" i="3"/>
  <c r="BM276" i="3"/>
  <c r="BM277" i="3"/>
  <c r="BM64" i="3"/>
  <c r="AN520" i="3"/>
  <c r="AM516" i="3"/>
  <c r="AM515" i="3"/>
  <c r="AN527" i="3"/>
  <c r="AR473" i="3"/>
  <c r="AS469" i="3" s="1"/>
  <c r="AS471" i="3" s="1"/>
  <c r="AR490" i="3"/>
  <c r="AM501" i="3"/>
  <c r="AN496" i="3" s="1"/>
  <c r="AM528" i="3"/>
  <c r="AM531" i="3" s="1"/>
  <c r="AO480" i="3"/>
  <c r="AN492" i="3"/>
  <c r="AO487" i="3" s="1"/>
  <c r="BL66" i="3"/>
  <c r="BL59" i="3"/>
  <c r="BO10" i="3"/>
  <c r="BP9" i="3"/>
  <c r="BM279" i="3"/>
  <c r="BM282" i="3"/>
  <c r="BN6" i="3"/>
  <c r="BM285" i="3"/>
  <c r="BM288" i="3"/>
  <c r="BM13" i="3"/>
  <c r="BM8" i="3"/>
  <c r="BN7" i="3"/>
  <c r="BL297" i="3"/>
  <c r="BL10" i="56"/>
  <c r="BM9" i="56"/>
  <c r="BK22" i="56"/>
  <c r="BE271" i="3"/>
  <c r="BE272" i="3"/>
  <c r="BG257" i="3"/>
  <c r="BG268" i="3" s="1"/>
  <c r="BF270" i="3"/>
  <c r="BN7" i="56"/>
  <c r="BN6" i="56"/>
  <c r="BM8" i="56"/>
  <c r="BM13" i="56"/>
  <c r="AC85" i="3"/>
  <c r="BL295" i="3" l="1"/>
  <c r="BL298" i="3"/>
  <c r="BN289" i="3"/>
  <c r="BN286" i="3"/>
  <c r="BN280" i="3"/>
  <c r="BN283" i="3"/>
  <c r="BN277" i="3"/>
  <c r="BN276" i="3"/>
  <c r="BN64" i="3"/>
  <c r="AM517" i="3"/>
  <c r="AO499" i="3"/>
  <c r="AM521" i="3"/>
  <c r="AM545" i="3"/>
  <c r="AM546" i="3" s="1"/>
  <c r="AN498" i="3"/>
  <c r="AN500" i="3" s="1"/>
  <c r="AO489" i="3"/>
  <c r="AO491" i="3" s="1"/>
  <c r="AS472" i="3"/>
  <c r="AS473" i="3" s="1"/>
  <c r="AT469" i="3" s="1"/>
  <c r="AT471" i="3" s="1"/>
  <c r="AM510" i="3"/>
  <c r="AO481" i="3"/>
  <c r="AP477" i="3" s="1"/>
  <c r="AP479" i="3" s="1"/>
  <c r="AM529" i="3"/>
  <c r="BM66" i="3"/>
  <c r="BM59" i="3"/>
  <c r="AC86" i="3"/>
  <c r="BM296" i="3"/>
  <c r="BO6" i="3"/>
  <c r="BN288" i="3"/>
  <c r="BN8" i="3"/>
  <c r="BN13" i="3"/>
  <c r="BN279" i="3"/>
  <c r="BO7" i="3"/>
  <c r="BN282" i="3"/>
  <c r="BN285" i="3"/>
  <c r="BM298" i="3"/>
  <c r="BM295" i="3"/>
  <c r="BQ9" i="3"/>
  <c r="BP10" i="3"/>
  <c r="BM297" i="3"/>
  <c r="BM294" i="3"/>
  <c r="AC83" i="3"/>
  <c r="AC84" i="3" s="1"/>
  <c r="BN9" i="56"/>
  <c r="BM10" i="56"/>
  <c r="BH257" i="3"/>
  <c r="BH268" i="3" s="1"/>
  <c r="BG270" i="3"/>
  <c r="BN8" i="56"/>
  <c r="BO6" i="56"/>
  <c r="BO7" i="56"/>
  <c r="BN13" i="56"/>
  <c r="BF271" i="3"/>
  <c r="BF272" i="3"/>
  <c r="BL22" i="56"/>
  <c r="BO289" i="3" l="1"/>
  <c r="BO286" i="3"/>
  <c r="BO280" i="3"/>
  <c r="BO283" i="3"/>
  <c r="BO276" i="3"/>
  <c r="BO277" i="3"/>
  <c r="BO64" i="3"/>
  <c r="AN516" i="3"/>
  <c r="AN515" i="3"/>
  <c r="AM549" i="3"/>
  <c r="AM547" i="3"/>
  <c r="AS490" i="3"/>
  <c r="AO509" i="3"/>
  <c r="AO508" i="3"/>
  <c r="AO492" i="3"/>
  <c r="AP487" i="3" s="1"/>
  <c r="AP480" i="3"/>
  <c r="AT472" i="3"/>
  <c r="AN501" i="3"/>
  <c r="AO496" i="3" s="1"/>
  <c r="AN528" i="3"/>
  <c r="AN531" i="3" s="1"/>
  <c r="AN510" i="3"/>
  <c r="BN66" i="3"/>
  <c r="BO59" i="3"/>
  <c r="BN296" i="3"/>
  <c r="AD85" i="3"/>
  <c r="BN295" i="3"/>
  <c r="BN298" i="3"/>
  <c r="BN297" i="3"/>
  <c r="BN294" i="3"/>
  <c r="BR9" i="3"/>
  <c r="BQ10" i="3"/>
  <c r="BP7" i="3"/>
  <c r="BO282" i="3"/>
  <c r="BO279" i="3"/>
  <c r="BO8" i="3"/>
  <c r="BO13" i="3"/>
  <c r="BO288" i="3"/>
  <c r="BP6" i="3"/>
  <c r="BO285" i="3"/>
  <c r="BO9" i="56"/>
  <c r="BN10" i="56"/>
  <c r="BM22" i="56"/>
  <c r="BP6" i="56"/>
  <c r="BP7" i="56"/>
  <c r="BO8" i="56"/>
  <c r="BO13" i="56"/>
  <c r="BG271" i="3"/>
  <c r="BG272" i="3"/>
  <c r="BI257" i="3"/>
  <c r="BI268" i="3" s="1"/>
  <c r="BH270" i="3"/>
  <c r="BP289" i="3" l="1"/>
  <c r="BP286" i="3"/>
  <c r="BP280" i="3"/>
  <c r="BP283" i="3"/>
  <c r="BP277" i="3"/>
  <c r="BP276" i="3"/>
  <c r="BP64" i="3"/>
  <c r="AN517" i="3"/>
  <c r="AN521" i="3"/>
  <c r="AO520" i="3"/>
  <c r="AT490" i="3"/>
  <c r="AO527" i="3"/>
  <c r="AP481" i="3"/>
  <c r="AQ477" i="3" s="1"/>
  <c r="AQ479" i="3" s="1"/>
  <c r="AP499" i="3"/>
  <c r="AN545" i="3"/>
  <c r="AN546" i="3" s="1"/>
  <c r="AO498" i="3"/>
  <c r="AO500" i="3" s="1"/>
  <c r="AP489" i="3"/>
  <c r="AP491" i="3" s="1"/>
  <c r="AT473" i="3"/>
  <c r="AU469" i="3" s="1"/>
  <c r="AU471" i="3" s="1"/>
  <c r="AN529" i="3"/>
  <c r="BO66" i="3"/>
  <c r="BN59" i="3"/>
  <c r="BP59" i="3"/>
  <c r="AD86" i="3"/>
  <c r="BQ7" i="3"/>
  <c r="BP288" i="3"/>
  <c r="BP285" i="3"/>
  <c r="BP279" i="3"/>
  <c r="BP8" i="3"/>
  <c r="BQ6" i="3"/>
  <c r="BP13" i="3"/>
  <c r="BP282" i="3"/>
  <c r="BR10" i="3"/>
  <c r="BS9" i="3"/>
  <c r="BO298" i="3"/>
  <c r="BO294" i="3"/>
  <c r="BO297" i="3"/>
  <c r="BO295" i="3"/>
  <c r="BO296" i="3"/>
  <c r="BO10" i="56"/>
  <c r="BP9" i="56"/>
  <c r="BQ6" i="56"/>
  <c r="BP8" i="56"/>
  <c r="BQ7" i="56"/>
  <c r="BP13" i="56"/>
  <c r="BH271" i="3"/>
  <c r="BH272" i="3"/>
  <c r="BN22" i="56"/>
  <c r="BJ257" i="3"/>
  <c r="BJ268" i="3" s="1"/>
  <c r="BI270" i="3"/>
  <c r="BQ289" i="3" l="1"/>
  <c r="BQ286" i="3"/>
  <c r="BQ280" i="3"/>
  <c r="BQ283" i="3"/>
  <c r="BQ276" i="3"/>
  <c r="BQ277" i="3"/>
  <c r="BQ64" i="3"/>
  <c r="AP508" i="3"/>
  <c r="AP509" i="3"/>
  <c r="AO516" i="3"/>
  <c r="AO515" i="3"/>
  <c r="AN549" i="3"/>
  <c r="AN547" i="3"/>
  <c r="AQ480" i="3"/>
  <c r="AO501" i="3"/>
  <c r="AP496" i="3" s="1"/>
  <c r="AP492" i="3"/>
  <c r="AQ487" i="3" s="1"/>
  <c r="AO528" i="3"/>
  <c r="AO531" i="3" s="1"/>
  <c r="AO510" i="3"/>
  <c r="BP66" i="3"/>
  <c r="BP296" i="3"/>
  <c r="BP295" i="3"/>
  <c r="BP294" i="3"/>
  <c r="BP298" i="3"/>
  <c r="BS10" i="3"/>
  <c r="BT9" i="3"/>
  <c r="BQ13" i="3"/>
  <c r="BQ8" i="3"/>
  <c r="BQ282" i="3"/>
  <c r="BQ288" i="3"/>
  <c r="BR6" i="3"/>
  <c r="BQ279" i="3"/>
  <c r="BQ285" i="3"/>
  <c r="BR7" i="3"/>
  <c r="BP297" i="3"/>
  <c r="AD83" i="3"/>
  <c r="AD84" i="3" s="1"/>
  <c r="BQ9" i="56"/>
  <c r="BP10" i="56"/>
  <c r="AE85" i="3"/>
  <c r="BK257" i="3"/>
  <c r="BK268" i="3" s="1"/>
  <c r="BJ270" i="3"/>
  <c r="BO22" i="56"/>
  <c r="BQ8" i="56"/>
  <c r="BR7" i="56"/>
  <c r="BQ13" i="56"/>
  <c r="BR6" i="56"/>
  <c r="BI271" i="3"/>
  <c r="BI272" i="3"/>
  <c r="BR289" i="3" l="1"/>
  <c r="BR286" i="3"/>
  <c r="BR280" i="3"/>
  <c r="BR283" i="3"/>
  <c r="BR277" i="3"/>
  <c r="BR276" i="3"/>
  <c r="BR64" i="3"/>
  <c r="AO517" i="3"/>
  <c r="AO521" i="3"/>
  <c r="AP520" i="3"/>
  <c r="AO545" i="3"/>
  <c r="AO546" i="3" s="1"/>
  <c r="AQ481" i="3"/>
  <c r="AR477" i="3" s="1"/>
  <c r="AQ499" i="3"/>
  <c r="AP527" i="3"/>
  <c r="AP528" i="3" s="1"/>
  <c r="AP531" i="3" s="1"/>
  <c r="AP498" i="3"/>
  <c r="AP500" i="3" s="1"/>
  <c r="AQ489" i="3"/>
  <c r="AQ491" i="3" s="1"/>
  <c r="AU472" i="3"/>
  <c r="AU473" i="3" s="1"/>
  <c r="AV469" i="3" s="1"/>
  <c r="AV471" i="3" s="1"/>
  <c r="AO529" i="3"/>
  <c r="BQ66" i="3"/>
  <c r="BQ59" i="3"/>
  <c r="AE86" i="3"/>
  <c r="BQ295" i="3"/>
  <c r="BR285" i="3"/>
  <c r="BR8" i="3"/>
  <c r="BS6" i="3"/>
  <c r="BR282" i="3"/>
  <c r="BS7" i="3"/>
  <c r="BR279" i="3"/>
  <c r="BR13" i="3"/>
  <c r="BR288" i="3"/>
  <c r="BQ297" i="3"/>
  <c r="BQ294" i="3"/>
  <c r="BU9" i="3"/>
  <c r="BT10" i="3"/>
  <c r="BQ296" i="3"/>
  <c r="BQ298" i="3"/>
  <c r="BR9" i="56"/>
  <c r="BQ10" i="56"/>
  <c r="BL257" i="3"/>
  <c r="BL268" i="3" s="1"/>
  <c r="BK270" i="3"/>
  <c r="BR8" i="56"/>
  <c r="BS6" i="56"/>
  <c r="BS7" i="56"/>
  <c r="BR13" i="56"/>
  <c r="BP22" i="56"/>
  <c r="BJ271" i="3"/>
  <c r="BJ272" i="3"/>
  <c r="BS289" i="3" l="1"/>
  <c r="BS286" i="3"/>
  <c r="BS280" i="3"/>
  <c r="BS283" i="3"/>
  <c r="BS64" i="3"/>
  <c r="BS276" i="3"/>
  <c r="BS277" i="3"/>
  <c r="AU490" i="3"/>
  <c r="AQ509" i="3"/>
  <c r="AQ508" i="3"/>
  <c r="AQ527" i="3" s="1"/>
  <c r="AR479" i="3"/>
  <c r="AR480" i="3" s="1"/>
  <c r="AP515" i="3"/>
  <c r="AP545" i="3" s="1"/>
  <c r="AP546" i="3" s="1"/>
  <c r="AP516" i="3"/>
  <c r="AO549" i="3"/>
  <c r="AO547" i="3"/>
  <c r="AP510" i="3"/>
  <c r="AQ492" i="3"/>
  <c r="AR487" i="3" s="1"/>
  <c r="AP529" i="3"/>
  <c r="BR66" i="3"/>
  <c r="BS59" i="3"/>
  <c r="BR59" i="3"/>
  <c r="BR298" i="3"/>
  <c r="BR295" i="3"/>
  <c r="BV9" i="3"/>
  <c r="BU10" i="3"/>
  <c r="BT6" i="3"/>
  <c r="BS282" i="3"/>
  <c r="BS279" i="3"/>
  <c r="BS288" i="3"/>
  <c r="BS13" i="3"/>
  <c r="BS8" i="3"/>
  <c r="BT7" i="3"/>
  <c r="BS285" i="3"/>
  <c r="BR294" i="3"/>
  <c r="BR296" i="3"/>
  <c r="BR297" i="3"/>
  <c r="BS9" i="56"/>
  <c r="BR10" i="56"/>
  <c r="BT6" i="56"/>
  <c r="BS8" i="56"/>
  <c r="BS13" i="56"/>
  <c r="BT7" i="56"/>
  <c r="AE83" i="3"/>
  <c r="AE84" i="3" s="1"/>
  <c r="BK271" i="3"/>
  <c r="BK272" i="3"/>
  <c r="BQ22" i="56"/>
  <c r="BM257" i="3"/>
  <c r="BM268" i="3" s="1"/>
  <c r="BL270" i="3"/>
  <c r="BT289" i="3" l="1"/>
  <c r="BT286" i="3"/>
  <c r="BT280" i="3"/>
  <c r="BT283" i="3"/>
  <c r="BT64" i="3"/>
  <c r="BT276" i="3"/>
  <c r="BT277" i="3"/>
  <c r="AQ520" i="3"/>
  <c r="AP521" i="3"/>
  <c r="AP549" i="3"/>
  <c r="AP547" i="3"/>
  <c r="AP517" i="3"/>
  <c r="AR499" i="3"/>
  <c r="AR481" i="3"/>
  <c r="AS477" i="3" s="1"/>
  <c r="AP501" i="3"/>
  <c r="AQ496" i="3" s="1"/>
  <c r="AR489" i="3"/>
  <c r="AR491" i="3" s="1"/>
  <c r="AQ528" i="3"/>
  <c r="AQ531" i="3" s="1"/>
  <c r="AQ510" i="3"/>
  <c r="AV472" i="3"/>
  <c r="BS66" i="3"/>
  <c r="BT59" i="3"/>
  <c r="BS295" i="3"/>
  <c r="BS294" i="3"/>
  <c r="BS298" i="3"/>
  <c r="BT285" i="3"/>
  <c r="BT282" i="3"/>
  <c r="BT279" i="3"/>
  <c r="BT8" i="3"/>
  <c r="BU6" i="3"/>
  <c r="BT13" i="3"/>
  <c r="BU7" i="3"/>
  <c r="BT288" i="3"/>
  <c r="BV10" i="3"/>
  <c r="BW9" i="3"/>
  <c r="BS296" i="3"/>
  <c r="BS297" i="3"/>
  <c r="BS10" i="56"/>
  <c r="BT9" i="56"/>
  <c r="AF85" i="3"/>
  <c r="BL271" i="3"/>
  <c r="BL272" i="3"/>
  <c r="BR22" i="56"/>
  <c r="BU7" i="56"/>
  <c r="BT8" i="56"/>
  <c r="BU6" i="56"/>
  <c r="BT13" i="56"/>
  <c r="BN257" i="3"/>
  <c r="BN268" i="3" s="1"/>
  <c r="BM270" i="3"/>
  <c r="BU289" i="3" l="1"/>
  <c r="BU286" i="3"/>
  <c r="BU280" i="3"/>
  <c r="BU283" i="3"/>
  <c r="BU276" i="3"/>
  <c r="BU277" i="3"/>
  <c r="BU64" i="3"/>
  <c r="AV473" i="3"/>
  <c r="AW469" i="3" s="1"/>
  <c r="AW471" i="3" s="1"/>
  <c r="AV490" i="3"/>
  <c r="AR508" i="3"/>
  <c r="AR527" i="3" s="1"/>
  <c r="AR509" i="3"/>
  <c r="AS479" i="3"/>
  <c r="AS480" i="3" s="1"/>
  <c r="AQ498" i="3"/>
  <c r="AR492" i="3"/>
  <c r="AS487" i="3" s="1"/>
  <c r="AQ529" i="3"/>
  <c r="BT66" i="3"/>
  <c r="BU59" i="3"/>
  <c r="AF86" i="3"/>
  <c r="BT294" i="3"/>
  <c r="BT296" i="3"/>
  <c r="BX9" i="3"/>
  <c r="BW10" i="3"/>
  <c r="BT298" i="3"/>
  <c r="BU13" i="3"/>
  <c r="BU8" i="3"/>
  <c r="BV6" i="3"/>
  <c r="BU282" i="3"/>
  <c r="BU288" i="3"/>
  <c r="BV7" i="3"/>
  <c r="BU285" i="3"/>
  <c r="BU279" i="3"/>
  <c r="BT295" i="3"/>
  <c r="BT297" i="3"/>
  <c r="AF83" i="3"/>
  <c r="AF84" i="3" s="1"/>
  <c r="BU9" i="56"/>
  <c r="BT10" i="56"/>
  <c r="BV7" i="56"/>
  <c r="BV6" i="56"/>
  <c r="BU8" i="56"/>
  <c r="BU13" i="56"/>
  <c r="BS22" i="56"/>
  <c r="BM271" i="3"/>
  <c r="BM272" i="3"/>
  <c r="BO257" i="3"/>
  <c r="BO268" i="3" s="1"/>
  <c r="BN270" i="3"/>
  <c r="BV289" i="3" l="1"/>
  <c r="BV286" i="3"/>
  <c r="BV64" i="3"/>
  <c r="BV280" i="3"/>
  <c r="BV283" i="3"/>
  <c r="BV277" i="3"/>
  <c r="BV276" i="3"/>
  <c r="AR520" i="3"/>
  <c r="AS499" i="3"/>
  <c r="AS481" i="3"/>
  <c r="AT477" i="3" s="1"/>
  <c r="AT479" i="3" s="1"/>
  <c r="AQ500" i="3"/>
  <c r="AS489" i="3"/>
  <c r="AS491" i="3" s="1"/>
  <c r="AW472" i="3"/>
  <c r="AR528" i="3"/>
  <c r="AR531" i="3" s="1"/>
  <c r="BU66" i="3"/>
  <c r="BU295" i="3"/>
  <c r="BU294" i="3"/>
  <c r="BU297" i="3"/>
  <c r="BY9" i="3"/>
  <c r="BX10" i="3"/>
  <c r="BW6" i="3"/>
  <c r="BV13" i="3"/>
  <c r="BV285" i="3"/>
  <c r="BV279" i="3"/>
  <c r="BV282" i="3"/>
  <c r="BV8" i="3"/>
  <c r="BW7" i="3"/>
  <c r="BV288" i="3"/>
  <c r="BU296" i="3"/>
  <c r="BU298" i="3"/>
  <c r="AG85" i="3"/>
  <c r="BV9" i="56"/>
  <c r="BU10" i="56"/>
  <c r="BW7" i="56"/>
  <c r="BW6" i="56"/>
  <c r="BV8" i="56"/>
  <c r="BV13" i="56"/>
  <c r="BN271" i="3"/>
  <c r="BN272" i="3"/>
  <c r="BT22" i="56"/>
  <c r="BP257" i="3"/>
  <c r="BP268" i="3" s="1"/>
  <c r="BO270" i="3"/>
  <c r="BW289" i="3" l="1"/>
  <c r="BW286" i="3"/>
  <c r="BW64" i="3"/>
  <c r="BW280" i="3"/>
  <c r="BW283" i="3"/>
  <c r="BW276" i="3"/>
  <c r="BW277" i="3"/>
  <c r="AS492" i="3"/>
  <c r="AT487" i="3" s="1"/>
  <c r="AT489" i="3" s="1"/>
  <c r="AT491" i="3" s="1"/>
  <c r="AS508" i="3"/>
  <c r="AS509" i="3"/>
  <c r="AQ501" i="3"/>
  <c r="AR496" i="3" s="1"/>
  <c r="AR498" i="3" s="1"/>
  <c r="AQ516" i="3"/>
  <c r="AQ515" i="3"/>
  <c r="AT480" i="3"/>
  <c r="AW490" i="3"/>
  <c r="AR529" i="3"/>
  <c r="AW473" i="3"/>
  <c r="AX469" i="3" s="1"/>
  <c r="AX471" i="3" s="1"/>
  <c r="AR510" i="3"/>
  <c r="BV66" i="3"/>
  <c r="BW59" i="3"/>
  <c r="BV59" i="3"/>
  <c r="AG86" i="3"/>
  <c r="BV296" i="3"/>
  <c r="BV294" i="3"/>
  <c r="BV298" i="3"/>
  <c r="BW285" i="3"/>
  <c r="BW288" i="3"/>
  <c r="BW13" i="3"/>
  <c r="BW8" i="3"/>
  <c r="BX6" i="3"/>
  <c r="BW282" i="3"/>
  <c r="BW279" i="3"/>
  <c r="BX7" i="3"/>
  <c r="BZ9" i="3"/>
  <c r="BY10" i="3"/>
  <c r="BV297" i="3"/>
  <c r="BV295" i="3"/>
  <c r="BW9" i="56"/>
  <c r="BV10" i="56"/>
  <c r="BO271" i="3"/>
  <c r="BO272" i="3"/>
  <c r="BX7" i="56"/>
  <c r="BX6" i="56"/>
  <c r="BW8" i="56"/>
  <c r="BW13" i="56"/>
  <c r="BQ257" i="3"/>
  <c r="BQ268" i="3" s="1"/>
  <c r="BP270" i="3"/>
  <c r="BU22" i="56"/>
  <c r="BX64" i="3" l="1"/>
  <c r="BX289" i="3"/>
  <c r="BX286" i="3"/>
  <c r="BX280" i="3"/>
  <c r="BX283" i="3"/>
  <c r="BX276" i="3"/>
  <c r="BX277" i="3"/>
  <c r="AS520" i="3"/>
  <c r="AQ517" i="3"/>
  <c r="AS527" i="3"/>
  <c r="AT509" i="3"/>
  <c r="AT508" i="3"/>
  <c r="AT481" i="3"/>
  <c r="AU477" i="3" s="1"/>
  <c r="AU479" i="3" s="1"/>
  <c r="AT499" i="3"/>
  <c r="AR500" i="3"/>
  <c r="AQ521" i="3"/>
  <c r="AQ545" i="3"/>
  <c r="AQ546" i="3" s="1"/>
  <c r="AT492" i="3"/>
  <c r="AU487" i="3" s="1"/>
  <c r="BW66" i="3"/>
  <c r="BX59" i="3"/>
  <c r="BW296" i="3"/>
  <c r="BW298" i="3"/>
  <c r="BW297" i="3"/>
  <c r="BY6" i="3"/>
  <c r="BY64" i="3" s="1"/>
  <c r="BX13" i="3"/>
  <c r="BY7" i="3"/>
  <c r="BX288" i="3"/>
  <c r="BX285" i="3"/>
  <c r="BX279" i="3"/>
  <c r="BX282" i="3"/>
  <c r="BX8" i="3"/>
  <c r="BW295" i="3"/>
  <c r="BZ10" i="3"/>
  <c r="CA9" i="3"/>
  <c r="BW294" i="3"/>
  <c r="BW10" i="56"/>
  <c r="BX9" i="56"/>
  <c r="AG83" i="3"/>
  <c r="AG84" i="3" s="1"/>
  <c r="BY6" i="56"/>
  <c r="BY7" i="56"/>
  <c r="BX8" i="56"/>
  <c r="BX13" i="56"/>
  <c r="BP271" i="3"/>
  <c r="BP272" i="3"/>
  <c r="BR257" i="3"/>
  <c r="BR268" i="3" s="1"/>
  <c r="BQ270" i="3"/>
  <c r="BV22" i="56"/>
  <c r="BY289" i="3" l="1"/>
  <c r="BY286" i="3"/>
  <c r="BY280" i="3"/>
  <c r="BY283" i="3"/>
  <c r="BY276" i="3"/>
  <c r="BY277" i="3"/>
  <c r="AT520" i="3"/>
  <c r="AQ549" i="3"/>
  <c r="AQ547" i="3"/>
  <c r="AR516" i="3"/>
  <c r="AR515" i="3"/>
  <c r="AT527" i="3"/>
  <c r="AU480" i="3"/>
  <c r="AR501" i="3"/>
  <c r="AS496" i="3" s="1"/>
  <c r="AU489" i="3"/>
  <c r="AU491" i="3" s="1"/>
  <c r="AU492" i="3" s="1"/>
  <c r="AV487" i="3" s="1"/>
  <c r="AS528" i="3"/>
  <c r="AS531" i="3" s="1"/>
  <c r="AX472" i="3"/>
  <c r="BX66" i="3"/>
  <c r="BY59" i="3"/>
  <c r="BX296" i="3"/>
  <c r="BX294" i="3"/>
  <c r="BX295" i="3"/>
  <c r="CB9" i="3"/>
  <c r="CA10" i="3"/>
  <c r="BY285" i="3"/>
  <c r="BZ6" i="3"/>
  <c r="BZ64" i="3" s="1"/>
  <c r="BY282" i="3"/>
  <c r="BY279" i="3"/>
  <c r="BZ7" i="3"/>
  <c r="BY288" i="3"/>
  <c r="BY13" i="3"/>
  <c r="BY8" i="3"/>
  <c r="BX297" i="3"/>
  <c r="BX298" i="3"/>
  <c r="BX10" i="56"/>
  <c r="BY9" i="56"/>
  <c r="AH85" i="3"/>
  <c r="BQ271" i="3"/>
  <c r="BQ272" i="3"/>
  <c r="BW22" i="56"/>
  <c r="BS257" i="3"/>
  <c r="BS268" i="3" s="1"/>
  <c r="BR270" i="3"/>
  <c r="BY8" i="56"/>
  <c r="BZ6" i="56"/>
  <c r="BZ7" i="56"/>
  <c r="BY13" i="56"/>
  <c r="BZ289" i="3" l="1"/>
  <c r="BZ286" i="3"/>
  <c r="BZ280" i="3"/>
  <c r="BZ283" i="3"/>
  <c r="BZ276" i="3"/>
  <c r="BZ277" i="3"/>
  <c r="AR521" i="3"/>
  <c r="AR517" i="3"/>
  <c r="AR545" i="3"/>
  <c r="AR546" i="3" s="1"/>
  <c r="AR549" i="3" s="1"/>
  <c r="AU499" i="3"/>
  <c r="AX490" i="3"/>
  <c r="AU481" i="3"/>
  <c r="AV477" i="3" s="1"/>
  <c r="AV479" i="3" s="1"/>
  <c r="AU509" i="3"/>
  <c r="AU508" i="3"/>
  <c r="AU527" i="3" s="1"/>
  <c r="AS498" i="3"/>
  <c r="AS500" i="3" s="1"/>
  <c r="AV489" i="3"/>
  <c r="AV491" i="3" s="1"/>
  <c r="AS529" i="3"/>
  <c r="AS510" i="3"/>
  <c r="AX473" i="3"/>
  <c r="AY469" i="3" s="1"/>
  <c r="AY471" i="3" s="1"/>
  <c r="BY66" i="3"/>
  <c r="BZ59" i="3"/>
  <c r="BZ90" i="3"/>
  <c r="AH86" i="3"/>
  <c r="BY296" i="3"/>
  <c r="BY294" i="3"/>
  <c r="BZ285" i="3"/>
  <c r="BZ8" i="3"/>
  <c r="CA7" i="3"/>
  <c r="BZ279" i="3"/>
  <c r="BZ282" i="3"/>
  <c r="CA6" i="3"/>
  <c r="CA64" i="3" s="1"/>
  <c r="BZ288" i="3"/>
  <c r="BZ13" i="3"/>
  <c r="BY298" i="3"/>
  <c r="BY297" i="3"/>
  <c r="CC9" i="3"/>
  <c r="CB10" i="3"/>
  <c r="BY295" i="3"/>
  <c r="BY10" i="56"/>
  <c r="BZ9" i="56"/>
  <c r="BZ8" i="56"/>
  <c r="CA6" i="56"/>
  <c r="CA7" i="56"/>
  <c r="BZ13" i="56"/>
  <c r="BX22" i="56"/>
  <c r="BY20" i="56"/>
  <c r="BR271" i="3"/>
  <c r="BR272" i="3"/>
  <c r="BT257" i="3"/>
  <c r="BT268" i="3" s="1"/>
  <c r="BS270" i="3"/>
  <c r="CA289" i="3" l="1"/>
  <c r="CA286" i="3"/>
  <c r="CA280" i="3"/>
  <c r="CA283" i="3"/>
  <c r="CA276" i="3"/>
  <c r="CA277" i="3"/>
  <c r="AR547" i="3"/>
  <c r="AU520" i="3"/>
  <c r="AV509" i="3"/>
  <c r="AV508" i="3"/>
  <c r="AS515" i="3"/>
  <c r="AS545" i="3" s="1"/>
  <c r="AS546" i="3" s="1"/>
  <c r="AS516" i="3"/>
  <c r="AS501" i="3"/>
  <c r="AT496" i="3" s="1"/>
  <c r="AT528" i="3"/>
  <c r="AT531" i="3" s="1"/>
  <c r="AT510" i="3"/>
  <c r="AY472" i="3"/>
  <c r="AV480" i="3"/>
  <c r="BZ340" i="3"/>
  <c r="BZ66" i="3" s="1"/>
  <c r="CA90" i="3"/>
  <c r="CA59" i="3"/>
  <c r="CA261" i="3"/>
  <c r="CA13" i="3"/>
  <c r="CA8" i="3"/>
  <c r="CA282" i="3"/>
  <c r="CA263" i="3"/>
  <c r="CB7" i="3"/>
  <c r="CA259" i="3"/>
  <c r="CA285" i="3"/>
  <c r="CA279" i="3"/>
  <c r="CA267" i="3"/>
  <c r="CB6" i="3"/>
  <c r="CB64" i="3" s="1"/>
  <c r="CA265" i="3"/>
  <c r="CA288" i="3"/>
  <c r="BZ298" i="3"/>
  <c r="BZ295" i="3"/>
  <c r="BZ297" i="3"/>
  <c r="CD9" i="3"/>
  <c r="CC10" i="3"/>
  <c r="CA262" i="3"/>
  <c r="CA258" i="3"/>
  <c r="CA266" i="3"/>
  <c r="CA260" i="3"/>
  <c r="CA264" i="3"/>
  <c r="BZ294" i="3"/>
  <c r="BZ296" i="3"/>
  <c r="CA9" i="56"/>
  <c r="BZ10" i="56"/>
  <c r="BY22" i="56"/>
  <c r="BZ20" i="56"/>
  <c r="CA8" i="56"/>
  <c r="CB6" i="56"/>
  <c r="CB7" i="56"/>
  <c r="CA13" i="56"/>
  <c r="AH83" i="3"/>
  <c r="AH84" i="3" s="1"/>
  <c r="BS271" i="3"/>
  <c r="BS272" i="3"/>
  <c r="BU257" i="3"/>
  <c r="BU268" i="3" s="1"/>
  <c r="BT270" i="3"/>
  <c r="CB289" i="3" l="1"/>
  <c r="CB286" i="3"/>
  <c r="CB280" i="3"/>
  <c r="CB283" i="3"/>
  <c r="CB276" i="3"/>
  <c r="CB277" i="3"/>
  <c r="AV520" i="3"/>
  <c r="AS521" i="3"/>
  <c r="AV481" i="3"/>
  <c r="AW477" i="3" s="1"/>
  <c r="AW479" i="3" s="1"/>
  <c r="AV499" i="3"/>
  <c r="AS549" i="3"/>
  <c r="AS547" i="3"/>
  <c r="AY473" i="3"/>
  <c r="AZ469" i="3" s="1"/>
  <c r="AZ471" i="3" s="1"/>
  <c r="AY490" i="3"/>
  <c r="AS517" i="3"/>
  <c r="AV527" i="3"/>
  <c r="AT498" i="3"/>
  <c r="AT500" i="3" s="1"/>
  <c r="AT529" i="3"/>
  <c r="AV492" i="3"/>
  <c r="AW487" i="3" s="1"/>
  <c r="CA340" i="3"/>
  <c r="CA66" i="3" s="1"/>
  <c r="CB90" i="3"/>
  <c r="CA295" i="3"/>
  <c r="CA302" i="3" s="1"/>
  <c r="CD10" i="3"/>
  <c r="CE9" i="3"/>
  <c r="CB266" i="3"/>
  <c r="CB262" i="3"/>
  <c r="CB258" i="3"/>
  <c r="CB264" i="3"/>
  <c r="CB260" i="3"/>
  <c r="CC6" i="3"/>
  <c r="CC64" i="3" s="1"/>
  <c r="CB261" i="3"/>
  <c r="CB13" i="3"/>
  <c r="CB265" i="3"/>
  <c r="CB279" i="3"/>
  <c r="CB8" i="3"/>
  <c r="CB259" i="3"/>
  <c r="CB267" i="3"/>
  <c r="CB285" i="3"/>
  <c r="CB282" i="3"/>
  <c r="CC7" i="3"/>
  <c r="CB263" i="3"/>
  <c r="CB288" i="3"/>
  <c r="CA298" i="3"/>
  <c r="CA305" i="3" s="1"/>
  <c r="CA297" i="3"/>
  <c r="CA304" i="3" s="1"/>
  <c r="CA296" i="3"/>
  <c r="CA303" i="3" s="1"/>
  <c r="CA294" i="3"/>
  <c r="CA301" i="3" s="1"/>
  <c r="CB9" i="56"/>
  <c r="CA10" i="56"/>
  <c r="BV257" i="3"/>
  <c r="BV268" i="3" s="1"/>
  <c r="BU270" i="3"/>
  <c r="CB8" i="56"/>
  <c r="CC7" i="56"/>
  <c r="CB13" i="56"/>
  <c r="CC6" i="56"/>
  <c r="CA20" i="56"/>
  <c r="BZ22" i="56"/>
  <c r="AI85" i="3"/>
  <c r="BT271" i="3"/>
  <c r="BT272" i="3"/>
  <c r="CC289" i="3" l="1"/>
  <c r="CC286" i="3"/>
  <c r="CC280" i="3"/>
  <c r="CC283" i="3"/>
  <c r="CC276" i="3"/>
  <c r="CC277" i="3"/>
  <c r="AZ472" i="3"/>
  <c r="AZ490" i="3" s="1"/>
  <c r="AT516" i="3"/>
  <c r="AT515" i="3"/>
  <c r="AT545" i="3" s="1"/>
  <c r="AT546" i="3" s="1"/>
  <c r="AT501" i="3"/>
  <c r="AU496" i="3" s="1"/>
  <c r="AU498" i="3" s="1"/>
  <c r="AU500" i="3" s="1"/>
  <c r="AW489" i="3"/>
  <c r="AW491" i="3" s="1"/>
  <c r="AU528" i="3"/>
  <c r="AU531" i="3" s="1"/>
  <c r="AU510" i="3"/>
  <c r="AW480" i="3"/>
  <c r="CB340" i="3"/>
  <c r="CB66" i="3" s="1"/>
  <c r="CC59" i="3"/>
  <c r="CB59" i="3"/>
  <c r="AI86" i="3"/>
  <c r="CB295" i="3"/>
  <c r="CB302" i="3" s="1"/>
  <c r="CB297" i="3"/>
  <c r="CB304" i="3" s="1"/>
  <c r="CE10" i="3"/>
  <c r="CF9" i="3"/>
  <c r="CB296" i="3"/>
  <c r="CB303" i="3" s="1"/>
  <c r="CB294" i="3"/>
  <c r="CB301" i="3" s="1"/>
  <c r="CC262" i="3"/>
  <c r="CC258" i="3"/>
  <c r="CC260" i="3"/>
  <c r="CC266" i="3"/>
  <c r="CC264" i="3"/>
  <c r="CA306" i="3"/>
  <c r="CC259" i="3"/>
  <c r="CC267" i="3"/>
  <c r="CC288" i="3"/>
  <c r="CD7" i="3"/>
  <c r="CC263" i="3"/>
  <c r="CC285" i="3"/>
  <c r="CC261" i="3"/>
  <c r="CC265" i="3"/>
  <c r="CC13" i="3"/>
  <c r="CC8" i="3"/>
  <c r="CD6" i="3"/>
  <c r="CD64" i="3" s="1"/>
  <c r="CC279" i="3"/>
  <c r="CC282" i="3"/>
  <c r="CB298" i="3"/>
  <c r="CB305" i="3" s="1"/>
  <c r="CC9" i="56"/>
  <c r="CB10" i="56"/>
  <c r="BU271" i="3"/>
  <c r="BU272" i="3"/>
  <c r="BW257" i="3"/>
  <c r="BW268" i="3" s="1"/>
  <c r="BV270" i="3"/>
  <c r="CD7" i="56"/>
  <c r="CC8" i="56"/>
  <c r="CD6" i="56"/>
  <c r="CC13" i="56"/>
  <c r="CB20" i="56"/>
  <c r="CA22" i="56"/>
  <c r="CD289" i="3" l="1"/>
  <c r="CD286" i="3"/>
  <c r="CD280" i="3"/>
  <c r="CD283" i="3"/>
  <c r="CD276" i="3"/>
  <c r="CD277" i="3"/>
  <c r="AZ473" i="3"/>
  <c r="BA469" i="3" s="1"/>
  <c r="BA471" i="3" s="1"/>
  <c r="AT521" i="3"/>
  <c r="AU501" i="3"/>
  <c r="AV496" i="3" s="1"/>
  <c r="AV498" i="3" s="1"/>
  <c r="AV500" i="3" s="1"/>
  <c r="AT549" i="3"/>
  <c r="AT547" i="3"/>
  <c r="AW509" i="3"/>
  <c r="AW508" i="3"/>
  <c r="AU516" i="3"/>
  <c r="AU515" i="3"/>
  <c r="AU545" i="3" s="1"/>
  <c r="AU546" i="3" s="1"/>
  <c r="AW481" i="3"/>
  <c r="AX477" i="3" s="1"/>
  <c r="AX479" i="3" s="1"/>
  <c r="AW499" i="3"/>
  <c r="AT517" i="3"/>
  <c r="CC340" i="3"/>
  <c r="CC66" i="3" s="1"/>
  <c r="AW492" i="3"/>
  <c r="AX487" i="3" s="1"/>
  <c r="AU529" i="3"/>
  <c r="CD59" i="3"/>
  <c r="CD90" i="3"/>
  <c r="CC298" i="3"/>
  <c r="CC305" i="3" s="1"/>
  <c r="CD260" i="3"/>
  <c r="CD266" i="3"/>
  <c r="CD264" i="3"/>
  <c r="CD258" i="3"/>
  <c r="CD262" i="3"/>
  <c r="CB306" i="3"/>
  <c r="CD265" i="3"/>
  <c r="CD267" i="3"/>
  <c r="CD282" i="3"/>
  <c r="CD279" i="3"/>
  <c r="CD8" i="3"/>
  <c r="CE6" i="3"/>
  <c r="CE64" i="3" s="1"/>
  <c r="CD263" i="3"/>
  <c r="CD13" i="3"/>
  <c r="CD259" i="3"/>
  <c r="CE7" i="3"/>
  <c r="CD288" i="3"/>
  <c r="CD261" i="3"/>
  <c r="CD285" i="3"/>
  <c r="CC296" i="3"/>
  <c r="CC303" i="3" s="1"/>
  <c r="CC294" i="3"/>
  <c r="CC301" i="3" s="1"/>
  <c r="CG9" i="3"/>
  <c r="CF10" i="3"/>
  <c r="CC295" i="3"/>
  <c r="CC302" i="3" s="1"/>
  <c r="CC297" i="3"/>
  <c r="CC304" i="3" s="1"/>
  <c r="CD9" i="56"/>
  <c r="CC10" i="56"/>
  <c r="BV271" i="3"/>
  <c r="BV272" i="3"/>
  <c r="BX257" i="3"/>
  <c r="BX268" i="3" s="1"/>
  <c r="BW270" i="3"/>
  <c r="CB22" i="56"/>
  <c r="CC20" i="56"/>
  <c r="CE7" i="56"/>
  <c r="CD8" i="56"/>
  <c r="CE6" i="56"/>
  <c r="CD13" i="56"/>
  <c r="AI83" i="3"/>
  <c r="AI84" i="3" s="1"/>
  <c r="CE289" i="3" l="1"/>
  <c r="CE286" i="3"/>
  <c r="CE280" i="3"/>
  <c r="CE283" i="3"/>
  <c r="CE276" i="3"/>
  <c r="CE277" i="3"/>
  <c r="AW520" i="3"/>
  <c r="AU517" i="3"/>
  <c r="AU521" i="3"/>
  <c r="CD340" i="3"/>
  <c r="CD66" i="3" s="1"/>
  <c r="AU549" i="3"/>
  <c r="AU547" i="3"/>
  <c r="AV516" i="3"/>
  <c r="AV515" i="3"/>
  <c r="AV545" i="3" s="1"/>
  <c r="AV546" i="3" s="1"/>
  <c r="AW527" i="3"/>
  <c r="AX489" i="3"/>
  <c r="AX491" i="3" s="1"/>
  <c r="AV528" i="3"/>
  <c r="AV531" i="3" s="1"/>
  <c r="BA472" i="3"/>
  <c r="AX480" i="3"/>
  <c r="CE90" i="3"/>
  <c r="CD297" i="3"/>
  <c r="CD304" i="3" s="1"/>
  <c r="CD298" i="3"/>
  <c r="CD305" i="3" s="1"/>
  <c r="CD294" i="3"/>
  <c r="CD301" i="3" s="1"/>
  <c r="CC306" i="3"/>
  <c r="CE259" i="3"/>
  <c r="CE285" i="3"/>
  <c r="CE267" i="3"/>
  <c r="CE282" i="3"/>
  <c r="CE261" i="3"/>
  <c r="CE13" i="3"/>
  <c r="CE8" i="3"/>
  <c r="CF6" i="3"/>
  <c r="CF64" i="3" s="1"/>
  <c r="CE279" i="3"/>
  <c r="CE265" i="3"/>
  <c r="CE288" i="3"/>
  <c r="CF7" i="3"/>
  <c r="CE263" i="3"/>
  <c r="CE260" i="3"/>
  <c r="CE262" i="3"/>
  <c r="CE266" i="3"/>
  <c r="CE264" i="3"/>
  <c r="CE258" i="3"/>
  <c r="CD296" i="3"/>
  <c r="CD303" i="3" s="1"/>
  <c r="CH9" i="3"/>
  <c r="CG10" i="3"/>
  <c r="CD295" i="3"/>
  <c r="CD302" i="3" s="1"/>
  <c r="CD10" i="56"/>
  <c r="CE9" i="56"/>
  <c r="BW271" i="3"/>
  <c r="BW272" i="3"/>
  <c r="BY257" i="3"/>
  <c r="BY268" i="3" s="1"/>
  <c r="BX270" i="3"/>
  <c r="CF6" i="56"/>
  <c r="CE8" i="56"/>
  <c r="CF7" i="56"/>
  <c r="CE13" i="56"/>
  <c r="AJ85" i="3"/>
  <c r="CD20" i="56"/>
  <c r="CC22" i="56"/>
  <c r="CF289" i="3" l="1"/>
  <c r="CF286" i="3"/>
  <c r="CF280" i="3"/>
  <c r="CF283" i="3"/>
  <c r="CF276" i="3"/>
  <c r="CF277" i="3"/>
  <c r="AV517" i="3"/>
  <c r="AV521" i="3"/>
  <c r="CE340" i="3"/>
  <c r="CE66" i="3" s="1"/>
  <c r="AX508" i="3"/>
  <c r="AX527" i="3" s="1"/>
  <c r="AX509" i="3"/>
  <c r="AV549" i="3"/>
  <c r="AV547" i="3"/>
  <c r="AX499" i="3"/>
  <c r="BA473" i="3"/>
  <c r="BB469" i="3" s="1"/>
  <c r="BB471" i="3" s="1"/>
  <c r="BA490" i="3"/>
  <c r="AX481" i="3"/>
  <c r="AY477" i="3" s="1"/>
  <c r="AY479" i="3" s="1"/>
  <c r="AV510" i="3"/>
  <c r="AV529" i="3"/>
  <c r="AV501" i="3"/>
  <c r="AW496" i="3" s="1"/>
  <c r="AX492" i="3"/>
  <c r="AY487" i="3" s="1"/>
  <c r="CF59" i="3"/>
  <c r="CF90" i="3"/>
  <c r="CE59" i="3"/>
  <c r="AJ86" i="3"/>
  <c r="CE298" i="3"/>
  <c r="CE305" i="3" s="1"/>
  <c r="CE294" i="3"/>
  <c r="CE301" i="3" s="1"/>
  <c r="CG7" i="3"/>
  <c r="CF288" i="3"/>
  <c r="CF267" i="3"/>
  <c r="CF285" i="3"/>
  <c r="CF263" i="3"/>
  <c r="CF8" i="3"/>
  <c r="CG6" i="3"/>
  <c r="CG64" i="3" s="1"/>
  <c r="CF261" i="3"/>
  <c r="CF13" i="3"/>
  <c r="CF259" i="3"/>
  <c r="CF265" i="3"/>
  <c r="CF279" i="3"/>
  <c r="CF282" i="3"/>
  <c r="CE295" i="3"/>
  <c r="CE302" i="3" s="1"/>
  <c r="CD306" i="3"/>
  <c r="CH10" i="3"/>
  <c r="CI9" i="3"/>
  <c r="CF260" i="3"/>
  <c r="CF266" i="3"/>
  <c r="CF264" i="3"/>
  <c r="CF258" i="3"/>
  <c r="CF262" i="3"/>
  <c r="CE296" i="3"/>
  <c r="CE303" i="3" s="1"/>
  <c r="CE297" i="3"/>
  <c r="CE304" i="3" s="1"/>
  <c r="CF9" i="56"/>
  <c r="CE10" i="56"/>
  <c r="BZ257" i="3"/>
  <c r="BZ268" i="3" s="1"/>
  <c r="BY270" i="3"/>
  <c r="CE20" i="56"/>
  <c r="CD22" i="56"/>
  <c r="CF8" i="56"/>
  <c r="CG7" i="56"/>
  <c r="CG6" i="56"/>
  <c r="CF13" i="56"/>
  <c r="BX271" i="3"/>
  <c r="BX272" i="3"/>
  <c r="CG289" i="3" l="1"/>
  <c r="CG286" i="3"/>
  <c r="CG280" i="3"/>
  <c r="CG283" i="3"/>
  <c r="CG277" i="3"/>
  <c r="CG276" i="3"/>
  <c r="AX520" i="3"/>
  <c r="CF340" i="3"/>
  <c r="CF66" i="3" s="1"/>
  <c r="BB472" i="3"/>
  <c r="BB490" i="3" s="1"/>
  <c r="AW498" i="3"/>
  <c r="AW500" i="3" s="1"/>
  <c r="AY489" i="3"/>
  <c r="AY491" i="3" s="1"/>
  <c r="AY480" i="3"/>
  <c r="CG90" i="3"/>
  <c r="CG59" i="3"/>
  <c r="CF295" i="3"/>
  <c r="CF302" i="3" s="1"/>
  <c r="CF296" i="3"/>
  <c r="CF303" i="3" s="1"/>
  <c r="CF294" i="3"/>
  <c r="CF301" i="3" s="1"/>
  <c r="CF297" i="3"/>
  <c r="CF304" i="3" s="1"/>
  <c r="CF298" i="3"/>
  <c r="CF305" i="3" s="1"/>
  <c r="CI10" i="3"/>
  <c r="CJ9" i="3"/>
  <c r="CG266" i="3"/>
  <c r="CG264" i="3"/>
  <c r="CG262" i="3"/>
  <c r="CG258" i="3"/>
  <c r="CG260" i="3"/>
  <c r="CG265" i="3"/>
  <c r="CG285" i="3"/>
  <c r="CG263" i="3"/>
  <c r="CG279" i="3"/>
  <c r="CG288" i="3"/>
  <c r="CH7" i="3"/>
  <c r="CG267" i="3"/>
  <c r="CG13" i="3"/>
  <c r="CH6" i="3"/>
  <c r="CH64" i="3" s="1"/>
  <c r="CG282" i="3"/>
  <c r="CG259" i="3"/>
  <c r="CG261" i="3"/>
  <c r="CG8" i="3"/>
  <c r="CE306" i="3"/>
  <c r="CG9" i="56"/>
  <c r="CF10" i="56"/>
  <c r="CE22" i="56"/>
  <c r="CF20" i="56"/>
  <c r="CH6" i="56"/>
  <c r="CH7" i="56"/>
  <c r="CG13" i="56"/>
  <c r="CG8" i="56"/>
  <c r="AJ83" i="3"/>
  <c r="AJ84" i="3" s="1"/>
  <c r="BY271" i="3"/>
  <c r="BY272" i="3"/>
  <c r="CA257" i="3"/>
  <c r="CA268" i="3" s="1"/>
  <c r="BZ270" i="3"/>
  <c r="CH289" i="3" l="1"/>
  <c r="CH286" i="3"/>
  <c r="CH280" i="3"/>
  <c r="CH283" i="3"/>
  <c r="CH276" i="3"/>
  <c r="CH277" i="3"/>
  <c r="BB473" i="3"/>
  <c r="BC469" i="3" s="1"/>
  <c r="BC471" i="3" s="1"/>
  <c r="CG340" i="3"/>
  <c r="CG66" i="3" s="1"/>
  <c r="AY509" i="3"/>
  <c r="AY508" i="3"/>
  <c r="AY527" i="3" s="1"/>
  <c r="AW516" i="3"/>
  <c r="AW515" i="3"/>
  <c r="AW545" i="3" s="1"/>
  <c r="AW546" i="3" s="1"/>
  <c r="AY481" i="3"/>
  <c r="AZ477" i="3" s="1"/>
  <c r="AZ479" i="3" s="1"/>
  <c r="AY499" i="3"/>
  <c r="AW528" i="3"/>
  <c r="AW531" i="3" s="1"/>
  <c r="CH90" i="3"/>
  <c r="CG294" i="3"/>
  <c r="CG301" i="3" s="1"/>
  <c r="CH266" i="3"/>
  <c r="CH264" i="3"/>
  <c r="CH262" i="3"/>
  <c r="CH258" i="3"/>
  <c r="CH260" i="3"/>
  <c r="CI7" i="3"/>
  <c r="CH267" i="3"/>
  <c r="CH279" i="3"/>
  <c r="CH13" i="3"/>
  <c r="CI6" i="3"/>
  <c r="CI64" i="3" s="1"/>
  <c r="CH263" i="3"/>
  <c r="CH288" i="3"/>
  <c r="CH282" i="3"/>
  <c r="CH261" i="3"/>
  <c r="CH8" i="3"/>
  <c r="CH259" i="3"/>
  <c r="CH265" i="3"/>
  <c r="CH285" i="3"/>
  <c r="CF306" i="3"/>
  <c r="CG298" i="3"/>
  <c r="CG305" i="3" s="1"/>
  <c r="CG297" i="3"/>
  <c r="CG304" i="3" s="1"/>
  <c r="CK9" i="3"/>
  <c r="CJ10" i="3"/>
  <c r="CG296" i="3"/>
  <c r="CG303" i="3" s="1"/>
  <c r="CG295" i="3"/>
  <c r="CG302" i="3" s="1"/>
  <c r="CH9" i="56"/>
  <c r="CG10" i="56"/>
  <c r="CF22" i="56"/>
  <c r="CG20" i="56"/>
  <c r="BZ271" i="3"/>
  <c r="BZ272" i="3"/>
  <c r="CB257" i="3"/>
  <c r="CB268" i="3" s="1"/>
  <c r="CA270" i="3"/>
  <c r="CI6" i="56"/>
  <c r="CI7" i="56"/>
  <c r="CH8" i="56"/>
  <c r="CH13" i="56"/>
  <c r="AK85" i="3"/>
  <c r="CI289" i="3" l="1"/>
  <c r="CI286" i="3"/>
  <c r="CI280" i="3"/>
  <c r="CI283" i="3"/>
  <c r="CI276" i="3"/>
  <c r="CI277" i="3"/>
  <c r="CH340" i="3"/>
  <c r="CH66" i="3" s="1"/>
  <c r="AW517" i="3"/>
  <c r="AZ480" i="3"/>
  <c r="AZ499" i="3" s="1"/>
  <c r="AW521" i="3"/>
  <c r="AW549" i="3"/>
  <c r="AW547" i="3"/>
  <c r="AY520" i="3"/>
  <c r="AW501" i="3"/>
  <c r="AX496" i="3" s="1"/>
  <c r="AY492" i="3"/>
  <c r="AZ487" i="3" s="1"/>
  <c r="BC472" i="3"/>
  <c r="AW529" i="3"/>
  <c r="AW510" i="3"/>
  <c r="CI90" i="3"/>
  <c r="CI59" i="3"/>
  <c r="CH59" i="3"/>
  <c r="AK86" i="3"/>
  <c r="CH297" i="3"/>
  <c r="CH304" i="3" s="1"/>
  <c r="CH295" i="3"/>
  <c r="CH302" i="3" s="1"/>
  <c r="CI265" i="3"/>
  <c r="CI288" i="3"/>
  <c r="CJ6" i="3"/>
  <c r="CJ64" i="3" s="1"/>
  <c r="CI263" i="3"/>
  <c r="CI279" i="3"/>
  <c r="CI261" i="3"/>
  <c r="CI13" i="3"/>
  <c r="CI8" i="3"/>
  <c r="CJ7" i="3"/>
  <c r="CI259" i="3"/>
  <c r="CI285" i="3"/>
  <c r="CI267" i="3"/>
  <c r="CI282" i="3"/>
  <c r="CH298" i="3"/>
  <c r="CH305" i="3" s="1"/>
  <c r="CH294" i="3"/>
  <c r="CH301" i="3" s="1"/>
  <c r="CG306" i="3"/>
  <c r="CL9" i="3"/>
  <c r="CK10" i="3"/>
  <c r="CI260" i="3"/>
  <c r="CI264" i="3"/>
  <c r="CI258" i="3"/>
  <c r="CI266" i="3"/>
  <c r="CI262" i="3"/>
  <c r="CH296" i="3"/>
  <c r="CH303" i="3" s="1"/>
  <c r="AK83" i="3"/>
  <c r="AK84" i="3" s="1"/>
  <c r="CI9" i="56"/>
  <c r="CH10" i="56"/>
  <c r="CJ7" i="56"/>
  <c r="CJ6" i="56"/>
  <c r="CI8" i="56"/>
  <c r="CI13" i="56"/>
  <c r="CG22" i="56"/>
  <c r="CH20" i="56"/>
  <c r="CA271" i="3"/>
  <c r="CA272" i="3"/>
  <c r="CC257" i="3"/>
  <c r="CC268" i="3" s="1"/>
  <c r="CB270" i="3"/>
  <c r="CJ289" i="3" l="1"/>
  <c r="CJ286" i="3"/>
  <c r="CJ280" i="3"/>
  <c r="CJ283" i="3"/>
  <c r="CJ276" i="3"/>
  <c r="CJ277" i="3"/>
  <c r="CI340" i="3"/>
  <c r="CI66" i="3" s="1"/>
  <c r="AZ481" i="3"/>
  <c r="BA477" i="3" s="1"/>
  <c r="BA479" i="3" s="1"/>
  <c r="BC490" i="3"/>
  <c r="AX498" i="3"/>
  <c r="AX500" i="3" s="1"/>
  <c r="AZ489" i="3"/>
  <c r="AZ491" i="3" s="1"/>
  <c r="BC473" i="3"/>
  <c r="BD469" i="3" s="1"/>
  <c r="BD471" i="3" s="1"/>
  <c r="AX528" i="3"/>
  <c r="AX531" i="3" s="1"/>
  <c r="CJ59" i="3"/>
  <c r="CJ90" i="3"/>
  <c r="CI296" i="3"/>
  <c r="CI303" i="3" s="1"/>
  <c r="CL10" i="3"/>
  <c r="CM9" i="3"/>
  <c r="CH306" i="3"/>
  <c r="CJ266" i="3"/>
  <c r="CJ262" i="3"/>
  <c r="CJ258" i="3"/>
  <c r="CJ264" i="3"/>
  <c r="CJ260" i="3"/>
  <c r="CI294" i="3"/>
  <c r="CI301" i="3" s="1"/>
  <c r="CI297" i="3"/>
  <c r="CI304" i="3" s="1"/>
  <c r="CI298" i="3"/>
  <c r="CI305" i="3" s="1"/>
  <c r="CK7" i="3"/>
  <c r="CJ263" i="3"/>
  <c r="CJ288" i="3"/>
  <c r="CJ285" i="3"/>
  <c r="CJ279" i="3"/>
  <c r="CJ8" i="3"/>
  <c r="CK6" i="3"/>
  <c r="CK64" i="3" s="1"/>
  <c r="CJ261" i="3"/>
  <c r="CJ267" i="3"/>
  <c r="CJ13" i="3"/>
  <c r="CJ259" i="3"/>
  <c r="CJ265" i="3"/>
  <c r="CJ282" i="3"/>
  <c r="CI295" i="3"/>
  <c r="CI302" i="3" s="1"/>
  <c r="AL85" i="3"/>
  <c r="CJ9" i="56"/>
  <c r="CI10" i="56"/>
  <c r="BZ344" i="3"/>
  <c r="CB271" i="3"/>
  <c r="CB272" i="3"/>
  <c r="CD257" i="3"/>
  <c r="CD268" i="3" s="1"/>
  <c r="CC270" i="3"/>
  <c r="CA308" i="3"/>
  <c r="CI20" i="56"/>
  <c r="CH22" i="56"/>
  <c r="CK7" i="56"/>
  <c r="CK6" i="56"/>
  <c r="CJ8" i="56"/>
  <c r="CJ13" i="56"/>
  <c r="CK289" i="3" l="1"/>
  <c r="CK286" i="3"/>
  <c r="CK280" i="3"/>
  <c r="CK283" i="3"/>
  <c r="CK277" i="3"/>
  <c r="CK276" i="3"/>
  <c r="CJ340" i="3"/>
  <c r="CJ66" i="3" s="1"/>
  <c r="AZ509" i="3"/>
  <c r="AZ508" i="3"/>
  <c r="AZ527" i="3" s="1"/>
  <c r="AX501" i="3"/>
  <c r="AY496" i="3" s="1"/>
  <c r="AY498" i="3" s="1"/>
  <c r="AX516" i="3"/>
  <c r="AX515" i="3"/>
  <c r="AX545" i="3" s="1"/>
  <c r="AX546" i="3" s="1"/>
  <c r="AX510" i="3"/>
  <c r="AZ492" i="3"/>
  <c r="BA487" i="3" s="1"/>
  <c r="AX529" i="3"/>
  <c r="BA480" i="3"/>
  <c r="CK90" i="3"/>
  <c r="CJ294" i="3"/>
  <c r="CJ301" i="3" s="1"/>
  <c r="AL86" i="3"/>
  <c r="CJ296" i="3"/>
  <c r="CJ303" i="3" s="1"/>
  <c r="CL7" i="3"/>
  <c r="CK263" i="3"/>
  <c r="CK285" i="3"/>
  <c r="CL6" i="3"/>
  <c r="CL64" i="3" s="1"/>
  <c r="CK267" i="3"/>
  <c r="CK265" i="3"/>
  <c r="CK13" i="3"/>
  <c r="CK261" i="3"/>
  <c r="CK279" i="3"/>
  <c r="CK282" i="3"/>
  <c r="CK288" i="3"/>
  <c r="CK259" i="3"/>
  <c r="CK8" i="3"/>
  <c r="CJ295" i="3"/>
  <c r="CJ302" i="3" s="1"/>
  <c r="CJ298" i="3"/>
  <c r="CJ305" i="3" s="1"/>
  <c r="CN9" i="3"/>
  <c r="CM10" i="3"/>
  <c r="CK266" i="3"/>
  <c r="CK264" i="3"/>
  <c r="CK262" i="3"/>
  <c r="CK258" i="3"/>
  <c r="CK260" i="3"/>
  <c r="CI306" i="3"/>
  <c r="CJ297" i="3"/>
  <c r="CJ304" i="3" s="1"/>
  <c r="AL83" i="3"/>
  <c r="AL84" i="3" s="1"/>
  <c r="CK9" i="56"/>
  <c r="CJ10" i="56"/>
  <c r="CA344" i="3"/>
  <c r="CK8" i="56"/>
  <c r="CL7" i="56"/>
  <c r="CL6" i="56"/>
  <c r="CK13" i="56"/>
  <c r="CC271" i="3"/>
  <c r="CC272" i="3"/>
  <c r="CE257" i="3"/>
  <c r="CE268" i="3" s="1"/>
  <c r="CD270" i="3"/>
  <c r="CJ20" i="56"/>
  <c r="CI22" i="56"/>
  <c r="CB308" i="3"/>
  <c r="CL289" i="3" l="1"/>
  <c r="CL286" i="3"/>
  <c r="CL280" i="3"/>
  <c r="CL283" i="3"/>
  <c r="CL276" i="3"/>
  <c r="CL277" i="3"/>
  <c r="CK340" i="3"/>
  <c r="CK66" i="3" s="1"/>
  <c r="AX521" i="3"/>
  <c r="BA481" i="3"/>
  <c r="BB477" i="3" s="1"/>
  <c r="BB479" i="3" s="1"/>
  <c r="BA499" i="3"/>
  <c r="AX549" i="3"/>
  <c r="AX547" i="3"/>
  <c r="AY500" i="3"/>
  <c r="AY501" i="3" s="1"/>
  <c r="AZ496" i="3" s="1"/>
  <c r="AZ520" i="3"/>
  <c r="AX517" i="3"/>
  <c r="BA489" i="3"/>
  <c r="BA491" i="3" s="1"/>
  <c r="BD472" i="3"/>
  <c r="AY528" i="3"/>
  <c r="AY531" i="3" s="1"/>
  <c r="AY510" i="3"/>
  <c r="CL90" i="3"/>
  <c r="CL59" i="3"/>
  <c r="CK59" i="3"/>
  <c r="CK294" i="3"/>
  <c r="CK301" i="3" s="1"/>
  <c r="CK295" i="3"/>
  <c r="CK302" i="3" s="1"/>
  <c r="CK296" i="3"/>
  <c r="CK303" i="3" s="1"/>
  <c r="CK297" i="3"/>
  <c r="CK304" i="3" s="1"/>
  <c r="CL258" i="3"/>
  <c r="CL264" i="3"/>
  <c r="CL262" i="3"/>
  <c r="CL260" i="3"/>
  <c r="CL266" i="3"/>
  <c r="CO9" i="3"/>
  <c r="CN10" i="3"/>
  <c r="CJ306" i="3"/>
  <c r="CK298" i="3"/>
  <c r="CK305" i="3" s="1"/>
  <c r="CM6" i="3"/>
  <c r="CM64" i="3" s="1"/>
  <c r="CL261" i="3"/>
  <c r="CL267" i="3"/>
  <c r="CL285" i="3"/>
  <c r="CL265" i="3"/>
  <c r="CL282" i="3"/>
  <c r="CL8" i="3"/>
  <c r="CM7" i="3"/>
  <c r="CL288" i="3"/>
  <c r="CL13" i="3"/>
  <c r="CL259" i="3"/>
  <c r="CL279" i="3"/>
  <c r="CL263" i="3"/>
  <c r="AM85" i="3"/>
  <c r="CK10" i="56"/>
  <c r="CL9" i="56"/>
  <c r="CC308" i="3"/>
  <c r="CD271" i="3"/>
  <c r="CD272" i="3"/>
  <c r="CF257" i="3"/>
  <c r="CF268" i="3" s="1"/>
  <c r="CE270" i="3"/>
  <c r="CB344" i="3"/>
  <c r="CJ22" i="56"/>
  <c r="CK20" i="56"/>
  <c r="CM7" i="56"/>
  <c r="CM6" i="56"/>
  <c r="CL8" i="56"/>
  <c r="CL13" i="56"/>
  <c r="CM289" i="3" l="1"/>
  <c r="CM286" i="3"/>
  <c r="CM280" i="3"/>
  <c r="CM283" i="3"/>
  <c r="CM277" i="3"/>
  <c r="CM276" i="3"/>
  <c r="BB480" i="3"/>
  <c r="BB481" i="3" s="1"/>
  <c r="BC477" i="3" s="1"/>
  <c r="BC479" i="3" s="1"/>
  <c r="CL340" i="3"/>
  <c r="CL66" i="3" s="1"/>
  <c r="BD473" i="3"/>
  <c r="BE469" i="3" s="1"/>
  <c r="BE471" i="3" s="1"/>
  <c r="BD490" i="3"/>
  <c r="BA509" i="3"/>
  <c r="BA508" i="3"/>
  <c r="AY516" i="3"/>
  <c r="AY515" i="3"/>
  <c r="AY545" i="3" s="1"/>
  <c r="AY546" i="3" s="1"/>
  <c r="AZ498" i="3"/>
  <c r="AZ500" i="3" s="1"/>
  <c r="BA492" i="3"/>
  <c r="BB487" i="3" s="1"/>
  <c r="AY529" i="3"/>
  <c r="AZ510" i="3"/>
  <c r="AZ528" i="3"/>
  <c r="AZ531" i="3" s="1"/>
  <c r="CM59" i="3"/>
  <c r="CM90" i="3"/>
  <c r="AM86" i="3"/>
  <c r="CN6" i="3"/>
  <c r="CN64" i="3" s="1"/>
  <c r="CM263" i="3"/>
  <c r="CM282" i="3"/>
  <c r="CM279" i="3"/>
  <c r="CM259" i="3"/>
  <c r="CM13" i="3"/>
  <c r="CM8" i="3"/>
  <c r="CM285" i="3"/>
  <c r="CN7" i="3"/>
  <c r="CM261" i="3"/>
  <c r="CM288" i="3"/>
  <c r="CM267" i="3"/>
  <c r="CM265" i="3"/>
  <c r="CP9" i="3"/>
  <c r="CO10" i="3"/>
  <c r="CL294" i="3"/>
  <c r="CL301" i="3" s="1"/>
  <c r="CL297" i="3"/>
  <c r="CL304" i="3" s="1"/>
  <c r="CM262" i="3"/>
  <c r="CM260" i="3"/>
  <c r="CM266" i="3"/>
  <c r="CM258" i="3"/>
  <c r="CM264" i="3"/>
  <c r="CK306" i="3"/>
  <c r="CL295" i="3"/>
  <c r="CL302" i="3" s="1"/>
  <c r="CL298" i="3"/>
  <c r="CL305" i="3" s="1"/>
  <c r="CL296" i="3"/>
  <c r="CL303" i="3" s="1"/>
  <c r="CM9" i="56"/>
  <c r="CL10" i="56"/>
  <c r="CL20" i="56"/>
  <c r="CK22" i="56"/>
  <c r="CC344" i="3"/>
  <c r="CD308" i="3"/>
  <c r="CE271" i="3"/>
  <c r="CE272" i="3"/>
  <c r="CN7" i="56"/>
  <c r="CN6" i="56"/>
  <c r="CM8" i="56"/>
  <c r="CM13" i="56"/>
  <c r="CG257" i="3"/>
  <c r="CG268" i="3" s="1"/>
  <c r="CF270" i="3"/>
  <c r="CN289" i="3" l="1"/>
  <c r="CN286" i="3"/>
  <c r="CN280" i="3"/>
  <c r="CN283" i="3"/>
  <c r="CN276" i="3"/>
  <c r="CN277" i="3"/>
  <c r="BE472" i="3"/>
  <c r="BE490" i="3" s="1"/>
  <c r="BB499" i="3"/>
  <c r="CM340" i="3"/>
  <c r="CM66" i="3" s="1"/>
  <c r="BA520" i="3"/>
  <c r="AY521" i="3"/>
  <c r="BA527" i="3"/>
  <c r="AZ516" i="3"/>
  <c r="AZ515" i="3"/>
  <c r="AY549" i="3"/>
  <c r="AY547" i="3"/>
  <c r="AY517" i="3"/>
  <c r="AZ501" i="3"/>
  <c r="BA496" i="3" s="1"/>
  <c r="BB489" i="3"/>
  <c r="BB491" i="3" s="1"/>
  <c r="AZ529" i="3"/>
  <c r="CN59" i="3"/>
  <c r="CN90" i="3"/>
  <c r="CM294" i="3"/>
  <c r="CM301" i="3" s="1"/>
  <c r="CM298" i="3"/>
  <c r="CM305" i="3" s="1"/>
  <c r="CM297" i="3"/>
  <c r="CM304" i="3" s="1"/>
  <c r="CM295" i="3"/>
  <c r="CM302" i="3" s="1"/>
  <c r="CN261" i="3"/>
  <c r="CN267" i="3"/>
  <c r="CN285" i="3"/>
  <c r="CO7" i="3"/>
  <c r="CN265" i="3"/>
  <c r="CN288" i="3"/>
  <c r="CN13" i="3"/>
  <c r="CN259" i="3"/>
  <c r="CN279" i="3"/>
  <c r="CN282" i="3"/>
  <c r="CN8" i="3"/>
  <c r="CO6" i="3"/>
  <c r="CO64" i="3" s="1"/>
  <c r="CN263" i="3"/>
  <c r="CL306" i="3"/>
  <c r="CN262" i="3"/>
  <c r="CN266" i="3"/>
  <c r="CN260" i="3"/>
  <c r="CN258" i="3"/>
  <c r="CN264" i="3"/>
  <c r="CP10" i="3"/>
  <c r="CQ9" i="3"/>
  <c r="CM296" i="3"/>
  <c r="CM303" i="3" s="1"/>
  <c r="CN9" i="56"/>
  <c r="CM10" i="56"/>
  <c r="CE308" i="3"/>
  <c r="CN8" i="56"/>
  <c r="CO6" i="56"/>
  <c r="CO7" i="56"/>
  <c r="CN13" i="56"/>
  <c r="CD344" i="3"/>
  <c r="CF271" i="3"/>
  <c r="CF272" i="3"/>
  <c r="CH257" i="3"/>
  <c r="CH268" i="3" s="1"/>
  <c r="CG270" i="3"/>
  <c r="AM83" i="3"/>
  <c r="AM84" i="3" s="1"/>
  <c r="CM20" i="56"/>
  <c r="CL22" i="56"/>
  <c r="CO289" i="3" l="1"/>
  <c r="CO286" i="3"/>
  <c r="BE473" i="3"/>
  <c r="BF469" i="3" s="1"/>
  <c r="BF471" i="3" s="1"/>
  <c r="CO280" i="3"/>
  <c r="CO283" i="3"/>
  <c r="CO276" i="3"/>
  <c r="CO277" i="3"/>
  <c r="CN340" i="3"/>
  <c r="CN66" i="3" s="1"/>
  <c r="AZ517" i="3"/>
  <c r="AZ545" i="3"/>
  <c r="AZ546" i="3" s="1"/>
  <c r="BB509" i="3"/>
  <c r="BB508" i="3"/>
  <c r="AZ521" i="3"/>
  <c r="BA498" i="3"/>
  <c r="BA500" i="3" s="1"/>
  <c r="BB492" i="3"/>
  <c r="BC487" i="3" s="1"/>
  <c r="BA528" i="3"/>
  <c r="BA531" i="3" s="1"/>
  <c r="BC480" i="3"/>
  <c r="CO59" i="3"/>
  <c r="CN295" i="3"/>
  <c r="CN302" i="3" s="1"/>
  <c r="CR9" i="3"/>
  <c r="CQ10" i="3"/>
  <c r="CO258" i="3"/>
  <c r="CO260" i="3"/>
  <c r="CO266" i="3"/>
  <c r="CO264" i="3"/>
  <c r="CO262" i="3"/>
  <c r="CO267" i="3"/>
  <c r="CO285" i="3"/>
  <c r="CP6" i="3"/>
  <c r="CP64" i="3" s="1"/>
  <c r="CO265" i="3"/>
  <c r="CO282" i="3"/>
  <c r="CO279" i="3"/>
  <c r="CP7" i="3"/>
  <c r="CO263" i="3"/>
  <c r="CO259" i="3"/>
  <c r="CO288" i="3"/>
  <c r="CO13" i="3"/>
  <c r="CO8" i="3"/>
  <c r="CO261" i="3"/>
  <c r="CM306" i="3"/>
  <c r="CN294" i="3"/>
  <c r="CN301" i="3" s="1"/>
  <c r="CN298" i="3"/>
  <c r="CN305" i="3" s="1"/>
  <c r="CN297" i="3"/>
  <c r="CN304" i="3" s="1"/>
  <c r="CN296" i="3"/>
  <c r="CN303" i="3" s="1"/>
  <c r="CN10" i="56"/>
  <c r="CO9" i="56"/>
  <c r="CF308" i="3"/>
  <c r="CG271" i="3"/>
  <c r="CG272" i="3"/>
  <c r="CE344" i="3"/>
  <c r="CM22" i="56"/>
  <c r="CN20" i="56"/>
  <c r="CI257" i="3"/>
  <c r="CI268" i="3" s="1"/>
  <c r="CH270" i="3"/>
  <c r="CP6" i="56"/>
  <c r="CP7" i="56"/>
  <c r="CO8" i="56"/>
  <c r="CO13" i="56"/>
  <c r="AN85" i="3"/>
  <c r="BF472" i="3" l="1"/>
  <c r="CP289" i="3"/>
  <c r="CP286" i="3"/>
  <c r="CP280" i="3"/>
  <c r="CP283" i="3"/>
  <c r="CP276" i="3"/>
  <c r="CP277" i="3"/>
  <c r="BB520" i="3"/>
  <c r="CO340" i="3"/>
  <c r="CO66" i="3" s="1"/>
  <c r="BA501" i="3"/>
  <c r="BB496" i="3" s="1"/>
  <c r="BB498" i="3" s="1"/>
  <c r="BB500" i="3" s="1"/>
  <c r="BA515" i="3"/>
  <c r="BA545" i="3" s="1"/>
  <c r="BA546" i="3" s="1"/>
  <c r="BA516" i="3"/>
  <c r="BC499" i="3"/>
  <c r="BB527" i="3"/>
  <c r="BF490" i="3"/>
  <c r="AZ549" i="3"/>
  <c r="AZ547" i="3"/>
  <c r="BC489" i="3"/>
  <c r="BC491" i="3" s="1"/>
  <c r="BC492" i="3" s="1"/>
  <c r="BD487" i="3" s="1"/>
  <c r="BF473" i="3"/>
  <c r="BG469" i="3" s="1"/>
  <c r="BG471" i="3" s="1"/>
  <c r="BA529" i="3"/>
  <c r="BC481" i="3"/>
  <c r="BD477" i="3" s="1"/>
  <c r="BD479" i="3" s="1"/>
  <c r="BA510" i="3"/>
  <c r="CP90" i="3"/>
  <c r="CP59" i="3"/>
  <c r="AN86" i="3"/>
  <c r="CN306" i="3"/>
  <c r="CS9" i="3"/>
  <c r="CR10" i="3"/>
  <c r="CP259" i="3"/>
  <c r="CP267" i="3"/>
  <c r="CP285" i="3"/>
  <c r="CP8" i="3"/>
  <c r="CQ7" i="3"/>
  <c r="CP265" i="3"/>
  <c r="CP279" i="3"/>
  <c r="CQ6" i="3"/>
  <c r="CQ64" i="3" s="1"/>
  <c r="CP263" i="3"/>
  <c r="CP288" i="3"/>
  <c r="CP13" i="3"/>
  <c r="CP261" i="3"/>
  <c r="CP282" i="3"/>
  <c r="CP264" i="3"/>
  <c r="CP262" i="3"/>
  <c r="CP260" i="3"/>
  <c r="CP258" i="3"/>
  <c r="CP266" i="3"/>
  <c r="CO298" i="3"/>
  <c r="CO305" i="3" s="1"/>
  <c r="CO297" i="3"/>
  <c r="CO304" i="3" s="1"/>
  <c r="CO294" i="3"/>
  <c r="CO301" i="3" s="1"/>
  <c r="CO296" i="3"/>
  <c r="CO303" i="3" s="1"/>
  <c r="CO295" i="3"/>
  <c r="CO302" i="3" s="1"/>
  <c r="CP9" i="56"/>
  <c r="CO10" i="56"/>
  <c r="CG308" i="3"/>
  <c r="CF344" i="3"/>
  <c r="CH271" i="3"/>
  <c r="CH272" i="3"/>
  <c r="CN22" i="56"/>
  <c r="CO20" i="56"/>
  <c r="CJ257" i="3"/>
  <c r="CJ268" i="3" s="1"/>
  <c r="CI270" i="3"/>
  <c r="CP8" i="56"/>
  <c r="CQ6" i="56"/>
  <c r="CP13" i="56"/>
  <c r="CQ7" i="56"/>
  <c r="CQ289" i="3" l="1"/>
  <c r="CQ286" i="3"/>
  <c r="CQ280" i="3"/>
  <c r="CQ283" i="3"/>
  <c r="CQ276" i="3"/>
  <c r="CQ277" i="3"/>
  <c r="CP340" i="3"/>
  <c r="CP66" i="3" s="1"/>
  <c r="BA521" i="3"/>
  <c r="BC509" i="3"/>
  <c r="BC508" i="3"/>
  <c r="BB516" i="3"/>
  <c r="BB515" i="3"/>
  <c r="BA549" i="3"/>
  <c r="BA547" i="3"/>
  <c r="BA517" i="3"/>
  <c r="BD489" i="3"/>
  <c r="BD491" i="3" s="1"/>
  <c r="BB501" i="3"/>
  <c r="BC496" i="3" s="1"/>
  <c r="BB528" i="3"/>
  <c r="BB531" i="3" s="1"/>
  <c r="BB510" i="3"/>
  <c r="BD480" i="3"/>
  <c r="CQ59" i="3"/>
  <c r="CQ90" i="3"/>
  <c r="CP296" i="3"/>
  <c r="CP303" i="3" s="1"/>
  <c r="CP294" i="3"/>
  <c r="CP301" i="3" s="1"/>
  <c r="CP298" i="3"/>
  <c r="CP305" i="3" s="1"/>
  <c r="CP297" i="3"/>
  <c r="CP304" i="3" s="1"/>
  <c r="CP295" i="3"/>
  <c r="CP302" i="3" s="1"/>
  <c r="CR6" i="3"/>
  <c r="CR64" i="3" s="1"/>
  <c r="CQ263" i="3"/>
  <c r="CQ282" i="3"/>
  <c r="CQ279" i="3"/>
  <c r="CR7" i="3"/>
  <c r="CQ261" i="3"/>
  <c r="CQ288" i="3"/>
  <c r="CQ259" i="3"/>
  <c r="CQ267" i="3"/>
  <c r="CQ13" i="3"/>
  <c r="CQ8" i="3"/>
  <c r="CQ265" i="3"/>
  <c r="CQ285" i="3"/>
  <c r="CQ266" i="3"/>
  <c r="CQ258" i="3"/>
  <c r="CQ264" i="3"/>
  <c r="CQ262" i="3"/>
  <c r="CQ260" i="3"/>
  <c r="CO306" i="3"/>
  <c r="CT9" i="3"/>
  <c r="CS10" i="3"/>
  <c r="CP10" i="56"/>
  <c r="CQ9" i="56"/>
  <c r="CR7" i="56"/>
  <c r="CQ8" i="56"/>
  <c r="CR6" i="56"/>
  <c r="CQ13" i="56"/>
  <c r="CI271" i="3"/>
  <c r="CI272" i="3"/>
  <c r="CH308" i="3"/>
  <c r="CK257" i="3"/>
  <c r="CK268" i="3" s="1"/>
  <c r="CJ270" i="3"/>
  <c r="CG344" i="3"/>
  <c r="AN83" i="3"/>
  <c r="AN84" i="3" s="1"/>
  <c r="CO22" i="56"/>
  <c r="CP20" i="56"/>
  <c r="CR289" i="3" l="1"/>
  <c r="CR286" i="3"/>
  <c r="CR280" i="3"/>
  <c r="CR283" i="3"/>
  <c r="CR276" i="3"/>
  <c r="CR277" i="3"/>
  <c r="CQ340" i="3"/>
  <c r="CQ66" i="3" s="1"/>
  <c r="BC520" i="3"/>
  <c r="BB517" i="3"/>
  <c r="BB521" i="3"/>
  <c r="BD509" i="3"/>
  <c r="BD508" i="3"/>
  <c r="BB545" i="3"/>
  <c r="BB546" i="3" s="1"/>
  <c r="BC527" i="3"/>
  <c r="BD499" i="3"/>
  <c r="BC498" i="3"/>
  <c r="BC500" i="3" s="1"/>
  <c r="BD481" i="3"/>
  <c r="BE477" i="3" s="1"/>
  <c r="BE479" i="3" s="1"/>
  <c r="BB529" i="3"/>
  <c r="CR90" i="3"/>
  <c r="CQ294" i="3"/>
  <c r="CQ301" i="3" s="1"/>
  <c r="CQ295" i="3"/>
  <c r="CQ302" i="3" s="1"/>
  <c r="CT10" i="3"/>
  <c r="CU9" i="3"/>
  <c r="CP306" i="3"/>
  <c r="CQ297" i="3"/>
  <c r="CQ304" i="3" s="1"/>
  <c r="CQ298" i="3"/>
  <c r="CQ305" i="3" s="1"/>
  <c r="CR262" i="3"/>
  <c r="CR260" i="3"/>
  <c r="CR264" i="3"/>
  <c r="CR266" i="3"/>
  <c r="CR258" i="3"/>
  <c r="CS6" i="3"/>
  <c r="CS64" i="3" s="1"/>
  <c r="CR261" i="3"/>
  <c r="CR13" i="3"/>
  <c r="CR267" i="3"/>
  <c r="CR265" i="3"/>
  <c r="CR282" i="3"/>
  <c r="CR279" i="3"/>
  <c r="CR8" i="3"/>
  <c r="CR259" i="3"/>
  <c r="CR285" i="3"/>
  <c r="CS7" i="3"/>
  <c r="CR263" i="3"/>
  <c r="CR288" i="3"/>
  <c r="CQ296" i="3"/>
  <c r="CQ303" i="3" s="1"/>
  <c r="CR9" i="56"/>
  <c r="CQ10" i="56"/>
  <c r="CI308" i="3"/>
  <c r="CQ20" i="56"/>
  <c r="CP22" i="56"/>
  <c r="AO85" i="3"/>
  <c r="CS7" i="56"/>
  <c r="CS6" i="56"/>
  <c r="CR8" i="56"/>
  <c r="CR13" i="56"/>
  <c r="CJ271" i="3"/>
  <c r="CJ272" i="3"/>
  <c r="CH344" i="3"/>
  <c r="CL257" i="3"/>
  <c r="CL268" i="3" s="1"/>
  <c r="CK270" i="3"/>
  <c r="CS289" i="3" l="1"/>
  <c r="CS286" i="3"/>
  <c r="CS280" i="3"/>
  <c r="CS283" i="3"/>
  <c r="CS276" i="3"/>
  <c r="CS277" i="3"/>
  <c r="CR340" i="3"/>
  <c r="CR66" i="3" s="1"/>
  <c r="BD520" i="3"/>
  <c r="BC515" i="3"/>
  <c r="BC545" i="3" s="1"/>
  <c r="BC546" i="3" s="1"/>
  <c r="BC516" i="3"/>
  <c r="BB549" i="3"/>
  <c r="BB547" i="3"/>
  <c r="BD527" i="3"/>
  <c r="BC528" i="3"/>
  <c r="BC531" i="3" s="1"/>
  <c r="BC510" i="3"/>
  <c r="BD492" i="3"/>
  <c r="BE487" i="3" s="1"/>
  <c r="CS59" i="3"/>
  <c r="CS90" i="3"/>
  <c r="CR59" i="3"/>
  <c r="AO86" i="3"/>
  <c r="CR294" i="3"/>
  <c r="CR301" i="3" s="1"/>
  <c r="CR296" i="3"/>
  <c r="CR303" i="3" s="1"/>
  <c r="CT6" i="3"/>
  <c r="CT64" i="3" s="1"/>
  <c r="CS259" i="3"/>
  <c r="CS279" i="3"/>
  <c r="CS288" i="3"/>
  <c r="CS285" i="3"/>
  <c r="CS13" i="3"/>
  <c r="CS261" i="3"/>
  <c r="CS265" i="3"/>
  <c r="CS282" i="3"/>
  <c r="CS267" i="3"/>
  <c r="CS263" i="3"/>
  <c r="CS8" i="3"/>
  <c r="CT7" i="3"/>
  <c r="CS266" i="3"/>
  <c r="CS258" i="3"/>
  <c r="CS260" i="3"/>
  <c r="CS264" i="3"/>
  <c r="CS262" i="3"/>
  <c r="CU10" i="3"/>
  <c r="CV9" i="3"/>
  <c r="CQ306" i="3"/>
  <c r="CR297" i="3"/>
  <c r="CR304" i="3" s="1"/>
  <c r="CR295" i="3"/>
  <c r="CR302" i="3" s="1"/>
  <c r="CR298" i="3"/>
  <c r="CR305" i="3" s="1"/>
  <c r="CR10" i="56"/>
  <c r="CS9" i="56"/>
  <c r="CM257" i="3"/>
  <c r="CM268" i="3" s="1"/>
  <c r="CL270" i="3"/>
  <c r="CR20" i="56"/>
  <c r="CQ22" i="56"/>
  <c r="CI344" i="3"/>
  <c r="CK271" i="3"/>
  <c r="CK272" i="3"/>
  <c r="CJ308" i="3"/>
  <c r="CT6" i="56"/>
  <c r="CS8" i="56"/>
  <c r="CT7" i="56"/>
  <c r="CS13" i="56"/>
  <c r="CT289" i="3" l="1"/>
  <c r="CT286" i="3"/>
  <c r="CT280" i="3"/>
  <c r="CT283" i="3"/>
  <c r="CT276" i="3"/>
  <c r="CT277" i="3"/>
  <c r="BC521" i="3"/>
  <c r="CS340" i="3"/>
  <c r="CS66" i="3" s="1"/>
  <c r="BC549" i="3"/>
  <c r="BC547" i="3"/>
  <c r="BC517" i="3"/>
  <c r="BE489" i="3"/>
  <c r="BE491" i="3" s="1"/>
  <c r="BC529" i="3"/>
  <c r="BC501" i="3"/>
  <c r="BD496" i="3" s="1"/>
  <c r="BE480" i="3"/>
  <c r="CT90" i="3"/>
  <c r="CT59" i="3"/>
  <c r="CS295" i="3"/>
  <c r="CS302" i="3" s="1"/>
  <c r="CT258" i="3"/>
  <c r="CT266" i="3"/>
  <c r="CT262" i="3"/>
  <c r="CT260" i="3"/>
  <c r="CT264" i="3"/>
  <c r="CR306" i="3"/>
  <c r="CS298" i="3"/>
  <c r="CS305" i="3" s="1"/>
  <c r="CS294" i="3"/>
  <c r="CS301" i="3" s="1"/>
  <c r="CW9" i="3"/>
  <c r="CV10" i="3"/>
  <c r="CU6" i="3"/>
  <c r="CU64" i="3" s="1"/>
  <c r="CT282" i="3"/>
  <c r="CT279" i="3"/>
  <c r="CT265" i="3"/>
  <c r="CT261" i="3"/>
  <c r="CT13" i="3"/>
  <c r="CT8" i="3"/>
  <c r="CT285" i="3"/>
  <c r="CT267" i="3"/>
  <c r="CT263" i="3"/>
  <c r="CT288" i="3"/>
  <c r="CU7" i="3"/>
  <c r="CT259" i="3"/>
  <c r="CS296" i="3"/>
  <c r="CS303" i="3" s="1"/>
  <c r="CS297" i="3"/>
  <c r="CS304" i="3" s="1"/>
  <c r="AO83" i="3"/>
  <c r="AO84" i="3" s="1"/>
  <c r="CT9" i="56"/>
  <c r="CS10" i="56"/>
  <c r="AP85" i="3"/>
  <c r="CJ344" i="3"/>
  <c r="CL271" i="3"/>
  <c r="CL272" i="3"/>
  <c r="CR22" i="56"/>
  <c r="CS20" i="56"/>
  <c r="CN257" i="3"/>
  <c r="CN268" i="3" s="1"/>
  <c r="CM270" i="3"/>
  <c r="CU7" i="56"/>
  <c r="CU6" i="56"/>
  <c r="CT8" i="56"/>
  <c r="CT13" i="56"/>
  <c r="CK308" i="3"/>
  <c r="CU289" i="3" l="1"/>
  <c r="CU286" i="3"/>
  <c r="CU280" i="3"/>
  <c r="CU283" i="3"/>
  <c r="CU277" i="3"/>
  <c r="CU276" i="3"/>
  <c r="CT340" i="3"/>
  <c r="CT66" i="3" s="1"/>
  <c r="BE509" i="3"/>
  <c r="BE508" i="3"/>
  <c r="BE499" i="3"/>
  <c r="BD498" i="3"/>
  <c r="BD500" i="3" s="1"/>
  <c r="BE492" i="3"/>
  <c r="BF487" i="3" s="1"/>
  <c r="BE481" i="3"/>
  <c r="BF477" i="3" s="1"/>
  <c r="BF479" i="3" s="1"/>
  <c r="CU90" i="3"/>
  <c r="CU59" i="3"/>
  <c r="AP86" i="3"/>
  <c r="CT294" i="3"/>
  <c r="CT301" i="3" s="1"/>
  <c r="CT298" i="3"/>
  <c r="CT305" i="3" s="1"/>
  <c r="CS306" i="3"/>
  <c r="CT297" i="3"/>
  <c r="CT304" i="3" s="1"/>
  <c r="CX9" i="3"/>
  <c r="CW10" i="3"/>
  <c r="CV6" i="3"/>
  <c r="CV64" i="3" s="1"/>
  <c r="CU267" i="3"/>
  <c r="CU13" i="3"/>
  <c r="CU279" i="3"/>
  <c r="CU8" i="3"/>
  <c r="CU259" i="3"/>
  <c r="CV7" i="3"/>
  <c r="CU265" i="3"/>
  <c r="CU285" i="3"/>
  <c r="CU263" i="3"/>
  <c r="CU261" i="3"/>
  <c r="CU282" i="3"/>
  <c r="CU288" i="3"/>
  <c r="CU258" i="3"/>
  <c r="CU262" i="3"/>
  <c r="CU264" i="3"/>
  <c r="CU260" i="3"/>
  <c r="CU266" i="3"/>
  <c r="CT296" i="3"/>
  <c r="CT303" i="3" s="1"/>
  <c r="CT295" i="3"/>
  <c r="CT302" i="3" s="1"/>
  <c r="CU9" i="56"/>
  <c r="CT10" i="56"/>
  <c r="CK344" i="3"/>
  <c r="CM271" i="3"/>
  <c r="CM272" i="3"/>
  <c r="CO257" i="3"/>
  <c r="CO268" i="3" s="1"/>
  <c r="CN270" i="3"/>
  <c r="CT20" i="56"/>
  <c r="CS22" i="56"/>
  <c r="CL308" i="3"/>
  <c r="CU8" i="56"/>
  <c r="CV7" i="56"/>
  <c r="CU13" i="56"/>
  <c r="CV6" i="56"/>
  <c r="CV289" i="3" l="1"/>
  <c r="CV286" i="3"/>
  <c r="CV280" i="3"/>
  <c r="CV283" i="3"/>
  <c r="CV276" i="3"/>
  <c r="CV277" i="3"/>
  <c r="CU340" i="3"/>
  <c r="CU66" i="3" s="1"/>
  <c r="BE520" i="3"/>
  <c r="BD515" i="3"/>
  <c r="BD545" i="3" s="1"/>
  <c r="BD546" i="3" s="1"/>
  <c r="BD516" i="3"/>
  <c r="BE527" i="3"/>
  <c r="BF489" i="3"/>
  <c r="BF491" i="3" s="1"/>
  <c r="BD501" i="3"/>
  <c r="BE496" i="3" s="1"/>
  <c r="BD528" i="3"/>
  <c r="BD531" i="3" s="1"/>
  <c r="BF480" i="3"/>
  <c r="CV90" i="3"/>
  <c r="CV59" i="3"/>
  <c r="CU296" i="3"/>
  <c r="CU303" i="3" s="1"/>
  <c r="CV263" i="3"/>
  <c r="CV259" i="3"/>
  <c r="CV288" i="3"/>
  <c r="CV285" i="3"/>
  <c r="CV282" i="3"/>
  <c r="CV261" i="3"/>
  <c r="CV267" i="3"/>
  <c r="CV13" i="3"/>
  <c r="CV8" i="3"/>
  <c r="CW7" i="3"/>
  <c r="CW6" i="3"/>
  <c r="CW64" i="3" s="1"/>
  <c r="CV265" i="3"/>
  <c r="CV279" i="3"/>
  <c r="CX10" i="3"/>
  <c r="CY9" i="3"/>
  <c r="CU295" i="3"/>
  <c r="CU302" i="3" s="1"/>
  <c r="CU294" i="3"/>
  <c r="CU301" i="3" s="1"/>
  <c r="CV264" i="3"/>
  <c r="CV260" i="3"/>
  <c r="CV262" i="3"/>
  <c r="CV258" i="3"/>
  <c r="CV266" i="3"/>
  <c r="CT306" i="3"/>
  <c r="CU298" i="3"/>
  <c r="CU305" i="3" s="1"/>
  <c r="CU297" i="3"/>
  <c r="CU304" i="3" s="1"/>
  <c r="CU10" i="56"/>
  <c r="CV9" i="56"/>
  <c r="CL344" i="3"/>
  <c r="CN271" i="3"/>
  <c r="CN272" i="3"/>
  <c r="AP83" i="3"/>
  <c r="AP84" i="3" s="1"/>
  <c r="CP257" i="3"/>
  <c r="CP268" i="3" s="1"/>
  <c r="CO270" i="3"/>
  <c r="CU20" i="56"/>
  <c r="CT22" i="56"/>
  <c r="CV8" i="56"/>
  <c r="CW7" i="56"/>
  <c r="CW6" i="56"/>
  <c r="CV13" i="56"/>
  <c r="CM308" i="3"/>
  <c r="CW289" i="3" l="1"/>
  <c r="CW286" i="3"/>
  <c r="CW280" i="3"/>
  <c r="CW283" i="3"/>
  <c r="CW276" i="3"/>
  <c r="CW277" i="3"/>
  <c r="CV340" i="3"/>
  <c r="CV66" i="3" s="1"/>
  <c r="BD521" i="3"/>
  <c r="BF509" i="3"/>
  <c r="BF508" i="3"/>
  <c r="BF499" i="3"/>
  <c r="BD549" i="3"/>
  <c r="BD547" i="3"/>
  <c r="BD517" i="3"/>
  <c r="BE498" i="3"/>
  <c r="BE500" i="3" s="1"/>
  <c r="BD529" i="3"/>
  <c r="BF481" i="3"/>
  <c r="BG477" i="3" s="1"/>
  <c r="BG479" i="3" s="1"/>
  <c r="BD510" i="3"/>
  <c r="CW59" i="3"/>
  <c r="CW90" i="3"/>
  <c r="CV297" i="3"/>
  <c r="CV304" i="3" s="1"/>
  <c r="CV298" i="3"/>
  <c r="CV305" i="3" s="1"/>
  <c r="CV295" i="3"/>
  <c r="CV302" i="3" s="1"/>
  <c r="CY10" i="3"/>
  <c r="CZ9" i="3"/>
  <c r="CW258" i="3"/>
  <c r="CW264" i="3"/>
  <c r="CW262" i="3"/>
  <c r="CW260" i="3"/>
  <c r="CW266" i="3"/>
  <c r="CV296" i="3"/>
  <c r="CV303" i="3" s="1"/>
  <c r="CU306" i="3"/>
  <c r="CW263" i="3"/>
  <c r="CW288" i="3"/>
  <c r="CW259" i="3"/>
  <c r="CW285" i="3"/>
  <c r="CW267" i="3"/>
  <c r="CW282" i="3"/>
  <c r="CW8" i="3"/>
  <c r="CX6" i="3"/>
  <c r="CX64" i="3" s="1"/>
  <c r="CW261" i="3"/>
  <c r="CW13" i="3"/>
  <c r="CW265" i="3"/>
  <c r="CX7" i="3"/>
  <c r="CW279" i="3"/>
  <c r="CV294" i="3"/>
  <c r="CV301" i="3" s="1"/>
  <c r="CW9" i="56"/>
  <c r="CV10" i="56"/>
  <c r="AQ85" i="3"/>
  <c r="CM344" i="3"/>
  <c r="CU22" i="56"/>
  <c r="CV20" i="56"/>
  <c r="CW8" i="56"/>
  <c r="CX6" i="56"/>
  <c r="CX7" i="56"/>
  <c r="CW13" i="56"/>
  <c r="CO271" i="3"/>
  <c r="CO272" i="3"/>
  <c r="CQ257" i="3"/>
  <c r="CQ268" i="3" s="1"/>
  <c r="CP270" i="3"/>
  <c r="CN308" i="3"/>
  <c r="CX289" i="3" l="1"/>
  <c r="CX286" i="3"/>
  <c r="CX280" i="3"/>
  <c r="CX283" i="3"/>
  <c r="CX277" i="3"/>
  <c r="CX276" i="3"/>
  <c r="CW340" i="3"/>
  <c r="CW66" i="3" s="1"/>
  <c r="BF520" i="3"/>
  <c r="BE516" i="3"/>
  <c r="BE515" i="3"/>
  <c r="BF527" i="3"/>
  <c r="BE528" i="3"/>
  <c r="BE531" i="3" s="1"/>
  <c r="BE501" i="3"/>
  <c r="BF496" i="3" s="1"/>
  <c r="BF492" i="3"/>
  <c r="BG487" i="3" s="1"/>
  <c r="CX90" i="3"/>
  <c r="CX59" i="3"/>
  <c r="AQ86" i="3"/>
  <c r="CW297" i="3"/>
  <c r="CW304" i="3" s="1"/>
  <c r="CW296" i="3"/>
  <c r="CW303" i="3" s="1"/>
  <c r="CW294" i="3"/>
  <c r="CW301" i="3" s="1"/>
  <c r="DA9" i="3"/>
  <c r="CZ10" i="3"/>
  <c r="CW295" i="3"/>
  <c r="CW302" i="3" s="1"/>
  <c r="CX258" i="3"/>
  <c r="CX264" i="3"/>
  <c r="CX262" i="3"/>
  <c r="CX260" i="3"/>
  <c r="CX266" i="3"/>
  <c r="CV306" i="3"/>
  <c r="CX267" i="3"/>
  <c r="CX263" i="3"/>
  <c r="CX288" i="3"/>
  <c r="CY7" i="3"/>
  <c r="CX261" i="3"/>
  <c r="CX285" i="3"/>
  <c r="CY6" i="3"/>
  <c r="CY64" i="3" s="1"/>
  <c r="CX259" i="3"/>
  <c r="CX282" i="3"/>
  <c r="CX279" i="3"/>
  <c r="CX265" i="3"/>
  <c r="CX13" i="3"/>
  <c r="CX8" i="3"/>
  <c r="CW298" i="3"/>
  <c r="CW305" i="3" s="1"/>
  <c r="CX9" i="56"/>
  <c r="CW10" i="56"/>
  <c r="CP271" i="3"/>
  <c r="CP272" i="3"/>
  <c r="CO308" i="3"/>
  <c r="CR257" i="3"/>
  <c r="CR268" i="3" s="1"/>
  <c r="CQ270" i="3"/>
  <c r="CV22" i="56"/>
  <c r="CW20" i="56"/>
  <c r="CN344" i="3"/>
  <c r="CX8" i="56"/>
  <c r="CY7" i="56"/>
  <c r="CY6" i="56"/>
  <c r="CX13" i="56"/>
  <c r="CY289" i="3" l="1"/>
  <c r="CY286" i="3"/>
  <c r="CY280" i="3"/>
  <c r="CY283" i="3"/>
  <c r="CY276" i="3"/>
  <c r="CY277" i="3"/>
  <c r="CX340" i="3"/>
  <c r="CX66" i="3" s="1"/>
  <c r="BE517" i="3"/>
  <c r="BE521" i="3"/>
  <c r="BE545" i="3"/>
  <c r="BE546" i="3" s="1"/>
  <c r="BE549" i="3" s="1"/>
  <c r="BF498" i="3"/>
  <c r="BF500" i="3" s="1"/>
  <c r="BG489" i="3"/>
  <c r="BE529" i="3"/>
  <c r="BE510" i="3"/>
  <c r="CY90" i="3"/>
  <c r="CY59" i="3"/>
  <c r="CX298" i="3"/>
  <c r="CX305" i="3" s="1"/>
  <c r="CX294" i="3"/>
  <c r="CX301" i="3" s="1"/>
  <c r="DB9" i="3"/>
  <c r="DA10" i="3"/>
  <c r="CZ6" i="3"/>
  <c r="CZ64" i="3" s="1"/>
  <c r="CY265" i="3"/>
  <c r="CY13" i="3"/>
  <c r="CY263" i="3"/>
  <c r="CY285" i="3"/>
  <c r="CY259" i="3"/>
  <c r="CY279" i="3"/>
  <c r="CY282" i="3"/>
  <c r="CY8" i="3"/>
  <c r="CY261" i="3"/>
  <c r="CZ7" i="3"/>
  <c r="CY267" i="3"/>
  <c r="CY288" i="3"/>
  <c r="CW306" i="3"/>
  <c r="CY266" i="3"/>
  <c r="CY258" i="3"/>
  <c r="CY260" i="3"/>
  <c r="CY264" i="3"/>
  <c r="CY262" i="3"/>
  <c r="CX296" i="3"/>
  <c r="CX303" i="3" s="1"/>
  <c r="CX295" i="3"/>
  <c r="CX302" i="3" s="1"/>
  <c r="CX297" i="3"/>
  <c r="CX304" i="3" s="1"/>
  <c r="CY9" i="56"/>
  <c r="CX10" i="56"/>
  <c r="CS257" i="3"/>
  <c r="CS268" i="3" s="1"/>
  <c r="CR270" i="3"/>
  <c r="CP308" i="3"/>
  <c r="CX20" i="56"/>
  <c r="CW22" i="56"/>
  <c r="AQ83" i="3"/>
  <c r="AQ84" i="3" s="1"/>
  <c r="CZ7" i="56"/>
  <c r="CY8" i="56"/>
  <c r="CZ6" i="56"/>
  <c r="CY13" i="56"/>
  <c r="CO344" i="3"/>
  <c r="CQ271" i="3"/>
  <c r="CQ272" i="3"/>
  <c r="CZ289" i="3" l="1"/>
  <c r="CZ286" i="3"/>
  <c r="CZ280" i="3"/>
  <c r="CZ283" i="3"/>
  <c r="CZ276" i="3"/>
  <c r="CZ277" i="3"/>
  <c r="CY340" i="3"/>
  <c r="CY66" i="3" s="1"/>
  <c r="BE547" i="3"/>
  <c r="BF516" i="3"/>
  <c r="BF515" i="3"/>
  <c r="BF501" i="3"/>
  <c r="BG496" i="3" s="1"/>
  <c r="BF528" i="3"/>
  <c r="BF531" i="3" s="1"/>
  <c r="CZ90" i="3"/>
  <c r="CY298" i="3"/>
  <c r="CY305" i="3" s="1"/>
  <c r="DB10" i="3"/>
  <c r="DC9" i="3"/>
  <c r="CY295" i="3"/>
  <c r="CY302" i="3" s="1"/>
  <c r="CZ267" i="3"/>
  <c r="CZ265" i="3"/>
  <c r="CZ13" i="3"/>
  <c r="CZ8" i="3"/>
  <c r="CZ259" i="3"/>
  <c r="DA7" i="3"/>
  <c r="CZ263" i="3"/>
  <c r="CZ285" i="3"/>
  <c r="DA6" i="3"/>
  <c r="DA64" i="3" s="1"/>
  <c r="CZ261" i="3"/>
  <c r="CZ282" i="3"/>
  <c r="CZ279" i="3"/>
  <c r="CZ288" i="3"/>
  <c r="CX306" i="3"/>
  <c r="CZ264" i="3"/>
  <c r="CZ258" i="3"/>
  <c r="CZ260" i="3"/>
  <c r="CZ262" i="3"/>
  <c r="CZ266" i="3"/>
  <c r="CY296" i="3"/>
  <c r="CY303" i="3" s="1"/>
  <c r="CY297" i="3"/>
  <c r="CY304" i="3" s="1"/>
  <c r="CY294" i="3"/>
  <c r="CY301" i="3" s="1"/>
  <c r="CY10" i="56"/>
  <c r="CZ9" i="56"/>
  <c r="CT257" i="3"/>
  <c r="CT268" i="3" s="1"/>
  <c r="CS270" i="3"/>
  <c r="DA6" i="56"/>
  <c r="CZ8" i="56"/>
  <c r="DA7" i="56"/>
  <c r="CZ13" i="56"/>
  <c r="AR85" i="3"/>
  <c r="CQ308" i="3"/>
  <c r="CP344" i="3"/>
  <c r="CX22" i="56"/>
  <c r="CY20" i="56"/>
  <c r="CR271" i="3"/>
  <c r="CR272" i="3"/>
  <c r="DA289" i="3" l="1"/>
  <c r="DA286" i="3"/>
  <c r="DA280" i="3"/>
  <c r="DA283" i="3"/>
  <c r="DA276" i="3"/>
  <c r="DA277" i="3"/>
  <c r="CZ340" i="3"/>
  <c r="CZ66" i="3" s="1"/>
  <c r="BF517" i="3"/>
  <c r="BF521" i="3"/>
  <c r="BF545" i="3"/>
  <c r="BF546" i="3" s="1"/>
  <c r="BF549" i="3" s="1"/>
  <c r="BG498" i="3"/>
  <c r="BF529" i="3"/>
  <c r="BF510" i="3"/>
  <c r="DA59" i="3"/>
  <c r="CZ59" i="3"/>
  <c r="DA90" i="3"/>
  <c r="AR86" i="3"/>
  <c r="CZ296" i="3"/>
  <c r="CZ303" i="3" s="1"/>
  <c r="CZ294" i="3"/>
  <c r="CZ301" i="3" s="1"/>
  <c r="DA282" i="3"/>
  <c r="DA265" i="3"/>
  <c r="DA261" i="3"/>
  <c r="DA285" i="3"/>
  <c r="DA8" i="3"/>
  <c r="DA259" i="3"/>
  <c r="DA13" i="3"/>
  <c r="DB7" i="3"/>
  <c r="DA267" i="3"/>
  <c r="DA263" i="3"/>
  <c r="DA279" i="3"/>
  <c r="DB6" i="3"/>
  <c r="DB64" i="3" s="1"/>
  <c r="DA288" i="3"/>
  <c r="DA266" i="3"/>
  <c r="DA264" i="3"/>
  <c r="DA258" i="3"/>
  <c r="DA262" i="3"/>
  <c r="DA260" i="3"/>
  <c r="DD9" i="3"/>
  <c r="DC10" i="3"/>
  <c r="CZ298" i="3"/>
  <c r="CZ305" i="3" s="1"/>
  <c r="CZ295" i="3"/>
  <c r="CZ302" i="3" s="1"/>
  <c r="CY306" i="3"/>
  <c r="CZ297" i="3"/>
  <c r="CZ304" i="3" s="1"/>
  <c r="CZ10" i="56"/>
  <c r="DA9" i="56"/>
  <c r="CR308" i="3"/>
  <c r="DA13" i="56"/>
  <c r="DB6" i="56"/>
  <c r="DB7" i="56"/>
  <c r="DA8" i="56"/>
  <c r="CS271" i="3"/>
  <c r="CS272" i="3"/>
  <c r="CQ344" i="3"/>
  <c r="CU257" i="3"/>
  <c r="CU268" i="3" s="1"/>
  <c r="CT270" i="3"/>
  <c r="CZ20" i="56"/>
  <c r="CY22" i="56"/>
  <c r="DB289" i="3" l="1"/>
  <c r="DB286" i="3"/>
  <c r="DB280" i="3"/>
  <c r="DB283" i="3"/>
  <c r="DB276" i="3"/>
  <c r="DB277" i="3"/>
  <c r="DA340" i="3"/>
  <c r="DA66" i="3" s="1"/>
  <c r="BF547" i="3"/>
  <c r="DB59" i="3"/>
  <c r="DB90" i="3"/>
  <c r="DA295" i="3"/>
  <c r="DA302" i="3" s="1"/>
  <c r="DA294" i="3"/>
  <c r="DA301" i="3" s="1"/>
  <c r="DC7" i="3"/>
  <c r="DB265" i="3"/>
  <c r="DB285" i="3"/>
  <c r="DC6" i="3"/>
  <c r="DC64" i="3" s="1"/>
  <c r="DB263" i="3"/>
  <c r="DB282" i="3"/>
  <c r="DB279" i="3"/>
  <c r="DB267" i="3"/>
  <c r="DB288" i="3"/>
  <c r="DB261" i="3"/>
  <c r="DB259" i="3"/>
  <c r="DB13" i="3"/>
  <c r="DB8" i="3"/>
  <c r="DB262" i="3"/>
  <c r="DB266" i="3"/>
  <c r="DB258" i="3"/>
  <c r="DB264" i="3"/>
  <c r="DB260" i="3"/>
  <c r="DA296" i="3"/>
  <c r="DA303" i="3" s="1"/>
  <c r="DE9" i="3"/>
  <c r="DD10" i="3"/>
  <c r="AR83" i="3"/>
  <c r="AR84" i="3" s="1"/>
  <c r="DA297" i="3"/>
  <c r="DA304" i="3" s="1"/>
  <c r="CZ306" i="3"/>
  <c r="DA298" i="3"/>
  <c r="DA305" i="3" s="1"/>
  <c r="DB9" i="56"/>
  <c r="DA10" i="56"/>
  <c r="CV257" i="3"/>
  <c r="CV268" i="3" s="1"/>
  <c r="CU270" i="3"/>
  <c r="CS308" i="3"/>
  <c r="AS85" i="3"/>
  <c r="CR344" i="3"/>
  <c r="DA20" i="56"/>
  <c r="CZ22" i="56"/>
  <c r="DB8" i="56"/>
  <c r="DB13" i="56"/>
  <c r="DC7" i="56"/>
  <c r="DC6" i="56"/>
  <c r="CT271" i="3"/>
  <c r="CT272" i="3"/>
  <c r="DC289" i="3" l="1"/>
  <c r="DC286" i="3"/>
  <c r="DC280" i="3"/>
  <c r="DC283" i="3"/>
  <c r="DC277" i="3"/>
  <c r="DC276" i="3"/>
  <c r="DB340" i="3"/>
  <c r="DB66" i="3" s="1"/>
  <c r="DC90" i="3"/>
  <c r="AS86" i="3"/>
  <c r="DB296" i="3"/>
  <c r="DB303" i="3" s="1"/>
  <c r="DB298" i="3"/>
  <c r="DB305" i="3" s="1"/>
  <c r="DA306" i="3"/>
  <c r="DF9" i="3"/>
  <c r="DE10" i="3"/>
  <c r="DB294" i="3"/>
  <c r="DB301" i="3" s="1"/>
  <c r="DB295" i="3"/>
  <c r="DB302" i="3" s="1"/>
  <c r="DC264" i="3"/>
  <c r="DC262" i="3"/>
  <c r="DC260" i="3"/>
  <c r="DC266" i="3"/>
  <c r="DC258" i="3"/>
  <c r="DC288" i="3"/>
  <c r="DD6" i="3"/>
  <c r="DD64" i="3" s="1"/>
  <c r="DC261" i="3"/>
  <c r="DC267" i="3"/>
  <c r="DC13" i="3"/>
  <c r="DC265" i="3"/>
  <c r="DC279" i="3"/>
  <c r="DD7" i="3"/>
  <c r="DC259" i="3"/>
  <c r="DC285" i="3"/>
  <c r="DC263" i="3"/>
  <c r="DC282" i="3"/>
  <c r="DC8" i="3"/>
  <c r="DB297" i="3"/>
  <c r="DB304" i="3" s="1"/>
  <c r="DB10" i="56"/>
  <c r="DC9" i="56"/>
  <c r="CW257" i="3"/>
  <c r="CW268" i="3" s="1"/>
  <c r="CV270" i="3"/>
  <c r="DD6" i="56"/>
  <c r="DC13" i="56"/>
  <c r="DC8" i="56"/>
  <c r="DD7" i="56"/>
  <c r="CS344" i="3"/>
  <c r="DB20" i="56"/>
  <c r="DA22" i="56"/>
  <c r="CT308" i="3"/>
  <c r="CU271" i="3"/>
  <c r="CU272" i="3"/>
  <c r="DD289" i="3" l="1"/>
  <c r="DD286" i="3"/>
  <c r="DD280" i="3"/>
  <c r="DD283" i="3"/>
  <c r="DD276" i="3"/>
  <c r="DD277" i="3"/>
  <c r="DC340" i="3"/>
  <c r="DC66" i="3" s="1"/>
  <c r="DD90" i="3"/>
  <c r="DC59" i="3"/>
  <c r="DC296" i="3"/>
  <c r="DC303" i="3" s="1"/>
  <c r="DC294" i="3"/>
  <c r="DC301" i="3" s="1"/>
  <c r="DF10" i="3"/>
  <c r="DG9" i="3"/>
  <c r="DD264" i="3"/>
  <c r="DD260" i="3"/>
  <c r="DD258" i="3"/>
  <c r="DD262" i="3"/>
  <c r="DD266" i="3"/>
  <c r="DC297" i="3"/>
  <c r="DC304" i="3" s="1"/>
  <c r="DC295" i="3"/>
  <c r="DC302" i="3" s="1"/>
  <c r="DC298" i="3"/>
  <c r="DC305" i="3" s="1"/>
  <c r="DD261" i="3"/>
  <c r="DD263" i="3"/>
  <c r="DD13" i="3"/>
  <c r="DD8" i="3"/>
  <c r="DD259" i="3"/>
  <c r="DD285" i="3"/>
  <c r="DD288" i="3"/>
  <c r="DE7" i="3"/>
  <c r="DE6" i="3"/>
  <c r="DE64" i="3" s="1"/>
  <c r="DD265" i="3"/>
  <c r="DD279" i="3"/>
  <c r="DD282" i="3"/>
  <c r="DD267" i="3"/>
  <c r="DB306" i="3"/>
  <c r="DC10" i="56"/>
  <c r="DD9" i="56"/>
  <c r="CV271" i="3"/>
  <c r="CV272" i="3"/>
  <c r="CX257" i="3"/>
  <c r="CX268" i="3" s="1"/>
  <c r="CW270" i="3"/>
  <c r="CT344" i="3"/>
  <c r="DD8" i="56"/>
  <c r="DE6" i="56"/>
  <c r="DD13" i="56"/>
  <c r="DE7" i="56"/>
  <c r="AS83" i="3"/>
  <c r="AS84" i="3" s="1"/>
  <c r="CU308" i="3"/>
  <c r="DB22" i="56"/>
  <c r="DC20" i="56"/>
  <c r="DE289" i="3" l="1"/>
  <c r="DE286" i="3"/>
  <c r="DE280" i="3"/>
  <c r="DE283" i="3"/>
  <c r="DE276" i="3"/>
  <c r="DE277" i="3"/>
  <c r="DD340" i="3"/>
  <c r="DD66" i="3" s="1"/>
  <c r="DE59" i="3"/>
  <c r="DD59" i="3"/>
  <c r="DE90" i="3"/>
  <c r="DD296" i="3"/>
  <c r="DD303" i="3" s="1"/>
  <c r="DD295" i="3"/>
  <c r="DD302" i="3" s="1"/>
  <c r="DD297" i="3"/>
  <c r="DD304" i="3" s="1"/>
  <c r="DD294" i="3"/>
  <c r="DD301" i="3" s="1"/>
  <c r="DE259" i="3"/>
  <c r="DE288" i="3"/>
  <c r="DE265" i="3"/>
  <c r="DE282" i="3"/>
  <c r="DE8" i="3"/>
  <c r="DF6" i="3"/>
  <c r="DF64" i="3" s="1"/>
  <c r="DE13" i="3"/>
  <c r="DE261" i="3"/>
  <c r="DE267" i="3"/>
  <c r="DE285" i="3"/>
  <c r="DF7" i="3"/>
  <c r="DE263" i="3"/>
  <c r="DE279" i="3"/>
  <c r="DC306" i="3"/>
  <c r="DE260" i="3"/>
  <c r="DE266" i="3"/>
  <c r="DE258" i="3"/>
  <c r="DE264" i="3"/>
  <c r="DE262" i="3"/>
  <c r="DH9" i="3"/>
  <c r="DG10" i="3"/>
  <c r="DD298" i="3"/>
  <c r="DD305" i="3" s="1"/>
  <c r="DE9" i="56"/>
  <c r="DD10" i="56"/>
  <c r="CV308" i="3"/>
  <c r="DE8" i="56"/>
  <c r="DF7" i="56"/>
  <c r="DE13" i="56"/>
  <c r="DF6" i="56"/>
  <c r="DC22" i="56"/>
  <c r="DD20" i="56"/>
  <c r="AT85" i="3"/>
  <c r="CW271" i="3"/>
  <c r="CW272" i="3"/>
  <c r="CU344" i="3"/>
  <c r="CY257" i="3"/>
  <c r="CY268" i="3" s="1"/>
  <c r="CX270" i="3"/>
  <c r="DF289" i="3" l="1"/>
  <c r="DF286" i="3"/>
  <c r="DF280" i="3"/>
  <c r="DF283" i="3"/>
  <c r="DF277" i="3"/>
  <c r="DF276" i="3"/>
  <c r="DE340" i="3"/>
  <c r="DE66" i="3" s="1"/>
  <c r="DF90" i="3"/>
  <c r="AT86" i="3"/>
  <c r="DE295" i="3"/>
  <c r="DE302" i="3" s="1"/>
  <c r="DE297" i="3"/>
  <c r="DE304" i="3" s="1"/>
  <c r="DI9" i="3"/>
  <c r="DH10" i="3"/>
  <c r="DF261" i="3"/>
  <c r="DF259" i="3"/>
  <c r="DF13" i="3"/>
  <c r="DF8" i="3"/>
  <c r="DG7" i="3"/>
  <c r="DF267" i="3"/>
  <c r="DF263" i="3"/>
  <c r="DF285" i="3"/>
  <c r="DG6" i="3"/>
  <c r="DG64" i="3" s="1"/>
  <c r="DF282" i="3"/>
  <c r="DF279" i="3"/>
  <c r="DF265" i="3"/>
  <c r="DF288" i="3"/>
  <c r="DD306" i="3"/>
  <c r="DE294" i="3"/>
  <c r="DE301" i="3" s="1"/>
  <c r="DE298" i="3"/>
  <c r="DE305" i="3" s="1"/>
  <c r="DF264" i="3"/>
  <c r="DF262" i="3"/>
  <c r="DF260" i="3"/>
  <c r="DF266" i="3"/>
  <c r="DF258" i="3"/>
  <c r="DE296" i="3"/>
  <c r="DE303" i="3" s="1"/>
  <c r="DE10" i="56"/>
  <c r="DF9" i="56"/>
  <c r="CW308" i="3"/>
  <c r="DE20" i="56"/>
  <c r="DD22" i="56"/>
  <c r="CV344" i="3"/>
  <c r="CZ257" i="3"/>
  <c r="CZ268" i="3" s="1"/>
  <c r="CY270" i="3"/>
  <c r="DG6" i="56"/>
  <c r="DG7" i="56"/>
  <c r="DF8" i="56"/>
  <c r="DF13" i="56"/>
  <c r="CX271" i="3"/>
  <c r="CX272" i="3"/>
  <c r="DG289" i="3" l="1"/>
  <c r="DG286" i="3"/>
  <c r="DG280" i="3"/>
  <c r="DG283" i="3"/>
  <c r="DG276" i="3"/>
  <c r="DG277" i="3"/>
  <c r="DF340" i="3"/>
  <c r="DF66" i="3" s="1"/>
  <c r="DG59" i="3"/>
  <c r="DG90" i="3"/>
  <c r="DF59" i="3"/>
  <c r="DF296" i="3"/>
  <c r="DF303" i="3" s="1"/>
  <c r="DF294" i="3"/>
  <c r="DF301" i="3" s="1"/>
  <c r="DG260" i="3"/>
  <c r="DG258" i="3"/>
  <c r="DG262" i="3"/>
  <c r="DG266" i="3"/>
  <c r="DG264" i="3"/>
  <c r="DJ9" i="3"/>
  <c r="DI10" i="3"/>
  <c r="DF295" i="3"/>
  <c r="DF302" i="3" s="1"/>
  <c r="DF297" i="3"/>
  <c r="DF304" i="3" s="1"/>
  <c r="DG261" i="3"/>
  <c r="DG267" i="3"/>
  <c r="DG285" i="3"/>
  <c r="DG259" i="3"/>
  <c r="DH6" i="3"/>
  <c r="DH64" i="3" s="1"/>
  <c r="DG13" i="3"/>
  <c r="DH7" i="3"/>
  <c r="DG265" i="3"/>
  <c r="DG263" i="3"/>
  <c r="DG279" i="3"/>
  <c r="DG282" i="3"/>
  <c r="DG8" i="3"/>
  <c r="DG288" i="3"/>
  <c r="DE306" i="3"/>
  <c r="DF298" i="3"/>
  <c r="DF305" i="3" s="1"/>
  <c r="AT83" i="3"/>
  <c r="AT84" i="3" s="1"/>
  <c r="DG9" i="56"/>
  <c r="DF10" i="56"/>
  <c r="CW344" i="3"/>
  <c r="CY271" i="3"/>
  <c r="CY272" i="3"/>
  <c r="AU85" i="3"/>
  <c r="DG13" i="56"/>
  <c r="DG8" i="56"/>
  <c r="DH7" i="56"/>
  <c r="DH6" i="56"/>
  <c r="DA257" i="3"/>
  <c r="DA268" i="3" s="1"/>
  <c r="CZ270" i="3"/>
  <c r="CX308" i="3"/>
  <c r="DF20" i="56"/>
  <c r="DE22" i="56"/>
  <c r="DH289" i="3" l="1"/>
  <c r="DH286" i="3"/>
  <c r="DH280" i="3"/>
  <c r="DH283" i="3"/>
  <c r="DH277" i="3"/>
  <c r="DH276" i="3"/>
  <c r="DG340" i="3"/>
  <c r="DG66" i="3" s="1"/>
  <c r="DH90" i="3"/>
  <c r="AU86" i="3"/>
  <c r="DG297" i="3"/>
  <c r="DG304" i="3" s="1"/>
  <c r="DG294" i="3"/>
  <c r="DG301" i="3" s="1"/>
  <c r="DG295" i="3"/>
  <c r="DG302" i="3" s="1"/>
  <c r="DH261" i="3"/>
  <c r="DH13" i="3"/>
  <c r="DH8" i="3"/>
  <c r="DI7" i="3"/>
  <c r="DH267" i="3"/>
  <c r="DH285" i="3"/>
  <c r="DI6" i="3"/>
  <c r="DI64" i="3" s="1"/>
  <c r="DH263" i="3"/>
  <c r="DH279" i="3"/>
  <c r="DH265" i="3"/>
  <c r="DH259" i="3"/>
  <c r="DH288" i="3"/>
  <c r="DH282" i="3"/>
  <c r="DH262" i="3"/>
  <c r="DH260" i="3"/>
  <c r="DH258" i="3"/>
  <c r="DH264" i="3"/>
  <c r="DH266" i="3"/>
  <c r="DF306" i="3"/>
  <c r="DJ10" i="3"/>
  <c r="DK9" i="3"/>
  <c r="DG298" i="3"/>
  <c r="DG305" i="3" s="1"/>
  <c r="DG296" i="3"/>
  <c r="DG303" i="3" s="1"/>
  <c r="AU83" i="3"/>
  <c r="AU84" i="3" s="1"/>
  <c r="DG10" i="56"/>
  <c r="DH9" i="56"/>
  <c r="CZ271" i="3"/>
  <c r="CZ272" i="3"/>
  <c r="DB257" i="3"/>
  <c r="DB268" i="3" s="1"/>
  <c r="DA270" i="3"/>
  <c r="CX344" i="3"/>
  <c r="DH8" i="56"/>
  <c r="DI7" i="56"/>
  <c r="DI6" i="56"/>
  <c r="DH13" i="56"/>
  <c r="DG20" i="56"/>
  <c r="DF22" i="56"/>
  <c r="CY308" i="3"/>
  <c r="DI289" i="3" l="1"/>
  <c r="DI286" i="3"/>
  <c r="DI280" i="3"/>
  <c r="DI283" i="3"/>
  <c r="DI276" i="3"/>
  <c r="DI277" i="3"/>
  <c r="DH340" i="3"/>
  <c r="DH66" i="3" s="1"/>
  <c r="DI59" i="3"/>
  <c r="DI90" i="3"/>
  <c r="DH59" i="3"/>
  <c r="DH297" i="3"/>
  <c r="DH304" i="3" s="1"/>
  <c r="DH296" i="3"/>
  <c r="DH303" i="3" s="1"/>
  <c r="DH298" i="3"/>
  <c r="DH305" i="3" s="1"/>
  <c r="DI266" i="3"/>
  <c r="DI262" i="3"/>
  <c r="DI260" i="3"/>
  <c r="DI258" i="3"/>
  <c r="DI264" i="3"/>
  <c r="DI261" i="3"/>
  <c r="DI267" i="3"/>
  <c r="DI288" i="3"/>
  <c r="DI259" i="3"/>
  <c r="DI285" i="3"/>
  <c r="DI8" i="3"/>
  <c r="DJ7" i="3"/>
  <c r="DJ6" i="3"/>
  <c r="DJ64" i="3" s="1"/>
  <c r="DI263" i="3"/>
  <c r="DI13" i="3"/>
  <c r="DI265" i="3"/>
  <c r="DI279" i="3"/>
  <c r="DI282" i="3"/>
  <c r="DH295" i="3"/>
  <c r="DH302" i="3" s="1"/>
  <c r="DK10" i="3"/>
  <c r="DL9" i="3"/>
  <c r="DH294" i="3"/>
  <c r="DH301" i="3" s="1"/>
  <c r="DG306" i="3"/>
  <c r="AV85" i="3"/>
  <c r="DI9" i="56"/>
  <c r="DH10" i="56"/>
  <c r="CY344" i="3"/>
  <c r="DH20" i="56"/>
  <c r="DG22" i="56"/>
  <c r="DA271" i="3"/>
  <c r="DA272" i="3"/>
  <c r="DI13" i="56"/>
  <c r="DI8" i="56"/>
  <c r="DJ6" i="56"/>
  <c r="DJ7" i="56"/>
  <c r="DC257" i="3"/>
  <c r="DC268" i="3" s="1"/>
  <c r="DB270" i="3"/>
  <c r="CZ308" i="3"/>
  <c r="DJ289" i="3" l="1"/>
  <c r="DJ286" i="3"/>
  <c r="DJ280" i="3"/>
  <c r="DJ283" i="3"/>
  <c r="DJ276" i="3"/>
  <c r="DJ277" i="3"/>
  <c r="DI340" i="3"/>
  <c r="DI66" i="3" s="1"/>
  <c r="DJ59" i="3"/>
  <c r="DJ90" i="3"/>
  <c r="AV86" i="3"/>
  <c r="DI295" i="3"/>
  <c r="DI302" i="3" s="1"/>
  <c r="DJ266" i="3"/>
  <c r="DJ262" i="3"/>
  <c r="DJ260" i="3"/>
  <c r="DJ258" i="3"/>
  <c r="DJ264" i="3"/>
  <c r="DM9" i="3"/>
  <c r="DL10" i="3"/>
  <c r="DK7" i="3"/>
  <c r="DJ263" i="3"/>
  <c r="DJ259" i="3"/>
  <c r="DJ285" i="3"/>
  <c r="DJ279" i="3"/>
  <c r="DJ288" i="3"/>
  <c r="DJ261" i="3"/>
  <c r="DK6" i="3"/>
  <c r="DK64" i="3" s="1"/>
  <c r="DJ265" i="3"/>
  <c r="DJ282" i="3"/>
  <c r="DJ267" i="3"/>
  <c r="DJ13" i="3"/>
  <c r="DJ8" i="3"/>
  <c r="DI296" i="3"/>
  <c r="DI303" i="3" s="1"/>
  <c r="DI294" i="3"/>
  <c r="DI301" i="3" s="1"/>
  <c r="DI297" i="3"/>
  <c r="DI304" i="3" s="1"/>
  <c r="DH306" i="3"/>
  <c r="DI298" i="3"/>
  <c r="DI305" i="3" s="1"/>
  <c r="DI10" i="56"/>
  <c r="DJ9" i="56"/>
  <c r="DI20" i="56"/>
  <c r="DH22" i="56"/>
  <c r="CZ344" i="3"/>
  <c r="DB271" i="3"/>
  <c r="DB272" i="3"/>
  <c r="DA308" i="3"/>
  <c r="DD257" i="3"/>
  <c r="DD268" i="3" s="1"/>
  <c r="DC270" i="3"/>
  <c r="DJ13" i="56"/>
  <c r="DK6" i="56"/>
  <c r="DK7" i="56"/>
  <c r="DJ8" i="56"/>
  <c r="DK289" i="3" l="1"/>
  <c r="DK286" i="3"/>
  <c r="DK280" i="3"/>
  <c r="DK283" i="3"/>
  <c r="DK277" i="3"/>
  <c r="DK276" i="3"/>
  <c r="DJ340" i="3"/>
  <c r="DJ66" i="3" s="1"/>
  <c r="DK90" i="3"/>
  <c r="DJ295" i="3"/>
  <c r="DJ302" i="3" s="1"/>
  <c r="DJ298" i="3"/>
  <c r="DJ305" i="3" s="1"/>
  <c r="DI306" i="3"/>
  <c r="DK260" i="3"/>
  <c r="DK258" i="3"/>
  <c r="DK264" i="3"/>
  <c r="DK262" i="3"/>
  <c r="DK266" i="3"/>
  <c r="DL6" i="3"/>
  <c r="DL64" i="3" s="1"/>
  <c r="DK263" i="3"/>
  <c r="DK13" i="3"/>
  <c r="DK259" i="3"/>
  <c r="DK282" i="3"/>
  <c r="DK267" i="3"/>
  <c r="DL7" i="3"/>
  <c r="DK261" i="3"/>
  <c r="DK285" i="3"/>
  <c r="DK265" i="3"/>
  <c r="DK279" i="3"/>
  <c r="DK8" i="3"/>
  <c r="DK288" i="3"/>
  <c r="DJ296" i="3"/>
  <c r="DJ303" i="3" s="1"/>
  <c r="DJ297" i="3"/>
  <c r="DJ304" i="3" s="1"/>
  <c r="DJ294" i="3"/>
  <c r="DJ301" i="3" s="1"/>
  <c r="DN9" i="3"/>
  <c r="DM10" i="3"/>
  <c r="DJ10" i="56"/>
  <c r="DK9" i="56"/>
  <c r="DJ20" i="56"/>
  <c r="DI22" i="56"/>
  <c r="DB308" i="3"/>
  <c r="DK8" i="56"/>
  <c r="DL6" i="56"/>
  <c r="DL7" i="56"/>
  <c r="DK13" i="56"/>
  <c r="DC271" i="3"/>
  <c r="DC272" i="3"/>
  <c r="DE257" i="3"/>
  <c r="DE268" i="3" s="1"/>
  <c r="DD270" i="3"/>
  <c r="DA344" i="3"/>
  <c r="AV83" i="3"/>
  <c r="AV84" i="3" s="1"/>
  <c r="DL289" i="3" l="1"/>
  <c r="DL286" i="3"/>
  <c r="DL280" i="3"/>
  <c r="DL283" i="3"/>
  <c r="DL276" i="3"/>
  <c r="DL277" i="3"/>
  <c r="DK340" i="3"/>
  <c r="DK66" i="3" s="1"/>
  <c r="DL59" i="3"/>
  <c r="DL90" i="3"/>
  <c r="DK59" i="3"/>
  <c r="DK294" i="3"/>
  <c r="DK301" i="3" s="1"/>
  <c r="DK297" i="3"/>
  <c r="DK304" i="3" s="1"/>
  <c r="DK298" i="3"/>
  <c r="DK305" i="3" s="1"/>
  <c r="DK295" i="3"/>
  <c r="DK302" i="3" s="1"/>
  <c r="DL264" i="3"/>
  <c r="DL262" i="3"/>
  <c r="DL260" i="3"/>
  <c r="DL266" i="3"/>
  <c r="DL258" i="3"/>
  <c r="DK296" i="3"/>
  <c r="DK303" i="3" s="1"/>
  <c r="DL261" i="3"/>
  <c r="DL263" i="3"/>
  <c r="DL13" i="3"/>
  <c r="DL8" i="3"/>
  <c r="DM7" i="3"/>
  <c r="DL259" i="3"/>
  <c r="DL285" i="3"/>
  <c r="DM6" i="3"/>
  <c r="DM64" i="3" s="1"/>
  <c r="DL265" i="3"/>
  <c r="DL279" i="3"/>
  <c r="DL282" i="3"/>
  <c r="DL267" i="3"/>
  <c r="DL288" i="3"/>
  <c r="DJ306" i="3"/>
  <c r="DN10" i="3"/>
  <c r="DO9" i="3"/>
  <c r="DK10" i="56"/>
  <c r="DL9" i="56"/>
  <c r="DC308" i="3"/>
  <c r="AW85" i="3"/>
  <c r="DM6" i="56"/>
  <c r="DL8" i="56"/>
  <c r="DM7" i="56"/>
  <c r="DL13" i="56"/>
  <c r="DD271" i="3"/>
  <c r="DD272" i="3"/>
  <c r="DK20" i="56"/>
  <c r="DJ22" i="56"/>
  <c r="DF257" i="3"/>
  <c r="DF268" i="3" s="1"/>
  <c r="DE270" i="3"/>
  <c r="DB344" i="3"/>
  <c r="DM289" i="3" l="1"/>
  <c r="DM286" i="3"/>
  <c r="DM280" i="3"/>
  <c r="DM283" i="3"/>
  <c r="DM276" i="3"/>
  <c r="DM277" i="3"/>
  <c r="DL340" i="3"/>
  <c r="DL66" i="3" s="1"/>
  <c r="DM59" i="3"/>
  <c r="DM90" i="3"/>
  <c r="AW86" i="3"/>
  <c r="DL296" i="3"/>
  <c r="DL303" i="3" s="1"/>
  <c r="DL297" i="3"/>
  <c r="DL304" i="3" s="1"/>
  <c r="DL295" i="3"/>
  <c r="DL302" i="3" s="1"/>
  <c r="DO10" i="3"/>
  <c r="DP9" i="3"/>
  <c r="DM258" i="3"/>
  <c r="DM264" i="3"/>
  <c r="DM266" i="3"/>
  <c r="DM262" i="3"/>
  <c r="DM260" i="3"/>
  <c r="DL294" i="3"/>
  <c r="DL301" i="3" s="1"/>
  <c r="DK306" i="3"/>
  <c r="DN6" i="3"/>
  <c r="DN64" i="3" s="1"/>
  <c r="DM263" i="3"/>
  <c r="DM13" i="3"/>
  <c r="DM261" i="3"/>
  <c r="DM259" i="3"/>
  <c r="DM282" i="3"/>
  <c r="DM279" i="3"/>
  <c r="DM288" i="3"/>
  <c r="DN7" i="3"/>
  <c r="DM285" i="3"/>
  <c r="DM265" i="3"/>
  <c r="DM8" i="3"/>
  <c r="DM267" i="3"/>
  <c r="DL298" i="3"/>
  <c r="DL305" i="3" s="1"/>
  <c r="DM9" i="56"/>
  <c r="DL10" i="56"/>
  <c r="DD308" i="3"/>
  <c r="DM8" i="56"/>
  <c r="DN7" i="56"/>
  <c r="DN6" i="56"/>
  <c r="DM13" i="56"/>
  <c r="DC344" i="3"/>
  <c r="DE271" i="3"/>
  <c r="DE272" i="3"/>
  <c r="DK22" i="56"/>
  <c r="DL20" i="56"/>
  <c r="DG257" i="3"/>
  <c r="DG268" i="3" s="1"/>
  <c r="DF270" i="3"/>
  <c r="DN289" i="3" l="1"/>
  <c r="DN286" i="3"/>
  <c r="DN280" i="3"/>
  <c r="DN283" i="3"/>
  <c r="DN277" i="3"/>
  <c r="DN276" i="3"/>
  <c r="DM340" i="3"/>
  <c r="DM66" i="3" s="1"/>
  <c r="DN90" i="3"/>
  <c r="DM297" i="3"/>
  <c r="DM304" i="3" s="1"/>
  <c r="DM295" i="3"/>
  <c r="DM302" i="3" s="1"/>
  <c r="DL306" i="3"/>
  <c r="DM294" i="3"/>
  <c r="DM301" i="3" s="1"/>
  <c r="DQ9" i="3"/>
  <c r="DP10" i="3"/>
  <c r="DO6" i="3"/>
  <c r="DO64" i="3" s="1"/>
  <c r="DN265" i="3"/>
  <c r="DN267" i="3"/>
  <c r="DN288" i="3"/>
  <c r="DO7" i="3"/>
  <c r="DN259" i="3"/>
  <c r="DN279" i="3"/>
  <c r="DN261" i="3"/>
  <c r="DN263" i="3"/>
  <c r="DN13" i="3"/>
  <c r="DN8" i="3"/>
  <c r="DN285" i="3"/>
  <c r="DN282" i="3"/>
  <c r="DN264" i="3"/>
  <c r="DN266" i="3"/>
  <c r="DN258" i="3"/>
  <c r="DN262" i="3"/>
  <c r="DN260" i="3"/>
  <c r="DM298" i="3"/>
  <c r="DM305" i="3" s="1"/>
  <c r="DM296" i="3"/>
  <c r="DM303" i="3" s="1"/>
  <c r="DN9" i="56"/>
  <c r="DM10" i="56"/>
  <c r="DF271" i="3"/>
  <c r="DF272" i="3"/>
  <c r="AW83" i="3"/>
  <c r="AW84" i="3" s="1"/>
  <c r="DM20" i="56"/>
  <c r="DL22" i="56"/>
  <c r="DD344" i="3"/>
  <c r="DH257" i="3"/>
  <c r="DH268" i="3" s="1"/>
  <c r="DG270" i="3"/>
  <c r="DE308" i="3"/>
  <c r="DN8" i="56"/>
  <c r="DO7" i="56"/>
  <c r="DO6" i="56"/>
  <c r="DN13" i="56"/>
  <c r="DO289" i="3" l="1"/>
  <c r="DO286" i="3"/>
  <c r="DO280" i="3"/>
  <c r="DO283" i="3"/>
  <c r="DO276" i="3"/>
  <c r="DO277" i="3"/>
  <c r="DN340" i="3"/>
  <c r="DN66" i="3" s="1"/>
  <c r="DO59" i="3"/>
  <c r="DN59" i="3"/>
  <c r="DO90" i="3"/>
  <c r="DN298" i="3"/>
  <c r="DN305" i="3" s="1"/>
  <c r="DM306" i="3"/>
  <c r="DR9" i="3"/>
  <c r="DQ10" i="3"/>
  <c r="DN297" i="3"/>
  <c r="DN304" i="3" s="1"/>
  <c r="DO266" i="3"/>
  <c r="DO258" i="3"/>
  <c r="DO264" i="3"/>
  <c r="DO262" i="3"/>
  <c r="DO260" i="3"/>
  <c r="DP6" i="3"/>
  <c r="DP64" i="3" s="1"/>
  <c r="DO261" i="3"/>
  <c r="DO285" i="3"/>
  <c r="DO267" i="3"/>
  <c r="DO288" i="3"/>
  <c r="DO265" i="3"/>
  <c r="DO259" i="3"/>
  <c r="DO279" i="3"/>
  <c r="DO282" i="3"/>
  <c r="DO8" i="3"/>
  <c r="DP7" i="3"/>
  <c r="DO263" i="3"/>
  <c r="DO13" i="3"/>
  <c r="DN295" i="3"/>
  <c r="DN302" i="3" s="1"/>
  <c r="DN296" i="3"/>
  <c r="DN303" i="3" s="1"/>
  <c r="DN294" i="3"/>
  <c r="DN301" i="3" s="1"/>
  <c r="DN10" i="56"/>
  <c r="DO9" i="56"/>
  <c r="AX85" i="3"/>
  <c r="DE344" i="3"/>
  <c r="DG271" i="3"/>
  <c r="DG272" i="3"/>
  <c r="DF308" i="3"/>
  <c r="DI257" i="3"/>
  <c r="DI268" i="3" s="1"/>
  <c r="DH270" i="3"/>
  <c r="DN20" i="56"/>
  <c r="DM22" i="56"/>
  <c r="DO8" i="56"/>
  <c r="DP7" i="56"/>
  <c r="DO13" i="56"/>
  <c r="DP6" i="56"/>
  <c r="DP289" i="3" l="1"/>
  <c r="DP286" i="3"/>
  <c r="DP280" i="3"/>
  <c r="DP283" i="3"/>
  <c r="DP276" i="3"/>
  <c r="DP277" i="3"/>
  <c r="DO340" i="3"/>
  <c r="DO66" i="3" s="1"/>
  <c r="DP90" i="3"/>
  <c r="DO298" i="3"/>
  <c r="DO305" i="3" s="1"/>
  <c r="AX86" i="3"/>
  <c r="DO297" i="3"/>
  <c r="DO304" i="3" s="1"/>
  <c r="DO296" i="3"/>
  <c r="DO303" i="3" s="1"/>
  <c r="DN306" i="3"/>
  <c r="DP264" i="3"/>
  <c r="DP262" i="3"/>
  <c r="DP260" i="3"/>
  <c r="DP266" i="3"/>
  <c r="DP258" i="3"/>
  <c r="DP261" i="3"/>
  <c r="DP267" i="3"/>
  <c r="DP13" i="3"/>
  <c r="DP8" i="3"/>
  <c r="DQ6" i="3"/>
  <c r="DQ64" i="3" s="1"/>
  <c r="DP259" i="3"/>
  <c r="DP282" i="3"/>
  <c r="DP265" i="3"/>
  <c r="DP288" i="3"/>
  <c r="DQ7" i="3"/>
  <c r="DP263" i="3"/>
  <c r="DP285" i="3"/>
  <c r="DP279" i="3"/>
  <c r="DO295" i="3"/>
  <c r="DO302" i="3" s="1"/>
  <c r="DO294" i="3"/>
  <c r="DO301" i="3" s="1"/>
  <c r="DR10" i="3"/>
  <c r="DS9" i="3"/>
  <c r="DO10" i="56"/>
  <c r="DP9" i="56"/>
  <c r="DH271" i="3"/>
  <c r="DH272" i="3"/>
  <c r="DQ6" i="56"/>
  <c r="DQ7" i="56"/>
  <c r="DP8" i="56"/>
  <c r="DP13" i="56"/>
  <c r="DJ257" i="3"/>
  <c r="DJ268" i="3" s="1"/>
  <c r="DI270" i="3"/>
  <c r="DG308" i="3"/>
  <c r="DO20" i="56"/>
  <c r="DN22" i="56"/>
  <c r="DF344" i="3"/>
  <c r="DQ289" i="3" l="1"/>
  <c r="DQ286" i="3"/>
  <c r="DQ280" i="3"/>
  <c r="DQ283" i="3"/>
  <c r="DQ276" i="3"/>
  <c r="DQ277" i="3"/>
  <c r="DP340" i="3"/>
  <c r="DP66" i="3" s="1"/>
  <c r="DQ59" i="3"/>
  <c r="DQ90" i="3"/>
  <c r="DP59" i="3"/>
  <c r="DP297" i="3"/>
  <c r="DP304" i="3" s="1"/>
  <c r="DO306" i="3"/>
  <c r="DQ258" i="3"/>
  <c r="DQ264" i="3"/>
  <c r="DQ262" i="3"/>
  <c r="DQ260" i="3"/>
  <c r="DQ266" i="3"/>
  <c r="DT9" i="3"/>
  <c r="DS10" i="3"/>
  <c r="DQ265" i="3"/>
  <c r="DQ267" i="3"/>
  <c r="DQ285" i="3"/>
  <c r="DQ8" i="3"/>
  <c r="DR7" i="3"/>
  <c r="DQ279" i="3"/>
  <c r="DQ261" i="3"/>
  <c r="DQ288" i="3"/>
  <c r="DQ282" i="3"/>
  <c r="DQ263" i="3"/>
  <c r="DQ13" i="3"/>
  <c r="DR6" i="3"/>
  <c r="DR64" i="3" s="1"/>
  <c r="DQ259" i="3"/>
  <c r="DP295" i="3"/>
  <c r="DP302" i="3" s="1"/>
  <c r="DP298" i="3"/>
  <c r="DP305" i="3" s="1"/>
  <c r="DP296" i="3"/>
  <c r="DP303" i="3" s="1"/>
  <c r="DP294" i="3"/>
  <c r="DP301" i="3" s="1"/>
  <c r="AX83" i="3"/>
  <c r="AX84" i="3" s="1"/>
  <c r="DP10" i="56"/>
  <c r="DQ9" i="56"/>
  <c r="DP20" i="56"/>
  <c r="DO22" i="56"/>
  <c r="DI271" i="3"/>
  <c r="DI272" i="3"/>
  <c r="DQ13" i="56"/>
  <c r="DR6" i="56"/>
  <c r="DQ8" i="56"/>
  <c r="DR7" i="56"/>
  <c r="DH308" i="3"/>
  <c r="AY85" i="3"/>
  <c r="DK257" i="3"/>
  <c r="DK268" i="3" s="1"/>
  <c r="DJ270" i="3"/>
  <c r="DG344" i="3"/>
  <c r="DR289" i="3" l="1"/>
  <c r="DR286" i="3"/>
  <c r="DR280" i="3"/>
  <c r="DR283" i="3"/>
  <c r="DR276" i="3"/>
  <c r="DR277" i="3"/>
  <c r="DQ340" i="3"/>
  <c r="DQ66" i="3" s="1"/>
  <c r="DR90" i="3"/>
  <c r="AY86" i="3"/>
  <c r="DR261" i="3"/>
  <c r="DR263" i="3"/>
  <c r="DR13" i="3"/>
  <c r="DR8" i="3"/>
  <c r="DS6" i="3"/>
  <c r="DS64" i="3" s="1"/>
  <c r="DR279" i="3"/>
  <c r="DS7" i="3"/>
  <c r="DR259" i="3"/>
  <c r="DR285" i="3"/>
  <c r="DR265" i="3"/>
  <c r="DR282" i="3"/>
  <c r="DR267" i="3"/>
  <c r="DR288" i="3"/>
  <c r="DP306" i="3"/>
  <c r="DR264" i="3"/>
  <c r="DR262" i="3"/>
  <c r="DR260" i="3"/>
  <c r="DR266" i="3"/>
  <c r="DR258" i="3"/>
  <c r="DU9" i="3"/>
  <c r="DT10" i="3"/>
  <c r="DQ295" i="3"/>
  <c r="DQ302" i="3" s="1"/>
  <c r="DQ297" i="3"/>
  <c r="DQ304" i="3" s="1"/>
  <c r="DQ294" i="3"/>
  <c r="DQ301" i="3" s="1"/>
  <c r="DQ296" i="3"/>
  <c r="DQ303" i="3" s="1"/>
  <c r="DQ298" i="3"/>
  <c r="DQ305" i="3" s="1"/>
  <c r="DR9" i="56"/>
  <c r="DQ10" i="56"/>
  <c r="AY83" i="3"/>
  <c r="AY84" i="3" s="1"/>
  <c r="DL257" i="3"/>
  <c r="DL268" i="3" s="1"/>
  <c r="DK270" i="3"/>
  <c r="DH344" i="3"/>
  <c r="DQ20" i="56"/>
  <c r="DP22" i="56"/>
  <c r="DR8" i="56"/>
  <c r="DR13" i="56"/>
  <c r="DS7" i="56"/>
  <c r="DS6" i="56"/>
  <c r="DI308" i="3"/>
  <c r="DJ271" i="3"/>
  <c r="DJ272" i="3"/>
  <c r="DS289" i="3" l="1"/>
  <c r="DS286" i="3"/>
  <c r="DS280" i="3"/>
  <c r="DS283" i="3"/>
  <c r="DS276" i="3"/>
  <c r="DS277" i="3"/>
  <c r="DR340" i="3"/>
  <c r="DR66" i="3" s="1"/>
  <c r="DS59" i="3"/>
  <c r="DR59" i="3"/>
  <c r="DS90" i="3"/>
  <c r="DR298" i="3"/>
  <c r="DR305" i="3" s="1"/>
  <c r="DR296" i="3"/>
  <c r="DR303" i="3" s="1"/>
  <c r="DS262" i="3"/>
  <c r="DS260" i="3"/>
  <c r="DS266" i="3"/>
  <c r="DS258" i="3"/>
  <c r="DS264" i="3"/>
  <c r="DQ306" i="3"/>
  <c r="DV9" i="3"/>
  <c r="DU10" i="3"/>
  <c r="DS263" i="3"/>
  <c r="DS288" i="3"/>
  <c r="DT7" i="3"/>
  <c r="DS265" i="3"/>
  <c r="DS279" i="3"/>
  <c r="DT6" i="3"/>
  <c r="DT64" i="3" s="1"/>
  <c r="DS259" i="3"/>
  <c r="DS13" i="3"/>
  <c r="DS261" i="3"/>
  <c r="DS267" i="3"/>
  <c r="DS285" i="3"/>
  <c r="DS282" i="3"/>
  <c r="DS8" i="3"/>
  <c r="DR297" i="3"/>
  <c r="DR304" i="3" s="1"/>
  <c r="DR295" i="3"/>
  <c r="DR302" i="3" s="1"/>
  <c r="DR294" i="3"/>
  <c r="DR301" i="3" s="1"/>
  <c r="AZ85" i="3"/>
  <c r="DR10" i="56"/>
  <c r="DS9" i="56"/>
  <c r="DI344" i="3"/>
  <c r="DT7" i="56"/>
  <c r="DS13" i="56"/>
  <c r="DS8" i="56"/>
  <c r="DT6" i="56"/>
  <c r="DQ22" i="56"/>
  <c r="DR20" i="56"/>
  <c r="DJ308" i="3"/>
  <c r="DK271" i="3"/>
  <c r="DK272" i="3"/>
  <c r="DM257" i="3"/>
  <c r="DM268" i="3" s="1"/>
  <c r="DL270" i="3"/>
  <c r="DT289" i="3" l="1"/>
  <c r="DT286" i="3"/>
  <c r="DT280" i="3"/>
  <c r="DT283" i="3"/>
  <c r="DT276" i="3"/>
  <c r="DT277" i="3"/>
  <c r="DS340" i="3"/>
  <c r="DS66" i="3" s="1"/>
  <c r="DT90" i="3"/>
  <c r="AZ86" i="3"/>
  <c r="DS294" i="3"/>
  <c r="DS301" i="3" s="1"/>
  <c r="DT266" i="3"/>
  <c r="DT264" i="3"/>
  <c r="DT258" i="3"/>
  <c r="DT262" i="3"/>
  <c r="DT260" i="3"/>
  <c r="DU6" i="3"/>
  <c r="DU64" i="3" s="1"/>
  <c r="DT265" i="3"/>
  <c r="DT267" i="3"/>
  <c r="DT279" i="3"/>
  <c r="DT282" i="3"/>
  <c r="DT263" i="3"/>
  <c r="DT13" i="3"/>
  <c r="DT288" i="3"/>
  <c r="DT261" i="3"/>
  <c r="DT8" i="3"/>
  <c r="DU7" i="3"/>
  <c r="DT259" i="3"/>
  <c r="DT285" i="3"/>
  <c r="DV10" i="3"/>
  <c r="DW9" i="3"/>
  <c r="DS295" i="3"/>
  <c r="DS302" i="3" s="1"/>
  <c r="DS298" i="3"/>
  <c r="DS305" i="3" s="1"/>
  <c r="DR306" i="3"/>
  <c r="DS296" i="3"/>
  <c r="DS303" i="3" s="1"/>
  <c r="DS297" i="3"/>
  <c r="DS304" i="3" s="1"/>
  <c r="AZ83" i="3"/>
  <c r="AZ84" i="3" s="1"/>
  <c r="DS10" i="56"/>
  <c r="DT9" i="56"/>
  <c r="DL271" i="3"/>
  <c r="DL272" i="3"/>
  <c r="DT8" i="56"/>
  <c r="DU6" i="56"/>
  <c r="DU7" i="56"/>
  <c r="DT13" i="56"/>
  <c r="DK308" i="3"/>
  <c r="DS20" i="56"/>
  <c r="DR22" i="56"/>
  <c r="DN257" i="3"/>
  <c r="DN268" i="3" s="1"/>
  <c r="DM270" i="3"/>
  <c r="DJ344" i="3"/>
  <c r="DU289" i="3" l="1"/>
  <c r="DU286" i="3"/>
  <c r="DU280" i="3"/>
  <c r="DU283" i="3"/>
  <c r="DU276" i="3"/>
  <c r="DU277" i="3"/>
  <c r="DT340" i="3"/>
  <c r="DT66" i="3" s="1"/>
  <c r="DU59" i="3"/>
  <c r="DU90" i="3"/>
  <c r="DT59" i="3"/>
  <c r="DV6" i="3"/>
  <c r="DV64" i="3" s="1"/>
  <c r="DU259" i="3"/>
  <c r="DU288" i="3"/>
  <c r="DU282" i="3"/>
  <c r="DU261" i="3"/>
  <c r="DU267" i="3"/>
  <c r="DU285" i="3"/>
  <c r="DV7" i="3"/>
  <c r="DU265" i="3"/>
  <c r="DU263" i="3"/>
  <c r="DU13" i="3"/>
  <c r="DU279" i="3"/>
  <c r="DU8" i="3"/>
  <c r="DT294" i="3"/>
  <c r="DT301" i="3" s="1"/>
  <c r="DT298" i="3"/>
  <c r="DT305" i="3" s="1"/>
  <c r="DT296" i="3"/>
  <c r="DT303" i="3" s="1"/>
  <c r="DS306" i="3"/>
  <c r="DW10" i="3"/>
  <c r="DX9" i="3"/>
  <c r="DU262" i="3"/>
  <c r="DU260" i="3"/>
  <c r="DU266" i="3"/>
  <c r="DU258" i="3"/>
  <c r="DU264" i="3"/>
  <c r="DT295" i="3"/>
  <c r="DT302" i="3" s="1"/>
  <c r="DT297" i="3"/>
  <c r="DT304" i="3" s="1"/>
  <c r="BA85" i="3"/>
  <c r="DU9" i="56"/>
  <c r="DT10" i="56"/>
  <c r="DK344" i="3"/>
  <c r="DM271" i="3"/>
  <c r="DM272" i="3"/>
  <c r="DL308" i="3"/>
  <c r="DO257" i="3"/>
  <c r="DO268" i="3" s="1"/>
  <c r="DN270" i="3"/>
  <c r="DS22" i="56"/>
  <c r="DT20" i="56"/>
  <c r="DV7" i="56"/>
  <c r="DV6" i="56"/>
  <c r="DU8" i="56"/>
  <c r="DU13" i="56"/>
  <c r="DV289" i="3" l="1"/>
  <c r="DV286" i="3"/>
  <c r="DV280" i="3"/>
  <c r="DV283" i="3"/>
  <c r="DV277" i="3"/>
  <c r="DV276" i="3"/>
  <c r="DU340" i="3"/>
  <c r="DU66" i="3" s="1"/>
  <c r="DV90" i="3"/>
  <c r="BA86" i="3"/>
  <c r="DU296" i="3"/>
  <c r="DU303" i="3" s="1"/>
  <c r="DU295" i="3"/>
  <c r="DU302" i="3" s="1"/>
  <c r="DY9" i="3"/>
  <c r="DY10" i="3" s="1"/>
  <c r="DX10" i="3"/>
  <c r="DV264" i="3"/>
  <c r="DV262" i="3"/>
  <c r="DV260" i="3"/>
  <c r="DV266" i="3"/>
  <c r="DV258" i="3"/>
  <c r="DU294" i="3"/>
  <c r="DU301" i="3" s="1"/>
  <c r="DU297" i="3"/>
  <c r="DU304" i="3" s="1"/>
  <c r="DU298" i="3"/>
  <c r="DU305" i="3" s="1"/>
  <c r="DT306" i="3"/>
  <c r="DW6" i="3"/>
  <c r="DW64" i="3" s="1"/>
  <c r="DV282" i="3"/>
  <c r="DV285" i="3"/>
  <c r="DV265" i="3"/>
  <c r="DV279" i="3"/>
  <c r="DW7" i="3"/>
  <c r="DV263" i="3"/>
  <c r="DV261" i="3"/>
  <c r="DV259" i="3"/>
  <c r="DV13" i="3"/>
  <c r="DV288" i="3"/>
  <c r="DV8" i="3"/>
  <c r="DV267" i="3"/>
  <c r="BA83" i="3"/>
  <c r="BA84" i="3" s="1"/>
  <c r="DV9" i="56"/>
  <c r="DU10" i="56"/>
  <c r="DM308" i="3"/>
  <c r="DV13" i="56"/>
  <c r="DW7" i="56"/>
  <c r="DW6" i="56"/>
  <c r="DV8" i="56"/>
  <c r="DN271" i="3"/>
  <c r="DN272" i="3"/>
  <c r="DP257" i="3"/>
  <c r="DP268" i="3" s="1"/>
  <c r="DO270" i="3"/>
  <c r="DL344" i="3"/>
  <c r="DU20" i="56"/>
  <c r="DT22" i="56"/>
  <c r="DW289" i="3" l="1"/>
  <c r="DW286" i="3"/>
  <c r="DW280" i="3"/>
  <c r="DW283" i="3"/>
  <c r="DW276" i="3"/>
  <c r="DW277" i="3"/>
  <c r="DV340" i="3"/>
  <c r="DV66" i="3" s="1"/>
  <c r="DW59" i="3"/>
  <c r="DV59" i="3"/>
  <c r="DW90" i="3"/>
  <c r="DW262" i="3"/>
  <c r="DW266" i="3"/>
  <c r="DW258" i="3"/>
  <c r="DW260" i="3"/>
  <c r="DW264" i="3"/>
  <c r="DU306" i="3"/>
  <c r="DX6" i="3"/>
  <c r="DX64" i="3" s="1"/>
  <c r="DW259" i="3"/>
  <c r="DW267" i="3"/>
  <c r="DW288" i="3"/>
  <c r="DW263" i="3"/>
  <c r="DW285" i="3"/>
  <c r="DW13" i="3"/>
  <c r="DW261" i="3"/>
  <c r="DW282" i="3"/>
  <c r="DW265" i="3"/>
  <c r="DW8" i="3"/>
  <c r="DX7" i="3"/>
  <c r="DW279" i="3"/>
  <c r="DV298" i="3"/>
  <c r="DV305" i="3" s="1"/>
  <c r="DV295" i="3"/>
  <c r="DV302" i="3" s="1"/>
  <c r="DV294" i="3"/>
  <c r="DV301" i="3" s="1"/>
  <c r="DV297" i="3"/>
  <c r="DV304" i="3" s="1"/>
  <c r="DV296" i="3"/>
  <c r="DV303" i="3" s="1"/>
  <c r="BB85" i="3"/>
  <c r="DV10" i="56"/>
  <c r="DW9" i="56"/>
  <c r="DV20" i="56"/>
  <c r="DU22" i="56"/>
  <c r="DO271" i="3"/>
  <c r="DO272" i="3"/>
  <c r="DN308" i="3"/>
  <c r="DX6" i="56"/>
  <c r="DW8" i="56"/>
  <c r="DX7" i="56"/>
  <c r="DW13" i="56"/>
  <c r="DQ257" i="3"/>
  <c r="DQ268" i="3" s="1"/>
  <c r="DP270" i="3"/>
  <c r="DM344" i="3"/>
  <c r="DX289" i="3" l="1"/>
  <c r="DX286" i="3"/>
  <c r="DX280" i="3"/>
  <c r="DX283" i="3"/>
  <c r="DX276" i="3"/>
  <c r="DX277" i="3"/>
  <c r="L118" i="2"/>
  <c r="L119" i="2"/>
  <c r="DW340" i="3"/>
  <c r="DW66" i="3" s="1"/>
  <c r="DX90" i="3"/>
  <c r="BB86" i="3"/>
  <c r="DW297" i="3"/>
  <c r="DW304" i="3" s="1"/>
  <c r="DW295" i="3"/>
  <c r="DW302" i="3" s="1"/>
  <c r="DY7" i="3"/>
  <c r="DX279" i="3"/>
  <c r="DX288" i="3"/>
  <c r="DX261" i="3"/>
  <c r="DX267" i="3"/>
  <c r="DX8" i="3"/>
  <c r="DY6" i="3"/>
  <c r="DX263" i="3"/>
  <c r="DX13" i="3"/>
  <c r="DX282" i="3"/>
  <c r="DX265" i="3"/>
  <c r="DX259" i="3"/>
  <c r="DX285" i="3"/>
  <c r="DV306" i="3"/>
  <c r="DX262" i="3"/>
  <c r="DX260" i="3"/>
  <c r="DX258" i="3"/>
  <c r="DX266" i="3"/>
  <c r="DX264" i="3"/>
  <c r="DW296" i="3"/>
  <c r="DW303" i="3" s="1"/>
  <c r="DW298" i="3"/>
  <c r="DW305" i="3" s="1"/>
  <c r="DW294" i="3"/>
  <c r="DW301" i="3" s="1"/>
  <c r="DX9" i="56"/>
  <c r="DX10" i="56" s="1"/>
  <c r="DW10" i="56"/>
  <c r="DV22" i="56"/>
  <c r="DW20" i="56"/>
  <c r="DX13" i="56"/>
  <c r="G13" i="56" s="1"/>
  <c r="DX8" i="56"/>
  <c r="DN344" i="3"/>
  <c r="DO308" i="3"/>
  <c r="DP271" i="3"/>
  <c r="DP272" i="3"/>
  <c r="DR257" i="3"/>
  <c r="DR268" i="3" s="1"/>
  <c r="DQ270" i="3"/>
  <c r="DY289" i="3" l="1"/>
  <c r="DY286" i="3"/>
  <c r="DY280" i="3"/>
  <c r="DY283" i="3"/>
  <c r="DY276" i="3"/>
  <c r="DY277" i="3"/>
  <c r="K6" i="54"/>
  <c r="F8" i="53"/>
  <c r="L120" i="2"/>
  <c r="DY64" i="3"/>
  <c r="G64" i="3" s="1"/>
  <c r="DX340" i="3"/>
  <c r="DX66" i="3" s="1"/>
  <c r="G24" i="3"/>
  <c r="G27" i="3"/>
  <c r="DY59" i="3"/>
  <c r="G49" i="3"/>
  <c r="G26" i="3"/>
  <c r="G50" i="3"/>
  <c r="G32" i="3"/>
  <c r="G28" i="3"/>
  <c r="G31" i="3"/>
  <c r="DX59" i="3"/>
  <c r="G30" i="3"/>
  <c r="G21" i="3"/>
  <c r="G46" i="3"/>
  <c r="G23" i="3"/>
  <c r="DY90" i="3"/>
  <c r="DX298" i="3"/>
  <c r="DX305" i="3" s="1"/>
  <c r="DX296" i="3"/>
  <c r="DX303" i="3" s="1"/>
  <c r="DX294" i="3"/>
  <c r="DX301" i="3" s="1"/>
  <c r="DW306" i="3"/>
  <c r="DY285" i="3"/>
  <c r="DY265" i="3"/>
  <c r="H265" i="3" s="1"/>
  <c r="DY259" i="3"/>
  <c r="H259" i="3" s="1"/>
  <c r="DY279" i="3"/>
  <c r="DY261" i="3"/>
  <c r="H261" i="3" s="1"/>
  <c r="DY267" i="3"/>
  <c r="H267" i="3" s="1"/>
  <c r="DY282" i="3"/>
  <c r="DY288" i="3"/>
  <c r="DY263" i="3"/>
  <c r="H263" i="3" s="1"/>
  <c r="DY13" i="3"/>
  <c r="DY8" i="3"/>
  <c r="DX297" i="3"/>
  <c r="DX304" i="3" s="1"/>
  <c r="DY262" i="3"/>
  <c r="H262" i="3" s="1"/>
  <c r="DY266" i="3"/>
  <c r="H266" i="3" s="1"/>
  <c r="DY260" i="3"/>
  <c r="H260" i="3" s="1"/>
  <c r="DY258" i="3"/>
  <c r="H258" i="3" s="1"/>
  <c r="DY264" i="3"/>
  <c r="H264" i="3" s="1"/>
  <c r="DX295" i="3"/>
  <c r="DX302" i="3" s="1"/>
  <c r="BB83" i="3"/>
  <c r="BB84" i="3" s="1"/>
  <c r="DQ271" i="3"/>
  <c r="DQ272" i="3"/>
  <c r="DS257" i="3"/>
  <c r="DS268" i="3" s="1"/>
  <c r="DR270" i="3"/>
  <c r="DW22" i="56"/>
  <c r="DX20" i="56"/>
  <c r="DX22" i="56" s="1"/>
  <c r="DO344" i="3"/>
  <c r="DP308" i="3"/>
  <c r="J40" i="2" l="1"/>
  <c r="J41" i="2"/>
  <c r="J49" i="16"/>
  <c r="J45" i="16"/>
  <c r="J39" i="16"/>
  <c r="V70" i="2"/>
  <c r="J33" i="16"/>
  <c r="J62" i="16"/>
  <c r="J44" i="16"/>
  <c r="H22" i="56"/>
  <c r="J37" i="16"/>
  <c r="V82" i="2"/>
  <c r="V69" i="2"/>
  <c r="J43" i="16"/>
  <c r="J40" i="16"/>
  <c r="J38" i="16"/>
  <c r="J36" i="16"/>
  <c r="J34" i="16"/>
  <c r="J41" i="16"/>
  <c r="T14" i="2"/>
  <c r="J35" i="16"/>
  <c r="J61" i="16"/>
  <c r="J60" i="16"/>
  <c r="J68" i="16"/>
  <c r="T15" i="2"/>
  <c r="U14" i="2"/>
  <c r="J57" i="16"/>
  <c r="T34" i="2"/>
  <c r="U15" i="2"/>
  <c r="T36" i="2"/>
  <c r="T16" i="2"/>
  <c r="U16" i="2"/>
  <c r="J50" i="16"/>
  <c r="T37" i="2"/>
  <c r="R40" i="53"/>
  <c r="R42" i="53"/>
  <c r="R41" i="53"/>
  <c r="R39" i="53"/>
  <c r="O23" i="53"/>
  <c r="F51" i="2" s="1"/>
  <c r="O30" i="53"/>
  <c r="O22" i="53"/>
  <c r="O29" i="53"/>
  <c r="R29" i="53" s="1"/>
  <c r="T40" i="53"/>
  <c r="O24" i="53"/>
  <c r="T41" i="53"/>
  <c r="O31" i="53"/>
  <c r="R31" i="53" s="1"/>
  <c r="T42" i="53"/>
  <c r="T39" i="53"/>
  <c r="R44" i="53"/>
  <c r="O25" i="53"/>
  <c r="O32" i="53"/>
  <c r="R32" i="53" s="1"/>
  <c r="T44" i="53"/>
  <c r="O33" i="53"/>
  <c r="K138" i="54"/>
  <c r="J56" i="54"/>
  <c r="K56" i="54" s="1"/>
  <c r="J154" i="54"/>
  <c r="J60" i="54"/>
  <c r="K60" i="54" s="1"/>
  <c r="J53" i="54"/>
  <c r="K53" i="54" s="1"/>
  <c r="J52" i="54"/>
  <c r="K52" i="54" s="1"/>
  <c r="J50" i="54"/>
  <c r="K50" i="54" s="1"/>
  <c r="J155" i="54"/>
  <c r="J51" i="54"/>
  <c r="K51" i="54" s="1"/>
  <c r="J54" i="54"/>
  <c r="K54" i="54" s="1"/>
  <c r="K107" i="54"/>
  <c r="K112" i="54" s="1"/>
  <c r="F19" i="54" s="1"/>
  <c r="J58" i="54"/>
  <c r="K58" i="54" s="1"/>
  <c r="J49" i="54"/>
  <c r="K49" i="54" s="1"/>
  <c r="J59" i="54"/>
  <c r="K59" i="54" s="1"/>
  <c r="K139" i="54"/>
  <c r="K156" i="54" s="1"/>
  <c r="J55" i="54"/>
  <c r="K55" i="54" s="1"/>
  <c r="J57" i="54"/>
  <c r="K57" i="54" s="1"/>
  <c r="J61" i="54"/>
  <c r="K61" i="54" s="1"/>
  <c r="J153" i="54"/>
  <c r="K137" i="54"/>
  <c r="DY340" i="3"/>
  <c r="DY66" i="3" s="1"/>
  <c r="H13" i="3"/>
  <c r="G58" i="3"/>
  <c r="DY296" i="3"/>
  <c r="DY303" i="3" s="1"/>
  <c r="DY298" i="3"/>
  <c r="DY305" i="3" s="1"/>
  <c r="DY294" i="3"/>
  <c r="DY301" i="3" s="1"/>
  <c r="DY297" i="3"/>
  <c r="DY304" i="3" s="1"/>
  <c r="G38" i="3"/>
  <c r="G37" i="3"/>
  <c r="DY295" i="3"/>
  <c r="DY302" i="3" s="1"/>
  <c r="DX306" i="3"/>
  <c r="DP344" i="3"/>
  <c r="BC85" i="3"/>
  <c r="DR271" i="3"/>
  <c r="DR272" i="3"/>
  <c r="DT257" i="3"/>
  <c r="DT268" i="3" s="1"/>
  <c r="DS270" i="3"/>
  <c r="DQ308" i="3"/>
  <c r="G20" i="3"/>
  <c r="K62" i="54" l="1"/>
  <c r="F12" i="54" s="1"/>
  <c r="F50" i="2"/>
  <c r="R22" i="53"/>
  <c r="F53" i="2"/>
  <c r="R25" i="53"/>
  <c r="F52" i="2"/>
  <c r="R24" i="53"/>
  <c r="BC86" i="3"/>
  <c r="H303" i="3"/>
  <c r="H302" i="3"/>
  <c r="H304" i="3"/>
  <c r="H305" i="3"/>
  <c r="DY306" i="3"/>
  <c r="H301" i="3"/>
  <c r="BD78" i="3"/>
  <c r="DR308" i="3"/>
  <c r="DQ344" i="3"/>
  <c r="DS271" i="3"/>
  <c r="DS272" i="3"/>
  <c r="DU257" i="3"/>
  <c r="DU268" i="3" s="1"/>
  <c r="DT270" i="3"/>
  <c r="J36" i="2"/>
  <c r="H375" i="3"/>
  <c r="H306" i="3" l="1"/>
  <c r="BC83" i="3"/>
  <c r="BC84" i="3" s="1"/>
  <c r="DV257" i="3"/>
  <c r="DV268" i="3" s="1"/>
  <c r="DU270" i="3"/>
  <c r="DT271" i="3"/>
  <c r="DT272" i="3"/>
  <c r="DR344" i="3"/>
  <c r="BD85" i="3"/>
  <c r="DS308" i="3"/>
  <c r="G22" i="3"/>
  <c r="J54" i="2"/>
  <c r="BD86" i="3" l="1"/>
  <c r="DU271" i="3"/>
  <c r="DU272" i="3"/>
  <c r="DW257" i="3"/>
  <c r="DW268" i="3" s="1"/>
  <c r="DV270" i="3"/>
  <c r="DS344" i="3"/>
  <c r="BD81" i="3"/>
  <c r="DT308" i="3"/>
  <c r="I409" i="3"/>
  <c r="I70" i="3" s="1"/>
  <c r="H51" i="56"/>
  <c r="I443" i="3" l="1"/>
  <c r="BE78" i="3"/>
  <c r="BD83" i="3"/>
  <c r="BD84" i="3" s="1"/>
  <c r="DT344" i="3"/>
  <c r="DU308" i="3"/>
  <c r="DV271" i="3"/>
  <c r="DV272" i="3"/>
  <c r="DX257" i="3"/>
  <c r="DX268" i="3" s="1"/>
  <c r="DW270" i="3"/>
  <c r="DY257" i="3" l="1"/>
  <c r="DY268" i="3" s="1"/>
  <c r="DX270" i="3"/>
  <c r="DU344" i="3"/>
  <c r="BE85" i="3"/>
  <c r="DW271" i="3"/>
  <c r="DW272" i="3"/>
  <c r="DV308" i="3"/>
  <c r="H53" i="56"/>
  <c r="BE86" i="3" l="1"/>
  <c r="BE81" i="3"/>
  <c r="BE83" i="3" s="1"/>
  <c r="BE84" i="3" s="1"/>
  <c r="DV344" i="3"/>
  <c r="DX271" i="3"/>
  <c r="DX272" i="3"/>
  <c r="DY270" i="3"/>
  <c r="DW308" i="3"/>
  <c r="BF78" i="3" l="1"/>
  <c r="BF85" i="3" s="1"/>
  <c r="DY271" i="3"/>
  <c r="DY272" i="3"/>
  <c r="DX308" i="3"/>
  <c r="DW344" i="3"/>
  <c r="BF86" i="3" l="1"/>
  <c r="DY308" i="3"/>
  <c r="BF81" i="3"/>
  <c r="DX344" i="3"/>
  <c r="H308" i="3" l="1"/>
  <c r="DY344" i="3"/>
  <c r="G344" i="3" s="1"/>
  <c r="BF83" i="3"/>
  <c r="BF84" i="3" s="1"/>
  <c r="BG78" i="3"/>
  <c r="BG85" i="3" l="1"/>
  <c r="BG86" i="3" l="1"/>
  <c r="BG81" i="3"/>
  <c r="BH78" i="3" l="1"/>
  <c r="BH81" i="3" s="1"/>
  <c r="BG83" i="3"/>
  <c r="BG84" i="3" s="1"/>
  <c r="BH85" i="3" l="1"/>
  <c r="BH86" i="3" l="1"/>
  <c r="BH83" i="3" l="1"/>
  <c r="BH84" i="3" s="1"/>
  <c r="BI78" i="3"/>
  <c r="BI85" i="3" l="1"/>
  <c r="BI86" i="3" l="1"/>
  <c r="BI81" i="3"/>
  <c r="BJ80" i="3" s="1"/>
  <c r="BJ78" i="3" l="1"/>
  <c r="BI83" i="3"/>
  <c r="BI84" i="3" s="1"/>
  <c r="H497" i="3" l="1"/>
  <c r="H478" i="3"/>
  <c r="H544" i="3" l="1"/>
  <c r="K15" i="39" l="1"/>
  <c r="J15" i="39" s="1"/>
  <c r="K16" i="39"/>
  <c r="K17" i="39"/>
  <c r="J17" i="39" s="1"/>
  <c r="E17" i="39" s="1"/>
  <c r="K18" i="39"/>
  <c r="J18" i="39" s="1"/>
  <c r="E18" i="39" s="1"/>
  <c r="K19" i="39"/>
  <c r="J19" i="39" s="1"/>
  <c r="E19" i="39" s="1"/>
  <c r="K20" i="39"/>
  <c r="J20" i="39" s="1"/>
  <c r="K21" i="39"/>
  <c r="J21" i="39" s="1"/>
  <c r="E21" i="39" s="1"/>
  <c r="K22" i="39"/>
  <c r="J22" i="39" s="1"/>
  <c r="E22" i="39" s="1"/>
  <c r="K23" i="39"/>
  <c r="J23" i="39" s="1"/>
  <c r="E23" i="39" s="1"/>
  <c r="K24" i="39"/>
  <c r="J24" i="39" s="1"/>
  <c r="K25" i="39"/>
  <c r="J25" i="39" s="1"/>
  <c r="E25" i="39" s="1"/>
  <c r="K26" i="39"/>
  <c r="J26" i="39" s="1"/>
  <c r="E26" i="39" s="1"/>
  <c r="K27" i="39"/>
  <c r="K28" i="39"/>
  <c r="J28" i="39" s="1"/>
  <c r="AV38" i="39"/>
  <c r="AF41" i="39" s="1"/>
  <c r="AW38" i="39"/>
  <c r="AF42" i="39" s="1"/>
  <c r="L25" i="39" l="1"/>
  <c r="G23" i="53"/>
  <c r="L21" i="39"/>
  <c r="L17" i="39"/>
  <c r="J16" i="39"/>
  <c r="E16" i="39" s="1"/>
  <c r="AW39" i="39"/>
  <c r="L22" i="39"/>
  <c r="S44" i="39"/>
  <c r="L26" i="39"/>
  <c r="S52" i="39"/>
  <c r="E28" i="39"/>
  <c r="L28" i="39"/>
  <c r="E15" i="39"/>
  <c r="L15" i="39"/>
  <c r="E24" i="39"/>
  <c r="L24" i="39"/>
  <c r="E20" i="39"/>
  <c r="L20" i="39"/>
  <c r="J27" i="39"/>
  <c r="E27" i="39" s="1"/>
  <c r="L23" i="39"/>
  <c r="L19" i="39"/>
  <c r="L18" i="39"/>
  <c r="K37" i="39"/>
  <c r="S48" i="39" l="1"/>
  <c r="J37" i="39"/>
  <c r="J39" i="39" s="1"/>
  <c r="R44" i="39"/>
  <c r="R23" i="53"/>
  <c r="L23" i="53"/>
  <c r="G30" i="53"/>
  <c r="L30" i="53" s="1"/>
  <c r="H23" i="53"/>
  <c r="L16" i="39"/>
  <c r="E37" i="39"/>
  <c r="F51" i="16" s="1"/>
  <c r="L27" i="39"/>
  <c r="K39" i="39"/>
  <c r="D14" i="2"/>
  <c r="G24" i="2" s="1"/>
  <c r="G114" i="2" s="1"/>
  <c r="S56" i="39"/>
  <c r="R52" i="39"/>
  <c r="C14" i="2" s="1"/>
  <c r="I141" i="3" l="1"/>
  <c r="BV141" i="3"/>
  <c r="BU141" i="3"/>
  <c r="AN141" i="3"/>
  <c r="AH141" i="3"/>
  <c r="L141" i="3"/>
  <c r="Y141" i="3"/>
  <c r="BA141" i="3"/>
  <c r="AT141" i="3"/>
  <c r="AE141" i="3"/>
  <c r="AX141" i="3"/>
  <c r="BG141" i="3"/>
  <c r="P141" i="3"/>
  <c r="N141" i="3"/>
  <c r="Q141" i="3"/>
  <c r="AK141" i="3"/>
  <c r="Z141" i="3"/>
  <c r="AL141" i="3"/>
  <c r="AP141" i="3"/>
  <c r="T141" i="3"/>
  <c r="AA141" i="3"/>
  <c r="AF141" i="3"/>
  <c r="BB141" i="3"/>
  <c r="AM141" i="3"/>
  <c r="AO141" i="3"/>
  <c r="AB141" i="3"/>
  <c r="K141" i="3"/>
  <c r="AU141" i="3"/>
  <c r="J141" i="3"/>
  <c r="V141" i="3"/>
  <c r="S141" i="3"/>
  <c r="O141" i="3"/>
  <c r="AY141" i="3"/>
  <c r="AW141" i="3"/>
  <c r="BF141" i="3"/>
  <c r="AJ141" i="3"/>
  <c r="M141" i="3"/>
  <c r="AQ141" i="3"/>
  <c r="AV141" i="3"/>
  <c r="BC141" i="3"/>
  <c r="BD141" i="3"/>
  <c r="AG141" i="3"/>
  <c r="AC141" i="3"/>
  <c r="R141" i="3"/>
  <c r="AD141" i="3"/>
  <c r="X141" i="3"/>
  <c r="BE141" i="3"/>
  <c r="AR141" i="3"/>
  <c r="U141" i="3"/>
  <c r="AZ141" i="3"/>
  <c r="AI141" i="3"/>
  <c r="BH141" i="3"/>
  <c r="AS141" i="3"/>
  <c r="W141" i="3"/>
  <c r="BI141" i="3"/>
  <c r="BK141" i="3"/>
  <c r="BJ141" i="3"/>
  <c r="I63" i="16"/>
  <c r="I52" i="16"/>
  <c r="I41" i="16"/>
  <c r="I33" i="16"/>
  <c r="I57" i="16"/>
  <c r="I62" i="16"/>
  <c r="I51" i="16"/>
  <c r="I40" i="16"/>
  <c r="I43" i="16"/>
  <c r="I53" i="16"/>
  <c r="I61" i="16"/>
  <c r="I50" i="16"/>
  <c r="I39" i="16"/>
  <c r="I34" i="16"/>
  <c r="I60" i="16"/>
  <c r="I49" i="16"/>
  <c r="I38" i="16"/>
  <c r="I64" i="16"/>
  <c r="I59" i="16"/>
  <c r="I45" i="16"/>
  <c r="I37" i="16"/>
  <c r="I35" i="16"/>
  <c r="I42" i="16"/>
  <c r="I69" i="16"/>
  <c r="I58" i="16"/>
  <c r="I44" i="16"/>
  <c r="I36" i="16"/>
  <c r="I68" i="16"/>
  <c r="I65" i="16"/>
  <c r="I70" i="16"/>
  <c r="L25" i="16"/>
  <c r="M25" i="16" s="1"/>
  <c r="L37" i="39"/>
  <c r="G20" i="2" s="1"/>
  <c r="R48" i="39"/>
  <c r="L21" i="16"/>
  <c r="M21" i="16" s="1"/>
  <c r="H30" i="53"/>
  <c r="R30" i="53"/>
  <c r="S16" i="2"/>
  <c r="F14" i="2"/>
  <c r="D17" i="2"/>
  <c r="S14" i="2"/>
  <c r="S15" i="2"/>
  <c r="R56" i="39"/>
  <c r="T52" i="39" s="1"/>
  <c r="E39" i="39"/>
  <c r="M26" i="16" l="1"/>
  <c r="L103" i="16" s="1"/>
  <c r="F58" i="16"/>
  <c r="F42" i="16"/>
  <c r="F59" i="16"/>
  <c r="H59" i="16"/>
  <c r="H45" i="16"/>
  <c r="H69" i="16"/>
  <c r="H58" i="16"/>
  <c r="H44" i="16"/>
  <c r="H68" i="16"/>
  <c r="H57" i="16"/>
  <c r="H43" i="16"/>
  <c r="H50" i="16"/>
  <c r="H49" i="16"/>
  <c r="H64" i="16"/>
  <c r="H53" i="16"/>
  <c r="H42" i="16"/>
  <c r="H60" i="16"/>
  <c r="H63" i="16"/>
  <c r="H52" i="16"/>
  <c r="H41" i="16"/>
  <c r="H62" i="16"/>
  <c r="H51" i="16"/>
  <c r="H40" i="16"/>
  <c r="H61" i="16"/>
  <c r="H36" i="16"/>
  <c r="H35" i="16"/>
  <c r="H34" i="16"/>
  <c r="H33" i="16"/>
  <c r="H38" i="16"/>
  <c r="H37" i="16"/>
  <c r="H39" i="16"/>
  <c r="H70" i="16"/>
  <c r="H65" i="16"/>
  <c r="M22" i="16"/>
  <c r="K84" i="16" s="1"/>
  <c r="T44" i="39"/>
  <c r="T48" i="39"/>
  <c r="M23" i="16"/>
  <c r="L89" i="16" s="1"/>
  <c r="T45" i="39"/>
  <c r="T47" i="39"/>
  <c r="T46" i="39"/>
  <c r="H33" i="53"/>
  <c r="L33" i="53" s="1"/>
  <c r="G55" i="2" s="1"/>
  <c r="G56" i="2" s="1"/>
  <c r="K103" i="16"/>
  <c r="K108" i="16"/>
  <c r="K104" i="16"/>
  <c r="D19" i="2"/>
  <c r="J14" i="54"/>
  <c r="K14" i="54" s="1"/>
  <c r="J16" i="54"/>
  <c r="K16" i="54" s="1"/>
  <c r="J18" i="54"/>
  <c r="K18" i="54" s="1"/>
  <c r="J20" i="54"/>
  <c r="K20" i="54" s="1"/>
  <c r="K68" i="54"/>
  <c r="K69" i="54" s="1"/>
  <c r="F13" i="54" s="1"/>
  <c r="J12" i="54"/>
  <c r="J17" i="54"/>
  <c r="K17" i="54" s="1"/>
  <c r="J21" i="54"/>
  <c r="K21" i="54" s="1"/>
  <c r="K85" i="54"/>
  <c r="K81" i="54" s="1"/>
  <c r="J19" i="54"/>
  <c r="K19" i="54" s="1"/>
  <c r="T53" i="39"/>
  <c r="T55" i="39"/>
  <c r="T54" i="39"/>
  <c r="J84" i="16"/>
  <c r="J89" i="16"/>
  <c r="E14" i="2"/>
  <c r="E17" i="2" s="1"/>
  <c r="E19" i="2" s="1"/>
  <c r="C17" i="2"/>
  <c r="C19" i="2" s="1"/>
  <c r="K136" i="54"/>
  <c r="J40" i="54"/>
  <c r="J36" i="54"/>
  <c r="V36" i="2"/>
  <c r="V37" i="2"/>
  <c r="V15" i="2"/>
  <c r="V16" i="2"/>
  <c r="F17" i="2"/>
  <c r="F19" i="2" s="1"/>
  <c r="V14" i="2"/>
  <c r="V34" i="2"/>
  <c r="K140" i="54" l="1"/>
  <c r="K157" i="54" s="1"/>
  <c r="F26" i="54" s="1"/>
  <c r="J26" i="54" s="1"/>
  <c r="K162" i="54"/>
  <c r="F56" i="2"/>
  <c r="K89" i="16"/>
  <c r="L108" i="16"/>
  <c r="L104" i="16"/>
  <c r="L84" i="16"/>
  <c r="G33" i="53"/>
  <c r="D95" i="3" s="1"/>
  <c r="K34" i="16"/>
  <c r="K38" i="16"/>
  <c r="K44" i="16"/>
  <c r="K57" i="16"/>
  <c r="K33" i="16"/>
  <c r="K37" i="16"/>
  <c r="K41" i="16"/>
  <c r="K43" i="16"/>
  <c r="K40" i="16"/>
  <c r="K39" i="16"/>
  <c r="K45" i="16"/>
  <c r="K36" i="16"/>
  <c r="K50" i="16"/>
  <c r="K62" i="16"/>
  <c r="K35" i="16"/>
  <c r="K49" i="16"/>
  <c r="K61" i="16"/>
  <c r="K60" i="16"/>
  <c r="K68" i="16"/>
  <c r="G16" i="2"/>
  <c r="G15" i="2"/>
  <c r="L36" i="2"/>
  <c r="G14" i="2"/>
  <c r="K36" i="54"/>
  <c r="K37" i="54"/>
  <c r="K82" i="54"/>
  <c r="K86" i="54" s="1"/>
  <c r="F15" i="54" s="1"/>
  <c r="K41" i="54"/>
  <c r="K42" i="54"/>
  <c r="K40" i="54"/>
  <c r="K12" i="54"/>
  <c r="L33" i="16"/>
  <c r="L37" i="16"/>
  <c r="L41" i="16"/>
  <c r="L43" i="16"/>
  <c r="L36" i="16"/>
  <c r="L40" i="16"/>
  <c r="L50" i="16"/>
  <c r="L35" i="16"/>
  <c r="L49" i="16"/>
  <c r="L34" i="16"/>
  <c r="L39" i="16"/>
  <c r="L45" i="16"/>
  <c r="L61" i="16"/>
  <c r="L38" i="16"/>
  <c r="L44" i="16"/>
  <c r="L60" i="16"/>
  <c r="L68" i="16"/>
  <c r="L62" i="16"/>
  <c r="L57" i="16"/>
  <c r="L54" i="2"/>
  <c r="J13" i="54"/>
  <c r="K13" i="54" s="1"/>
  <c r="BV94" i="3" l="1"/>
  <c r="BW94" i="3"/>
  <c r="BW92" i="3" s="1"/>
  <c r="BT94" i="3"/>
  <c r="BT92" i="3" s="1"/>
  <c r="BU94" i="3"/>
  <c r="BU92" i="3" s="1"/>
  <c r="BU91" i="3" s="1"/>
  <c r="BR94" i="3"/>
  <c r="BR92" i="3" s="1"/>
  <c r="BR91" i="3" s="1"/>
  <c r="BS94" i="3"/>
  <c r="BS92" i="3" s="1"/>
  <c r="BP94" i="3"/>
  <c r="BP92" i="3" s="1"/>
  <c r="BQ94" i="3"/>
  <c r="BQ92" i="3" s="1"/>
  <c r="BQ91" i="3" s="1"/>
  <c r="K163" i="54"/>
  <c r="K164" i="54" s="1"/>
  <c r="K165" i="54" s="1"/>
  <c r="BN94" i="3"/>
  <c r="BO94" i="3"/>
  <c r="BO92" i="3" s="1"/>
  <c r="BK94" i="3"/>
  <c r="BK92" i="3" s="1"/>
  <c r="BJ94" i="3"/>
  <c r="BJ92" i="3" s="1"/>
  <c r="BI94" i="3"/>
  <c r="BI92" i="3" s="1"/>
  <c r="BL94" i="3"/>
  <c r="BL92" i="3" s="1"/>
  <c r="BM94" i="3"/>
  <c r="BM92" i="3" s="1"/>
  <c r="BH94" i="3"/>
  <c r="BH92" i="3" s="1"/>
  <c r="I13" i="54"/>
  <c r="G26" i="54"/>
  <c r="Q25" i="2" s="1"/>
  <c r="G13" i="54"/>
  <c r="H13" i="54" s="1"/>
  <c r="G15" i="54"/>
  <c r="H15" i="54" s="1"/>
  <c r="I15" i="54"/>
  <c r="J15" i="54"/>
  <c r="K15" i="54" s="1"/>
  <c r="K22" i="54" s="1"/>
  <c r="F22" i="54"/>
  <c r="E15" i="54" s="1"/>
  <c r="F170" i="2"/>
  <c r="F171" i="2" s="1"/>
  <c r="I16" i="54"/>
  <c r="I18" i="54"/>
  <c r="I20" i="54"/>
  <c r="I19" i="54"/>
  <c r="I12" i="54"/>
  <c r="I17" i="54"/>
  <c r="I21" i="54"/>
  <c r="I14" i="54"/>
  <c r="J53" i="16"/>
  <c r="D41" i="3"/>
  <c r="K26" i="54"/>
  <c r="F110" i="2"/>
  <c r="F111" i="2" s="1"/>
  <c r="G12" i="54"/>
  <c r="G17" i="54"/>
  <c r="H17" i="54" s="1"/>
  <c r="G19" i="54"/>
  <c r="H19" i="54" s="1"/>
  <c r="G21" i="54"/>
  <c r="H21" i="54" s="1"/>
  <c r="G14" i="54"/>
  <c r="H14" i="54" s="1"/>
  <c r="G18" i="54"/>
  <c r="H18" i="54" s="1"/>
  <c r="G20" i="54"/>
  <c r="H20" i="54" s="1"/>
  <c r="G16" i="54"/>
  <c r="H16" i="54" s="1"/>
  <c r="G46" i="16"/>
  <c r="J42" i="16"/>
  <c r="D29" i="3"/>
  <c r="BW91" i="3" l="1"/>
  <c r="BX96" i="3" s="1"/>
  <c r="D92" i="3"/>
  <c r="G59" i="2"/>
  <c r="BO91" i="3"/>
  <c r="BH91" i="3"/>
  <c r="BK91" i="3"/>
  <c r="BJ91" i="3"/>
  <c r="BI91" i="3"/>
  <c r="BL91" i="3"/>
  <c r="BM91" i="3"/>
  <c r="I26" i="54"/>
  <c r="D318" i="3" s="1"/>
  <c r="D144" i="3"/>
  <c r="H26" i="54"/>
  <c r="H46" i="16"/>
  <c r="I46" i="16"/>
  <c r="E46" i="16"/>
  <c r="J22" i="54"/>
  <c r="Q19" i="2"/>
  <c r="T19" i="2" s="1"/>
  <c r="V19" i="2" s="1"/>
  <c r="H12" i="54"/>
  <c r="H22" i="54" s="1"/>
  <c r="G22" i="54"/>
  <c r="J58" i="16"/>
  <c r="D47" i="3"/>
  <c r="J59" i="16"/>
  <c r="D48" i="3"/>
  <c r="L42" i="16"/>
  <c r="J46" i="16"/>
  <c r="K42" i="16"/>
  <c r="M82" i="16"/>
  <c r="D33" i="3"/>
  <c r="K53" i="16"/>
  <c r="L53" i="16"/>
  <c r="S25" i="2"/>
  <c r="R25" i="2"/>
  <c r="U25" i="2" s="1"/>
  <c r="T25" i="2"/>
  <c r="V25" i="2" s="1"/>
  <c r="I22" i="54"/>
  <c r="F164" i="2" s="1"/>
  <c r="E14" i="54"/>
  <c r="E16" i="54"/>
  <c r="E18" i="54"/>
  <c r="E20" i="54"/>
  <c r="E19" i="54"/>
  <c r="E12" i="54"/>
  <c r="E17" i="54"/>
  <c r="E21" i="54"/>
  <c r="E13" i="54"/>
  <c r="BI96" i="3" l="1"/>
  <c r="BM96" i="3"/>
  <c r="BJ96" i="3"/>
  <c r="BL96" i="3"/>
  <c r="BK96" i="3"/>
  <c r="CF318" i="3"/>
  <c r="CN318" i="3"/>
  <c r="CV318" i="3"/>
  <c r="DD318" i="3"/>
  <c r="DL318" i="3"/>
  <c r="DT318" i="3"/>
  <c r="CG318" i="3"/>
  <c r="CO318" i="3"/>
  <c r="CW318" i="3"/>
  <c r="DE318" i="3"/>
  <c r="DM318" i="3"/>
  <c r="DU318" i="3"/>
  <c r="CH318" i="3"/>
  <c r="CP318" i="3"/>
  <c r="CX318" i="3"/>
  <c r="DF318" i="3"/>
  <c r="DN318" i="3"/>
  <c r="DV318" i="3"/>
  <c r="CT318" i="3"/>
  <c r="DC318" i="3"/>
  <c r="CA318" i="3"/>
  <c r="CI318" i="3"/>
  <c r="CQ318" i="3"/>
  <c r="CY318" i="3"/>
  <c r="DG318" i="3"/>
  <c r="DO318" i="3"/>
  <c r="DW318" i="3"/>
  <c r="DR318" i="3"/>
  <c r="CE318" i="3"/>
  <c r="CU318" i="3"/>
  <c r="DS318" i="3"/>
  <c r="CB318" i="3"/>
  <c r="CJ318" i="3"/>
  <c r="CR318" i="3"/>
  <c r="CZ318" i="3"/>
  <c r="DH318" i="3"/>
  <c r="DP318" i="3"/>
  <c r="DX318" i="3"/>
  <c r="CD318" i="3"/>
  <c r="DJ318" i="3"/>
  <c r="CC318" i="3"/>
  <c r="CK318" i="3"/>
  <c r="CS318" i="3"/>
  <c r="DA318" i="3"/>
  <c r="DI318" i="3"/>
  <c r="DQ318" i="3"/>
  <c r="DY318" i="3"/>
  <c r="CL318" i="3"/>
  <c r="DB318" i="3"/>
  <c r="CM318" i="3"/>
  <c r="DK318" i="3"/>
  <c r="G58" i="2"/>
  <c r="G61" i="2" s="1"/>
  <c r="G62" i="2" s="1"/>
  <c r="D89" i="3"/>
  <c r="BM48" i="3"/>
  <c r="BN48" i="3" s="1"/>
  <c r="Q43" i="2"/>
  <c r="T43" i="2" s="1"/>
  <c r="V43" i="2" s="1"/>
  <c r="BB33" i="3"/>
  <c r="R19" i="2"/>
  <c r="U19" i="2" s="1"/>
  <c r="S19" i="2"/>
  <c r="J33" i="3"/>
  <c r="K33" i="3"/>
  <c r="F163" i="2"/>
  <c r="Q42" i="2"/>
  <c r="Q35" i="2"/>
  <c r="D314" i="3"/>
  <c r="K58" i="16"/>
  <c r="L58" i="16"/>
  <c r="E22" i="54"/>
  <c r="K46" i="16"/>
  <c r="L46" i="16"/>
  <c r="L59" i="16"/>
  <c r="K59" i="16"/>
  <c r="Q13" i="2"/>
  <c r="D132" i="3"/>
  <c r="Q23" i="2"/>
  <c r="F104" i="2"/>
  <c r="F103" i="2" s="1"/>
  <c r="I33" i="3"/>
  <c r="K82" i="16"/>
  <c r="J82" i="16"/>
  <c r="L82" i="16"/>
  <c r="M101" i="16"/>
  <c r="J63" i="16"/>
  <c r="D52" i="3"/>
  <c r="E89" i="3" l="1"/>
  <c r="Q12" i="2"/>
  <c r="Q18" i="2"/>
  <c r="F59" i="2"/>
  <c r="BO48" i="3"/>
  <c r="BP48" i="3" s="1"/>
  <c r="S43" i="2"/>
  <c r="S111" i="3"/>
  <c r="AA111" i="3"/>
  <c r="BB111" i="3"/>
  <c r="BC111" i="3"/>
  <c r="I108" i="3"/>
  <c r="I111" i="3"/>
  <c r="BC33" i="3"/>
  <c r="L33" i="3"/>
  <c r="T13" i="2"/>
  <c r="V13" i="2" s="1"/>
  <c r="R13" i="2"/>
  <c r="U13" i="2" s="1"/>
  <c r="S13" i="2"/>
  <c r="L63" i="16"/>
  <c r="K63" i="16"/>
  <c r="T23" i="2"/>
  <c r="S23" i="2"/>
  <c r="R23" i="2"/>
  <c r="CB314" i="3"/>
  <c r="CB307" i="3" s="1"/>
  <c r="CF314" i="3"/>
  <c r="CF307" i="3" s="1"/>
  <c r="CJ314" i="3"/>
  <c r="CJ307" i="3" s="1"/>
  <c r="CN314" i="3"/>
  <c r="CN307" i="3" s="1"/>
  <c r="CR314" i="3"/>
  <c r="CR307" i="3" s="1"/>
  <c r="CV314" i="3"/>
  <c r="CV307" i="3" s="1"/>
  <c r="CZ314" i="3"/>
  <c r="CZ307" i="3" s="1"/>
  <c r="DD314" i="3"/>
  <c r="DD307" i="3" s="1"/>
  <c r="DH314" i="3"/>
  <c r="DH307" i="3" s="1"/>
  <c r="DL314" i="3"/>
  <c r="DL307" i="3" s="1"/>
  <c r="DP314" i="3"/>
  <c r="DP307" i="3" s="1"/>
  <c r="DT314" i="3"/>
  <c r="DT307" i="3" s="1"/>
  <c r="DX314" i="3"/>
  <c r="DX307" i="3" s="1"/>
  <c r="CC314" i="3"/>
  <c r="CC307" i="3" s="1"/>
  <c r="CG314" i="3"/>
  <c r="CG307" i="3" s="1"/>
  <c r="CK314" i="3"/>
  <c r="CK307" i="3" s="1"/>
  <c r="CO314" i="3"/>
  <c r="CO307" i="3" s="1"/>
  <c r="CS314" i="3"/>
  <c r="CS307" i="3" s="1"/>
  <c r="CW314" i="3"/>
  <c r="CW307" i="3" s="1"/>
  <c r="DA314" i="3"/>
  <c r="DA307" i="3" s="1"/>
  <c r="DE314" i="3"/>
  <c r="DE307" i="3" s="1"/>
  <c r="DI314" i="3"/>
  <c r="DI307" i="3" s="1"/>
  <c r="DM314" i="3"/>
  <c r="DM307" i="3" s="1"/>
  <c r="DQ314" i="3"/>
  <c r="DQ307" i="3" s="1"/>
  <c r="DU314" i="3"/>
  <c r="DU307" i="3" s="1"/>
  <c r="DY314" i="3"/>
  <c r="DY307" i="3" s="1"/>
  <c r="CD314" i="3"/>
  <c r="CD307" i="3" s="1"/>
  <c r="CL314" i="3"/>
  <c r="CL307" i="3" s="1"/>
  <c r="CT314" i="3"/>
  <c r="CT307" i="3" s="1"/>
  <c r="DB314" i="3"/>
  <c r="DB307" i="3" s="1"/>
  <c r="DJ314" i="3"/>
  <c r="DJ307" i="3" s="1"/>
  <c r="DR314" i="3"/>
  <c r="DR307" i="3" s="1"/>
  <c r="CE314" i="3"/>
  <c r="CE307" i="3" s="1"/>
  <c r="CM314" i="3"/>
  <c r="CM307" i="3" s="1"/>
  <c r="CU314" i="3"/>
  <c r="CU307" i="3" s="1"/>
  <c r="DC314" i="3"/>
  <c r="DC307" i="3" s="1"/>
  <c r="DK314" i="3"/>
  <c r="DK307" i="3" s="1"/>
  <c r="DS314" i="3"/>
  <c r="DS307" i="3" s="1"/>
  <c r="CH314" i="3"/>
  <c r="CH307" i="3" s="1"/>
  <c r="CX314" i="3"/>
  <c r="CX307" i="3" s="1"/>
  <c r="DN314" i="3"/>
  <c r="DN307" i="3" s="1"/>
  <c r="CI314" i="3"/>
  <c r="CI307" i="3" s="1"/>
  <c r="CY314" i="3"/>
  <c r="CY307" i="3" s="1"/>
  <c r="DO314" i="3"/>
  <c r="DO307" i="3" s="1"/>
  <c r="CP314" i="3"/>
  <c r="CP307" i="3" s="1"/>
  <c r="DV314" i="3"/>
  <c r="DV307" i="3" s="1"/>
  <c r="CA314" i="3"/>
  <c r="CA307" i="3" s="1"/>
  <c r="DG314" i="3"/>
  <c r="DG307" i="3" s="1"/>
  <c r="CQ314" i="3"/>
  <c r="CQ307" i="3" s="1"/>
  <c r="DW314" i="3"/>
  <c r="DW307" i="3" s="1"/>
  <c r="DF314" i="3"/>
  <c r="DF307" i="3" s="1"/>
  <c r="M39" i="53"/>
  <c r="S39" i="53" s="1"/>
  <c r="M41" i="53"/>
  <c r="S41" i="53" s="1"/>
  <c r="M42" i="53"/>
  <c r="S42" i="53" s="1"/>
  <c r="M40" i="53"/>
  <c r="S40" i="53" s="1"/>
  <c r="M44" i="53"/>
  <c r="S44" i="53" s="1"/>
  <c r="Q38" i="2"/>
  <c r="Q39" i="2" s="1"/>
  <c r="T35" i="2"/>
  <c r="V35" i="2" s="1"/>
  <c r="S35" i="2"/>
  <c r="G54" i="16"/>
  <c r="J51" i="16"/>
  <c r="D39" i="3"/>
  <c r="J24" i="53"/>
  <c r="J29" i="53"/>
  <c r="J30" i="53"/>
  <c r="J31" i="53"/>
  <c r="J22" i="53"/>
  <c r="J23" i="53"/>
  <c r="J32" i="53"/>
  <c r="J25" i="53"/>
  <c r="T42" i="2"/>
  <c r="V42" i="2" s="1"/>
  <c r="S42" i="2"/>
  <c r="K101" i="16"/>
  <c r="L101" i="16"/>
  <c r="H318" i="3"/>
  <c r="Q17" i="2" l="1"/>
  <c r="S12" i="2"/>
  <c r="R12" i="2"/>
  <c r="U12" i="2" s="1"/>
  <c r="T12" i="2"/>
  <c r="V12" i="2" s="1"/>
  <c r="F62" i="2"/>
  <c r="BQ48" i="3"/>
  <c r="BR48" i="3" s="1"/>
  <c r="AW108" i="3"/>
  <c r="AG108" i="3"/>
  <c r="P108" i="3"/>
  <c r="AC108" i="3"/>
  <c r="AD108" i="3"/>
  <c r="Y108" i="3"/>
  <c r="AJ108" i="3"/>
  <c r="R108" i="3"/>
  <c r="AT108" i="3"/>
  <c r="AV108" i="3"/>
  <c r="W108" i="3"/>
  <c r="BC108" i="3"/>
  <c r="BC112" i="3" s="1"/>
  <c r="AZ108" i="3"/>
  <c r="U108" i="3"/>
  <c r="AB108" i="3"/>
  <c r="BD108" i="3"/>
  <c r="N108" i="3"/>
  <c r="AL108" i="3"/>
  <c r="AR108" i="3"/>
  <c r="M108" i="3"/>
  <c r="AI108" i="3"/>
  <c r="AX108" i="3"/>
  <c r="BA108" i="3"/>
  <c r="AF108" i="3"/>
  <c r="AA108" i="3"/>
  <c r="AA112" i="3" s="1"/>
  <c r="K111" i="3"/>
  <c r="P111" i="3"/>
  <c r="U111" i="3"/>
  <c r="AI111" i="3"/>
  <c r="O111" i="3"/>
  <c r="AT111" i="3"/>
  <c r="AO111" i="3"/>
  <c r="AH111" i="3"/>
  <c r="N111" i="3"/>
  <c r="AB111" i="3"/>
  <c r="AD111" i="3"/>
  <c r="Y111" i="3"/>
  <c r="W111" i="3"/>
  <c r="AP111" i="3"/>
  <c r="AW111" i="3"/>
  <c r="AV111" i="3"/>
  <c r="AY111" i="3"/>
  <c r="AJ111" i="3"/>
  <c r="AL111" i="3"/>
  <c r="AU111" i="3"/>
  <c r="AG111" i="3"/>
  <c r="T111" i="3"/>
  <c r="AZ111" i="3"/>
  <c r="J111" i="3"/>
  <c r="AF111" i="3"/>
  <c r="AS111" i="3"/>
  <c r="AX111" i="3"/>
  <c r="AC111" i="3"/>
  <c r="Z111" i="3"/>
  <c r="BD111" i="3"/>
  <c r="AQ111" i="3"/>
  <c r="L111" i="3"/>
  <c r="AO108" i="3"/>
  <c r="AK111" i="3"/>
  <c r="Q111" i="3"/>
  <c r="V111" i="3"/>
  <c r="AN111" i="3"/>
  <c r="AM111" i="3"/>
  <c r="AR111" i="3"/>
  <c r="M111" i="3"/>
  <c r="AE111" i="3"/>
  <c r="R111" i="3"/>
  <c r="BA111" i="3"/>
  <c r="I120" i="3"/>
  <c r="I112" i="3"/>
  <c r="AN108" i="3"/>
  <c r="K108" i="3"/>
  <c r="O108" i="3"/>
  <c r="X111" i="3"/>
  <c r="AY108" i="3"/>
  <c r="AK108" i="3"/>
  <c r="AU108" i="3"/>
  <c r="AH108" i="3"/>
  <c r="BB108" i="3"/>
  <c r="BB112" i="3" s="1"/>
  <c r="X108" i="3"/>
  <c r="J108" i="3"/>
  <c r="AE108" i="3"/>
  <c r="AS108" i="3"/>
  <c r="V108" i="3"/>
  <c r="S108" i="3"/>
  <c r="S112" i="3" s="1"/>
  <c r="AP108" i="3"/>
  <c r="AM108" i="3"/>
  <c r="Q108" i="3"/>
  <c r="L108" i="3"/>
  <c r="AQ108" i="3"/>
  <c r="T108" i="3"/>
  <c r="Z108" i="3"/>
  <c r="G72" i="16"/>
  <c r="E72" i="16" s="1"/>
  <c r="F64" i="16"/>
  <c r="F69" i="16"/>
  <c r="L127" i="2" s="1"/>
  <c r="I54" i="16"/>
  <c r="E54" i="16"/>
  <c r="H54" i="16"/>
  <c r="S39" i="2"/>
  <c r="T39" i="2"/>
  <c r="V39" i="2" s="1"/>
  <c r="Q40" i="2"/>
  <c r="P32" i="53"/>
  <c r="M32" i="53"/>
  <c r="N32" i="53" s="1"/>
  <c r="K32" i="53"/>
  <c r="L51" i="16"/>
  <c r="K51" i="16"/>
  <c r="N315" i="3"/>
  <c r="AD315" i="3"/>
  <c r="DN315" i="3"/>
  <c r="DK315" i="3"/>
  <c r="AY315" i="3"/>
  <c r="DB315" i="3"/>
  <c r="AP315" i="3"/>
  <c r="DM315" i="3"/>
  <c r="CG315" i="3"/>
  <c r="BA315" i="3"/>
  <c r="U315" i="3"/>
  <c r="DX315" i="3"/>
  <c r="CR315" i="3"/>
  <c r="BL315" i="3"/>
  <c r="AV315" i="3"/>
  <c r="P315" i="3"/>
  <c r="V23" i="2"/>
  <c r="P29" i="53"/>
  <c r="K29" i="53"/>
  <c r="M29" i="53"/>
  <c r="N29" i="53" s="1"/>
  <c r="DF315" i="3"/>
  <c r="DG315" i="3"/>
  <c r="DO315" i="3"/>
  <c r="CX315" i="3"/>
  <c r="DC315" i="3"/>
  <c r="BW315" i="3"/>
  <c r="K315" i="3"/>
  <c r="BN315" i="3"/>
  <c r="AH315" i="3"/>
  <c r="DY315" i="3"/>
  <c r="CS315" i="3"/>
  <c r="CC315" i="3"/>
  <c r="BM315" i="3"/>
  <c r="AW315" i="3"/>
  <c r="AG315" i="3"/>
  <c r="Q315" i="3"/>
  <c r="DT315" i="3"/>
  <c r="DD315" i="3"/>
  <c r="CN315" i="3"/>
  <c r="BX315" i="3"/>
  <c r="BH315" i="3"/>
  <c r="AR315" i="3"/>
  <c r="AB315" i="3"/>
  <c r="L315" i="3"/>
  <c r="U23" i="2"/>
  <c r="M25" i="53"/>
  <c r="N25" i="53" s="1"/>
  <c r="K25" i="53"/>
  <c r="P25" i="53"/>
  <c r="K31" i="53"/>
  <c r="P31" i="53"/>
  <c r="M31" i="53"/>
  <c r="N31" i="53" s="1"/>
  <c r="J52" i="16"/>
  <c r="D40" i="3"/>
  <c r="DW315" i="3"/>
  <c r="BZ315" i="3"/>
  <c r="AU315" i="3"/>
  <c r="BJ315" i="3"/>
  <c r="CI315" i="3"/>
  <c r="W315" i="3"/>
  <c r="BR315" i="3"/>
  <c r="DS315" i="3"/>
  <c r="CM315" i="3"/>
  <c r="BG315" i="3"/>
  <c r="AA315" i="3"/>
  <c r="DJ315" i="3"/>
  <c r="CD315" i="3"/>
  <c r="AX315" i="3"/>
  <c r="R315" i="3"/>
  <c r="DQ315" i="3"/>
  <c r="DA315" i="3"/>
  <c r="CK315" i="3"/>
  <c r="BU315" i="3"/>
  <c r="BE315" i="3"/>
  <c r="AO315" i="3"/>
  <c r="Y315" i="3"/>
  <c r="H314" i="3"/>
  <c r="I315" i="3"/>
  <c r="DL315" i="3"/>
  <c r="CV315" i="3"/>
  <c r="CF315" i="3"/>
  <c r="BP315" i="3"/>
  <c r="AZ315" i="3"/>
  <c r="AJ315" i="3"/>
  <c r="T315" i="3"/>
  <c r="K30" i="53"/>
  <c r="P30" i="53"/>
  <c r="M30" i="53"/>
  <c r="N30" i="53" s="1"/>
  <c r="BK315" i="3"/>
  <c r="O315" i="3"/>
  <c r="BS315" i="3"/>
  <c r="BB315" i="3"/>
  <c r="CE315" i="3"/>
  <c r="S315" i="3"/>
  <c r="BV315" i="3"/>
  <c r="J315" i="3"/>
  <c r="CW315" i="3"/>
  <c r="BQ315" i="3"/>
  <c r="AK315" i="3"/>
  <c r="DH315" i="3"/>
  <c r="CB315" i="3"/>
  <c r="AF315" i="3"/>
  <c r="S18" i="2"/>
  <c r="R18" i="2"/>
  <c r="U18" i="2" s="1"/>
  <c r="T18" i="2"/>
  <c r="V18" i="2" s="1"/>
  <c r="K23" i="53"/>
  <c r="P23" i="53"/>
  <c r="M23" i="53"/>
  <c r="N23" i="53" s="1"/>
  <c r="J54" i="16"/>
  <c r="D42" i="3"/>
  <c r="K170" i="54"/>
  <c r="K171" i="54" s="1"/>
  <c r="F27" i="54" s="1"/>
  <c r="T38" i="2"/>
  <c r="V38" i="2" s="1"/>
  <c r="S38" i="2"/>
  <c r="CQ315" i="3"/>
  <c r="DV315" i="3"/>
  <c r="BC315" i="3"/>
  <c r="AL315" i="3"/>
  <c r="AQ315" i="3"/>
  <c r="CT315" i="3"/>
  <c r="DI315" i="3"/>
  <c r="P22" i="53"/>
  <c r="M22" i="53"/>
  <c r="K22" i="53"/>
  <c r="P24" i="53"/>
  <c r="K24" i="53"/>
  <c r="M24" i="53"/>
  <c r="N24" i="53" s="1"/>
  <c r="M86" i="16"/>
  <c r="AT315" i="3"/>
  <c r="AE315" i="3"/>
  <c r="CA315" i="3"/>
  <c r="CP315" i="3"/>
  <c r="CY315" i="3"/>
  <c r="AM315" i="3"/>
  <c r="CH315" i="3"/>
  <c r="V315" i="3"/>
  <c r="CU315" i="3"/>
  <c r="BO315" i="3"/>
  <c r="AI315" i="3"/>
  <c r="DR315" i="3"/>
  <c r="CL315" i="3"/>
  <c r="BF315" i="3"/>
  <c r="Z315" i="3"/>
  <c r="DU315" i="3"/>
  <c r="DE315" i="3"/>
  <c r="CO315" i="3"/>
  <c r="BY315" i="3"/>
  <c r="BI315" i="3"/>
  <c r="AS315" i="3"/>
  <c r="AC315" i="3"/>
  <c r="M315" i="3"/>
  <c r="DP315" i="3"/>
  <c r="CZ315" i="3"/>
  <c r="CJ315" i="3"/>
  <c r="BT315" i="3"/>
  <c r="BD315" i="3"/>
  <c r="AN315" i="3"/>
  <c r="X315" i="3"/>
  <c r="S17" i="2" l="1"/>
  <c r="T17" i="2"/>
  <c r="V17" i="2" s="1"/>
  <c r="R17" i="2"/>
  <c r="U17" i="2" s="1"/>
  <c r="Q20" i="2"/>
  <c r="Q21" i="2" s="1"/>
  <c r="T21" i="2" s="1"/>
  <c r="BS48" i="3"/>
  <c r="BT48" i="3" s="1"/>
  <c r="BU48" i="3" s="1"/>
  <c r="P112" i="3"/>
  <c r="AI112" i="3"/>
  <c r="K112" i="3"/>
  <c r="U112" i="3"/>
  <c r="AD112" i="3"/>
  <c r="W112" i="3"/>
  <c r="O112" i="3"/>
  <c r="AT112" i="3"/>
  <c r="AO112" i="3"/>
  <c r="AH112" i="3"/>
  <c r="AS112" i="3"/>
  <c r="AG120" i="3"/>
  <c r="AB112" i="3"/>
  <c r="N112" i="3"/>
  <c r="AZ112" i="3"/>
  <c r="AW112" i="3"/>
  <c r="AP112" i="3"/>
  <c r="Y112" i="3"/>
  <c r="L112" i="3"/>
  <c r="AV112" i="3"/>
  <c r="AQ112" i="3"/>
  <c r="AJ112" i="3"/>
  <c r="AK112" i="3"/>
  <c r="AE112" i="3"/>
  <c r="AF112" i="3"/>
  <c r="AY112" i="3"/>
  <c r="AL112" i="3"/>
  <c r="AX112" i="3"/>
  <c r="AU112" i="3"/>
  <c r="V112" i="3"/>
  <c r="AC112" i="3"/>
  <c r="Z112" i="3"/>
  <c r="AG112" i="3"/>
  <c r="T112" i="3"/>
  <c r="AM112" i="3"/>
  <c r="BD112" i="3"/>
  <c r="M112" i="3"/>
  <c r="J112" i="3"/>
  <c r="H72" i="16"/>
  <c r="Q112" i="3"/>
  <c r="I72" i="16"/>
  <c r="AN112" i="3"/>
  <c r="BA112" i="3"/>
  <c r="D67" i="3"/>
  <c r="AR112" i="3"/>
  <c r="R112" i="3"/>
  <c r="M120" i="3"/>
  <c r="AN120" i="3"/>
  <c r="AW120" i="3"/>
  <c r="AS120" i="3"/>
  <c r="BC120" i="3"/>
  <c r="BC139" i="3" s="1"/>
  <c r="AX120" i="3"/>
  <c r="V120" i="3"/>
  <c r="X120" i="3"/>
  <c r="U127" i="3"/>
  <c r="AL127" i="3"/>
  <c r="AY120" i="3"/>
  <c r="AM120" i="3"/>
  <c r="AZ120" i="3"/>
  <c r="AQ120" i="3"/>
  <c r="T120" i="3"/>
  <c r="S120" i="3"/>
  <c r="AL120" i="3"/>
  <c r="Q120" i="3"/>
  <c r="BA120" i="3"/>
  <c r="AK120" i="3"/>
  <c r="T127" i="3"/>
  <c r="AE127" i="3"/>
  <c r="O120" i="3"/>
  <c r="K127" i="3"/>
  <c r="AV127" i="3"/>
  <c r="AT127" i="3"/>
  <c r="AC127" i="3"/>
  <c r="R120" i="3"/>
  <c r="BC127" i="3"/>
  <c r="V127" i="3"/>
  <c r="AP127" i="3"/>
  <c r="AS127" i="3"/>
  <c r="R127" i="3"/>
  <c r="Q127" i="3"/>
  <c r="N127" i="3"/>
  <c r="AZ127" i="3"/>
  <c r="AV120" i="3"/>
  <c r="W120" i="3"/>
  <c r="P120" i="3"/>
  <c r="AC120" i="3"/>
  <c r="Y120" i="3"/>
  <c r="AF120" i="3"/>
  <c r="Y127" i="3"/>
  <c r="Z127" i="3"/>
  <c r="M127" i="3"/>
  <c r="AF127" i="3"/>
  <c r="X127" i="3"/>
  <c r="I127" i="3"/>
  <c r="I129" i="3" s="1"/>
  <c r="S127" i="3"/>
  <c r="P127" i="3"/>
  <c r="BD127" i="3"/>
  <c r="AA127" i="3"/>
  <c r="AO127" i="3"/>
  <c r="AT120" i="3"/>
  <c r="AY127" i="3"/>
  <c r="O127" i="3"/>
  <c r="W127" i="3"/>
  <c r="BA127" i="3"/>
  <c r="AG127" i="3"/>
  <c r="AX127" i="3"/>
  <c r="AJ127" i="3"/>
  <c r="AB127" i="3"/>
  <c r="AM127" i="3"/>
  <c r="AQ127" i="3"/>
  <c r="AU127" i="3"/>
  <c r="AK127" i="3"/>
  <c r="AH127" i="3"/>
  <c r="J127" i="3"/>
  <c r="BB127" i="3"/>
  <c r="AI127" i="3"/>
  <c r="L127" i="3"/>
  <c r="AR127" i="3"/>
  <c r="AN127" i="3"/>
  <c r="AD127" i="3"/>
  <c r="AW127" i="3"/>
  <c r="N120" i="3"/>
  <c r="Z120" i="3"/>
  <c r="AJ120" i="3"/>
  <c r="AB120" i="3"/>
  <c r="AI120" i="3"/>
  <c r="K120" i="3"/>
  <c r="U120" i="3"/>
  <c r="AH120" i="3"/>
  <c r="AR120" i="3"/>
  <c r="AP120" i="3"/>
  <c r="L120" i="3"/>
  <c r="AD120" i="3"/>
  <c r="BB120" i="3"/>
  <c r="BB139" i="3" s="1"/>
  <c r="I139" i="3"/>
  <c r="AU120" i="3"/>
  <c r="AE120" i="3"/>
  <c r="BD120" i="3"/>
  <c r="AO120" i="3"/>
  <c r="J120" i="3"/>
  <c r="AA120" i="3"/>
  <c r="X112" i="3"/>
  <c r="BA376" i="3"/>
  <c r="M33" i="3"/>
  <c r="CO309" i="3"/>
  <c r="CL309" i="3"/>
  <c r="DV309" i="3"/>
  <c r="L54" i="16"/>
  <c r="K54" i="16"/>
  <c r="CV309" i="3"/>
  <c r="CI309" i="3"/>
  <c r="CA309" i="3"/>
  <c r="CA310" i="3" s="1"/>
  <c r="H315" i="3"/>
  <c r="DJ309" i="3"/>
  <c r="CM309" i="3"/>
  <c r="CM310" i="3" s="1"/>
  <c r="DW309" i="3"/>
  <c r="CX309" i="3"/>
  <c r="CJ309" i="3"/>
  <c r="DR309" i="3"/>
  <c r="Q22" i="53"/>
  <c r="S22" i="53"/>
  <c r="T22" i="53" s="1"/>
  <c r="CQ309" i="3"/>
  <c r="Q26" i="2"/>
  <c r="J27" i="54"/>
  <c r="G27" i="54"/>
  <c r="I27" i="54"/>
  <c r="F28" i="54"/>
  <c r="E27" i="54" s="1"/>
  <c r="CB309" i="3"/>
  <c r="CW309" i="3"/>
  <c r="Q30" i="53"/>
  <c r="S30" i="53"/>
  <c r="T30" i="53" s="1"/>
  <c r="DL309" i="3"/>
  <c r="H307" i="3"/>
  <c r="CS309" i="3"/>
  <c r="DO309" i="3"/>
  <c r="DG309" i="3"/>
  <c r="Q32" i="53"/>
  <c r="S32" i="53"/>
  <c r="T32" i="53" s="1"/>
  <c r="Q24" i="53"/>
  <c r="S24" i="53"/>
  <c r="T24" i="53" s="1"/>
  <c r="DQ309" i="3"/>
  <c r="DS309" i="3"/>
  <c r="S31" i="53"/>
  <c r="T31" i="53" s="1"/>
  <c r="Q31" i="53"/>
  <c r="CN309" i="3"/>
  <c r="DB309" i="3"/>
  <c r="DK309" i="3"/>
  <c r="DK310" i="3" s="1"/>
  <c r="DN309" i="3"/>
  <c r="T40" i="2"/>
  <c r="V40" i="2" s="1"/>
  <c r="S40" i="2"/>
  <c r="DP309" i="3"/>
  <c r="CH309" i="3"/>
  <c r="L86" i="16"/>
  <c r="K86" i="16"/>
  <c r="J86" i="16"/>
  <c r="M105" i="16"/>
  <c r="DI309" i="3"/>
  <c r="CT309" i="3"/>
  <c r="CF309" i="3"/>
  <c r="DA309" i="3"/>
  <c r="K52" i="16"/>
  <c r="L52" i="16"/>
  <c r="CC309" i="3"/>
  <c r="DX309" i="3"/>
  <c r="DM309" i="3"/>
  <c r="CZ309" i="3"/>
  <c r="DE309" i="3"/>
  <c r="DU309" i="3"/>
  <c r="CU309" i="3"/>
  <c r="CY309" i="3"/>
  <c r="CY310" i="3" s="1"/>
  <c r="CP309" i="3"/>
  <c r="N22" i="53"/>
  <c r="M33" i="53"/>
  <c r="J64" i="16"/>
  <c r="D53" i="3"/>
  <c r="Q23" i="53"/>
  <c r="S23" i="53"/>
  <c r="T23" i="53" s="1"/>
  <c r="DH309" i="3"/>
  <c r="CE309" i="3"/>
  <c r="CK309" i="3"/>
  <c r="CD309" i="3"/>
  <c r="S25" i="53"/>
  <c r="T25" i="53" s="1"/>
  <c r="Q25" i="53"/>
  <c r="DD309" i="3"/>
  <c r="DT309" i="3"/>
  <c r="DY309" i="3"/>
  <c r="DC309" i="3"/>
  <c r="DF309" i="3"/>
  <c r="Q29" i="53"/>
  <c r="S29" i="53"/>
  <c r="T29" i="53" s="1"/>
  <c r="CR309" i="3"/>
  <c r="CG309" i="3"/>
  <c r="P139" i="3" l="1"/>
  <c r="Q24" i="2"/>
  <c r="T24" i="2" s="1"/>
  <c r="S20" i="2"/>
  <c r="R20" i="2"/>
  <c r="U20" i="2" s="1"/>
  <c r="Q52" i="2"/>
  <c r="T52" i="2" s="1"/>
  <c r="T20" i="2"/>
  <c r="V20" i="2" s="1"/>
  <c r="S21" i="2"/>
  <c r="R21" i="2"/>
  <c r="U21" i="2" s="1"/>
  <c r="U139" i="3"/>
  <c r="BV48" i="3"/>
  <c r="BW48" i="3" s="1"/>
  <c r="BX48" i="3" s="1"/>
  <c r="BY48" i="3" s="1"/>
  <c r="BZ48" i="3" s="1"/>
  <c r="CA48" i="3" s="1"/>
  <c r="CB48" i="3" s="1"/>
  <c r="CC48" i="3" s="1"/>
  <c r="CD48" i="3" s="1"/>
  <c r="CE48" i="3" s="1"/>
  <c r="CF48" i="3" s="1"/>
  <c r="CG48" i="3" s="1"/>
  <c r="CH48" i="3" s="1"/>
  <c r="CI48" i="3" s="1"/>
  <c r="CJ48" i="3" s="1"/>
  <c r="CK48" i="3" s="1"/>
  <c r="CL48" i="3" s="1"/>
  <c r="CM48" i="3" s="1"/>
  <c r="CN48" i="3" s="1"/>
  <c r="CO48" i="3" s="1"/>
  <c r="CP48" i="3" s="1"/>
  <c r="CQ48" i="3" s="1"/>
  <c r="CR48" i="3" s="1"/>
  <c r="CS48" i="3" s="1"/>
  <c r="CT48" i="3" s="1"/>
  <c r="CU48" i="3" s="1"/>
  <c r="CV48" i="3" s="1"/>
  <c r="CW48" i="3" s="1"/>
  <c r="CX48" i="3" s="1"/>
  <c r="CY48" i="3" s="1"/>
  <c r="CZ48" i="3" s="1"/>
  <c r="DA48" i="3" s="1"/>
  <c r="DB48" i="3" s="1"/>
  <c r="DC48" i="3" s="1"/>
  <c r="DD48" i="3" s="1"/>
  <c r="DE48" i="3" s="1"/>
  <c r="DF48" i="3" s="1"/>
  <c r="DG48" i="3" s="1"/>
  <c r="DH48" i="3" s="1"/>
  <c r="DI48" i="3" s="1"/>
  <c r="DJ48" i="3" s="1"/>
  <c r="DK48" i="3" s="1"/>
  <c r="DL48" i="3" s="1"/>
  <c r="DM48" i="3" s="1"/>
  <c r="DN48" i="3" s="1"/>
  <c r="DO48" i="3" s="1"/>
  <c r="DP48" i="3" s="1"/>
  <c r="DQ48" i="3" s="1"/>
  <c r="DR48" i="3" s="1"/>
  <c r="DS48" i="3" s="1"/>
  <c r="DT48" i="3" s="1"/>
  <c r="DU48" i="3" s="1"/>
  <c r="DV48" i="3" s="1"/>
  <c r="DW48" i="3" s="1"/>
  <c r="DX48" i="3" s="1"/>
  <c r="DY48" i="3" s="1"/>
  <c r="AD139" i="3"/>
  <c r="AT139" i="3"/>
  <c r="O139" i="3"/>
  <c r="AB139" i="3"/>
  <c r="AS139" i="3"/>
  <c r="AG129" i="3"/>
  <c r="N139" i="3"/>
  <c r="AP139" i="3"/>
  <c r="AZ139" i="3"/>
  <c r="AQ139" i="3"/>
  <c r="AV139" i="3"/>
  <c r="AW129" i="3"/>
  <c r="AK139" i="3"/>
  <c r="AG139" i="3"/>
  <c r="AF139" i="3"/>
  <c r="M139" i="3"/>
  <c r="AC139" i="3"/>
  <c r="M129" i="3"/>
  <c r="BA139" i="3"/>
  <c r="AX139" i="3"/>
  <c r="T139" i="3"/>
  <c r="Y129" i="3"/>
  <c r="AL129" i="3"/>
  <c r="Y139" i="3"/>
  <c r="BC129" i="3"/>
  <c r="T129" i="3"/>
  <c r="AN129" i="3"/>
  <c r="AN139" i="3"/>
  <c r="L129" i="3"/>
  <c r="AW139" i="3"/>
  <c r="AZ129" i="3"/>
  <c r="AE129" i="3"/>
  <c r="AT129" i="3"/>
  <c r="AQ129" i="3"/>
  <c r="AX129" i="3"/>
  <c r="AM129" i="3"/>
  <c r="AY129" i="3"/>
  <c r="AY139" i="3"/>
  <c r="V129" i="3"/>
  <c r="AC129" i="3"/>
  <c r="V139" i="3"/>
  <c r="AS129" i="3"/>
  <c r="AM139" i="3"/>
  <c r="W129" i="3"/>
  <c r="W139" i="3"/>
  <c r="S129" i="3"/>
  <c r="S139" i="3"/>
  <c r="O129" i="3"/>
  <c r="BA129" i="3"/>
  <c r="L139" i="3"/>
  <c r="BB129" i="3"/>
  <c r="AV129" i="3"/>
  <c r="R129" i="3"/>
  <c r="N129" i="3"/>
  <c r="AI139" i="3"/>
  <c r="R139" i="3"/>
  <c r="AI129" i="3"/>
  <c r="AJ129" i="3"/>
  <c r="P129" i="3"/>
  <c r="AL139" i="3"/>
  <c r="Q129" i="3"/>
  <c r="Q139" i="3"/>
  <c r="AK129" i="3"/>
  <c r="Z129" i="3"/>
  <c r="BD129" i="3"/>
  <c r="AU129" i="3"/>
  <c r="Z139" i="3"/>
  <c r="AF129" i="3"/>
  <c r="K139" i="3"/>
  <c r="AD129" i="3"/>
  <c r="AO139" i="3"/>
  <c r="AJ139" i="3"/>
  <c r="AO129" i="3"/>
  <c r="AE139" i="3"/>
  <c r="AB129" i="3"/>
  <c r="AA139" i="3"/>
  <c r="AH129" i="3"/>
  <c r="U129" i="3"/>
  <c r="K129" i="3"/>
  <c r="J129" i="3"/>
  <c r="AU139" i="3"/>
  <c r="AH139" i="3"/>
  <c r="AA129" i="3"/>
  <c r="J139" i="3"/>
  <c r="AR129" i="3"/>
  <c r="AR139" i="3"/>
  <c r="AP129" i="3"/>
  <c r="BD139" i="3"/>
  <c r="X129" i="3"/>
  <c r="X139" i="3"/>
  <c r="U311" i="3"/>
  <c r="DS310" i="3"/>
  <c r="AF311" i="3"/>
  <c r="N33" i="3"/>
  <c r="O33" i="3"/>
  <c r="DJ310" i="3"/>
  <c r="DJ311" i="3" s="1"/>
  <c r="Y311" i="3"/>
  <c r="DX310" i="3"/>
  <c r="DX311" i="3" s="1"/>
  <c r="AB311" i="3"/>
  <c r="BJ311" i="3"/>
  <c r="CH310" i="3"/>
  <c r="CH311" i="3" s="1"/>
  <c r="CH323" i="3" s="1"/>
  <c r="DF310" i="3"/>
  <c r="DF311" i="3" s="1"/>
  <c r="DF324" i="3" s="1"/>
  <c r="DT310" i="3"/>
  <c r="DH310" i="3"/>
  <c r="AL311" i="3"/>
  <c r="DU310" i="3"/>
  <c r="CZ310" i="3"/>
  <c r="CF310" i="3"/>
  <c r="CF311" i="3" s="1"/>
  <c r="CF324" i="3" s="1"/>
  <c r="DI310" i="3"/>
  <c r="K311" i="3"/>
  <c r="AH311" i="3"/>
  <c r="I311" i="3"/>
  <c r="AT311" i="3"/>
  <c r="CJ310" i="3"/>
  <c r="DY310" i="3"/>
  <c r="BB311" i="3"/>
  <c r="BF311" i="3"/>
  <c r="AP311" i="3"/>
  <c r="CA311" i="3"/>
  <c r="CA324" i="3" s="1"/>
  <c r="AI311" i="3"/>
  <c r="S311" i="3"/>
  <c r="CG310" i="3"/>
  <c r="CG311" i="3" s="1"/>
  <c r="CG323" i="3" s="1"/>
  <c r="CY311" i="3"/>
  <c r="CY324" i="3" s="1"/>
  <c r="CU310" i="3"/>
  <c r="CU311" i="3" s="1"/>
  <c r="BM311" i="3"/>
  <c r="AK311" i="3"/>
  <c r="DL310" i="3"/>
  <c r="DA310" i="3"/>
  <c r="DA311" i="3" s="1"/>
  <c r="AD311" i="3"/>
  <c r="DV310" i="3"/>
  <c r="Z311" i="3"/>
  <c r="BG311" i="3"/>
  <c r="CE310" i="3"/>
  <c r="BV311" i="3"/>
  <c r="DM310" i="3"/>
  <c r="DM311" i="3" s="1"/>
  <c r="DM323" i="3" s="1"/>
  <c r="DB310" i="3"/>
  <c r="DB311" i="3" s="1"/>
  <c r="R311" i="3"/>
  <c r="CS310" i="3"/>
  <c r="CB310" i="3"/>
  <c r="CB311" i="3" s="1"/>
  <c r="CB323" i="3" s="1"/>
  <c r="CI310" i="3"/>
  <c r="CI311" i="3" s="1"/>
  <c r="CV310" i="3"/>
  <c r="DD310" i="3"/>
  <c r="DD311" i="3" s="1"/>
  <c r="J65" i="16"/>
  <c r="M87" i="16"/>
  <c r="D54" i="3"/>
  <c r="DE310" i="3"/>
  <c r="DE311" i="3" s="1"/>
  <c r="AS311" i="3"/>
  <c r="AY311" i="3"/>
  <c r="CR310" i="3"/>
  <c r="CR311" i="3" s="1"/>
  <c r="DC310" i="3"/>
  <c r="CD310" i="3"/>
  <c r="CK310" i="3"/>
  <c r="CK311" i="3" s="1"/>
  <c r="J33" i="53"/>
  <c r="N33" i="53"/>
  <c r="R33" i="53" s="1"/>
  <c r="CP310" i="3"/>
  <c r="CP311" i="3" s="1"/>
  <c r="BI311" i="3"/>
  <c r="CC310" i="3"/>
  <c r="CC311" i="3" s="1"/>
  <c r="CT310" i="3"/>
  <c r="L105" i="16"/>
  <c r="K105" i="16"/>
  <c r="DP310" i="3"/>
  <c r="CN310" i="3"/>
  <c r="CN311" i="3" s="1"/>
  <c r="BW311" i="3"/>
  <c r="AG311" i="3"/>
  <c r="AX311" i="3"/>
  <c r="Q44" i="2"/>
  <c r="D319" i="3"/>
  <c r="I28" i="54"/>
  <c r="I30" i="54" s="1"/>
  <c r="T26" i="2"/>
  <c r="V26" i="2" s="1"/>
  <c r="S26" i="2"/>
  <c r="R26" i="2"/>
  <c r="U26" i="2" s="1"/>
  <c r="AQ311" i="3"/>
  <c r="DR310" i="3"/>
  <c r="DR311" i="3" s="1"/>
  <c r="P311" i="3"/>
  <c r="CM311" i="3"/>
  <c r="CM323" i="3" s="1"/>
  <c r="AV311" i="3"/>
  <c r="CO310" i="3"/>
  <c r="CO311" i="3" s="1"/>
  <c r="V21" i="2"/>
  <c r="L64" i="16"/>
  <c r="K64" i="16"/>
  <c r="DG310" i="3"/>
  <c r="D145" i="3"/>
  <c r="I145" i="3" s="1"/>
  <c r="H27" i="54"/>
  <c r="H28" i="54" s="1"/>
  <c r="H30" i="54" s="1"/>
  <c r="G28" i="54"/>
  <c r="G30" i="54" s="1"/>
  <c r="CQ310" i="3"/>
  <c r="BD311" i="3"/>
  <c r="BE311" i="3"/>
  <c r="CL310" i="3"/>
  <c r="CL311" i="3" s="1"/>
  <c r="BZ311" i="3"/>
  <c r="J69" i="16"/>
  <c r="M90" i="16"/>
  <c r="DN310" i="3"/>
  <c r="DK311" i="3"/>
  <c r="DK323" i="3" s="1"/>
  <c r="DQ310" i="3"/>
  <c r="R24" i="2"/>
  <c r="S24" i="2"/>
  <c r="Q27" i="2"/>
  <c r="DO310" i="3"/>
  <c r="H309" i="3"/>
  <c r="CW310" i="3"/>
  <c r="E26" i="54"/>
  <c r="E28" i="54" s="1"/>
  <c r="F30" i="54"/>
  <c r="K27" i="54"/>
  <c r="K28" i="54" s="1"/>
  <c r="K30" i="54" s="1"/>
  <c r="J28" i="54"/>
  <c r="J30" i="54" s="1"/>
  <c r="CX310" i="3"/>
  <c r="DW310" i="3"/>
  <c r="BC311" i="3"/>
  <c r="R52" i="2" l="1"/>
  <c r="S52" i="2"/>
  <c r="BB376" i="3"/>
  <c r="BC376" i="3"/>
  <c r="DS311" i="3"/>
  <c r="DS323" i="3" s="1"/>
  <c r="AO311" i="3"/>
  <c r="DL311" i="3"/>
  <c r="DL323" i="3" s="1"/>
  <c r="O311" i="3"/>
  <c r="DJ324" i="3"/>
  <c r="CS311" i="3"/>
  <c r="CS323" i="3" s="1"/>
  <c r="CJ311" i="3"/>
  <c r="CJ323" i="3" s="1"/>
  <c r="L311" i="3"/>
  <c r="AM311" i="3"/>
  <c r="W311" i="3"/>
  <c r="DJ323" i="3"/>
  <c r="CA323" i="3"/>
  <c r="Q33" i="3"/>
  <c r="CE311" i="3"/>
  <c r="CE323" i="3" s="1"/>
  <c r="CZ311" i="3"/>
  <c r="CZ323" i="3" s="1"/>
  <c r="DF323" i="3"/>
  <c r="CY323" i="3"/>
  <c r="CY325" i="3" s="1"/>
  <c r="CU323" i="3"/>
  <c r="BA311" i="3"/>
  <c r="CF323" i="3"/>
  <c r="S33" i="53"/>
  <c r="T33" i="53" s="1"/>
  <c r="DV311" i="3"/>
  <c r="DV324" i="3" s="1"/>
  <c r="BK311" i="3"/>
  <c r="DM324" i="3"/>
  <c r="DI311" i="3"/>
  <c r="DI323" i="3" s="1"/>
  <c r="DY311" i="3"/>
  <c r="DY324" i="3" s="1"/>
  <c r="DU311" i="3"/>
  <c r="DU323" i="3" s="1"/>
  <c r="CI324" i="3"/>
  <c r="DH311" i="3"/>
  <c r="DH324" i="3" s="1"/>
  <c r="BH311" i="3"/>
  <c r="DT311" i="3"/>
  <c r="DT324" i="3" s="1"/>
  <c r="DA324" i="3"/>
  <c r="DB324" i="3"/>
  <c r="CB324" i="3"/>
  <c r="CI323" i="3"/>
  <c r="CV311" i="3"/>
  <c r="CV323" i="3" s="1"/>
  <c r="AA311" i="3"/>
  <c r="DB323" i="3"/>
  <c r="CU324" i="3"/>
  <c r="CG324" i="3"/>
  <c r="BV325" i="3"/>
  <c r="BY311" i="3"/>
  <c r="Q29" i="2"/>
  <c r="AJ311" i="3"/>
  <c r="BX311" i="3"/>
  <c r="I42" i="3"/>
  <c r="O42" i="3"/>
  <c r="K42" i="3"/>
  <c r="L87" i="16"/>
  <c r="M106" i="16"/>
  <c r="K87" i="16"/>
  <c r="J87" i="16"/>
  <c r="DX324" i="3"/>
  <c r="M109" i="16"/>
  <c r="L90" i="16"/>
  <c r="K90" i="16"/>
  <c r="J90" i="16"/>
  <c r="M145" i="3"/>
  <c r="Q145" i="3"/>
  <c r="U145" i="3"/>
  <c r="Y145" i="3"/>
  <c r="AC145" i="3"/>
  <c r="AG145" i="3"/>
  <c r="AK145" i="3"/>
  <c r="AO145" i="3"/>
  <c r="AS145" i="3"/>
  <c r="AW145" i="3"/>
  <c r="BA145" i="3"/>
  <c r="J145" i="3"/>
  <c r="O145" i="3"/>
  <c r="T145" i="3"/>
  <c r="Z145" i="3"/>
  <c r="AE145" i="3"/>
  <c r="AJ145" i="3"/>
  <c r="AP145" i="3"/>
  <c r="AU145" i="3"/>
  <c r="AZ145" i="3"/>
  <c r="K145" i="3"/>
  <c r="P145" i="3"/>
  <c r="V145" i="3"/>
  <c r="AA145" i="3"/>
  <c r="AF145" i="3"/>
  <c r="AL145" i="3"/>
  <c r="AQ145" i="3"/>
  <c r="AV145" i="3"/>
  <c r="BB145" i="3"/>
  <c r="L145" i="3"/>
  <c r="W145" i="3"/>
  <c r="AH145" i="3"/>
  <c r="AR145" i="3"/>
  <c r="BC145" i="3"/>
  <c r="N145" i="3"/>
  <c r="X145" i="3"/>
  <c r="AI145" i="3"/>
  <c r="AT145" i="3"/>
  <c r="BD145" i="3"/>
  <c r="AB145" i="3"/>
  <c r="AX145" i="3"/>
  <c r="AD145" i="3"/>
  <c r="AY145" i="3"/>
  <c r="AM145" i="3"/>
  <c r="S145" i="3"/>
  <c r="R145" i="3"/>
  <c r="AN145" i="3"/>
  <c r="CO323" i="3"/>
  <c r="CO324" i="3"/>
  <c r="CC323" i="3"/>
  <c r="CC324" i="3"/>
  <c r="CD311" i="3"/>
  <c r="AE311" i="3"/>
  <c r="CX311" i="3"/>
  <c r="CX323" i="3" s="1"/>
  <c r="R42" i="3"/>
  <c r="CW311" i="3"/>
  <c r="CW324" i="3" s="1"/>
  <c r="DO311" i="3"/>
  <c r="DO324" i="3" s="1"/>
  <c r="AC311" i="3"/>
  <c r="V24" i="2"/>
  <c r="T27" i="2"/>
  <c r="J70" i="16"/>
  <c r="AR311" i="3"/>
  <c r="CL323" i="3"/>
  <c r="CL324" i="3"/>
  <c r="CM324" i="3"/>
  <c r="N42" i="3"/>
  <c r="Q42" i="3"/>
  <c r="M42" i="3"/>
  <c r="CN323" i="3"/>
  <c r="CN324" i="3"/>
  <c r="AN311" i="3"/>
  <c r="CP323" i="3"/>
  <c r="CP324" i="3"/>
  <c r="CK323" i="3"/>
  <c r="CK324" i="3"/>
  <c r="N311" i="3"/>
  <c r="DE323" i="3"/>
  <c r="DE324" i="3"/>
  <c r="DA323" i="3"/>
  <c r="DW311" i="3"/>
  <c r="AU311" i="3"/>
  <c r="AW311" i="3"/>
  <c r="DN311" i="3"/>
  <c r="J42" i="3"/>
  <c r="P42" i="3"/>
  <c r="L42" i="3"/>
  <c r="T44" i="2"/>
  <c r="V44" i="2" s="1"/>
  <c r="S44" i="2"/>
  <c r="Q45" i="2"/>
  <c r="Q53" i="2" s="1"/>
  <c r="V311" i="3"/>
  <c r="K33" i="53"/>
  <c r="Q33" i="53" s="1"/>
  <c r="P33" i="53"/>
  <c r="CR323" i="3"/>
  <c r="CR324" i="3"/>
  <c r="AZ311" i="3"/>
  <c r="BL311" i="3"/>
  <c r="S27" i="2"/>
  <c r="S29" i="2" s="1"/>
  <c r="DR323" i="3"/>
  <c r="DR324" i="3"/>
  <c r="DQ311" i="3"/>
  <c r="DQ324" i="3" s="1"/>
  <c r="DP311" i="3"/>
  <c r="DP324" i="3" s="1"/>
  <c r="DK324" i="3"/>
  <c r="DX323" i="3"/>
  <c r="DD323" i="3"/>
  <c r="DD324" i="3"/>
  <c r="V52" i="2"/>
  <c r="Q311" i="3"/>
  <c r="BU311" i="3"/>
  <c r="U24" i="2"/>
  <c r="U27" i="2" s="1"/>
  <c r="U29" i="2" s="1"/>
  <c r="R27" i="2"/>
  <c r="R29" i="2" s="1"/>
  <c r="CH324" i="3"/>
  <c r="L69" i="16"/>
  <c r="K69" i="16"/>
  <c r="DC311" i="3"/>
  <c r="H310" i="3"/>
  <c r="T311" i="3"/>
  <c r="X311" i="3"/>
  <c r="CQ311" i="3"/>
  <c r="J311" i="3"/>
  <c r="DG311" i="3"/>
  <c r="M311" i="3"/>
  <c r="CT311" i="3"/>
  <c r="CT324" i="3" s="1"/>
  <c r="BN311" i="3"/>
  <c r="L65" i="16"/>
  <c r="K65" i="16"/>
  <c r="DS324" i="3" l="1"/>
  <c r="DS342" i="3" s="1"/>
  <c r="DL324" i="3"/>
  <c r="BD376" i="3"/>
  <c r="BB54" i="3"/>
  <c r="S325" i="3"/>
  <c r="CS324" i="3"/>
  <c r="DV323" i="3"/>
  <c r="DV325" i="3" s="1"/>
  <c r="BF325" i="3"/>
  <c r="DF325" i="3"/>
  <c r="CJ324" i="3"/>
  <c r="DJ325" i="3"/>
  <c r="DH323" i="3"/>
  <c r="Z325" i="3"/>
  <c r="AB325" i="3"/>
  <c r="AP325" i="3"/>
  <c r="AF325" i="3"/>
  <c r="K325" i="3"/>
  <c r="CE324" i="3"/>
  <c r="CZ324" i="3"/>
  <c r="BQ325" i="3"/>
  <c r="AD325" i="3"/>
  <c r="CT323" i="3"/>
  <c r="CA325" i="3"/>
  <c r="P33" i="3"/>
  <c r="DP323" i="3"/>
  <c r="CF325" i="3"/>
  <c r="BG325" i="3"/>
  <c r="AK325" i="3"/>
  <c r="R33" i="3"/>
  <c r="I325" i="3"/>
  <c r="U325" i="3"/>
  <c r="CV324" i="3"/>
  <c r="BO325" i="3"/>
  <c r="AI325" i="3"/>
  <c r="DT323" i="3"/>
  <c r="DT325" i="3" s="1"/>
  <c r="DY323" i="3"/>
  <c r="CU325" i="3"/>
  <c r="DI324" i="3"/>
  <c r="CI325" i="3"/>
  <c r="DB325" i="3"/>
  <c r="BU325" i="3"/>
  <c r="DU324" i="3"/>
  <c r="DM325" i="3"/>
  <c r="CQ324" i="3"/>
  <c r="CB325" i="3"/>
  <c r="V325" i="3"/>
  <c r="AN325" i="3"/>
  <c r="CG325" i="3"/>
  <c r="T53" i="2"/>
  <c r="S53" i="2"/>
  <c r="R53" i="2"/>
  <c r="AY325" i="3"/>
  <c r="AV325" i="3"/>
  <c r="BE325" i="3"/>
  <c r="DQ323" i="3"/>
  <c r="DQ342" i="3" s="1"/>
  <c r="AU320" i="3"/>
  <c r="AU328" i="3" s="1"/>
  <c r="BZ342" i="3"/>
  <c r="BZ320" i="3"/>
  <c r="CY342" i="3"/>
  <c r="CY320" i="3"/>
  <c r="CH342" i="3"/>
  <c r="CH320" i="3"/>
  <c r="CU342" i="3"/>
  <c r="CU320" i="3"/>
  <c r="AI320" i="3"/>
  <c r="CL342" i="3"/>
  <c r="CL320" i="3"/>
  <c r="Z320" i="3"/>
  <c r="DE342" i="3"/>
  <c r="DE320" i="3"/>
  <c r="BY320" i="3"/>
  <c r="AS320" i="3"/>
  <c r="AC320" i="3"/>
  <c r="AC328" i="3" s="1"/>
  <c r="AC329" i="3" s="1"/>
  <c r="DP320" i="3"/>
  <c r="DP328" i="3" s="1"/>
  <c r="CZ320" i="3"/>
  <c r="CJ320" i="3"/>
  <c r="BT320" i="3"/>
  <c r="BT328" i="3" s="1"/>
  <c r="BD320" i="3"/>
  <c r="AN320" i="3"/>
  <c r="AN328" i="3" s="1"/>
  <c r="X320" i="3"/>
  <c r="X328" i="3" s="1"/>
  <c r="DC323" i="3"/>
  <c r="DD325" i="3"/>
  <c r="CR325" i="3"/>
  <c r="DN323" i="3"/>
  <c r="CP342" i="3"/>
  <c r="CP320" i="3"/>
  <c r="W320" i="3"/>
  <c r="CC325" i="3"/>
  <c r="BW325" i="3"/>
  <c r="CO325" i="3"/>
  <c r="H311" i="3"/>
  <c r="Y325" i="3"/>
  <c r="AH325" i="3"/>
  <c r="CQ323" i="3"/>
  <c r="BP325" i="3"/>
  <c r="DX325" i="3"/>
  <c r="DR325" i="3"/>
  <c r="DN324" i="3"/>
  <c r="DW324" i="3"/>
  <c r="DE325" i="3"/>
  <c r="CK325" i="3"/>
  <c r="DV320" i="3"/>
  <c r="DG320" i="3"/>
  <c r="DG328" i="3" s="1"/>
  <c r="DW320" i="3"/>
  <c r="DF342" i="3"/>
  <c r="DF320" i="3"/>
  <c r="DO320" i="3"/>
  <c r="DO328" i="3" s="1"/>
  <c r="BC320" i="3"/>
  <c r="CX320" i="3"/>
  <c r="CX328" i="3" s="1"/>
  <c r="AL320" i="3"/>
  <c r="DC320" i="3"/>
  <c r="DC328" i="3" s="1"/>
  <c r="BW320" i="3"/>
  <c r="AQ320" i="3"/>
  <c r="K320" i="3"/>
  <c r="CT320" i="3"/>
  <c r="CT328" i="3" s="1"/>
  <c r="BN320" i="3"/>
  <c r="AH320" i="3"/>
  <c r="DY320" i="3"/>
  <c r="DI320" i="3"/>
  <c r="CS320" i="3"/>
  <c r="CC342" i="3"/>
  <c r="CC320" i="3"/>
  <c r="BM320" i="3"/>
  <c r="AW320" i="3"/>
  <c r="AG320" i="3"/>
  <c r="Q320" i="3"/>
  <c r="DT320" i="3"/>
  <c r="DD342" i="3"/>
  <c r="DD320" i="3"/>
  <c r="CN342" i="3"/>
  <c r="CN320" i="3"/>
  <c r="BX320" i="3"/>
  <c r="BX328" i="3" s="1"/>
  <c r="BH320" i="3"/>
  <c r="AR320" i="3"/>
  <c r="AR328" i="3" s="1"/>
  <c r="AB320" i="3"/>
  <c r="L320" i="3"/>
  <c r="CL325" i="3"/>
  <c r="L70" i="16"/>
  <c r="K70" i="16"/>
  <c r="V27" i="2"/>
  <c r="T29" i="2"/>
  <c r="V29" i="2" s="1"/>
  <c r="DC324" i="3"/>
  <c r="DK325" i="3"/>
  <c r="L106" i="16"/>
  <c r="K106" i="16"/>
  <c r="CD323" i="3"/>
  <c r="AT325" i="3"/>
  <c r="CM325" i="3"/>
  <c r="AX325" i="3"/>
  <c r="BJ325" i="3"/>
  <c r="BJ320" i="3"/>
  <c r="CQ320" i="3"/>
  <c r="CQ328" i="3" s="1"/>
  <c r="AM320" i="3"/>
  <c r="V320" i="3"/>
  <c r="V328" i="3" s="1"/>
  <c r="BO320" i="3"/>
  <c r="BO328" i="3" s="1"/>
  <c r="DR342" i="3"/>
  <c r="DR320" i="3"/>
  <c r="BF320" i="3"/>
  <c r="DU320" i="3"/>
  <c r="CO342" i="3"/>
  <c r="CO320" i="3"/>
  <c r="BI320" i="3"/>
  <c r="M320" i="3"/>
  <c r="BB325" i="3"/>
  <c r="R325" i="3"/>
  <c r="M36" i="16"/>
  <c r="M40" i="16"/>
  <c r="M50" i="16"/>
  <c r="M35" i="16"/>
  <c r="M39" i="16"/>
  <c r="M45" i="16"/>
  <c r="M49" i="16"/>
  <c r="M38" i="16"/>
  <c r="M44" i="16"/>
  <c r="M57" i="16"/>
  <c r="M37" i="16"/>
  <c r="M43" i="16"/>
  <c r="M60" i="16"/>
  <c r="M68" i="16"/>
  <c r="J72" i="16"/>
  <c r="M41" i="16"/>
  <c r="M34" i="16"/>
  <c r="M61" i="16"/>
  <c r="M62" i="16"/>
  <c r="M33" i="16"/>
  <c r="M53" i="16"/>
  <c r="M42" i="16"/>
  <c r="M59" i="16"/>
  <c r="M58" i="16"/>
  <c r="M46" i="16"/>
  <c r="M63" i="16"/>
  <c r="M51" i="16"/>
  <c r="M52" i="16"/>
  <c r="M54" i="16"/>
  <c r="M64" i="16"/>
  <c r="M65" i="16"/>
  <c r="M69" i="16"/>
  <c r="BD325" i="3"/>
  <c r="BZ325" i="3"/>
  <c r="BM325" i="3"/>
  <c r="S45" i="2"/>
  <c r="T45" i="2"/>
  <c r="V45" i="2" s="1"/>
  <c r="Q47" i="2"/>
  <c r="DW323" i="3"/>
  <c r="CP325" i="3"/>
  <c r="BI325" i="3"/>
  <c r="CA342" i="3"/>
  <c r="CA320" i="3"/>
  <c r="BK320" i="3"/>
  <c r="AT320" i="3"/>
  <c r="CI342" i="3"/>
  <c r="CI320" i="3"/>
  <c r="BR320" i="3"/>
  <c r="BR328" i="3" s="1"/>
  <c r="DS320" i="3"/>
  <c r="CM342" i="3"/>
  <c r="CM320" i="3"/>
  <c r="BG320" i="3"/>
  <c r="AA320" i="3"/>
  <c r="DJ342" i="3"/>
  <c r="DJ320" i="3"/>
  <c r="CD320" i="3"/>
  <c r="AX320" i="3"/>
  <c r="R320" i="3"/>
  <c r="DQ320" i="3"/>
  <c r="DA342" i="3"/>
  <c r="DA320" i="3"/>
  <c r="CK342" i="3"/>
  <c r="CK320" i="3"/>
  <c r="BU320" i="3"/>
  <c r="BE320" i="3"/>
  <c r="AO320" i="3"/>
  <c r="Y320" i="3"/>
  <c r="H319" i="3"/>
  <c r="I320" i="3"/>
  <c r="DL320" i="3"/>
  <c r="CV320" i="3"/>
  <c r="CF342" i="3"/>
  <c r="CF320" i="3"/>
  <c r="BP320" i="3"/>
  <c r="AZ320" i="3"/>
  <c r="AZ328" i="3" s="1"/>
  <c r="AZ329" i="3" s="1"/>
  <c r="AJ320" i="3"/>
  <c r="AJ328" i="3" s="1"/>
  <c r="T320" i="3"/>
  <c r="AQ325" i="3"/>
  <c r="DO323" i="3"/>
  <c r="CW323" i="3"/>
  <c r="CW342" i="3" s="1"/>
  <c r="AL325" i="3"/>
  <c r="DG324" i="3"/>
  <c r="AS325" i="3"/>
  <c r="CH325" i="3"/>
  <c r="BC325" i="3"/>
  <c r="DA325" i="3"/>
  <c r="CN325" i="3"/>
  <c r="AG325" i="3"/>
  <c r="O320" i="3"/>
  <c r="AD320" i="3"/>
  <c r="AE320" i="3"/>
  <c r="N320" i="3"/>
  <c r="N328" i="3" s="1"/>
  <c r="N329" i="3" s="1"/>
  <c r="BS320" i="3"/>
  <c r="BS328" i="3" s="1"/>
  <c r="DN320" i="3"/>
  <c r="DN328" i="3" s="1"/>
  <c r="BB320" i="3"/>
  <c r="DK342" i="3"/>
  <c r="DK320" i="3"/>
  <c r="CE320" i="3"/>
  <c r="AY320" i="3"/>
  <c r="S320" i="3"/>
  <c r="DB342" i="3"/>
  <c r="DB320" i="3"/>
  <c r="BV320" i="3"/>
  <c r="AP320" i="3"/>
  <c r="J320" i="3"/>
  <c r="DM342" i="3"/>
  <c r="DM320" i="3"/>
  <c r="CW320" i="3"/>
  <c r="CG342" i="3"/>
  <c r="CG320" i="3"/>
  <c r="BQ320" i="3"/>
  <c r="BA320" i="3"/>
  <c r="AK320" i="3"/>
  <c r="U320" i="3"/>
  <c r="DX342" i="3"/>
  <c r="DX320" i="3"/>
  <c r="DH320" i="3"/>
  <c r="CR342" i="3"/>
  <c r="CR320" i="3"/>
  <c r="CB342" i="3"/>
  <c r="CB320" i="3"/>
  <c r="BL320" i="3"/>
  <c r="BL328" i="3" s="1"/>
  <c r="AV320" i="3"/>
  <c r="AF320" i="3"/>
  <c r="P320" i="3"/>
  <c r="P325" i="3"/>
  <c r="M70" i="16"/>
  <c r="CX324" i="3"/>
  <c r="K109" i="16"/>
  <c r="L109" i="16"/>
  <c r="CD324" i="3"/>
  <c r="DG323" i="3"/>
  <c r="Q30" i="2"/>
  <c r="U68" i="2"/>
  <c r="AW328" i="3" l="1"/>
  <c r="AW330" i="3" s="1"/>
  <c r="BU328" i="3"/>
  <c r="BU330" i="3" s="1"/>
  <c r="M328" i="3"/>
  <c r="AN329" i="3"/>
  <c r="AJ329" i="3"/>
  <c r="DN329" i="3"/>
  <c r="V329" i="3"/>
  <c r="DC329" i="3"/>
  <c r="BT329" i="3"/>
  <c r="AU329" i="3"/>
  <c r="M329" i="3"/>
  <c r="BR329" i="3"/>
  <c r="CT329" i="3"/>
  <c r="DG329" i="3"/>
  <c r="BS329" i="3"/>
  <c r="BL329" i="3"/>
  <c r="AR329" i="3"/>
  <c r="CX329" i="3"/>
  <c r="DP329" i="3"/>
  <c r="X329" i="3"/>
  <c r="CQ329" i="3"/>
  <c r="BX329" i="3"/>
  <c r="DO329" i="3"/>
  <c r="BM53" i="3"/>
  <c r="BN53" i="3" s="1"/>
  <c r="BO53" i="3" s="1"/>
  <c r="BP53" i="3" s="1"/>
  <c r="BQ53" i="3" s="1"/>
  <c r="BR53" i="3" s="1"/>
  <c r="BS53" i="3" s="1"/>
  <c r="BT53" i="3" s="1"/>
  <c r="BU53" i="3" s="1"/>
  <c r="BV53" i="3" s="1"/>
  <c r="BW53" i="3" s="1"/>
  <c r="BX53" i="3" s="1"/>
  <c r="BY53" i="3" s="1"/>
  <c r="BZ53" i="3" s="1"/>
  <c r="CA53" i="3" s="1"/>
  <c r="CB53" i="3" s="1"/>
  <c r="CC53" i="3" s="1"/>
  <c r="CD53" i="3" s="1"/>
  <c r="CE53" i="3" s="1"/>
  <c r="CF53" i="3" s="1"/>
  <c r="CG53" i="3" s="1"/>
  <c r="CH53" i="3" s="1"/>
  <c r="CI53" i="3" s="1"/>
  <c r="CJ53" i="3" s="1"/>
  <c r="CK53" i="3" s="1"/>
  <c r="CL53" i="3" s="1"/>
  <c r="CM53" i="3" s="1"/>
  <c r="CN53" i="3" s="1"/>
  <c r="CO53" i="3" s="1"/>
  <c r="CP53" i="3" s="1"/>
  <c r="CQ53" i="3" s="1"/>
  <c r="CR53" i="3" s="1"/>
  <c r="CS53" i="3" s="1"/>
  <c r="CT53" i="3" s="1"/>
  <c r="CU53" i="3" s="1"/>
  <c r="CV53" i="3" s="1"/>
  <c r="CW53" i="3" s="1"/>
  <c r="CX53" i="3" s="1"/>
  <c r="CY53" i="3" s="1"/>
  <c r="CZ53" i="3" s="1"/>
  <c r="DA53" i="3" s="1"/>
  <c r="DB53" i="3" s="1"/>
  <c r="DC53" i="3" s="1"/>
  <c r="DD53" i="3" s="1"/>
  <c r="DE53" i="3" s="1"/>
  <c r="DF53" i="3" s="1"/>
  <c r="DG53" i="3" s="1"/>
  <c r="DH53" i="3" s="1"/>
  <c r="DI53" i="3" s="1"/>
  <c r="DJ53" i="3" s="1"/>
  <c r="DK53" i="3" s="1"/>
  <c r="DL53" i="3" s="1"/>
  <c r="DM53" i="3" s="1"/>
  <c r="DN53" i="3" s="1"/>
  <c r="DO53" i="3" s="1"/>
  <c r="DP53" i="3" s="1"/>
  <c r="DQ53" i="3" s="1"/>
  <c r="DR53" i="3" s="1"/>
  <c r="DS53" i="3" s="1"/>
  <c r="DT53" i="3" s="1"/>
  <c r="DU53" i="3" s="1"/>
  <c r="DV53" i="3" s="1"/>
  <c r="DW53" i="3" s="1"/>
  <c r="DX53" i="3" s="1"/>
  <c r="DY53" i="3" s="1"/>
  <c r="DS325" i="3"/>
  <c r="DS333" i="3" s="1"/>
  <c r="DL325" i="3"/>
  <c r="DL333" i="3" s="1"/>
  <c r="DL342" i="3"/>
  <c r="BF376" i="3"/>
  <c r="BC54" i="3"/>
  <c r="BE376" i="3"/>
  <c r="AA325" i="3"/>
  <c r="AA333" i="3" s="1"/>
  <c r="BD54" i="3"/>
  <c r="AO325" i="3"/>
  <c r="AO333" i="3" s="1"/>
  <c r="L325" i="3"/>
  <c r="L333" i="3" s="1"/>
  <c r="CS325" i="3"/>
  <c r="CS333" i="3" s="1"/>
  <c r="CJ325" i="3"/>
  <c r="CJ333" i="3" s="1"/>
  <c r="DV342" i="3"/>
  <c r="AM325" i="3"/>
  <c r="AM333" i="3" s="1"/>
  <c r="O325" i="3"/>
  <c r="O333" i="3" s="1"/>
  <c r="CS342" i="3"/>
  <c r="CE325" i="3"/>
  <c r="CE333" i="3" s="1"/>
  <c r="W325" i="3"/>
  <c r="W333" i="3" s="1"/>
  <c r="DH325" i="3"/>
  <c r="DH333" i="3" s="1"/>
  <c r="DH342" i="3"/>
  <c r="CJ342" i="3"/>
  <c r="DN342" i="3"/>
  <c r="BA325" i="3"/>
  <c r="BA333" i="3" s="1"/>
  <c r="N325" i="3"/>
  <c r="N333" i="3" s="1"/>
  <c r="DU325" i="3"/>
  <c r="DU333" i="3" s="1"/>
  <c r="CT325" i="3"/>
  <c r="CT333" i="3" s="1"/>
  <c r="CT342" i="3"/>
  <c r="CE342" i="3"/>
  <c r="DP325" i="3"/>
  <c r="DP333" i="3" s="1"/>
  <c r="CZ342" i="3"/>
  <c r="DP342" i="3"/>
  <c r="CZ325" i="3"/>
  <c r="CZ333" i="3" s="1"/>
  <c r="AC325" i="3"/>
  <c r="AC333" i="3" s="1"/>
  <c r="T33" i="3"/>
  <c r="DG342" i="3"/>
  <c r="CV325" i="3"/>
  <c r="CV333" i="3" s="1"/>
  <c r="DU342" i="3"/>
  <c r="V333" i="3"/>
  <c r="CV342" i="3"/>
  <c r="AU325" i="3"/>
  <c r="AU333" i="3" s="1"/>
  <c r="BK325" i="3"/>
  <c r="BK333" i="3" s="1"/>
  <c r="BU333" i="3"/>
  <c r="DI325" i="3"/>
  <c r="DI333" i="3" s="1"/>
  <c r="DT342" i="3"/>
  <c r="DI342" i="3"/>
  <c r="CX342" i="3"/>
  <c r="AZ325" i="3"/>
  <c r="AZ333" i="3" s="1"/>
  <c r="DY325" i="3"/>
  <c r="DY333" i="3" s="1"/>
  <c r="DY342" i="3"/>
  <c r="AW325" i="3"/>
  <c r="AW333" i="3" s="1"/>
  <c r="BH325" i="3"/>
  <c r="BH333" i="3" s="1"/>
  <c r="P54" i="3"/>
  <c r="P67" i="3" s="1"/>
  <c r="CX325" i="3"/>
  <c r="CX333" i="3" s="1"/>
  <c r="AR325" i="3"/>
  <c r="AR333" i="3" s="1"/>
  <c r="BY325" i="3"/>
  <c r="BY333" i="3" s="1"/>
  <c r="BL330" i="3"/>
  <c r="BR330" i="3"/>
  <c r="BX330" i="3"/>
  <c r="DC330" i="3"/>
  <c r="AN330" i="3"/>
  <c r="DN330" i="3"/>
  <c r="M330" i="3"/>
  <c r="X330" i="3"/>
  <c r="CB328" i="3"/>
  <c r="CB329" i="3" s="1"/>
  <c r="CB333" i="3"/>
  <c r="CG333" i="3"/>
  <c r="CG328" i="3"/>
  <c r="CG329" i="3" s="1"/>
  <c r="AY333" i="3"/>
  <c r="AY328" i="3"/>
  <c r="AY329" i="3" s="1"/>
  <c r="AD328" i="3"/>
  <c r="AD329" i="3" s="1"/>
  <c r="AD333" i="3"/>
  <c r="DA333" i="3"/>
  <c r="DA328" i="3"/>
  <c r="DA329" i="3" s="1"/>
  <c r="CM333" i="3"/>
  <c r="CM328" i="3"/>
  <c r="CM329" i="3" s="1"/>
  <c r="CO328" i="3"/>
  <c r="CO329" i="3" s="1"/>
  <c r="CO333" i="3"/>
  <c r="BJ328" i="3"/>
  <c r="BJ329" i="3" s="1"/>
  <c r="BJ333" i="3"/>
  <c r="CC328" i="3"/>
  <c r="CC329" i="3" s="1"/>
  <c r="CC333" i="3"/>
  <c r="AQ328" i="3"/>
  <c r="AQ329" i="3" s="1"/>
  <c r="AQ333" i="3"/>
  <c r="N330" i="3"/>
  <c r="CQ325" i="3"/>
  <c r="CQ333" i="3" s="1"/>
  <c r="CZ328" i="3"/>
  <c r="CZ329" i="3" s="1"/>
  <c r="BY328" i="3"/>
  <c r="BY329" i="3" s="1"/>
  <c r="AI328" i="3"/>
  <c r="AI329" i="3" s="1"/>
  <c r="AI333" i="3"/>
  <c r="BX325" i="3"/>
  <c r="BX333" i="3" s="1"/>
  <c r="DX328" i="3"/>
  <c r="DX329" i="3" s="1"/>
  <c r="DX333" i="3"/>
  <c r="BB328" i="3"/>
  <c r="BB329" i="3" s="1"/>
  <c r="BB333" i="3"/>
  <c r="H320" i="3"/>
  <c r="I328" i="3"/>
  <c r="I329" i="3" s="1"/>
  <c r="I333" i="3"/>
  <c r="Y328" i="3"/>
  <c r="Y329" i="3" s="1"/>
  <c r="Y333" i="3"/>
  <c r="AX333" i="3"/>
  <c r="AX328" i="3"/>
  <c r="AX329" i="3" s="1"/>
  <c r="CD342" i="3"/>
  <c r="CI333" i="3"/>
  <c r="CI328" i="3"/>
  <c r="CI329" i="3" s="1"/>
  <c r="S47" i="2"/>
  <c r="Q48" i="2"/>
  <c r="T47" i="2"/>
  <c r="V47" i="2" s="1"/>
  <c r="U81" i="2"/>
  <c r="AJ330" i="3"/>
  <c r="M54" i="3"/>
  <c r="M67" i="3" s="1"/>
  <c r="BI328" i="3"/>
  <c r="BI329" i="3" s="1"/>
  <c r="BI333" i="3"/>
  <c r="CD325" i="3"/>
  <c r="CD333" i="3" s="1"/>
  <c r="DT333" i="3"/>
  <c r="DT328" i="3"/>
  <c r="DT329" i="3" s="1"/>
  <c r="DY328" i="3"/>
  <c r="DY329" i="3" s="1"/>
  <c r="AL333" i="3"/>
  <c r="AL328" i="3"/>
  <c r="AL329" i="3" s="1"/>
  <c r="BR325" i="3"/>
  <c r="BR333" i="3" s="1"/>
  <c r="AZ330" i="3"/>
  <c r="CY328" i="3"/>
  <c r="CY329" i="3" s="1"/>
  <c r="CY333" i="3"/>
  <c r="J325" i="3"/>
  <c r="O54" i="3"/>
  <c r="O67" i="3" s="1"/>
  <c r="Q328" i="3"/>
  <c r="Q329" i="3" s="1"/>
  <c r="M325" i="3"/>
  <c r="M333" i="3" s="1"/>
  <c r="AV333" i="3"/>
  <c r="AV328" i="3"/>
  <c r="AV329" i="3" s="1"/>
  <c r="DH328" i="3"/>
  <c r="DH329" i="3" s="1"/>
  <c r="BA328" i="3"/>
  <c r="BA329" i="3" s="1"/>
  <c r="DM328" i="3"/>
  <c r="DM329" i="3" s="1"/>
  <c r="DM333" i="3"/>
  <c r="DB328" i="3"/>
  <c r="DB329" i="3" s="1"/>
  <c r="DB333" i="3"/>
  <c r="DK333" i="3"/>
  <c r="DK328" i="3"/>
  <c r="DK329" i="3" s="1"/>
  <c r="DL328" i="3"/>
  <c r="DL329" i="3" s="1"/>
  <c r="R328" i="3"/>
  <c r="R329" i="3" s="1"/>
  <c r="R333" i="3"/>
  <c r="AA328" i="3"/>
  <c r="AA329" i="3" s="1"/>
  <c r="CA328" i="3"/>
  <c r="CA329" i="3" s="1"/>
  <c r="CA333" i="3"/>
  <c r="DW325" i="3"/>
  <c r="DW333" i="3" s="1"/>
  <c r="CW328" i="3"/>
  <c r="CW329" i="3" s="1"/>
  <c r="BF333" i="3"/>
  <c r="BF328" i="3"/>
  <c r="BF329" i="3" s="1"/>
  <c r="AM328" i="3"/>
  <c r="AM329" i="3" s="1"/>
  <c r="CQ342" i="3"/>
  <c r="DQ328" i="3"/>
  <c r="DQ329" i="3" s="1"/>
  <c r="T328" i="3"/>
  <c r="T329" i="3" s="1"/>
  <c r="DG330" i="3"/>
  <c r="BT325" i="3"/>
  <c r="BT333" i="3" s="1"/>
  <c r="N54" i="3"/>
  <c r="N67" i="3" s="1"/>
  <c r="DD333" i="3"/>
  <c r="DD328" i="3"/>
  <c r="DD329" i="3" s="1"/>
  <c r="DI328" i="3"/>
  <c r="DI329" i="3" s="1"/>
  <c r="DV333" i="3"/>
  <c r="DV328" i="3"/>
  <c r="DV329" i="3" s="1"/>
  <c r="AN333" i="3"/>
  <c r="DP330" i="3"/>
  <c r="J328" i="3"/>
  <c r="J329" i="3" s="1"/>
  <c r="BT330" i="3"/>
  <c r="CP328" i="3"/>
  <c r="CP329" i="3" s="1"/>
  <c r="CP333" i="3"/>
  <c r="BN328" i="3"/>
  <c r="BN329" i="3" s="1"/>
  <c r="I54" i="3"/>
  <c r="I67" i="3" s="1"/>
  <c r="DC325" i="3"/>
  <c r="DC333" i="3" s="1"/>
  <c r="Z328" i="3"/>
  <c r="Z329" i="3" s="1"/>
  <c r="Z333" i="3"/>
  <c r="CH333" i="3"/>
  <c r="CH328" i="3"/>
  <c r="CH329" i="3" s="1"/>
  <c r="BS325" i="3"/>
  <c r="BS333" i="3" s="1"/>
  <c r="V68" i="2"/>
  <c r="U75" i="2"/>
  <c r="T325" i="3"/>
  <c r="T333" i="3" s="1"/>
  <c r="P333" i="3"/>
  <c r="P328" i="3"/>
  <c r="P329" i="3" s="1"/>
  <c r="U333" i="3"/>
  <c r="U328" i="3"/>
  <c r="U329" i="3" s="1"/>
  <c r="AP333" i="3"/>
  <c r="AP328" i="3"/>
  <c r="AP329" i="3" s="1"/>
  <c r="CX330" i="3"/>
  <c r="DO325" i="3"/>
  <c r="DO333" i="3" s="1"/>
  <c r="CF333" i="3"/>
  <c r="CF328" i="3"/>
  <c r="CF329" i="3" s="1"/>
  <c r="AO328" i="3"/>
  <c r="AO329" i="3" s="1"/>
  <c r="AT333" i="3"/>
  <c r="AT328" i="3"/>
  <c r="AT329" i="3" s="1"/>
  <c r="Q325" i="3"/>
  <c r="Q333" i="3" s="1"/>
  <c r="L72" i="16"/>
  <c r="K72" i="16"/>
  <c r="BO329" i="3"/>
  <c r="BO333" i="3"/>
  <c r="L328" i="3"/>
  <c r="L329" i="3" s="1"/>
  <c r="AH328" i="3"/>
  <c r="AH329" i="3" s="1"/>
  <c r="AH333" i="3"/>
  <c r="CQ330" i="3"/>
  <c r="CD328" i="3"/>
  <c r="CD329" i="3" s="1"/>
  <c r="BZ333" i="3"/>
  <c r="BZ328" i="3"/>
  <c r="BZ329" i="3" s="1"/>
  <c r="DW328" i="3"/>
  <c r="DW329" i="3" s="1"/>
  <c r="DG325" i="3"/>
  <c r="DG333" i="3" s="1"/>
  <c r="AC330" i="3"/>
  <c r="H323" i="3"/>
  <c r="BQ333" i="3"/>
  <c r="BQ328" i="3"/>
  <c r="BQ329" i="3" s="1"/>
  <c r="S328" i="3"/>
  <c r="S329" i="3" s="1"/>
  <c r="S333" i="3"/>
  <c r="AU330" i="3"/>
  <c r="L54" i="3"/>
  <c r="L67" i="3" s="1"/>
  <c r="CT330" i="3"/>
  <c r="BP328" i="3"/>
  <c r="BP329" i="3" s="1"/>
  <c r="BP333" i="3"/>
  <c r="CK333" i="3"/>
  <c r="CK328" i="3"/>
  <c r="CK329" i="3" s="1"/>
  <c r="BG328" i="3"/>
  <c r="BG329" i="3" s="1"/>
  <c r="BG333" i="3"/>
  <c r="BS330" i="3"/>
  <c r="DO330" i="3"/>
  <c r="DR333" i="3"/>
  <c r="DR328" i="3"/>
  <c r="DR329" i="3" s="1"/>
  <c r="BH328" i="3"/>
  <c r="BH329" i="3" s="1"/>
  <c r="BM328" i="3"/>
  <c r="BM329" i="3" s="1"/>
  <c r="BM333" i="3"/>
  <c r="K328" i="3"/>
  <c r="K329" i="3" s="1"/>
  <c r="K333" i="3"/>
  <c r="DF333" i="3"/>
  <c r="DF328" i="3"/>
  <c r="DF329" i="3" s="1"/>
  <c r="DW342" i="3"/>
  <c r="H324" i="3"/>
  <c r="J54" i="3"/>
  <c r="BN325" i="3"/>
  <c r="BN333" i="3" s="1"/>
  <c r="AJ325" i="3"/>
  <c r="AJ333" i="3" s="1"/>
  <c r="CJ328" i="3"/>
  <c r="CJ329" i="3" s="1"/>
  <c r="AS328" i="3"/>
  <c r="AS329" i="3" s="1"/>
  <c r="AS333" i="3"/>
  <c r="CL333" i="3"/>
  <c r="CL328" i="3"/>
  <c r="CL329" i="3" s="1"/>
  <c r="S42" i="3"/>
  <c r="AR330" i="3"/>
  <c r="AF328" i="3"/>
  <c r="AF329" i="3" s="1"/>
  <c r="AF333" i="3"/>
  <c r="CR328" i="3"/>
  <c r="CR329" i="3" s="1"/>
  <c r="CR333" i="3"/>
  <c r="AK333" i="3"/>
  <c r="AK328" i="3"/>
  <c r="AK329" i="3" s="1"/>
  <c r="BV333" i="3"/>
  <c r="BV328" i="3"/>
  <c r="BV329" i="3" s="1"/>
  <c r="CE328" i="3"/>
  <c r="CE329" i="3" s="1"/>
  <c r="O328" i="3"/>
  <c r="O329" i="3" s="1"/>
  <c r="V330" i="3"/>
  <c r="CW325" i="3"/>
  <c r="CW333" i="3" s="1"/>
  <c r="CV328" i="3"/>
  <c r="CV329" i="3" s="1"/>
  <c r="BE328" i="3"/>
  <c r="BE329" i="3" s="1"/>
  <c r="BE333" i="3"/>
  <c r="DJ333" i="3"/>
  <c r="DJ328" i="3"/>
  <c r="DJ329" i="3" s="1"/>
  <c r="DS328" i="3"/>
  <c r="DS329" i="3" s="1"/>
  <c r="BK328" i="3"/>
  <c r="BK329" i="3" s="1"/>
  <c r="AE328" i="3"/>
  <c r="AE329" i="3" s="1"/>
  <c r="DU328" i="3"/>
  <c r="DU329" i="3" s="1"/>
  <c r="K54" i="3"/>
  <c r="K67" i="3" s="1"/>
  <c r="AB333" i="3"/>
  <c r="AB328" i="3"/>
  <c r="AB329" i="3" s="1"/>
  <c r="CN333" i="3"/>
  <c r="CN328" i="3"/>
  <c r="CN329" i="3" s="1"/>
  <c r="AG333" i="3"/>
  <c r="AG328" i="3"/>
  <c r="AG329" i="3" s="1"/>
  <c r="CS328" i="3"/>
  <c r="CS329" i="3" s="1"/>
  <c r="BW333" i="3"/>
  <c r="BW328" i="3"/>
  <c r="BW329" i="3" s="1"/>
  <c r="DC342" i="3"/>
  <c r="BC328" i="3"/>
  <c r="BC329" i="3" s="1"/>
  <c r="BC333" i="3"/>
  <c r="DO342" i="3"/>
  <c r="AE325" i="3"/>
  <c r="AE333" i="3" s="1"/>
  <c r="W328" i="3"/>
  <c r="W329" i="3" s="1"/>
  <c r="DN325" i="3"/>
  <c r="DN333" i="3" s="1"/>
  <c r="BL325" i="3"/>
  <c r="BL333" i="3" s="1"/>
  <c r="BD333" i="3"/>
  <c r="BD328" i="3"/>
  <c r="BD329" i="3" s="1"/>
  <c r="DE328" i="3"/>
  <c r="DE329" i="3" s="1"/>
  <c r="DE333" i="3"/>
  <c r="CU328" i="3"/>
  <c r="CU329" i="3" s="1"/>
  <c r="CU333" i="3"/>
  <c r="DQ325" i="3"/>
  <c r="DQ333" i="3" s="1"/>
  <c r="X325" i="3"/>
  <c r="X333" i="3" s="1"/>
  <c r="V53" i="2"/>
  <c r="T54" i="2"/>
  <c r="J67" i="3" l="1"/>
  <c r="AW329" i="3"/>
  <c r="BU329" i="3"/>
  <c r="BG376" i="3"/>
  <c r="BE54" i="3"/>
  <c r="S33" i="3"/>
  <c r="BT331" i="3"/>
  <c r="U331" i="3"/>
  <c r="BK331" i="3"/>
  <c r="AV331" i="3"/>
  <c r="BR331" i="3"/>
  <c r="AT331" i="3"/>
  <c r="G342" i="3"/>
  <c r="BQ331" i="3"/>
  <c r="CE330" i="3"/>
  <c r="CD331" i="3"/>
  <c r="AK330" i="3"/>
  <c r="AJ331" i="3"/>
  <c r="CQ331" i="3"/>
  <c r="CR330" i="3"/>
  <c r="BH330" i="3"/>
  <c r="BG331" i="3"/>
  <c r="BO330" i="3"/>
  <c r="BN331" i="3"/>
  <c r="AO330" i="3"/>
  <c r="AN331" i="3"/>
  <c r="AP330" i="3"/>
  <c r="AO331" i="3"/>
  <c r="O331" i="3"/>
  <c r="P330" i="3"/>
  <c r="DQ330" i="3"/>
  <c r="CX331" i="3"/>
  <c r="CY330" i="3"/>
  <c r="DT330" i="3"/>
  <c r="DA330" i="3"/>
  <c r="CZ331" i="3"/>
  <c r="CA331" i="3"/>
  <c r="CB330" i="3"/>
  <c r="BC330" i="3"/>
  <c r="BB331" i="3"/>
  <c r="BW330" i="3"/>
  <c r="BV331" i="3"/>
  <c r="DU330" i="3"/>
  <c r="AD331" i="3"/>
  <c r="AE330" i="3"/>
  <c r="BM330" i="3"/>
  <c r="BL331" i="3"/>
  <c r="BP330" i="3"/>
  <c r="BO331" i="3"/>
  <c r="S330" i="3"/>
  <c r="R331" i="3"/>
  <c r="AB331" i="3"/>
  <c r="L330" i="3"/>
  <c r="K331" i="3"/>
  <c r="AM330" i="3"/>
  <c r="AL331" i="3"/>
  <c r="DL330" i="3"/>
  <c r="DK331" i="3"/>
  <c r="DK330" i="3"/>
  <c r="DJ331" i="3"/>
  <c r="DB330" i="3"/>
  <c r="DA331" i="3"/>
  <c r="BA330" i="3"/>
  <c r="AZ331" i="3"/>
  <c r="AU331" i="3"/>
  <c r="AV330" i="3"/>
  <c r="DX330" i="3"/>
  <c r="CU330" i="3"/>
  <c r="CT331" i="3"/>
  <c r="CN330" i="3"/>
  <c r="CM331" i="3"/>
  <c r="DS330" i="3"/>
  <c r="CL330" i="3"/>
  <c r="CK331" i="3"/>
  <c r="K330" i="3"/>
  <c r="J331" i="3"/>
  <c r="DR330" i="3"/>
  <c r="CK330" i="3"/>
  <c r="CJ331" i="3"/>
  <c r="CS331" i="3"/>
  <c r="BZ330" i="3"/>
  <c r="BY331" i="3"/>
  <c r="CP331" i="3"/>
  <c r="CF330" i="3"/>
  <c r="CE331" i="3"/>
  <c r="U330" i="3"/>
  <c r="T331" i="3"/>
  <c r="Z330" i="3"/>
  <c r="Y331" i="3"/>
  <c r="CP330" i="3"/>
  <c r="CO331" i="3"/>
  <c r="DV330" i="3"/>
  <c r="DD330" i="3"/>
  <c r="DC331" i="3"/>
  <c r="T330" i="3"/>
  <c r="S331" i="3"/>
  <c r="BF330" i="3"/>
  <c r="BE331" i="3"/>
  <c r="R330" i="3"/>
  <c r="Q331" i="3"/>
  <c r="Q330" i="3"/>
  <c r="P331" i="3"/>
  <c r="H325" i="3"/>
  <c r="DY330" i="3"/>
  <c r="CH331" i="3"/>
  <c r="CI330" i="3"/>
  <c r="BB330" i="3"/>
  <c r="BA331" i="3"/>
  <c r="CZ330" i="3"/>
  <c r="CY331" i="3"/>
  <c r="AD330" i="3"/>
  <c r="AC331" i="3"/>
  <c r="J333" i="3"/>
  <c r="H333" i="3" s="1"/>
  <c r="BD330" i="3"/>
  <c r="BC331" i="3"/>
  <c r="W330" i="3"/>
  <c r="V331" i="3"/>
  <c r="CS330" i="3"/>
  <c r="CR331" i="3"/>
  <c r="AB330" i="3"/>
  <c r="AA331" i="3"/>
  <c r="BN330" i="3"/>
  <c r="BM331" i="3"/>
  <c r="BS331" i="3"/>
  <c r="BZ331" i="3"/>
  <c r="CA330" i="3"/>
  <c r="AY331" i="3"/>
  <c r="BI330" i="3"/>
  <c r="BH331" i="3"/>
  <c r="CC330" i="3"/>
  <c r="CB331" i="3"/>
  <c r="DE330" i="3"/>
  <c r="DD331" i="3"/>
  <c r="CV330" i="3"/>
  <c r="CU331" i="3"/>
  <c r="N331" i="3"/>
  <c r="O330" i="3"/>
  <c r="BV330" i="3"/>
  <c r="BU331" i="3"/>
  <c r="AQ331" i="3"/>
  <c r="T42" i="3"/>
  <c r="AS330" i="3"/>
  <c r="AR331" i="3"/>
  <c r="BG330" i="3"/>
  <c r="BF331" i="3"/>
  <c r="DW330" i="3"/>
  <c r="CD330" i="3"/>
  <c r="CC331" i="3"/>
  <c r="AT330" i="3"/>
  <c r="AS331" i="3"/>
  <c r="AX330" i="3"/>
  <c r="AW331" i="3"/>
  <c r="Y330" i="3"/>
  <c r="X331" i="3"/>
  <c r="BY330" i="3"/>
  <c r="BX331" i="3"/>
  <c r="AQ330" i="3"/>
  <c r="AP331" i="3"/>
  <c r="BJ330" i="3"/>
  <c r="BI331" i="3"/>
  <c r="CM330" i="3"/>
  <c r="CL331" i="3"/>
  <c r="CG330" i="3"/>
  <c r="CF331" i="3"/>
  <c r="T55" i="2"/>
  <c r="AG330" i="3"/>
  <c r="AF331" i="3"/>
  <c r="BJ331" i="3"/>
  <c r="BK330" i="3"/>
  <c r="DJ330" i="3"/>
  <c r="DI331" i="3"/>
  <c r="BE330" i="3"/>
  <c r="BD331" i="3"/>
  <c r="AE331" i="3"/>
  <c r="AF330" i="3"/>
  <c r="CI331" i="3"/>
  <c r="CJ330" i="3"/>
  <c r="DF330" i="3"/>
  <c r="DE331" i="3"/>
  <c r="BQ330" i="3"/>
  <c r="BP331" i="3"/>
  <c r="AH330" i="3"/>
  <c r="AG331" i="3"/>
  <c r="CW331" i="3"/>
  <c r="U76" i="2"/>
  <c r="V75" i="2"/>
  <c r="CH330" i="3"/>
  <c r="CG331" i="3"/>
  <c r="J330" i="3"/>
  <c r="I331" i="3"/>
  <c r="Q54" i="3"/>
  <c r="Q67" i="3" s="1"/>
  <c r="DI330" i="3"/>
  <c r="DH331" i="3"/>
  <c r="DF331" i="3"/>
  <c r="CW330" i="3"/>
  <c r="CV331" i="3"/>
  <c r="AA330" i="3"/>
  <c r="Z331" i="3"/>
  <c r="DM330" i="3"/>
  <c r="DL331" i="3"/>
  <c r="DG331" i="3"/>
  <c r="DH330" i="3"/>
  <c r="AL330" i="3"/>
  <c r="AK331" i="3"/>
  <c r="AI331" i="3"/>
  <c r="U86" i="2"/>
  <c r="V81" i="2"/>
  <c r="I330" i="3"/>
  <c r="H328" i="3"/>
  <c r="AI330" i="3"/>
  <c r="AH331" i="3"/>
  <c r="M331" i="3"/>
  <c r="CO330" i="3"/>
  <c r="CN331" i="3"/>
  <c r="AY330" i="3"/>
  <c r="AX331" i="3"/>
  <c r="W331" i="3"/>
  <c r="L331" i="3"/>
  <c r="AM331" i="3"/>
  <c r="DB331" i="3"/>
  <c r="BW331" i="3"/>
  <c r="G52" i="3" l="1"/>
  <c r="BF54" i="3"/>
  <c r="DM331" i="3"/>
  <c r="G40" i="3"/>
  <c r="U33" i="3"/>
  <c r="V33" i="3"/>
  <c r="R54" i="3"/>
  <c r="R67" i="3" s="1"/>
  <c r="U42" i="3"/>
  <c r="DN331" i="3" l="1"/>
  <c r="BG54" i="3"/>
  <c r="G48" i="3"/>
  <c r="W33" i="3"/>
  <c r="V42" i="3"/>
  <c r="T54" i="3"/>
  <c r="T67" i="3" s="1"/>
  <c r="S54" i="3"/>
  <c r="S67" i="3" s="1"/>
  <c r="DO331" i="3" l="1"/>
  <c r="X33" i="3"/>
  <c r="U54" i="3"/>
  <c r="U67" i="3" s="1"/>
  <c r="W42" i="3"/>
  <c r="DP331" i="3" l="1"/>
  <c r="Z33" i="3"/>
  <c r="V54" i="3"/>
  <c r="V67" i="3" s="1"/>
  <c r="X42" i="3"/>
  <c r="BK54" i="3" l="1"/>
  <c r="BJ54" i="3"/>
  <c r="BJ67" i="3" s="1"/>
  <c r="DQ331" i="3"/>
  <c r="AA33" i="3"/>
  <c r="Y33" i="3"/>
  <c r="Y42" i="3"/>
  <c r="W54" i="3"/>
  <c r="W67" i="3" s="1"/>
  <c r="DR331" i="3" l="1"/>
  <c r="Z42" i="3"/>
  <c r="X54" i="3"/>
  <c r="X67" i="3" s="1"/>
  <c r="BL54" i="3" l="1"/>
  <c r="DS331" i="3"/>
  <c r="AB33" i="3"/>
  <c r="AA42" i="3"/>
  <c r="AC33" i="3"/>
  <c r="BM54" i="3" l="1"/>
  <c r="DT331" i="3"/>
  <c r="Y54" i="3"/>
  <c r="Y67" i="3" s="1"/>
  <c r="AD33" i="3"/>
  <c r="AB42" i="3"/>
  <c r="Z54" i="3"/>
  <c r="Z67" i="3" s="1"/>
  <c r="BN54" i="3" l="1"/>
  <c r="DU331" i="3"/>
  <c r="AC42" i="3"/>
  <c r="AE33" i="3"/>
  <c r="BO54" i="3" l="1"/>
  <c r="DV331" i="3"/>
  <c r="AF33" i="3"/>
  <c r="AA54" i="3"/>
  <c r="AA67" i="3" s="1"/>
  <c r="AD42" i="3"/>
  <c r="BP54" i="3" l="1"/>
  <c r="DW331" i="3"/>
  <c r="AE42" i="3"/>
  <c r="AG33" i="3"/>
  <c r="AC54" i="3"/>
  <c r="AC67" i="3" s="1"/>
  <c r="AB54" i="3"/>
  <c r="AB67" i="3" s="1"/>
  <c r="BQ54" i="3" l="1"/>
  <c r="DX331" i="3"/>
  <c r="AD54" i="3"/>
  <c r="AD67" i="3" s="1"/>
  <c r="AF42" i="3"/>
  <c r="AH33" i="3"/>
  <c r="BR54" i="3" l="1"/>
  <c r="DY331" i="3"/>
  <c r="AG42" i="3"/>
  <c r="AI33" i="3"/>
  <c r="BS54" i="3" l="1"/>
  <c r="AE54" i="3"/>
  <c r="AE67" i="3" s="1"/>
  <c r="AH42" i="3"/>
  <c r="AJ33" i="3"/>
  <c r="BT54" i="3" l="1"/>
  <c r="AF54" i="3"/>
  <c r="AF67" i="3" s="1"/>
  <c r="AI42" i="3"/>
  <c r="AG54" i="3"/>
  <c r="AG67" i="3" s="1"/>
  <c r="AK33" i="3"/>
  <c r="BU54" i="3" l="1"/>
  <c r="AH54" i="3"/>
  <c r="AH67" i="3" s="1"/>
  <c r="AL33" i="3"/>
  <c r="AJ42" i="3"/>
  <c r="BV54" i="3" l="1"/>
  <c r="AK42" i="3"/>
  <c r="AM33" i="3"/>
  <c r="BW54" i="3" l="1"/>
  <c r="AN33" i="3"/>
  <c r="AL42" i="3"/>
  <c r="AJ54" i="3"/>
  <c r="AJ67" i="3" s="1"/>
  <c r="AI54" i="3"/>
  <c r="AI67" i="3" s="1"/>
  <c r="BX54" i="3" l="1"/>
  <c r="AK54" i="3"/>
  <c r="AK67" i="3" s="1"/>
  <c r="AM42" i="3"/>
  <c r="AO33" i="3"/>
  <c r="BY54" i="3" l="1"/>
  <c r="AN42" i="3"/>
  <c r="AP33" i="3"/>
  <c r="AL54" i="3"/>
  <c r="AL67" i="3" s="1"/>
  <c r="BZ54" i="3" l="1"/>
  <c r="AQ33" i="3"/>
  <c r="AO42" i="3"/>
  <c r="CA54" i="3" l="1"/>
  <c r="AN54" i="3"/>
  <c r="AN67" i="3" s="1"/>
  <c r="AP42" i="3"/>
  <c r="AR33" i="3"/>
  <c r="AM54" i="3"/>
  <c r="AM67" i="3" s="1"/>
  <c r="CB54" i="3" l="1"/>
  <c r="AS33" i="3"/>
  <c r="AQ42" i="3"/>
  <c r="AO54" i="3"/>
  <c r="AO67" i="3" s="1"/>
  <c r="CC54" i="3" l="1"/>
  <c r="AR42" i="3"/>
  <c r="AT33" i="3"/>
  <c r="AP54" i="3"/>
  <c r="AP67" i="3" s="1"/>
  <c r="CD54" i="3" l="1"/>
  <c r="AS42" i="3"/>
  <c r="AU33" i="3"/>
  <c r="CE54" i="3" l="1"/>
  <c r="AR54" i="3"/>
  <c r="AR67" i="3" s="1"/>
  <c r="AV33" i="3"/>
  <c r="AQ54" i="3"/>
  <c r="AQ67" i="3" s="1"/>
  <c r="AT42" i="3"/>
  <c r="CF54" i="3" l="1"/>
  <c r="AU42" i="3"/>
  <c r="AS54" i="3"/>
  <c r="AS67" i="3" s="1"/>
  <c r="AW33" i="3"/>
  <c r="CG54" i="3" l="1"/>
  <c r="AT54" i="3"/>
  <c r="AT67" i="3" s="1"/>
  <c r="AX33" i="3"/>
  <c r="AV42" i="3"/>
  <c r="CH54" i="3" l="1"/>
  <c r="AW42" i="3"/>
  <c r="AY33" i="3"/>
  <c r="AU54" i="3"/>
  <c r="AU67" i="3" s="1"/>
  <c r="CI54" i="3" l="1"/>
  <c r="AX42" i="3"/>
  <c r="AZ33" i="3"/>
  <c r="CJ54" i="3" l="1"/>
  <c r="BA33" i="3"/>
  <c r="AV54" i="3"/>
  <c r="AV67" i="3" s="1"/>
  <c r="AY42" i="3"/>
  <c r="CK54" i="3" l="1"/>
  <c r="AZ42" i="3"/>
  <c r="AX54" i="3"/>
  <c r="AX67" i="3" s="1"/>
  <c r="AW54" i="3"/>
  <c r="AW67" i="3" s="1"/>
  <c r="CL54" i="3" l="1"/>
  <c r="BA42" i="3"/>
  <c r="AY54" i="3"/>
  <c r="AY67" i="3" s="1"/>
  <c r="CM54" i="3" l="1"/>
  <c r="BB42" i="3"/>
  <c r="BB67" i="3" s="1"/>
  <c r="AZ54" i="3"/>
  <c r="AZ67" i="3" s="1"/>
  <c r="CN54" i="3" l="1"/>
  <c r="BC42" i="3"/>
  <c r="BC67" i="3" s="1"/>
  <c r="BA54" i="3"/>
  <c r="BA67" i="3" s="1"/>
  <c r="CO54" i="3" l="1"/>
  <c r="BD42" i="3"/>
  <c r="CP54" i="3" l="1"/>
  <c r="BE42" i="3"/>
  <c r="CQ54" i="3" l="1"/>
  <c r="BF42" i="3"/>
  <c r="CR54" i="3" l="1"/>
  <c r="BG42" i="3"/>
  <c r="CS54" i="3" l="1"/>
  <c r="BH42" i="3"/>
  <c r="BH67" i="3" s="1"/>
  <c r="CT54" i="3" l="1"/>
  <c r="CU54" i="3" l="1"/>
  <c r="CV54" i="3" l="1"/>
  <c r="BK42" i="3"/>
  <c r="CW54" i="3" l="1"/>
  <c r="BL42" i="3"/>
  <c r="CX54" i="3" l="1"/>
  <c r="BM42" i="3"/>
  <c r="CY54" i="3" l="1"/>
  <c r="BN42" i="3"/>
  <c r="CZ54" i="3" l="1"/>
  <c r="BO42" i="3"/>
  <c r="DA54" i="3" l="1"/>
  <c r="BP42" i="3"/>
  <c r="DB54" i="3" l="1"/>
  <c r="BQ42" i="3"/>
  <c r="DC54" i="3" l="1"/>
  <c r="BR42" i="3"/>
  <c r="DD54" i="3" l="1"/>
  <c r="BS42" i="3"/>
  <c r="DE54" i="3" l="1"/>
  <c r="BT42" i="3"/>
  <c r="DF54" i="3" l="1"/>
  <c r="BU42" i="3"/>
  <c r="DG54" i="3" l="1"/>
  <c r="BV42" i="3"/>
  <c r="DH54" i="3" l="1"/>
  <c r="BW42" i="3"/>
  <c r="DI54" i="3" l="1"/>
  <c r="BX42" i="3"/>
  <c r="DJ54" i="3" l="1"/>
  <c r="BY42" i="3"/>
  <c r="DK54" i="3" l="1"/>
  <c r="BZ42" i="3"/>
  <c r="DL54" i="3" l="1"/>
  <c r="CA42" i="3"/>
  <c r="DM54" i="3" l="1"/>
  <c r="CB42" i="3"/>
  <c r="DN54" i="3" l="1"/>
  <c r="CC42" i="3"/>
  <c r="DO54" i="3" l="1"/>
  <c r="CD42" i="3"/>
  <c r="DP54" i="3" l="1"/>
  <c r="CE42" i="3"/>
  <c r="DQ54" i="3" l="1"/>
  <c r="CF42" i="3"/>
  <c r="DR54" i="3" l="1"/>
  <c r="CG42" i="3"/>
  <c r="DS54" i="3" l="1"/>
  <c r="CH42" i="3"/>
  <c r="DT54" i="3" l="1"/>
  <c r="CI42" i="3"/>
  <c r="DU54" i="3" l="1"/>
  <c r="CJ42" i="3"/>
  <c r="H376" i="3" l="1"/>
  <c r="G39" i="3"/>
  <c r="DV54" i="3"/>
  <c r="CK42" i="3"/>
  <c r="DW54" i="3" l="1"/>
  <c r="CL42" i="3"/>
  <c r="DY54" i="3" l="1"/>
  <c r="J39" i="2" s="1"/>
  <c r="DX54" i="3"/>
  <c r="CM42" i="3"/>
  <c r="CN42" i="3" l="1"/>
  <c r="CO42" i="3" l="1"/>
  <c r="CP42" i="3" l="1"/>
  <c r="CQ42" i="3" l="1"/>
  <c r="CR42" i="3" l="1"/>
  <c r="CS42" i="3" l="1"/>
  <c r="CT42" i="3" l="1"/>
  <c r="CU42" i="3" l="1"/>
  <c r="CV42" i="3" l="1"/>
  <c r="CW42" i="3" l="1"/>
  <c r="CX42" i="3" l="1"/>
  <c r="CY42" i="3" l="1"/>
  <c r="CZ42" i="3" l="1"/>
  <c r="DA42" i="3" l="1"/>
  <c r="DB42" i="3" l="1"/>
  <c r="DC42" i="3" l="1"/>
  <c r="DD42" i="3" l="1"/>
  <c r="DE42" i="3" l="1"/>
  <c r="DF42" i="3" l="1"/>
  <c r="DG42" i="3" l="1"/>
  <c r="DH42" i="3" l="1"/>
  <c r="DI42" i="3" l="1"/>
  <c r="DJ42" i="3" l="1"/>
  <c r="DK42" i="3" l="1"/>
  <c r="DL42" i="3" l="1"/>
  <c r="DM42" i="3" l="1"/>
  <c r="DN42" i="3" l="1"/>
  <c r="DO42" i="3" l="1"/>
  <c r="DP42" i="3" l="1"/>
  <c r="DQ42" i="3" l="1"/>
  <c r="DR42" i="3" l="1"/>
  <c r="DS42" i="3" l="1"/>
  <c r="DT42" i="3" l="1"/>
  <c r="DU42" i="3" l="1"/>
  <c r="DV42" i="3" l="1"/>
  <c r="DW42" i="3" l="1"/>
  <c r="G29" i="3"/>
  <c r="DX42" i="3" l="1"/>
  <c r="DY42" i="3" l="1"/>
  <c r="J38" i="2" s="1"/>
  <c r="G41" i="3"/>
  <c r="G42" i="3" l="1"/>
  <c r="L38" i="2" s="1"/>
  <c r="G47" i="3" l="1"/>
  <c r="J56" i="2"/>
  <c r="L56" i="2" l="1"/>
  <c r="G53" i="3"/>
  <c r="G54" i="3" l="1"/>
  <c r="L39" i="2" l="1"/>
  <c r="J57" i="2"/>
  <c r="L57" i="2" l="1"/>
  <c r="I51" i="56" l="1"/>
  <c r="J51" i="56" l="1"/>
  <c r="K51" i="56"/>
  <c r="J53" i="56" l="1"/>
  <c r="I53" i="56"/>
  <c r="L51" i="56" l="1"/>
  <c r="M51" i="56" l="1"/>
  <c r="N51" i="56" l="1"/>
  <c r="K53" i="56"/>
  <c r="O51" i="56" l="1"/>
  <c r="P51" i="56"/>
  <c r="Q51" i="56" l="1"/>
  <c r="L53" i="56"/>
  <c r="S51" i="56" l="1"/>
  <c r="U51" i="56"/>
  <c r="R51" i="56"/>
  <c r="T51" i="56" l="1"/>
  <c r="V51" i="56" l="1"/>
  <c r="M53" i="56"/>
  <c r="W51" i="56" l="1"/>
  <c r="N53" i="56"/>
  <c r="X51" i="56" l="1"/>
  <c r="Y51" i="56" l="1"/>
  <c r="Z51" i="56"/>
  <c r="O53" i="56"/>
  <c r="AA51" i="56" l="1"/>
  <c r="AB51" i="56" l="1"/>
  <c r="P53" i="56"/>
  <c r="AC51" i="56" l="1"/>
  <c r="AD51" i="56" l="1"/>
  <c r="AE51" i="56" l="1"/>
  <c r="Q53" i="56"/>
  <c r="AF51" i="56" l="1"/>
  <c r="AG51" i="56" l="1"/>
  <c r="R53" i="56"/>
  <c r="AH51" i="56" l="1"/>
  <c r="AI51" i="56" l="1"/>
  <c r="AJ51" i="56" l="1"/>
  <c r="S53" i="56"/>
  <c r="AK51" i="56" l="1"/>
  <c r="AL51" i="56" l="1"/>
  <c r="T53" i="56"/>
  <c r="AM51" i="56" l="1"/>
  <c r="U53" i="56" l="1"/>
  <c r="AN51" i="56"/>
  <c r="AO51" i="56" l="1"/>
  <c r="AP51" i="56" l="1"/>
  <c r="V53" i="56" l="1"/>
  <c r="AQ51" i="56"/>
  <c r="AR51" i="56" l="1"/>
  <c r="AS51" i="56" l="1"/>
  <c r="W53" i="56"/>
  <c r="AT51" i="56" l="1"/>
  <c r="AU51" i="56" l="1"/>
  <c r="AV51" i="56" l="1"/>
  <c r="X53" i="56"/>
  <c r="AW51" i="56" l="1"/>
  <c r="Y53" i="56" l="1"/>
  <c r="AX51" i="56"/>
  <c r="AY51" i="56" l="1"/>
  <c r="Z53" i="56" l="1"/>
  <c r="AA53" i="56" l="1"/>
  <c r="AB53" i="56" l="1"/>
  <c r="AC53" i="56" l="1"/>
  <c r="AD53" i="56" l="1"/>
  <c r="AE53" i="56" l="1"/>
  <c r="AF53" i="56" l="1"/>
  <c r="AG53" i="56" l="1"/>
  <c r="AH53" i="56" l="1"/>
  <c r="AI53" i="56" l="1"/>
  <c r="AJ53" i="56" l="1"/>
  <c r="AK53" i="56" l="1"/>
  <c r="AL53" i="56" l="1"/>
  <c r="AM53" i="56" l="1"/>
  <c r="AN53" i="56" l="1"/>
  <c r="AO53" i="56" l="1"/>
  <c r="AP53" i="56" l="1"/>
  <c r="AQ53" i="56" l="1"/>
  <c r="AR53" i="56" l="1"/>
  <c r="AS53" i="56" l="1"/>
  <c r="AT53" i="56" l="1"/>
  <c r="AU53" i="56" l="1"/>
  <c r="AV53" i="56" l="1"/>
  <c r="AW53" i="56" l="1"/>
  <c r="AX53" i="56" l="1"/>
  <c r="AY53" i="56" l="1"/>
  <c r="I68" i="3" l="1"/>
  <c r="I415" i="3" l="1"/>
  <c r="I435" i="3"/>
  <c r="H45" i="56" s="1"/>
  <c r="H27" i="56" l="1"/>
  <c r="G59" i="3" l="1"/>
  <c r="J415" i="3"/>
  <c r="I27" i="56" s="1"/>
  <c r="K435" i="3"/>
  <c r="J45" i="56" s="1"/>
  <c r="L435" i="3"/>
  <c r="K45" i="56" s="1"/>
  <c r="Q435" i="3"/>
  <c r="P45" i="56" s="1"/>
  <c r="R415" i="3"/>
  <c r="Q27" i="56" s="1"/>
  <c r="S435" i="3"/>
  <c r="R45" i="56" s="1"/>
  <c r="T435" i="3"/>
  <c r="S45" i="56" s="1"/>
  <c r="Y415" i="3"/>
  <c r="X27" i="56" s="1"/>
  <c r="Z415" i="3"/>
  <c r="Y27" i="56" s="1"/>
  <c r="AA415" i="3"/>
  <c r="Z27" i="56" s="1"/>
  <c r="AB415" i="3"/>
  <c r="AA27" i="56" s="1"/>
  <c r="AG415" i="3"/>
  <c r="AF27" i="56" s="1"/>
  <c r="AH415" i="3"/>
  <c r="AG27" i="56" s="1"/>
  <c r="AI415" i="3"/>
  <c r="AH27" i="56" s="1"/>
  <c r="AJ435" i="3"/>
  <c r="AI45" i="56" s="1"/>
  <c r="AO415" i="3"/>
  <c r="AN27" i="56" s="1"/>
  <c r="AP415" i="3"/>
  <c r="AO27" i="56" s="1"/>
  <c r="AQ435" i="3"/>
  <c r="AP45" i="56" s="1"/>
  <c r="AR415" i="3"/>
  <c r="AQ27" i="56" s="1"/>
  <c r="AX435" i="3"/>
  <c r="AW45" i="56" s="1"/>
  <c r="AY415" i="3"/>
  <c r="AX27" i="56" s="1"/>
  <c r="Q415" i="3"/>
  <c r="P27" i="56" s="1"/>
  <c r="S415" i="3" l="1"/>
  <c r="R27" i="56" s="1"/>
  <c r="L415" i="3"/>
  <c r="K27" i="56" s="1"/>
  <c r="T415" i="3"/>
  <c r="S27" i="56" s="1"/>
  <c r="AA435" i="3"/>
  <c r="Z45" i="56" s="1"/>
  <c r="K415" i="3"/>
  <c r="J27" i="56" s="1"/>
  <c r="J435" i="3"/>
  <c r="I45" i="56" s="1"/>
  <c r="AY435" i="3"/>
  <c r="AX45" i="56" s="1"/>
  <c r="AQ415" i="3"/>
  <c r="AP27" i="56" s="1"/>
  <c r="AI435" i="3"/>
  <c r="AH45" i="56" s="1"/>
  <c r="AG435" i="3"/>
  <c r="AF45" i="56" s="1"/>
  <c r="AB435" i="3"/>
  <c r="AA45" i="56" s="1"/>
  <c r="AR435" i="3"/>
  <c r="AQ45" i="56" s="1"/>
  <c r="AJ415" i="3"/>
  <c r="AI27" i="56" s="1"/>
  <c r="Z435" i="3"/>
  <c r="Y45" i="56" s="1"/>
  <c r="Y435" i="3"/>
  <c r="X45" i="56" s="1"/>
  <c r="AO435" i="3"/>
  <c r="AN45" i="56" s="1"/>
  <c r="AX415" i="3"/>
  <c r="AW27" i="56" s="1"/>
  <c r="AP435" i="3"/>
  <c r="AO45" i="56" s="1"/>
  <c r="AH435" i="3"/>
  <c r="AG45" i="56" s="1"/>
  <c r="R435" i="3"/>
  <c r="Q45" i="56" s="1"/>
  <c r="J68" i="3"/>
  <c r="K68" i="3" s="1"/>
  <c r="L68" i="3" s="1"/>
  <c r="M68" i="3" s="1"/>
  <c r="N68" i="3" s="1"/>
  <c r="O68" i="3" s="1"/>
  <c r="P68" i="3" s="1"/>
  <c r="Q68" i="3" s="1"/>
  <c r="R68" i="3" s="1"/>
  <c r="S68" i="3" s="1"/>
  <c r="T68" i="3" s="1"/>
  <c r="U68" i="3" s="1"/>
  <c r="V68" i="3" s="1"/>
  <c r="W68" i="3" s="1"/>
  <c r="X68" i="3" s="1"/>
  <c r="Y68" i="3" s="1"/>
  <c r="Z68" i="3" s="1"/>
  <c r="AA68" i="3" s="1"/>
  <c r="AB68" i="3" s="1"/>
  <c r="AC68" i="3" s="1"/>
  <c r="AD68" i="3" s="1"/>
  <c r="AE68" i="3" s="1"/>
  <c r="AF68" i="3" s="1"/>
  <c r="AG68" i="3" s="1"/>
  <c r="AH68" i="3" s="1"/>
  <c r="AI68" i="3" s="1"/>
  <c r="AJ68" i="3" s="1"/>
  <c r="AK68" i="3" s="1"/>
  <c r="AL68" i="3" s="1"/>
  <c r="AM68" i="3" s="1"/>
  <c r="AN68" i="3" s="1"/>
  <c r="AO68" i="3" s="1"/>
  <c r="AP68" i="3" s="1"/>
  <c r="AQ68" i="3" s="1"/>
  <c r="AR68" i="3" s="1"/>
  <c r="AS68" i="3" s="1"/>
  <c r="AT68" i="3" s="1"/>
  <c r="AU68" i="3" s="1"/>
  <c r="AV68" i="3" s="1"/>
  <c r="AW68" i="3" s="1"/>
  <c r="AX68" i="3" s="1"/>
  <c r="AY68" i="3" s="1"/>
  <c r="AZ68" i="3" s="1"/>
  <c r="BA68" i="3" s="1"/>
  <c r="BB68" i="3" s="1"/>
  <c r="BC68" i="3" s="1"/>
  <c r="AW435" i="3"/>
  <c r="AV45" i="56" s="1"/>
  <c r="AW415" i="3"/>
  <c r="AV27" i="56" s="1"/>
  <c r="AZ435" i="3"/>
  <c r="AY45" i="56" s="1"/>
  <c r="AZ415" i="3"/>
  <c r="AY27" i="56" s="1"/>
  <c r="AK435" i="3"/>
  <c r="AJ45" i="56" s="1"/>
  <c r="O415" i="3"/>
  <c r="N27" i="56" s="1"/>
  <c r="AC435" i="3"/>
  <c r="AB45" i="56" s="1"/>
  <c r="M435" i="3"/>
  <c r="L45" i="56" s="1"/>
  <c r="AK415" i="3"/>
  <c r="AJ27" i="56" s="1"/>
  <c r="M415" i="3"/>
  <c r="L27" i="56" s="1"/>
  <c r="U415" i="3"/>
  <c r="T27" i="56" s="1"/>
  <c r="U435" i="3"/>
  <c r="T45" i="56" s="1"/>
  <c r="AS415" i="3"/>
  <c r="AR27" i="56" s="1"/>
  <c r="AS435" i="3"/>
  <c r="AR45" i="56" s="1"/>
  <c r="AC415" i="3"/>
  <c r="AB27" i="56" s="1"/>
  <c r="AD435" i="3"/>
  <c r="AC45" i="56" s="1"/>
  <c r="V415" i="3"/>
  <c r="U27" i="56" s="1"/>
  <c r="W415" i="3"/>
  <c r="V27" i="56" s="1"/>
  <c r="BA435" i="3"/>
  <c r="AZ45" i="56" s="1"/>
  <c r="BA415" i="3"/>
  <c r="BC435" i="3"/>
  <c r="BB45" i="56" s="1"/>
  <c r="BB435" i="3"/>
  <c r="BA45" i="56" s="1"/>
  <c r="V435" i="3"/>
  <c r="U45" i="56" s="1"/>
  <c r="BB415" i="3"/>
  <c r="N415" i="3"/>
  <c r="M27" i="56" s="1"/>
  <c r="AD415" i="3"/>
  <c r="AC27" i="56" s="1"/>
  <c r="AL435" i="3"/>
  <c r="AK45" i="56" s="1"/>
  <c r="AL415" i="3"/>
  <c r="AK27" i="56" s="1"/>
  <c r="AT435" i="3"/>
  <c r="AS45" i="56" s="1"/>
  <c r="N435" i="3"/>
  <c r="M45" i="56" s="1"/>
  <c r="AT415" i="3"/>
  <c r="AS27" i="56" s="1"/>
  <c r="AE415" i="3"/>
  <c r="AD27" i="56" s="1"/>
  <c r="O435" i="3"/>
  <c r="N45" i="56" s="1"/>
  <c r="AM415" i="3"/>
  <c r="AL27" i="56" s="1"/>
  <c r="W435" i="3"/>
  <c r="V45" i="56" s="1"/>
  <c r="AU415" i="3"/>
  <c r="AT27" i="56" s="1"/>
  <c r="AE435" i="3"/>
  <c r="AD45" i="56" s="1"/>
  <c r="BC415" i="3"/>
  <c r="AM435" i="3"/>
  <c r="AL45" i="56" s="1"/>
  <c r="AU435" i="3"/>
  <c r="AT45" i="56" s="1"/>
  <c r="AV435" i="3"/>
  <c r="AU45" i="56" s="1"/>
  <c r="AN435" i="3"/>
  <c r="AM45" i="56" s="1"/>
  <c r="AF435" i="3"/>
  <c r="X435" i="3"/>
  <c r="W45" i="56" s="1"/>
  <c r="P435" i="3"/>
  <c r="O45" i="56" s="1"/>
  <c r="AV415" i="3"/>
  <c r="AU27" i="56" s="1"/>
  <c r="AN415" i="3"/>
  <c r="AM27" i="56" s="1"/>
  <c r="AF415" i="3"/>
  <c r="AE27" i="56" s="1"/>
  <c r="X415" i="3"/>
  <c r="W27" i="56" s="1"/>
  <c r="P415" i="3"/>
  <c r="O27" i="56" s="1"/>
  <c r="L40" i="2"/>
  <c r="J58" i="2"/>
  <c r="AZ27" i="56" l="1"/>
  <c r="BB27" i="56"/>
  <c r="BA27" i="56"/>
  <c r="AE45" i="56"/>
  <c r="AE44" i="56"/>
  <c r="L58" i="2"/>
  <c r="BA377" i="3" l="1"/>
  <c r="BB377" i="3" l="1"/>
  <c r="BC377" i="3"/>
  <c r="BA378" i="3" l="1"/>
  <c r="BA441" i="3" l="1"/>
  <c r="BA383" i="3" l="1"/>
  <c r="AZ51" i="56" l="1"/>
  <c r="BB378" i="3" l="1"/>
  <c r="BB441" i="3" l="1"/>
  <c r="BB383" i="3" l="1"/>
  <c r="BA51" i="56" l="1"/>
  <c r="BC378" i="3" l="1"/>
  <c r="BC441" i="3" l="1"/>
  <c r="BC383" i="3"/>
  <c r="BB51" i="56" l="1"/>
  <c r="BD378" i="3" l="1"/>
  <c r="G340" i="3" l="1"/>
  <c r="BA379" i="3" l="1"/>
  <c r="BB379" i="3"/>
  <c r="BC379" i="3"/>
  <c r="BB409" i="3" l="1"/>
  <c r="BB70" i="3" s="1"/>
  <c r="BC409" i="3"/>
  <c r="BC443" i="3" s="1"/>
  <c r="BA409" i="3"/>
  <c r="BA443" i="3" s="1"/>
  <c r="BC70" i="3" l="1"/>
  <c r="BB443" i="3"/>
  <c r="BB53" i="56"/>
  <c r="BA53" i="56"/>
  <c r="BA70" i="3"/>
  <c r="AZ53" i="56" l="1"/>
  <c r="Y140" i="3" l="1"/>
  <c r="AX147" i="3"/>
  <c r="AC140" i="3"/>
  <c r="K147" i="3"/>
  <c r="AT147" i="3"/>
  <c r="AY140" i="3"/>
  <c r="AE140" i="3"/>
  <c r="AI140" i="3"/>
  <c r="Z140" i="3"/>
  <c r="AS147" i="3"/>
  <c r="AP147" i="3"/>
  <c r="Q147" i="3"/>
  <c r="AY147" i="3"/>
  <c r="P147" i="3"/>
  <c r="S140" i="3"/>
  <c r="AM140" i="3"/>
  <c r="AM245" i="3" s="1"/>
  <c r="AM147" i="3"/>
  <c r="AF140" i="3"/>
  <c r="P140" i="3"/>
  <c r="P245" i="3" s="1"/>
  <c r="AO147" i="3"/>
  <c r="AW140" i="3"/>
  <c r="AW245" i="3" s="1"/>
  <c r="AW147" i="3"/>
  <c r="AD140" i="3"/>
  <c r="AY250" i="3" l="1"/>
  <c r="AY245" i="3"/>
  <c r="AW250" i="3"/>
  <c r="P250" i="3"/>
  <c r="AM250" i="3"/>
  <c r="X147" i="3"/>
  <c r="Y147" i="3"/>
  <c r="AK140" i="3"/>
  <c r="J147" i="3"/>
  <c r="AU147" i="3"/>
  <c r="U147" i="3"/>
  <c r="AU140" i="3"/>
  <c r="U140" i="3"/>
  <c r="AZ140" i="3"/>
  <c r="AZ147" i="3"/>
  <c r="BD140" i="3"/>
  <c r="AN140" i="3"/>
  <c r="T140" i="3"/>
  <c r="X140" i="3"/>
  <c r="V147" i="3"/>
  <c r="BC147" i="3"/>
  <c r="AH147" i="3"/>
  <c r="Q140" i="3"/>
  <c r="Q245" i="3" s="1"/>
  <c r="AF147" i="3"/>
  <c r="AF250" i="3" s="1"/>
  <c r="AR147" i="3"/>
  <c r="BB140" i="3"/>
  <c r="AN147" i="3"/>
  <c r="O147" i="3"/>
  <c r="T147" i="3"/>
  <c r="K140" i="3"/>
  <c r="Z147" i="3"/>
  <c r="AI147" i="3"/>
  <c r="AI245" i="3" s="1"/>
  <c r="AJ140" i="3"/>
  <c r="AC147" i="3"/>
  <c r="AC250" i="3" s="1"/>
  <c r="AD147" i="3"/>
  <c r="AO140" i="3"/>
  <c r="AH140" i="3"/>
  <c r="AJ147" i="3"/>
  <c r="S147" i="3"/>
  <c r="S250" i="3" s="1"/>
  <c r="AA147" i="3"/>
  <c r="L140" i="3"/>
  <c r="AR140" i="3"/>
  <c r="AS140" i="3"/>
  <c r="AS245" i="3" s="1"/>
  <c r="V140" i="3"/>
  <c r="V245" i="3" s="1"/>
  <c r="BC140" i="3"/>
  <c r="J140" i="3"/>
  <c r="AK147" i="3"/>
  <c r="N140" i="3"/>
  <c r="AP140" i="3"/>
  <c r="AP245" i="3" s="1"/>
  <c r="AH245" i="3" l="1"/>
  <c r="X245" i="3"/>
  <c r="T245" i="3"/>
  <c r="AJ245" i="3"/>
  <c r="AF245" i="3"/>
  <c r="AU245" i="3"/>
  <c r="AC245" i="3"/>
  <c r="AN245" i="3"/>
  <c r="S245" i="3"/>
  <c r="AK245" i="3"/>
  <c r="AO250" i="3"/>
  <c r="AO334" i="3" s="1"/>
  <c r="AO245" i="3"/>
  <c r="AR250" i="3"/>
  <c r="AR245" i="3"/>
  <c r="J250" i="3"/>
  <c r="J251" i="3" s="1"/>
  <c r="J245" i="3"/>
  <c r="K250" i="3"/>
  <c r="K245" i="3"/>
  <c r="AZ245" i="3"/>
  <c r="Y245" i="3"/>
  <c r="BC250" i="3"/>
  <c r="BC251" i="3" s="1"/>
  <c r="BC245" i="3"/>
  <c r="U245" i="3"/>
  <c r="Z245" i="3"/>
  <c r="AD245" i="3"/>
  <c r="U250" i="3"/>
  <c r="U251" i="3" s="1"/>
  <c r="AU250" i="3"/>
  <c r="AU334" i="3" s="1"/>
  <c r="X250" i="3"/>
  <c r="X251" i="3" s="1"/>
  <c r="T250" i="3"/>
  <c r="AK250" i="3"/>
  <c r="AK251" i="3" s="1"/>
  <c r="Q250" i="3"/>
  <c r="Q251" i="3" s="1"/>
  <c r="AH250" i="3"/>
  <c r="AH334" i="3" s="1"/>
  <c r="AZ250" i="3"/>
  <c r="V250" i="3"/>
  <c r="AS250" i="3"/>
  <c r="AP250" i="3"/>
  <c r="AJ250" i="3"/>
  <c r="AN250" i="3"/>
  <c r="Y250" i="3"/>
  <c r="AD250" i="3"/>
  <c r="AD334" i="3" s="1"/>
  <c r="Z250" i="3"/>
  <c r="AI250" i="3"/>
  <c r="AI334" i="3" s="1"/>
  <c r="AE147" i="3"/>
  <c r="AE245" i="3" s="1"/>
  <c r="BD147" i="3"/>
  <c r="BD250" i="3" s="1"/>
  <c r="BB147" i="3"/>
  <c r="BB250" i="3" s="1"/>
  <c r="N147" i="3"/>
  <c r="N245" i="3" s="1"/>
  <c r="AX140" i="3"/>
  <c r="AX245" i="3" s="1"/>
  <c r="AT140" i="3"/>
  <c r="L147" i="3"/>
  <c r="L245" i="3" s="1"/>
  <c r="AM246" i="3"/>
  <c r="AY246" i="3"/>
  <c r="AM251" i="3"/>
  <c r="AM334" i="3"/>
  <c r="O140" i="3"/>
  <c r="O245" i="3" s="1"/>
  <c r="AF251" i="3"/>
  <c r="AF334" i="3"/>
  <c r="P251" i="3"/>
  <c r="P334" i="3"/>
  <c r="AW251" i="3"/>
  <c r="AW334" i="3"/>
  <c r="AY334" i="3"/>
  <c r="AY251" i="3"/>
  <c r="AA140" i="3"/>
  <c r="AA245" i="3" s="1"/>
  <c r="AW246" i="3"/>
  <c r="AC334" i="3"/>
  <c r="AC251" i="3"/>
  <c r="S251" i="3"/>
  <c r="S334" i="3"/>
  <c r="I147" i="3"/>
  <c r="AI246" i="3"/>
  <c r="I140" i="3"/>
  <c r="P246" i="3"/>
  <c r="BC334" i="3" l="1"/>
  <c r="AD246" i="3"/>
  <c r="Z246" i="3"/>
  <c r="Y246" i="3"/>
  <c r="I245" i="3"/>
  <c r="AT250" i="3"/>
  <c r="AT245" i="3"/>
  <c r="BD245" i="3"/>
  <c r="BB245" i="3"/>
  <c r="AS246" i="3"/>
  <c r="Q246" i="3"/>
  <c r="AH246" i="3"/>
  <c r="AN246" i="3"/>
  <c r="N250" i="3"/>
  <c r="AF246" i="3"/>
  <c r="L250" i="3"/>
  <c r="AE250" i="3"/>
  <c r="AK246" i="3"/>
  <c r="AO246" i="3"/>
  <c r="AR246" i="3"/>
  <c r="K246" i="3"/>
  <c r="AA250" i="3"/>
  <c r="BD251" i="3"/>
  <c r="O250" i="3"/>
  <c r="AX250" i="3"/>
  <c r="I250" i="3"/>
  <c r="K251" i="3"/>
  <c r="AO251" i="3"/>
  <c r="K334" i="3"/>
  <c r="X334" i="3"/>
  <c r="Y251" i="3"/>
  <c r="Y334" i="3"/>
  <c r="AR334" i="3"/>
  <c r="AR251" i="3"/>
  <c r="U334" i="3"/>
  <c r="Q334" i="3"/>
  <c r="T246" i="3"/>
  <c r="AU251" i="3"/>
  <c r="AZ334" i="3"/>
  <c r="AZ246" i="3"/>
  <c r="S246" i="3"/>
  <c r="J246" i="3"/>
  <c r="BD334" i="3"/>
  <c r="AN334" i="3"/>
  <c r="AN251" i="3"/>
  <c r="U246" i="3"/>
  <c r="AJ334" i="3"/>
  <c r="AJ251" i="3"/>
  <c r="Z251" i="3"/>
  <c r="Z334" i="3"/>
  <c r="J334" i="3"/>
  <c r="AZ251" i="3"/>
  <c r="N246" i="3"/>
  <c r="BB251" i="3"/>
  <c r="BB334" i="3"/>
  <c r="AS251" i="3"/>
  <c r="AS334" i="3"/>
  <c r="T251" i="3"/>
  <c r="T334" i="3"/>
  <c r="V251" i="3"/>
  <c r="V334" i="3"/>
  <c r="AH251" i="3"/>
  <c r="X246" i="3"/>
  <c r="AK334" i="3"/>
  <c r="AC246" i="3"/>
  <c r="AD251" i="3"/>
  <c r="L246" i="3"/>
  <c r="AJ246" i="3"/>
  <c r="AU246" i="3"/>
  <c r="AI251" i="3"/>
  <c r="V246" i="3"/>
  <c r="AP246" i="3"/>
  <c r="BC246" i="3"/>
  <c r="AP334" i="3"/>
  <c r="AP251" i="3"/>
  <c r="AX246" i="3" l="1"/>
  <c r="AT334" i="3"/>
  <c r="AT251" i="3"/>
  <c r="N334" i="3"/>
  <c r="BD246" i="3"/>
  <c r="N251" i="3"/>
  <c r="AX334" i="3"/>
  <c r="AE334" i="3"/>
  <c r="AE251" i="3"/>
  <c r="AE246" i="3"/>
  <c r="AX251" i="3"/>
  <c r="BB246" i="3"/>
  <c r="AT246" i="3"/>
  <c r="L334" i="3"/>
  <c r="L251" i="3"/>
  <c r="O334" i="3"/>
  <c r="O251" i="3"/>
  <c r="AA334" i="3"/>
  <c r="AA251" i="3"/>
  <c r="I246" i="3"/>
  <c r="AA246" i="3"/>
  <c r="I334" i="3"/>
  <c r="I251" i="3"/>
  <c r="O246" i="3"/>
  <c r="M140" i="3" l="1"/>
  <c r="AL140" i="3" l="1"/>
  <c r="W140" i="3"/>
  <c r="AL147" i="3"/>
  <c r="AG140" i="3"/>
  <c r="W147" i="3"/>
  <c r="BA147" i="3"/>
  <c r="AG147" i="3"/>
  <c r="AQ140" i="3"/>
  <c r="AQ147" i="3"/>
  <c r="AV147" i="3"/>
  <c r="BA140" i="3"/>
  <c r="R147" i="3"/>
  <c r="AB147" i="3"/>
  <c r="AV140" i="3"/>
  <c r="AV245" i="3" s="1"/>
  <c r="R140" i="3"/>
  <c r="R245" i="3" s="1"/>
  <c r="AB140" i="3"/>
  <c r="M147" i="3"/>
  <c r="AG245" i="3" l="1"/>
  <c r="W245" i="3"/>
  <c r="BA245" i="3"/>
  <c r="AL245" i="3"/>
  <c r="AB245" i="3"/>
  <c r="AQ245" i="3"/>
  <c r="M245" i="3"/>
  <c r="M246" i="3" s="1"/>
  <c r="AG250" i="3"/>
  <c r="BA250" i="3"/>
  <c r="AQ250" i="3"/>
  <c r="AB250" i="3"/>
  <c r="AL250" i="3"/>
  <c r="W250" i="3"/>
  <c r="AV250" i="3"/>
  <c r="R250" i="3"/>
  <c r="M250" i="3"/>
  <c r="L248" i="3" l="1"/>
  <c r="I248" i="3"/>
  <c r="AQ334" i="3"/>
  <c r="AQ251" i="3"/>
  <c r="AR248" i="3"/>
  <c r="AV246" i="3"/>
  <c r="AQ248" i="3"/>
  <c r="AF248" i="3"/>
  <c r="AG246" i="3"/>
  <c r="AD248" i="3"/>
  <c r="AB248" i="3"/>
  <c r="AC248" i="3"/>
  <c r="AE248" i="3"/>
  <c r="J248" i="3"/>
  <c r="AV251" i="3"/>
  <c r="AV334" i="3"/>
  <c r="AG334" i="3"/>
  <c r="AG251" i="3"/>
  <c r="M334" i="3"/>
  <c r="M251" i="3"/>
  <c r="R251" i="3"/>
  <c r="R334" i="3"/>
  <c r="W334" i="3"/>
  <c r="W251" i="3"/>
  <c r="K248" i="3"/>
  <c r="T248" i="3"/>
  <c r="S248" i="3"/>
  <c r="R248" i="3"/>
  <c r="W246" i="3"/>
  <c r="V248" i="3"/>
  <c r="U248" i="3"/>
  <c r="P248" i="3"/>
  <c r="R246" i="3"/>
  <c r="Q248" i="3"/>
  <c r="N248" i="3"/>
  <c r="O248" i="3"/>
  <c r="M248" i="3"/>
  <c r="AL334" i="3"/>
  <c r="AL251" i="3"/>
  <c r="AI248" i="3"/>
  <c r="AL246" i="3"/>
  <c r="AH248" i="3"/>
  <c r="AJ248" i="3"/>
  <c r="AG248" i="3"/>
  <c r="AK248" i="3"/>
  <c r="AM248" i="3"/>
  <c r="AP248" i="3"/>
  <c r="AN248" i="3"/>
  <c r="AQ246" i="3"/>
  <c r="AO248" i="3"/>
  <c r="AL248" i="3"/>
  <c r="BA246" i="3"/>
  <c r="AA248" i="3"/>
  <c r="W248" i="3"/>
  <c r="X248" i="3"/>
  <c r="AB246" i="3"/>
  <c r="Z248" i="3"/>
  <c r="Y248" i="3"/>
  <c r="BA251" i="3"/>
  <c r="BA334" i="3"/>
  <c r="AB334" i="3"/>
  <c r="AB251" i="3"/>
  <c r="CC90" i="3" l="1"/>
  <c r="CO90" i="3"/>
  <c r="BE145" i="3" l="1"/>
  <c r="BE111" i="3"/>
  <c r="BH109" i="3"/>
  <c r="BF145" i="3" l="1"/>
  <c r="BE120" i="3"/>
  <c r="BG145" i="3"/>
  <c r="BE108" i="3"/>
  <c r="BF108" i="3" l="1"/>
  <c r="BF120" i="3"/>
  <c r="BF111" i="3"/>
  <c r="BE112" i="3"/>
  <c r="BE127" i="3"/>
  <c r="BH145" i="3" l="1"/>
  <c r="BH111" i="3"/>
  <c r="BF112" i="3"/>
  <c r="BF139" i="3" s="1"/>
  <c r="BF127" i="3"/>
  <c r="BG120" i="3"/>
  <c r="BE129" i="3"/>
  <c r="BE139" i="3"/>
  <c r="BG108" i="3"/>
  <c r="BG111" i="3"/>
  <c r="BH108" i="3" l="1"/>
  <c r="BH112" i="3" s="1"/>
  <c r="BJ111" i="3"/>
  <c r="BF129" i="3"/>
  <c r="BG112" i="3"/>
  <c r="BE147" i="3"/>
  <c r="BF140" i="3"/>
  <c r="BE140" i="3"/>
  <c r="BG127" i="3"/>
  <c r="BE245" i="3" l="1"/>
  <c r="BE250" i="3"/>
  <c r="BI111" i="3"/>
  <c r="BH120" i="3"/>
  <c r="BH147" i="3" s="1"/>
  <c r="BI120" i="3"/>
  <c r="BI108" i="3"/>
  <c r="BF147" i="3"/>
  <c r="BF250" i="3" s="1"/>
  <c r="BG139" i="3"/>
  <c r="BG140" i="3" s="1"/>
  <c r="BH127" i="3"/>
  <c r="BG147" i="3"/>
  <c r="BG129" i="3"/>
  <c r="BF245" i="3" l="1"/>
  <c r="BG245" i="3"/>
  <c r="BG250" i="3"/>
  <c r="BH129" i="3"/>
  <c r="BH139" i="3"/>
  <c r="BI112" i="3"/>
  <c r="BJ108" i="3"/>
  <c r="BK111" i="3"/>
  <c r="BF334" i="3"/>
  <c r="BF251" i="3"/>
  <c r="BE251" i="3"/>
  <c r="BE334" i="3"/>
  <c r="BI127" i="3"/>
  <c r="AS248" i="3"/>
  <c r="BE246" i="3"/>
  <c r="AT248" i="3" l="1"/>
  <c r="BI129" i="3"/>
  <c r="BH140" i="3"/>
  <c r="BJ120" i="3"/>
  <c r="BK108" i="3"/>
  <c r="BK112" i="3" s="1"/>
  <c r="BF246" i="3"/>
  <c r="BJ127" i="3"/>
  <c r="AU248" i="3"/>
  <c r="BJ112" i="3"/>
  <c r="BI147" i="3"/>
  <c r="BG251" i="3"/>
  <c r="BG334" i="3"/>
  <c r="BG246" i="3"/>
  <c r="BI245" i="3" l="1"/>
  <c r="BH245" i="3"/>
  <c r="BI250" i="3"/>
  <c r="BH250" i="3"/>
  <c r="BM111" i="3"/>
  <c r="BK127" i="3"/>
  <c r="BK129" i="3" s="1"/>
  <c r="BJ140" i="3"/>
  <c r="BJ129" i="3"/>
  <c r="BI247" i="3" l="1"/>
  <c r="BH246" i="3"/>
  <c r="AV248" i="3"/>
  <c r="BI246" i="3"/>
  <c r="BM141" i="3"/>
  <c r="BK140" i="3"/>
  <c r="BH334" i="3"/>
  <c r="BH251" i="3"/>
  <c r="BK147" i="3"/>
  <c r="BI251" i="3"/>
  <c r="BI334" i="3"/>
  <c r="AW248" i="3"/>
  <c r="BJ147" i="3"/>
  <c r="BK245" i="3" l="1"/>
  <c r="BJ245" i="3"/>
  <c r="BK250" i="3"/>
  <c r="BK251" i="3" s="1"/>
  <c r="BJ250" i="3"/>
  <c r="BM120" i="3"/>
  <c r="BM127" i="3"/>
  <c r="BK247" i="3" l="1"/>
  <c r="BJ247" i="3"/>
  <c r="BK334" i="3"/>
  <c r="BJ246" i="3"/>
  <c r="BK246" i="3"/>
  <c r="AY248" i="3"/>
  <c r="AX248" i="3"/>
  <c r="BJ334" i="3"/>
  <c r="BJ251" i="3"/>
  <c r="J59" i="2"/>
  <c r="L41" i="2"/>
  <c r="L59" i="2" l="1"/>
  <c r="BJ339" i="3" l="1"/>
  <c r="BJ349" i="3" l="1"/>
  <c r="BK339" i="3"/>
  <c r="BJ438" i="3" l="1"/>
  <c r="BJ418" i="3"/>
  <c r="BI30" i="56" l="1"/>
  <c r="BK349" i="3"/>
  <c r="BL339" i="3"/>
  <c r="BI48" i="56"/>
  <c r="BK418" i="3" l="1"/>
  <c r="BK438" i="3"/>
  <c r="BJ48" i="56" l="1"/>
  <c r="BJ30" i="56"/>
  <c r="L48" i="2" l="1"/>
  <c r="J66" i="2"/>
  <c r="L66" i="2" l="1"/>
  <c r="BD33" i="3" l="1"/>
  <c r="BD67" i="3" s="1"/>
  <c r="BD377" i="3"/>
  <c r="BD68" i="3" l="1"/>
  <c r="BD435" i="3"/>
  <c r="BC45" i="56" s="1"/>
  <c r="BD415" i="3"/>
  <c r="BC27" i="56" s="1"/>
  <c r="BG377" i="3"/>
  <c r="BF377" i="3"/>
  <c r="BF33" i="3"/>
  <c r="BF67" i="3" s="1"/>
  <c r="BE33" i="3"/>
  <c r="BE67" i="3" s="1"/>
  <c r="BE377" i="3"/>
  <c r="BD409" i="3"/>
  <c r="BD383" i="3"/>
  <c r="BH435" i="3" l="1"/>
  <c r="BG33" i="3"/>
  <c r="BG67" i="3" s="1"/>
  <c r="H377" i="3"/>
  <c r="BD441" i="3"/>
  <c r="BC51" i="56" s="1"/>
  <c r="BD379" i="3"/>
  <c r="BF415" i="3"/>
  <c r="BF435" i="3"/>
  <c r="BE45" i="56" s="1"/>
  <c r="BE68" i="3"/>
  <c r="BF68" i="3" s="1"/>
  <c r="BE435" i="3"/>
  <c r="BD45" i="56" s="1"/>
  <c r="BE415" i="3"/>
  <c r="BE378" i="3"/>
  <c r="BD70" i="3"/>
  <c r="BD443" i="3"/>
  <c r="BH415" i="3" l="1"/>
  <c r="BI33" i="3"/>
  <c r="BI67" i="3" s="1"/>
  <c r="BD27" i="56"/>
  <c r="BE27" i="56"/>
  <c r="BC53" i="56"/>
  <c r="BG68" i="3"/>
  <c r="BH68" i="3" s="1"/>
  <c r="BG435" i="3"/>
  <c r="BG415" i="3"/>
  <c r="BG45" i="56"/>
  <c r="BI435" i="3" l="1"/>
  <c r="BG27" i="56"/>
  <c r="BJ415" i="3"/>
  <c r="BF27" i="56"/>
  <c r="BF45" i="56"/>
  <c r="BE383" i="3"/>
  <c r="BE441" i="3"/>
  <c r="BI68" i="3" l="1"/>
  <c r="BJ68" i="3" s="1"/>
  <c r="BI415" i="3"/>
  <c r="BJ435" i="3"/>
  <c r="BI45" i="56" s="1"/>
  <c r="BK33" i="3"/>
  <c r="BK67" i="3" s="1"/>
  <c r="BD51" i="56"/>
  <c r="BI27" i="56"/>
  <c r="BE409" i="3"/>
  <c r="BH27" i="56"/>
  <c r="BE379" i="3"/>
  <c r="BH45" i="56"/>
  <c r="BK415" i="3" l="1"/>
  <c r="BK435" i="3"/>
  <c r="BJ45" i="56" s="1"/>
  <c r="BK68" i="3"/>
  <c r="BE443" i="3"/>
  <c r="BE70" i="3"/>
  <c r="BL33" i="3" l="1"/>
  <c r="BL67" i="3" s="1"/>
  <c r="BJ27" i="56"/>
  <c r="BD53" i="56"/>
  <c r="BM33" i="3" l="1"/>
  <c r="BL435" i="3"/>
  <c r="BK45" i="56" s="1"/>
  <c r="BL68" i="3"/>
  <c r="BL415" i="3"/>
  <c r="BM67" i="3" l="1"/>
  <c r="BM435" i="3" s="1"/>
  <c r="BL45" i="56" s="1"/>
  <c r="BK27" i="56"/>
  <c r="BN33" i="3"/>
  <c r="BN67" i="3" s="1"/>
  <c r="BM68" i="3" l="1"/>
  <c r="BN68" i="3" s="1"/>
  <c r="BM415" i="3"/>
  <c r="BO33" i="3"/>
  <c r="BO67" i="3" s="1"/>
  <c r="BN415" i="3"/>
  <c r="BN435" i="3"/>
  <c r="BM45" i="56" s="1"/>
  <c r="BL27" i="56" l="1"/>
  <c r="BO68" i="3"/>
  <c r="BO435" i="3"/>
  <c r="BN45" i="56" s="1"/>
  <c r="BO415" i="3"/>
  <c r="BM27" i="56"/>
  <c r="BP33" i="3"/>
  <c r="BP67" i="3" s="1"/>
  <c r="BP68" i="3" l="1"/>
  <c r="BN27" i="56"/>
  <c r="BR33" i="3"/>
  <c r="BQ33" i="3"/>
  <c r="BQ67" i="3" s="1"/>
  <c r="BP435" i="3"/>
  <c r="BO45" i="56" s="1"/>
  <c r="BP415" i="3"/>
  <c r="BR67" i="3" l="1"/>
  <c r="BR435" i="3" s="1"/>
  <c r="BQ45" i="56" s="1"/>
  <c r="BO27" i="56"/>
  <c r="BQ68" i="3"/>
  <c r="BQ415" i="3"/>
  <c r="BQ435" i="3"/>
  <c r="BP45" i="56" s="1"/>
  <c r="BR68" i="3" l="1"/>
  <c r="BR415" i="3"/>
  <c r="BQ27" i="56"/>
  <c r="BT33" i="3"/>
  <c r="BS33" i="3"/>
  <c r="BS67" i="3" s="1"/>
  <c r="BP27" i="56"/>
  <c r="BT67" i="3" l="1"/>
  <c r="BT435" i="3" s="1"/>
  <c r="BS45" i="56" s="1"/>
  <c r="BS415" i="3"/>
  <c r="BS435" i="3"/>
  <c r="BR45" i="56" s="1"/>
  <c r="BS68" i="3"/>
  <c r="BT68" i="3" l="1"/>
  <c r="BT415" i="3"/>
  <c r="BS27" i="56"/>
  <c r="BR27" i="56"/>
  <c r="BU33" i="3"/>
  <c r="BU67" i="3" l="1"/>
  <c r="BU68" i="3" s="1"/>
  <c r="BV33" i="3"/>
  <c r="BV67" i="3" s="1"/>
  <c r="BU435" i="3" l="1"/>
  <c r="BT45" i="56" s="1"/>
  <c r="BU415" i="3"/>
  <c r="BW33" i="3"/>
  <c r="BX33" i="3"/>
  <c r="BV415" i="3"/>
  <c r="BV435" i="3"/>
  <c r="BU45" i="56" s="1"/>
  <c r="BV68" i="3"/>
  <c r="BW67" i="3" l="1"/>
  <c r="BW435" i="3" s="1"/>
  <c r="BV45" i="56" s="1"/>
  <c r="BX67" i="3"/>
  <c r="BX415" i="3" s="1"/>
  <c r="BT27" i="56"/>
  <c r="BU27" i="56"/>
  <c r="BW68" i="3" l="1"/>
  <c r="BX68" i="3" s="1"/>
  <c r="BW415" i="3"/>
  <c r="BV27" i="56" s="1"/>
  <c r="BX435" i="3"/>
  <c r="BW45" i="56" s="1"/>
  <c r="BW27" i="56"/>
  <c r="BY33" i="3"/>
  <c r="BY67" i="3" l="1"/>
  <c r="BY435" i="3" s="1"/>
  <c r="BX45" i="56" s="1"/>
  <c r="BZ33" i="3"/>
  <c r="BZ67" i="3" s="1"/>
  <c r="BY415" i="3" l="1"/>
  <c r="BY68" i="3"/>
  <c r="CA33" i="3"/>
  <c r="BZ415" i="3"/>
  <c r="BZ435" i="3"/>
  <c r="BY45" i="56" s="1"/>
  <c r="BZ68" i="3"/>
  <c r="BX27" i="56" l="1"/>
  <c r="CA67" i="3"/>
  <c r="CA415" i="3" s="1"/>
  <c r="BY27" i="56"/>
  <c r="CB33" i="3"/>
  <c r="CB67" i="3" s="1"/>
  <c r="CA435" i="3" l="1"/>
  <c r="BZ45" i="56" s="1"/>
  <c r="CA68" i="3"/>
  <c r="CB68" i="3" s="1"/>
  <c r="BZ27" i="56"/>
  <c r="CC33" i="3"/>
  <c r="CC67" i="3" s="1"/>
  <c r="CB435" i="3"/>
  <c r="CA45" i="56" s="1"/>
  <c r="CB415" i="3"/>
  <c r="CA27" i="56" l="1"/>
  <c r="CD33" i="3"/>
  <c r="CD67" i="3" s="1"/>
  <c r="CC68" i="3"/>
  <c r="CC435" i="3"/>
  <c r="CB45" i="56" s="1"/>
  <c r="CC415" i="3"/>
  <c r="CB27" i="56" l="1"/>
  <c r="CE33" i="3"/>
  <c r="CE67" i="3" s="1"/>
  <c r="CF33" i="3"/>
  <c r="CD68" i="3"/>
  <c r="CD435" i="3"/>
  <c r="CC45" i="56" s="1"/>
  <c r="CD415" i="3"/>
  <c r="CF67" i="3" l="1"/>
  <c r="CF435" i="3" s="1"/>
  <c r="CE45" i="56" s="1"/>
  <c r="CC27" i="56"/>
  <c r="CE68" i="3"/>
  <c r="CE435" i="3"/>
  <c r="CD45" i="56" s="1"/>
  <c r="CE415" i="3"/>
  <c r="CF68" i="3" l="1"/>
  <c r="CF415" i="3"/>
  <c r="CE27" i="56" s="1"/>
  <c r="CD27" i="56"/>
  <c r="CG33" i="3"/>
  <c r="CG67" i="3" l="1"/>
  <c r="CG68" i="3" s="1"/>
  <c r="CH33" i="3"/>
  <c r="CH67" i="3" s="1"/>
  <c r="CI33" i="3"/>
  <c r="CG435" i="3" l="1"/>
  <c r="CF45" i="56" s="1"/>
  <c r="CG415" i="3"/>
  <c r="CI67" i="3"/>
  <c r="CI435" i="3" s="1"/>
  <c r="CH45" i="56" s="1"/>
  <c r="CH415" i="3"/>
  <c r="CH435" i="3"/>
  <c r="CG45" i="56" s="1"/>
  <c r="CH68" i="3"/>
  <c r="CI68" i="3" l="1"/>
  <c r="CI415" i="3"/>
  <c r="CF27" i="56"/>
  <c r="CG27" i="56"/>
  <c r="CJ33" i="3"/>
  <c r="CH27" i="56" l="1"/>
  <c r="CJ67" i="3"/>
  <c r="CJ435" i="3" s="1"/>
  <c r="CI45" i="56" s="1"/>
  <c r="CK33" i="3"/>
  <c r="CK67" i="3" s="1"/>
  <c r="CJ415" i="3" l="1"/>
  <c r="CJ68" i="3"/>
  <c r="CK68" i="3" s="1"/>
  <c r="CL33" i="3"/>
  <c r="CK435" i="3"/>
  <c r="CJ45" i="56" s="1"/>
  <c r="CK415" i="3"/>
  <c r="CI27" i="56" l="1"/>
  <c r="CL67" i="3"/>
  <c r="CL435" i="3" s="1"/>
  <c r="CK45" i="56" s="1"/>
  <c r="CJ27" i="56"/>
  <c r="CM33" i="3"/>
  <c r="CM67" i="3" s="1"/>
  <c r="CL415" i="3" l="1"/>
  <c r="CL68" i="3"/>
  <c r="CM68" i="3" s="1"/>
  <c r="CM435" i="3"/>
  <c r="CL45" i="56" s="1"/>
  <c r="CM415" i="3"/>
  <c r="CN33" i="3"/>
  <c r="CN67" i="3" s="1"/>
  <c r="CK27" i="56" l="1"/>
  <c r="CN68" i="3"/>
  <c r="CN415" i="3"/>
  <c r="CN435" i="3"/>
  <c r="CO33" i="3"/>
  <c r="CO67" i="3" s="1"/>
  <c r="CL27" i="56"/>
  <c r="CM27" i="56"/>
  <c r="CM45" i="56"/>
  <c r="CP33" i="3" l="1"/>
  <c r="CP67" i="3" s="1"/>
  <c r="CO435" i="3"/>
  <c r="CN45" i="56" s="1"/>
  <c r="CO415" i="3"/>
  <c r="CO68" i="3"/>
  <c r="CN27" i="56" l="1"/>
  <c r="CP68" i="3"/>
  <c r="CP415" i="3"/>
  <c r="CP435" i="3"/>
  <c r="CO45" i="56" s="1"/>
  <c r="CQ33" i="3"/>
  <c r="CQ67" i="3" s="1"/>
  <c r="CR33" i="3" l="1"/>
  <c r="CR67" i="3" s="1"/>
  <c r="CS33" i="3"/>
  <c r="CS67" i="3" s="1"/>
  <c r="CQ68" i="3"/>
  <c r="CQ435" i="3"/>
  <c r="CP45" i="56" s="1"/>
  <c r="CQ415" i="3"/>
  <c r="CO27" i="56"/>
  <c r="CT33" i="3" l="1"/>
  <c r="CP27" i="56"/>
  <c r="CR68" i="3"/>
  <c r="CS68" i="3" s="1"/>
  <c r="CR435" i="3"/>
  <c r="CQ45" i="56" s="1"/>
  <c r="CR415" i="3"/>
  <c r="CS435" i="3"/>
  <c r="CS415" i="3"/>
  <c r="CT67" i="3" l="1"/>
  <c r="CT415" i="3" s="1"/>
  <c r="CU33" i="3"/>
  <c r="CU67" i="3" s="1"/>
  <c r="CQ27" i="56"/>
  <c r="CR45" i="56"/>
  <c r="CR27" i="56"/>
  <c r="CT68" i="3" l="1"/>
  <c r="CU68" i="3" s="1"/>
  <c r="CT435" i="3"/>
  <c r="CS45" i="56" s="1"/>
  <c r="CS27" i="56"/>
  <c r="CV33" i="3"/>
  <c r="CU415" i="3"/>
  <c r="CU435" i="3"/>
  <c r="CV67" i="3" l="1"/>
  <c r="CV415" i="3" s="1"/>
  <c r="CT45" i="56"/>
  <c r="CT27" i="56"/>
  <c r="CV435" i="3" l="1"/>
  <c r="CU45" i="56" s="1"/>
  <c r="CU27" i="56"/>
  <c r="CV68" i="3"/>
  <c r="CW33" i="3"/>
  <c r="CW67" i="3" l="1"/>
  <c r="CW68" i="3" s="1"/>
  <c r="CX33" i="3"/>
  <c r="CX67" i="3" s="1"/>
  <c r="CW435" i="3" l="1"/>
  <c r="CV45" i="56" s="1"/>
  <c r="CW415" i="3"/>
  <c r="CY33" i="3"/>
  <c r="CY67" i="3" s="1"/>
  <c r="CX415" i="3"/>
  <c r="CX435" i="3"/>
  <c r="CW45" i="56" s="1"/>
  <c r="CX68" i="3"/>
  <c r="CV27" i="56" l="1"/>
  <c r="CY68" i="3"/>
  <c r="CY415" i="3"/>
  <c r="CY435" i="3"/>
  <c r="CW27" i="56"/>
  <c r="CZ33" i="3"/>
  <c r="CZ67" i="3" s="1"/>
  <c r="DA33" i="3"/>
  <c r="DA67" i="3" s="1"/>
  <c r="CX45" i="56"/>
  <c r="CX27" i="56"/>
  <c r="CZ435" i="3" l="1"/>
  <c r="CY45" i="56" s="1"/>
  <c r="CZ415" i="3"/>
  <c r="CZ68" i="3"/>
  <c r="DA68" i="3" s="1"/>
  <c r="DA435" i="3"/>
  <c r="DA415" i="3"/>
  <c r="DB33" i="3" l="1"/>
  <c r="CY27" i="56"/>
  <c r="CZ45" i="56"/>
  <c r="CZ27" i="56"/>
  <c r="DB67" i="3" l="1"/>
  <c r="DB68" i="3" s="1"/>
  <c r="DC33" i="3"/>
  <c r="DC67" i="3" s="1"/>
  <c r="DB415" i="3" l="1"/>
  <c r="DB435" i="3"/>
  <c r="DA45" i="56" s="1"/>
  <c r="DA27" i="56"/>
  <c r="DD33" i="3"/>
  <c r="DD67" i="3" s="1"/>
  <c r="DC435" i="3"/>
  <c r="DB45" i="56" s="1"/>
  <c r="DC415" i="3"/>
  <c r="DC68" i="3"/>
  <c r="DB27" i="56" l="1"/>
  <c r="DE33" i="3"/>
  <c r="DF33" i="3"/>
  <c r="DD415" i="3"/>
  <c r="DD435" i="3"/>
  <c r="DC45" i="56" s="1"/>
  <c r="DD68" i="3"/>
  <c r="DF67" i="3" l="1"/>
  <c r="DF415" i="3" s="1"/>
  <c r="DE67" i="3"/>
  <c r="DE435" i="3" s="1"/>
  <c r="DD45" i="56" s="1"/>
  <c r="DC27" i="56"/>
  <c r="DF435" i="3" l="1"/>
  <c r="DE45" i="56" s="1"/>
  <c r="DE415" i="3"/>
  <c r="DE68" i="3"/>
  <c r="DF68" i="3" s="1"/>
  <c r="DE27" i="56"/>
  <c r="DG33" i="3"/>
  <c r="DH33" i="3"/>
  <c r="DD27" i="56" l="1"/>
  <c r="DG67" i="3"/>
  <c r="DG415" i="3" s="1"/>
  <c r="DH67" i="3"/>
  <c r="DH435" i="3" s="1"/>
  <c r="DG45" i="56" s="1"/>
  <c r="DG68" i="3" l="1"/>
  <c r="DH68" i="3" s="1"/>
  <c r="DG435" i="3"/>
  <c r="DF45" i="56" s="1"/>
  <c r="DH415" i="3"/>
  <c r="DF27" i="56"/>
  <c r="DI33" i="3"/>
  <c r="DG27" i="56" l="1"/>
  <c r="DI67" i="3"/>
  <c r="DI68" i="3" s="1"/>
  <c r="DK33" i="3"/>
  <c r="DK67" i="3" s="1"/>
  <c r="DJ33" i="3"/>
  <c r="DJ67" i="3" s="1"/>
  <c r="DI435" i="3" l="1"/>
  <c r="DH45" i="56" s="1"/>
  <c r="DI415" i="3"/>
  <c r="DL33" i="3"/>
  <c r="DJ435" i="3"/>
  <c r="DI45" i="56" s="1"/>
  <c r="DJ415" i="3"/>
  <c r="DJ68" i="3"/>
  <c r="DK68" i="3" s="1"/>
  <c r="DK435" i="3"/>
  <c r="DK415" i="3"/>
  <c r="DL67" i="3" l="1"/>
  <c r="DL415" i="3" s="1"/>
  <c r="DH27" i="56"/>
  <c r="DI27" i="56"/>
  <c r="DJ27" i="56"/>
  <c r="DJ45" i="56"/>
  <c r="DL68" i="3" l="1"/>
  <c r="DL435" i="3"/>
  <c r="DK45" i="56" s="1"/>
  <c r="DK27" i="56"/>
  <c r="DM33" i="3"/>
  <c r="DM67" i="3" l="1"/>
  <c r="DM68" i="3" s="1"/>
  <c r="DO33" i="3"/>
  <c r="DN33" i="3"/>
  <c r="DN67" i="3" s="1"/>
  <c r="DM415" i="3" l="1"/>
  <c r="DM435" i="3"/>
  <c r="DL45" i="56" s="1"/>
  <c r="DO67" i="3"/>
  <c r="DO435" i="3" s="1"/>
  <c r="DN45" i="56" s="1"/>
  <c r="DN415" i="3"/>
  <c r="DN435" i="3"/>
  <c r="DM45" i="56" s="1"/>
  <c r="DN68" i="3"/>
  <c r="DP33" i="3"/>
  <c r="DP67" i="3" s="1"/>
  <c r="DO68" i="3" l="1"/>
  <c r="DP68" i="3" s="1"/>
  <c r="DL27" i="56"/>
  <c r="DO415" i="3"/>
  <c r="DP435" i="3"/>
  <c r="DP415" i="3"/>
  <c r="DQ33" i="3"/>
  <c r="DM27" i="56"/>
  <c r="DO45" i="56"/>
  <c r="DO27" i="56"/>
  <c r="DQ67" i="3" l="1"/>
  <c r="DQ435" i="3" s="1"/>
  <c r="DP45" i="56" s="1"/>
  <c r="DN27" i="56"/>
  <c r="DR33" i="3"/>
  <c r="DR67" i="3" s="1"/>
  <c r="DQ68" i="3" l="1"/>
  <c r="DR68" i="3" s="1"/>
  <c r="DQ415" i="3"/>
  <c r="DR415" i="3"/>
  <c r="DR435" i="3"/>
  <c r="DQ27" i="56"/>
  <c r="DQ45" i="56"/>
  <c r="DP27" i="56" l="1"/>
  <c r="DS33" i="3"/>
  <c r="DS67" i="3" s="1"/>
  <c r="DT33" i="3" l="1"/>
  <c r="DT67" i="3" s="1"/>
  <c r="DS415" i="3"/>
  <c r="DS68" i="3"/>
  <c r="DS435" i="3"/>
  <c r="DR45" i="56" s="1"/>
  <c r="DR27" i="56" l="1"/>
  <c r="DU33" i="3"/>
  <c r="DU67" i="3" s="1"/>
  <c r="DT435" i="3"/>
  <c r="DS45" i="56" s="1"/>
  <c r="DT68" i="3"/>
  <c r="DT415" i="3"/>
  <c r="DS27" i="56" l="1"/>
  <c r="DV33" i="3"/>
  <c r="DV67" i="3" s="1"/>
  <c r="DU415" i="3"/>
  <c r="DU68" i="3"/>
  <c r="DU435" i="3"/>
  <c r="DT45" i="56" s="1"/>
  <c r="DT27" i="56" l="1"/>
  <c r="DV68" i="3"/>
  <c r="DV415" i="3"/>
  <c r="DV435" i="3"/>
  <c r="DU45" i="56" s="1"/>
  <c r="DW33" i="3"/>
  <c r="DW67" i="3" s="1"/>
  <c r="DX33" i="3"/>
  <c r="DX67" i="3" l="1"/>
  <c r="DX415" i="3" s="1"/>
  <c r="DW68" i="3"/>
  <c r="DW415" i="3"/>
  <c r="DW435" i="3"/>
  <c r="DV45" i="56" s="1"/>
  <c r="DU27" i="56"/>
  <c r="DY33" i="3"/>
  <c r="DY67" i="3" l="1"/>
  <c r="DY415" i="3" s="1"/>
  <c r="J37" i="2"/>
  <c r="DX68" i="3"/>
  <c r="DX435" i="3"/>
  <c r="DW45" i="56" s="1"/>
  <c r="DW27" i="56"/>
  <c r="G25" i="3"/>
  <c r="DV27" i="56"/>
  <c r="G33" i="3"/>
  <c r="DY435" i="3" l="1"/>
  <c r="G67" i="3"/>
  <c r="DY68" i="3"/>
  <c r="J55" i="2"/>
  <c r="L55" i="2" s="1"/>
  <c r="L37" i="2"/>
  <c r="D370" i="3"/>
  <c r="DX27" i="56"/>
  <c r="H415" i="3"/>
  <c r="DX45" i="56"/>
  <c r="H435" i="3"/>
  <c r="G27" i="56" l="1"/>
  <c r="G45" i="56"/>
  <c r="L108" i="2"/>
  <c r="D368" i="3"/>
  <c r="D369" i="3" s="1"/>
  <c r="D372" i="3" s="1"/>
  <c r="BN406" i="3" l="1"/>
  <c r="BL406" i="3"/>
  <c r="BM406" i="3"/>
  <c r="BI406" i="3"/>
  <c r="BH406" i="3"/>
  <c r="BF406" i="3"/>
  <c r="BG406" i="3"/>
  <c r="BG378" i="3" s="1"/>
  <c r="BJ406" i="3"/>
  <c r="BK406" i="3"/>
  <c r="BF378" i="3" l="1"/>
  <c r="H378" i="3" l="1"/>
  <c r="BF383" i="3" l="1"/>
  <c r="BF441" i="3" l="1"/>
  <c r="BF379" i="3"/>
  <c r="BF409" i="3"/>
  <c r="BE51" i="56"/>
  <c r="BF70" i="3" l="1"/>
  <c r="BF443" i="3"/>
  <c r="BG383" i="3"/>
  <c r="BG441" i="3"/>
  <c r="BF51" i="56" l="1"/>
  <c r="BG409" i="3"/>
  <c r="BG379" i="3"/>
  <c r="BE53" i="56"/>
  <c r="BG70" i="3" l="1"/>
  <c r="BG443" i="3"/>
  <c r="BH383" i="3"/>
  <c r="H379" i="3"/>
  <c r="BI383" i="3" l="1"/>
  <c r="BI441" i="3"/>
  <c r="BH409" i="3"/>
  <c r="BF53" i="56"/>
  <c r="BH441" i="3"/>
  <c r="BH51" i="56" l="1"/>
  <c r="BH443" i="3"/>
  <c r="BH70" i="3"/>
  <c r="BG51" i="56"/>
  <c r="BI409" i="3"/>
  <c r="BG53" i="56" l="1"/>
  <c r="BI70" i="3"/>
  <c r="BI443" i="3"/>
  <c r="BH53" i="56" s="1"/>
  <c r="BJ383" i="3"/>
  <c r="BK409" i="3" l="1"/>
  <c r="BK383" i="3"/>
  <c r="BJ441" i="3"/>
  <c r="BJ409" i="3"/>
  <c r="BI51" i="56" l="1"/>
  <c r="BK443" i="3"/>
  <c r="BJ53" i="56" s="1"/>
  <c r="BK70" i="3"/>
  <c r="BL383" i="3"/>
  <c r="BK441" i="3"/>
  <c r="BJ70" i="3"/>
  <c r="BJ443" i="3"/>
  <c r="BM383" i="3" l="1"/>
  <c r="BM409" i="3"/>
  <c r="BL441" i="3"/>
  <c r="BJ51" i="56"/>
  <c r="BL409" i="3"/>
  <c r="BI53" i="56"/>
  <c r="BM70" i="3" l="1"/>
  <c r="BM443" i="3"/>
  <c r="BL53" i="56" s="1"/>
  <c r="BK51" i="56"/>
  <c r="BL70" i="3"/>
  <c r="BL443" i="3"/>
  <c r="BK53" i="56" s="1"/>
  <c r="BN383" i="3"/>
  <c r="BM441" i="3"/>
  <c r="BO383" i="3" l="1"/>
  <c r="BO409" i="3"/>
  <c r="BN441" i="3"/>
  <c r="BN409" i="3"/>
  <c r="BN443" i="3" s="1"/>
  <c r="BL51" i="56"/>
  <c r="BM51" i="56" l="1"/>
  <c r="BP383" i="3"/>
  <c r="BO441" i="3"/>
  <c r="BN70" i="3"/>
  <c r="BM53" i="56"/>
  <c r="BP441" i="3" l="1"/>
  <c r="BQ409" i="3"/>
  <c r="BQ383" i="3"/>
  <c r="BP409" i="3"/>
  <c r="BN51" i="56"/>
  <c r="BR383" i="3" l="1"/>
  <c r="BR409" i="3"/>
  <c r="BQ441" i="3"/>
  <c r="BO51" i="56"/>
  <c r="BS409" i="3" l="1"/>
  <c r="BS383" i="3"/>
  <c r="BR441" i="3"/>
  <c r="BP51" i="56"/>
  <c r="BS441" i="3" l="1"/>
  <c r="BR51" i="56" s="1"/>
  <c r="BQ51" i="56"/>
  <c r="BT409" i="3"/>
  <c r="BT383" i="3"/>
  <c r="BT441" i="3" l="1"/>
  <c r="BS51" i="56" s="1"/>
  <c r="BU383" i="3"/>
  <c r="BU409" i="3" l="1"/>
  <c r="BV409" i="3"/>
  <c r="BV383" i="3"/>
  <c r="BU441" i="3"/>
  <c r="BV441" i="3" l="1"/>
  <c r="BU51" i="56"/>
  <c r="BW383" i="3"/>
  <c r="BT51" i="56"/>
  <c r="BX383" i="3" l="1"/>
  <c r="BX409" i="3"/>
  <c r="BW409" i="3"/>
  <c r="BW441" i="3"/>
  <c r="BX441" i="3" l="1"/>
  <c r="BW51" i="56" s="1"/>
  <c r="BV51" i="56"/>
  <c r="BY383" i="3"/>
  <c r="BY409" i="3" l="1"/>
  <c r="BZ409" i="3"/>
  <c r="BZ383" i="3"/>
  <c r="BY441" i="3"/>
  <c r="CA383" i="3" l="1"/>
  <c r="BZ441" i="3"/>
  <c r="BX51" i="56"/>
  <c r="CA441" i="3" l="1"/>
  <c r="BZ51" i="56"/>
  <c r="CA409" i="3"/>
  <c r="BY51" i="56"/>
  <c r="CB383" i="3"/>
  <c r="CB409" i="3"/>
  <c r="CC383" i="3" l="1"/>
  <c r="CB441" i="3"/>
  <c r="CA51" i="56" l="1"/>
  <c r="CD383" i="3"/>
  <c r="CD409" i="3"/>
  <c r="CC441" i="3"/>
  <c r="CC409" i="3"/>
  <c r="CE383" i="3" l="1"/>
  <c r="CE409" i="3"/>
  <c r="CD441" i="3"/>
  <c r="CB51" i="56"/>
  <c r="CF383" i="3" l="1"/>
  <c r="CF409" i="3"/>
  <c r="CE441" i="3"/>
  <c r="CC51" i="56"/>
  <c r="CF441" i="3" l="1"/>
  <c r="CE51" i="56"/>
  <c r="CD51" i="56"/>
  <c r="CG383" i="3"/>
  <c r="CH409" i="3" l="1"/>
  <c r="CH383" i="3"/>
  <c r="CG441" i="3"/>
  <c r="CG409" i="3"/>
  <c r="CI383" i="3" l="1"/>
  <c r="CH441" i="3"/>
  <c r="CF51" i="56"/>
  <c r="CI441" i="3" l="1"/>
  <c r="CJ409" i="3"/>
  <c r="CJ383" i="3"/>
  <c r="CH51" i="56"/>
  <c r="CI409" i="3"/>
  <c r="CG51" i="56"/>
  <c r="CJ441" i="3" l="1"/>
  <c r="CI51" i="56"/>
  <c r="CK383" i="3"/>
  <c r="CL383" i="3" l="1"/>
  <c r="CL409" i="3"/>
  <c r="CK441" i="3"/>
  <c r="CK409" i="3"/>
  <c r="CL441" i="3" l="1"/>
  <c r="CM383" i="3"/>
  <c r="CJ51" i="56"/>
  <c r="CN409" i="3" l="1"/>
  <c r="CN383" i="3"/>
  <c r="CM441" i="3"/>
  <c r="CK51" i="56"/>
  <c r="CM409" i="3"/>
  <c r="CL51" i="56" l="1"/>
  <c r="CO383" i="3"/>
  <c r="CN441" i="3"/>
  <c r="CO441" i="3" l="1"/>
  <c r="CN51" i="56"/>
  <c r="CO409" i="3"/>
  <c r="CM51" i="56"/>
  <c r="CP383" i="3"/>
  <c r="CP409" i="3"/>
  <c r="CQ409" i="3" l="1"/>
  <c r="CQ383" i="3"/>
  <c r="CP441" i="3"/>
  <c r="CO51" i="56" l="1"/>
  <c r="CR409" i="3"/>
  <c r="CR383" i="3"/>
  <c r="CQ441" i="3"/>
  <c r="CR441" i="3" l="1"/>
  <c r="CQ51" i="56"/>
  <c r="CP51" i="56"/>
  <c r="CS383" i="3"/>
  <c r="CT409" i="3" l="1"/>
  <c r="CT383" i="3"/>
  <c r="CS441" i="3"/>
  <c r="CS409" i="3"/>
  <c r="CT441" i="3" l="1"/>
  <c r="CU383" i="3"/>
  <c r="CR51" i="56"/>
  <c r="CU441" i="3" l="1"/>
  <c r="CT51" i="56" s="1"/>
  <c r="CU409" i="3"/>
  <c r="CV383" i="3"/>
  <c r="CV409" i="3"/>
  <c r="CS51" i="56"/>
  <c r="CV441" i="3" l="1"/>
  <c r="CW383" i="3"/>
  <c r="CW441" i="3" l="1"/>
  <c r="CX383" i="3"/>
  <c r="CX409" i="3"/>
  <c r="CW409" i="3"/>
  <c r="CU51" i="56"/>
  <c r="CX441" i="3" l="1"/>
  <c r="CW51" i="56" s="1"/>
  <c r="CV51" i="56"/>
  <c r="CY383" i="3"/>
  <c r="CY409" i="3" l="1"/>
  <c r="CZ409" i="3"/>
  <c r="CZ383" i="3"/>
  <c r="CY441" i="3"/>
  <c r="DA383" i="3" l="1"/>
  <c r="CX51" i="56"/>
  <c r="CZ441" i="3"/>
  <c r="DA441" i="3" l="1"/>
  <c r="DA409" i="3"/>
  <c r="CY51" i="56"/>
  <c r="DB409" i="3"/>
  <c r="DB383" i="3"/>
  <c r="DC383" i="3" l="1"/>
  <c r="DC409" i="3"/>
  <c r="CZ51" i="56"/>
  <c r="DB441" i="3"/>
  <c r="DD383" i="3" l="1"/>
  <c r="DD409" i="3"/>
  <c r="DC441" i="3"/>
  <c r="DA51" i="56"/>
  <c r="DB51" i="56" l="1"/>
  <c r="DE383" i="3"/>
  <c r="DD441" i="3"/>
  <c r="DE441" i="3" l="1"/>
  <c r="DD51" i="56" s="1"/>
  <c r="DE409" i="3"/>
  <c r="DC51" i="56"/>
  <c r="DF409" i="3"/>
  <c r="DF383" i="3"/>
  <c r="DG383" i="3" l="1"/>
  <c r="DF441" i="3"/>
  <c r="DH409" i="3" l="1"/>
  <c r="DH383" i="3"/>
  <c r="DG441" i="3"/>
  <c r="DG409" i="3"/>
  <c r="DE51" i="56"/>
  <c r="DF51" i="56" l="1"/>
  <c r="DI383" i="3"/>
  <c r="DH441" i="3"/>
  <c r="DJ409" i="3" l="1"/>
  <c r="DJ383" i="3"/>
  <c r="DI441" i="3"/>
  <c r="DG51" i="56"/>
  <c r="DI409" i="3"/>
  <c r="DH51" i="56" l="1"/>
  <c r="DK383" i="3"/>
  <c r="DJ441" i="3"/>
  <c r="DI51" i="56" l="1"/>
  <c r="DL383" i="3"/>
  <c r="DL409" i="3"/>
  <c r="DK441" i="3"/>
  <c r="DK409" i="3"/>
  <c r="DL441" i="3" l="1"/>
  <c r="DK51" i="56" s="1"/>
  <c r="DJ51" i="56"/>
  <c r="DM383" i="3"/>
  <c r="DM441" i="3" l="1"/>
  <c r="DM409" i="3"/>
  <c r="DL51" i="56"/>
  <c r="DN383" i="3"/>
  <c r="DN409" i="3"/>
  <c r="DO409" i="3" l="1"/>
  <c r="DO383" i="3"/>
  <c r="DN441" i="3"/>
  <c r="DO441" i="3" l="1"/>
  <c r="DP383" i="3"/>
  <c r="DP409" i="3"/>
  <c r="DM51" i="56"/>
  <c r="DQ383" i="3" l="1"/>
  <c r="DQ409" i="3"/>
  <c r="DP441" i="3"/>
  <c r="DN51" i="56"/>
  <c r="DO51" i="56" l="1"/>
  <c r="DR383" i="3"/>
  <c r="DR409" i="3"/>
  <c r="DQ441" i="3"/>
  <c r="DP51" i="56" l="1"/>
  <c r="DS383" i="3"/>
  <c r="DS409" i="3"/>
  <c r="DR441" i="3"/>
  <c r="DT409" i="3" l="1"/>
  <c r="DT383" i="3"/>
  <c r="DS441" i="3"/>
  <c r="DQ51" i="56"/>
  <c r="DU383" i="3" l="1"/>
  <c r="DU409" i="3"/>
  <c r="DT441" i="3"/>
  <c r="DR51" i="56"/>
  <c r="DU441" i="3" l="1"/>
  <c r="DV383" i="3"/>
  <c r="DV409" i="3"/>
  <c r="DS51" i="56"/>
  <c r="DV441" i="3" l="1"/>
  <c r="DW409" i="3"/>
  <c r="DW383" i="3"/>
  <c r="DU51" i="56"/>
  <c r="DT51" i="56"/>
  <c r="DX383" i="3" l="1"/>
  <c r="DX409" i="3"/>
  <c r="DW441" i="3"/>
  <c r="DY383" i="3" l="1"/>
  <c r="H383" i="3" s="1"/>
  <c r="H399" i="3"/>
  <c r="H400" i="3"/>
  <c r="DV51" i="56"/>
  <c r="DX441" i="3"/>
  <c r="DY441" i="3" l="1"/>
  <c r="H441" i="3" s="1"/>
  <c r="G399" i="3"/>
  <c r="J49" i="2"/>
  <c r="DY409" i="3"/>
  <c r="H410" i="3"/>
  <c r="DW51" i="56"/>
  <c r="DX51" i="56" l="1"/>
  <c r="G51" i="56" s="1"/>
  <c r="H409" i="3"/>
  <c r="J67" i="2"/>
  <c r="L49" i="2"/>
  <c r="J50" i="2"/>
  <c r="K49" i="2" s="1"/>
  <c r="L67" i="2" l="1"/>
  <c r="J68" i="2"/>
  <c r="K67" i="2" s="1"/>
  <c r="L50" i="2"/>
  <c r="K50" i="2"/>
  <c r="K48" i="2"/>
  <c r="K68" i="2" l="1"/>
  <c r="L68" i="2"/>
  <c r="K66" i="2"/>
  <c r="BL141" i="3" l="1"/>
  <c r="BM108" i="3"/>
  <c r="BM112" i="3" s="1"/>
  <c r="BL111" i="3"/>
  <c r="BM147" i="3" l="1"/>
  <c r="BM129" i="3"/>
  <c r="BL108" i="3"/>
  <c r="BL120" i="3"/>
  <c r="BL112" i="3" l="1"/>
  <c r="BM140" i="3"/>
  <c r="BM245" i="3" s="1"/>
  <c r="BM250" i="3" l="1"/>
  <c r="BM251" i="3" s="1"/>
  <c r="BL127" i="3"/>
  <c r="BM246" i="3" l="1"/>
  <c r="BM334" i="3"/>
  <c r="BL129" i="3"/>
  <c r="BL147" i="3"/>
  <c r="BL140" i="3"/>
  <c r="BL250" i="3" l="1"/>
  <c r="BL245" i="3"/>
  <c r="BM247" i="3" l="1"/>
  <c r="BL247" i="3"/>
  <c r="BL251" i="3"/>
  <c r="BL334" i="3"/>
  <c r="BL349" i="3"/>
  <c r="BM339" i="3"/>
  <c r="BA248" i="3"/>
  <c r="BL246" i="3"/>
  <c r="AZ248" i="3"/>
  <c r="BM349" i="3" l="1"/>
  <c r="BN339" i="3"/>
  <c r="BL438" i="3"/>
  <c r="BL418" i="3"/>
  <c r="BM418" i="3" l="1"/>
  <c r="BM438" i="3"/>
  <c r="BK30" i="56"/>
  <c r="BK48" i="56"/>
  <c r="BL30" i="56" l="1"/>
  <c r="BL48" i="56"/>
  <c r="BN111" i="3" l="1"/>
  <c r="BN141" i="3"/>
  <c r="BN120" i="3" l="1"/>
  <c r="BN108" i="3"/>
  <c r="BN127" i="3" l="1"/>
  <c r="BN112" i="3"/>
  <c r="BN129" i="3" l="1"/>
  <c r="BN147" i="3" l="1"/>
  <c r="BN140" i="3"/>
  <c r="BN250" i="3" l="1"/>
  <c r="BN334" i="3" s="1"/>
  <c r="BN245" i="3"/>
  <c r="BN247" i="3" l="1"/>
  <c r="BN251" i="3"/>
  <c r="BB248" i="3"/>
  <c r="BN246" i="3"/>
  <c r="BN349" i="3"/>
  <c r="BO339" i="3"/>
  <c r="BN418" i="3" l="1"/>
  <c r="BN438" i="3"/>
  <c r="BM48" i="56" l="1"/>
  <c r="BM30" i="56"/>
  <c r="BN92" i="3" l="1"/>
  <c r="BN91" i="3" s="1"/>
  <c r="BO96" i="3" l="1"/>
  <c r="BN96" i="3"/>
  <c r="BO141" i="3"/>
  <c r="K81" i="2" l="1"/>
  <c r="Q54" i="2"/>
  <c r="CE89" i="3" l="1"/>
  <c r="CN89" i="3"/>
  <c r="CW89" i="3"/>
  <c r="DF89" i="3"/>
  <c r="DO89" i="3"/>
  <c r="DX89" i="3"/>
  <c r="CC89" i="3"/>
  <c r="CD89" i="3"/>
  <c r="CM89" i="3"/>
  <c r="CV89" i="3"/>
  <c r="DE89" i="3"/>
  <c r="DN89" i="3"/>
  <c r="DW89" i="3"/>
  <c r="CK89" i="3"/>
  <c r="CL89" i="3"/>
  <c r="CU89" i="3"/>
  <c r="DD89" i="3"/>
  <c r="DM89" i="3"/>
  <c r="DV89" i="3"/>
  <c r="CB89" i="3"/>
  <c r="CS89" i="3"/>
  <c r="CT89" i="3"/>
  <c r="DC89" i="3"/>
  <c r="DL89" i="3"/>
  <c r="DU89" i="3"/>
  <c r="CA89" i="3"/>
  <c r="CJ89" i="3"/>
  <c r="DA89" i="3"/>
  <c r="DB89" i="3"/>
  <c r="DK89" i="3"/>
  <c r="DT89" i="3"/>
  <c r="CI89" i="3"/>
  <c r="CR89" i="3"/>
  <c r="DI89" i="3"/>
  <c r="DJ89" i="3"/>
  <c r="DS89" i="3"/>
  <c r="CH89" i="3"/>
  <c r="CQ89" i="3"/>
  <c r="CZ89" i="3"/>
  <c r="DQ89" i="3"/>
  <c r="DR89" i="3"/>
  <c r="CG89" i="3"/>
  <c r="CP89" i="3"/>
  <c r="CY89" i="3"/>
  <c r="DH89" i="3"/>
  <c r="DY89" i="3"/>
  <c r="CF89" i="3"/>
  <c r="CO89" i="3"/>
  <c r="CX89" i="3"/>
  <c r="DG89" i="3"/>
  <c r="DP89" i="3"/>
  <c r="BP91" i="3"/>
  <c r="BS91" i="3"/>
  <c r="BG14" i="3"/>
  <c r="BG417" i="3" s="1"/>
  <c r="BF29" i="56" s="1"/>
  <c r="DG14" i="3"/>
  <c r="CL14" i="56"/>
  <c r="Z14" i="56"/>
  <c r="DA14" i="3"/>
  <c r="DA437" i="3" s="1"/>
  <c r="CZ47" i="56" s="1"/>
  <c r="AH14" i="56"/>
  <c r="CD14" i="56"/>
  <c r="R14" i="56"/>
  <c r="CS14" i="3"/>
  <c r="CS437" i="3" s="1"/>
  <c r="CR47" i="56" s="1"/>
  <c r="CT14" i="56"/>
  <c r="BV14" i="56"/>
  <c r="J14" i="56"/>
  <c r="CL14" i="3"/>
  <c r="CL437" i="3" s="1"/>
  <c r="CK47" i="56" s="1"/>
  <c r="K80" i="2"/>
  <c r="BN14" i="56"/>
  <c r="CE14" i="3"/>
  <c r="CE437" i="3" s="1"/>
  <c r="CD47" i="56" s="1"/>
  <c r="DR14" i="56"/>
  <c r="BF14" i="56"/>
  <c r="BS14" i="3"/>
  <c r="DJ14" i="56"/>
  <c r="AX14" i="56"/>
  <c r="DS14" i="3"/>
  <c r="DS437" i="3" s="1"/>
  <c r="DR47" i="56" s="1"/>
  <c r="DB14" i="56"/>
  <c r="AP14" i="56"/>
  <c r="DM14" i="3"/>
  <c r="DM437" i="3" s="1"/>
  <c r="DL47" i="56" s="1"/>
  <c r="BD14" i="3"/>
  <c r="BD436" i="3" s="1"/>
  <c r="BC46" i="56" s="1"/>
  <c r="AW14" i="3"/>
  <c r="AW437" i="3" s="1"/>
  <c r="AV47" i="56" s="1"/>
  <c r="AP14" i="3"/>
  <c r="AP437" i="3" s="1"/>
  <c r="AO47" i="56" s="1"/>
  <c r="AH14" i="3"/>
  <c r="AH437" i="3" s="1"/>
  <c r="AG47" i="56" s="1"/>
  <c r="DA14" i="56"/>
  <c r="DX14" i="56"/>
  <c r="DP14" i="56"/>
  <c r="DH14" i="56"/>
  <c r="CZ14" i="56"/>
  <c r="CR14" i="56"/>
  <c r="CJ14" i="56"/>
  <c r="CB14" i="56"/>
  <c r="BT14" i="56"/>
  <c r="BL14" i="56"/>
  <c r="BD14" i="56"/>
  <c r="AV14" i="56"/>
  <c r="AN14" i="56"/>
  <c r="AF14" i="56"/>
  <c r="X14" i="56"/>
  <c r="P14" i="56"/>
  <c r="H14" i="56"/>
  <c r="DY14" i="3"/>
  <c r="DR14" i="3"/>
  <c r="DK14" i="3"/>
  <c r="DK437" i="3" s="1"/>
  <c r="DJ47" i="56" s="1"/>
  <c r="CY14" i="3"/>
  <c r="CQ14" i="3"/>
  <c r="CQ437" i="3" s="1"/>
  <c r="CP47" i="56" s="1"/>
  <c r="CJ14" i="3"/>
  <c r="CC14" i="3"/>
  <c r="CC437" i="3" s="1"/>
  <c r="CB47" i="56" s="1"/>
  <c r="BN14" i="3"/>
  <c r="BN437" i="3" s="1"/>
  <c r="BM47" i="56" s="1"/>
  <c r="BC14" i="3"/>
  <c r="BC437" i="3" s="1"/>
  <c r="BB47" i="56" s="1"/>
  <c r="AV14" i="3"/>
  <c r="AV437" i="3" s="1"/>
  <c r="AU47" i="56" s="1"/>
  <c r="AO14" i="3"/>
  <c r="AG14" i="3"/>
  <c r="AG437" i="3" s="1"/>
  <c r="AF47" i="56" s="1"/>
  <c r="AX14" i="3"/>
  <c r="DI14" i="56"/>
  <c r="BU14" i="56"/>
  <c r="AO14" i="56"/>
  <c r="Q14" i="56"/>
  <c r="CD14" i="3"/>
  <c r="CD437" i="3" s="1"/>
  <c r="CC47" i="56" s="1"/>
  <c r="AU14" i="56"/>
  <c r="AM14" i="56"/>
  <c r="AE14" i="56"/>
  <c r="W14" i="56"/>
  <c r="O14" i="56"/>
  <c r="T79" i="2"/>
  <c r="U79" i="2" s="1"/>
  <c r="V79" i="2" s="1"/>
  <c r="DX14" i="3"/>
  <c r="DQ14" i="3"/>
  <c r="DQ437" i="3" s="1"/>
  <c r="DP47" i="56" s="1"/>
  <c r="DJ14" i="3"/>
  <c r="DJ437" i="3" s="1"/>
  <c r="DI47" i="56" s="1"/>
  <c r="DE14" i="3"/>
  <c r="CX14" i="3"/>
  <c r="CX437" i="3" s="1"/>
  <c r="CW47" i="56" s="1"/>
  <c r="CP14" i="3"/>
  <c r="BX14" i="3"/>
  <c r="BQ14" i="3"/>
  <c r="BM14" i="3"/>
  <c r="BM436" i="3" s="1"/>
  <c r="BL46" i="56" s="1"/>
  <c r="BI14" i="3"/>
  <c r="BB14" i="3"/>
  <c r="BB437" i="3" s="1"/>
  <c r="BA47" i="56" s="1"/>
  <c r="AU14" i="3"/>
  <c r="AU437" i="3" s="1"/>
  <c r="AT47" i="56" s="1"/>
  <c r="AN14" i="3"/>
  <c r="AN437" i="3" s="1"/>
  <c r="AM47" i="56" s="1"/>
  <c r="X14" i="3"/>
  <c r="X436" i="3" s="1"/>
  <c r="W46" i="56" s="1"/>
  <c r="BE14" i="3"/>
  <c r="BE437" i="3" s="1"/>
  <c r="BD47" i="56" s="1"/>
  <c r="DQ14" i="56"/>
  <c r="CC14" i="56"/>
  <c r="BE14" i="56"/>
  <c r="Y14" i="56"/>
  <c r="DL14" i="3"/>
  <c r="CK14" i="3"/>
  <c r="CK437" i="3" s="1"/>
  <c r="CJ47" i="56" s="1"/>
  <c r="DG14" i="56"/>
  <c r="CA14" i="56"/>
  <c r="DN14" i="56"/>
  <c r="CH14" i="56"/>
  <c r="BJ14" i="56"/>
  <c r="AD14" i="56"/>
  <c r="DW14" i="3"/>
  <c r="DW437" i="3" s="1"/>
  <c r="DV47" i="56" s="1"/>
  <c r="DP14" i="3"/>
  <c r="DI14" i="3"/>
  <c r="DI437" i="3" s="1"/>
  <c r="DH47" i="56" s="1"/>
  <c r="CW14" i="3"/>
  <c r="CO14" i="3"/>
  <c r="CO437" i="3" s="1"/>
  <c r="CN47" i="56" s="1"/>
  <c r="CI14" i="3"/>
  <c r="CB14" i="3"/>
  <c r="BW14" i="3"/>
  <c r="BL14" i="3"/>
  <c r="BL437" i="3" s="1"/>
  <c r="BK47" i="56" s="1"/>
  <c r="BH14" i="3"/>
  <c r="BH437" i="3" s="1"/>
  <c r="BG47" i="56" s="1"/>
  <c r="BA14" i="3"/>
  <c r="BA437" i="3" s="1"/>
  <c r="AZ47" i="56" s="1"/>
  <c r="AM14" i="3"/>
  <c r="AM437" i="3" s="1"/>
  <c r="AL47" i="56" s="1"/>
  <c r="V14" i="3"/>
  <c r="V436" i="3" s="1"/>
  <c r="U46" i="56" s="1"/>
  <c r="BJ14" i="3"/>
  <c r="BJ437" i="3" s="1"/>
  <c r="BI47" i="56" s="1"/>
  <c r="AQ14" i="3"/>
  <c r="AQ437" i="3" s="1"/>
  <c r="AP47" i="56" s="1"/>
  <c r="CS14" i="56"/>
  <c r="BM14" i="56"/>
  <c r="AG14" i="56"/>
  <c r="DF14" i="3"/>
  <c r="CR14" i="3"/>
  <c r="BY14" i="3"/>
  <c r="BR14" i="3"/>
  <c r="BR437" i="3" s="1"/>
  <c r="BQ47" i="56" s="1"/>
  <c r="BG416" i="3"/>
  <c r="BF28" i="56" s="1"/>
  <c r="DO14" i="56"/>
  <c r="CI14" i="56"/>
  <c r="BK14" i="56"/>
  <c r="CX14" i="56"/>
  <c r="BR14" i="56"/>
  <c r="AT14" i="56"/>
  <c r="V14" i="56"/>
  <c r="DM14" i="56"/>
  <c r="CO14" i="56"/>
  <c r="BQ14" i="56"/>
  <c r="AS14" i="56"/>
  <c r="DV14" i="3"/>
  <c r="DO14" i="3"/>
  <c r="DO437" i="3" s="1"/>
  <c r="DN47" i="56" s="1"/>
  <c r="DD14" i="3"/>
  <c r="CV14" i="3"/>
  <c r="CV437" i="3" s="1"/>
  <c r="CU47" i="56" s="1"/>
  <c r="CN14" i="3"/>
  <c r="CH14" i="3"/>
  <c r="BV14" i="3"/>
  <c r="BV437" i="3" s="1"/>
  <c r="BU47" i="56" s="1"/>
  <c r="BP14" i="3"/>
  <c r="AZ14" i="3"/>
  <c r="AZ437" i="3" s="1"/>
  <c r="AY47" i="56" s="1"/>
  <c r="AT14" i="3"/>
  <c r="AL14" i="3"/>
  <c r="AL437" i="3" s="1"/>
  <c r="AK47" i="56" s="1"/>
  <c r="O14" i="3"/>
  <c r="O437" i="3" s="1"/>
  <c r="N47" i="56" s="1"/>
  <c r="AI14" i="3"/>
  <c r="AI437" i="3" s="1"/>
  <c r="AH47" i="56" s="1"/>
  <c r="DW14" i="56"/>
  <c r="CQ14" i="56"/>
  <c r="BS14" i="56"/>
  <c r="DV14" i="56"/>
  <c r="CP14" i="56"/>
  <c r="AL14" i="56"/>
  <c r="DE14" i="56"/>
  <c r="CG14" i="56"/>
  <c r="BI14" i="56"/>
  <c r="AK14" i="56"/>
  <c r="M14" i="56"/>
  <c r="DT14" i="56"/>
  <c r="DL14" i="56"/>
  <c r="DD14" i="56"/>
  <c r="CV14" i="56"/>
  <c r="CN14" i="56"/>
  <c r="CF14" i="56"/>
  <c r="BX14" i="56"/>
  <c r="BP14" i="56"/>
  <c r="BH14" i="56"/>
  <c r="AZ14" i="56"/>
  <c r="AR14" i="56"/>
  <c r="AJ14" i="56"/>
  <c r="AB14" i="56"/>
  <c r="T14" i="56"/>
  <c r="L14" i="56"/>
  <c r="DU14" i="3"/>
  <c r="DU417" i="3" s="1"/>
  <c r="DT29" i="56" s="1"/>
  <c r="DN14" i="3"/>
  <c r="DH14" i="3"/>
  <c r="DC14" i="3"/>
  <c r="CU14" i="3"/>
  <c r="CM14" i="3"/>
  <c r="CG14" i="3"/>
  <c r="CG437" i="3" s="1"/>
  <c r="CF47" i="56" s="1"/>
  <c r="CA14" i="3"/>
  <c r="BU14" i="3"/>
  <c r="BU437" i="3" s="1"/>
  <c r="BT47" i="56" s="1"/>
  <c r="BO14" i="3"/>
  <c r="BO417" i="3" s="1"/>
  <c r="BN29" i="56" s="1"/>
  <c r="T80" i="2"/>
  <c r="T66" i="2"/>
  <c r="AY14" i="3"/>
  <c r="AY437" i="3" s="1"/>
  <c r="AX47" i="56" s="1"/>
  <c r="AS14" i="3"/>
  <c r="AS437" i="3" s="1"/>
  <c r="AR47" i="56" s="1"/>
  <c r="AK14" i="3"/>
  <c r="AK437" i="3" s="1"/>
  <c r="AJ47" i="56" s="1"/>
  <c r="M14" i="3"/>
  <c r="M436" i="3" s="1"/>
  <c r="L46" i="56" s="1"/>
  <c r="CK14" i="56"/>
  <c r="AW14" i="56"/>
  <c r="I14" i="56"/>
  <c r="CZ14" i="3"/>
  <c r="CY14" i="56"/>
  <c r="BC14" i="56"/>
  <c r="DF14" i="56"/>
  <c r="BZ14" i="56"/>
  <c r="BB14" i="56"/>
  <c r="N14" i="56"/>
  <c r="DU14" i="56"/>
  <c r="CW14" i="56"/>
  <c r="BY14" i="56"/>
  <c r="BA14" i="56"/>
  <c r="AC14" i="56"/>
  <c r="U14" i="56"/>
  <c r="DS14" i="56"/>
  <c r="DK14" i="56"/>
  <c r="DC14" i="56"/>
  <c r="CU14" i="56"/>
  <c r="CM14" i="56"/>
  <c r="CE14" i="56"/>
  <c r="BW14" i="56"/>
  <c r="BO14" i="56"/>
  <c r="BG14" i="56"/>
  <c r="AY14" i="56"/>
  <c r="AQ14" i="56"/>
  <c r="AI14" i="56"/>
  <c r="AA14" i="56"/>
  <c r="S14" i="56"/>
  <c r="K14" i="56"/>
  <c r="DT14" i="3"/>
  <c r="DB14" i="3"/>
  <c r="DB437" i="3" s="1"/>
  <c r="DA47" i="56" s="1"/>
  <c r="CT14" i="3"/>
  <c r="CF14" i="3"/>
  <c r="BZ14" i="3"/>
  <c r="BT14" i="3"/>
  <c r="T67" i="2"/>
  <c r="BK14" i="3"/>
  <c r="BF14" i="3"/>
  <c r="AR14" i="3"/>
  <c r="AR437" i="3" s="1"/>
  <c r="AQ47" i="56" s="1"/>
  <c r="AJ14" i="3"/>
  <c r="J14" i="3"/>
  <c r="J437" i="3" s="1"/>
  <c r="I47" i="56" s="1"/>
  <c r="CS417" i="3"/>
  <c r="CR29" i="56" s="1"/>
  <c r="T14" i="3"/>
  <c r="R14" i="3"/>
  <c r="E401" i="3"/>
  <c r="I401" i="3" s="1"/>
  <c r="AE14" i="3"/>
  <c r="AC14" i="3"/>
  <c r="AA14" i="3"/>
  <c r="P14" i="3"/>
  <c r="L14" i="3"/>
  <c r="Y14" i="3"/>
  <c r="W14" i="3"/>
  <c r="N14" i="3"/>
  <c r="U14" i="3"/>
  <c r="K14" i="3"/>
  <c r="K437" i="3" s="1"/>
  <c r="J47" i="56" s="1"/>
  <c r="E360" i="3"/>
  <c r="S14" i="3"/>
  <c r="AF14" i="3"/>
  <c r="AF436" i="3" s="1"/>
  <c r="AD14" i="3"/>
  <c r="AD437" i="3" s="1"/>
  <c r="AC47" i="56" s="1"/>
  <c r="AB14" i="3"/>
  <c r="AB436" i="3" s="1"/>
  <c r="Z14" i="3"/>
  <c r="Z437" i="3" s="1"/>
  <c r="Y47" i="56" s="1"/>
  <c r="Q14" i="3"/>
  <c r="I14" i="3"/>
  <c r="Q49" i="2"/>
  <c r="Q55" i="2"/>
  <c r="Q31" i="2"/>
  <c r="I346" i="3"/>
  <c r="E355" i="3"/>
  <c r="DS417" i="3" l="1"/>
  <c r="DR29" i="56" s="1"/>
  <c r="BQ96" i="3"/>
  <c r="BP96" i="3"/>
  <c r="BR96" i="3"/>
  <c r="BS96" i="3"/>
  <c r="DI417" i="3"/>
  <c r="DH29" i="56" s="1"/>
  <c r="CV417" i="3"/>
  <c r="CU29" i="56" s="1"/>
  <c r="BG437" i="3"/>
  <c r="BF47" i="56" s="1"/>
  <c r="BG436" i="3"/>
  <c r="BF46" i="56" s="1"/>
  <c r="DM417" i="3"/>
  <c r="DL29" i="56" s="1"/>
  <c r="CK417" i="3"/>
  <c r="CJ29" i="56" s="1"/>
  <c r="CG417" i="3"/>
  <c r="CF29" i="56" s="1"/>
  <c r="CQ417" i="3"/>
  <c r="CP29" i="56" s="1"/>
  <c r="CX417" i="3"/>
  <c r="CW29" i="56" s="1"/>
  <c r="DW417" i="3"/>
  <c r="DV29" i="56" s="1"/>
  <c r="CL417" i="3"/>
  <c r="CK29" i="56" s="1"/>
  <c r="DA417" i="3"/>
  <c r="CZ29" i="56" s="1"/>
  <c r="CC417" i="3"/>
  <c r="CB29" i="56" s="1"/>
  <c r="BU417" i="3"/>
  <c r="BT29" i="56" s="1"/>
  <c r="BO437" i="3"/>
  <c r="BN47" i="56" s="1"/>
  <c r="DQ417" i="3"/>
  <c r="DP29" i="56" s="1"/>
  <c r="CD417" i="3"/>
  <c r="CC29" i="56" s="1"/>
  <c r="G14" i="56"/>
  <c r="BR417" i="3"/>
  <c r="BQ29" i="56" s="1"/>
  <c r="DO417" i="3"/>
  <c r="DN29" i="56" s="1"/>
  <c r="CE417" i="3"/>
  <c r="CD29" i="56" s="1"/>
  <c r="BV417" i="3"/>
  <c r="BU29" i="56" s="1"/>
  <c r="CO417" i="3"/>
  <c r="CN29" i="56" s="1"/>
  <c r="BS437" i="3"/>
  <c r="BR47" i="56" s="1"/>
  <c r="BS417" i="3"/>
  <c r="BR29" i="56" s="1"/>
  <c r="DG437" i="3"/>
  <c r="DF47" i="56" s="1"/>
  <c r="DG417" i="3"/>
  <c r="DF29" i="56" s="1"/>
  <c r="CT437" i="3"/>
  <c r="CS47" i="56" s="1"/>
  <c r="CT417" i="3"/>
  <c r="CS29" i="56" s="1"/>
  <c r="DU437" i="3"/>
  <c r="DT47" i="56" s="1"/>
  <c r="AR436" i="3"/>
  <c r="AQ46" i="56" s="1"/>
  <c r="AR416" i="3"/>
  <c r="AQ28" i="56" s="1"/>
  <c r="AR417" i="3"/>
  <c r="AQ29" i="56" s="1"/>
  <c r="DH417" i="3"/>
  <c r="DG29" i="56" s="1"/>
  <c r="DH437" i="3"/>
  <c r="DG47" i="56" s="1"/>
  <c r="AT436" i="3"/>
  <c r="AS46" i="56" s="1"/>
  <c r="AT417" i="3"/>
  <c r="AS29" i="56" s="1"/>
  <c r="AT437" i="3"/>
  <c r="AS47" i="56" s="1"/>
  <c r="AT416" i="3"/>
  <c r="AS28" i="56" s="1"/>
  <c r="AQ436" i="3"/>
  <c r="AP46" i="56" s="1"/>
  <c r="AQ417" i="3"/>
  <c r="AP29" i="56" s="1"/>
  <c r="AQ416" i="3"/>
  <c r="AP28" i="56" s="1"/>
  <c r="CB417" i="3"/>
  <c r="CA29" i="56" s="1"/>
  <c r="CB437" i="3"/>
  <c r="CA47" i="56" s="1"/>
  <c r="BI416" i="3"/>
  <c r="BH28" i="56" s="1"/>
  <c r="BI436" i="3"/>
  <c r="BH46" i="56" s="1"/>
  <c r="BI417" i="3"/>
  <c r="BH29" i="56" s="1"/>
  <c r="BI437" i="3"/>
  <c r="BH47" i="56" s="1"/>
  <c r="AV436" i="3"/>
  <c r="AU46" i="56" s="1"/>
  <c r="AV416" i="3"/>
  <c r="AU28" i="56" s="1"/>
  <c r="AV417" i="3"/>
  <c r="AU29" i="56" s="1"/>
  <c r="DR437" i="3"/>
  <c r="DQ47" i="56" s="1"/>
  <c r="DR417" i="3"/>
  <c r="DQ29" i="56" s="1"/>
  <c r="BF436" i="3"/>
  <c r="BE46" i="56" s="1"/>
  <c r="BF437" i="3"/>
  <c r="BE47" i="56" s="1"/>
  <c r="BF416" i="3"/>
  <c r="BE28" i="56" s="1"/>
  <c r="BF417" i="3"/>
  <c r="BE29" i="56" s="1"/>
  <c r="DT437" i="3"/>
  <c r="DS47" i="56" s="1"/>
  <c r="DT417" i="3"/>
  <c r="DS29" i="56" s="1"/>
  <c r="DN437" i="3"/>
  <c r="DM47" i="56" s="1"/>
  <c r="DN417" i="3"/>
  <c r="DM29" i="56" s="1"/>
  <c r="AZ436" i="3"/>
  <c r="AY46" i="56" s="1"/>
  <c r="AZ417" i="3"/>
  <c r="AY29" i="56" s="1"/>
  <c r="AZ416" i="3"/>
  <c r="AY28" i="56" s="1"/>
  <c r="DV437" i="3"/>
  <c r="DU47" i="56" s="1"/>
  <c r="DV417" i="3"/>
  <c r="DU29" i="56" s="1"/>
  <c r="BY417" i="3"/>
  <c r="BX29" i="56" s="1"/>
  <c r="BY437" i="3"/>
  <c r="BX47" i="56" s="1"/>
  <c r="BJ436" i="3"/>
  <c r="BI46" i="56" s="1"/>
  <c r="BJ417" i="3"/>
  <c r="BI29" i="56" s="1"/>
  <c r="BJ416" i="3"/>
  <c r="BI28" i="56" s="1"/>
  <c r="CI417" i="3"/>
  <c r="CH29" i="56" s="1"/>
  <c r="CI437" i="3"/>
  <c r="CH47" i="56" s="1"/>
  <c r="BM437" i="3"/>
  <c r="BL47" i="56" s="1"/>
  <c r="BM416" i="3"/>
  <c r="BL28" i="56" s="1"/>
  <c r="BM417" i="3"/>
  <c r="BL29" i="56" s="1"/>
  <c r="DX437" i="3"/>
  <c r="DW47" i="56" s="1"/>
  <c r="DX417" i="3"/>
  <c r="DW29" i="56" s="1"/>
  <c r="BC436" i="3"/>
  <c r="BB46" i="56" s="1"/>
  <c r="BC417" i="3"/>
  <c r="BB29" i="56" s="1"/>
  <c r="BC416" i="3"/>
  <c r="BB28" i="56" s="1"/>
  <c r="DY437" i="3"/>
  <c r="DX47" i="56" s="1"/>
  <c r="DY417" i="3"/>
  <c r="DX29" i="56" s="1"/>
  <c r="BK436" i="3"/>
  <c r="BJ46" i="56" s="1"/>
  <c r="BK437" i="3"/>
  <c r="BJ47" i="56" s="1"/>
  <c r="BK416" i="3"/>
  <c r="BJ28" i="56" s="1"/>
  <c r="BK417" i="3"/>
  <c r="BJ29" i="56" s="1"/>
  <c r="BP417" i="3"/>
  <c r="BO29" i="56" s="1"/>
  <c r="BP437" i="3"/>
  <c r="BO47" i="56" s="1"/>
  <c r="CR437" i="3"/>
  <c r="CQ47" i="56" s="1"/>
  <c r="CR417" i="3"/>
  <c r="CQ29" i="56" s="1"/>
  <c r="V437" i="3"/>
  <c r="U47" i="56" s="1"/>
  <c r="V417" i="3"/>
  <c r="U29" i="56" s="1"/>
  <c r="V416" i="3"/>
  <c r="U28" i="56" s="1"/>
  <c r="BQ417" i="3"/>
  <c r="BP29" i="56" s="1"/>
  <c r="BQ437" i="3"/>
  <c r="BP47" i="56" s="1"/>
  <c r="BN436" i="3"/>
  <c r="BM46" i="56" s="1"/>
  <c r="BN417" i="3"/>
  <c r="BM29" i="56" s="1"/>
  <c r="BN416" i="3"/>
  <c r="BM28" i="56" s="1"/>
  <c r="AJ436" i="3"/>
  <c r="AI46" i="56" s="1"/>
  <c r="AJ416" i="3"/>
  <c r="AI28" i="56" s="1"/>
  <c r="AJ417" i="3"/>
  <c r="AI29" i="56" s="1"/>
  <c r="AL436" i="3"/>
  <c r="AK46" i="56" s="1"/>
  <c r="AL416" i="3"/>
  <c r="AK28" i="56" s="1"/>
  <c r="AL417" i="3"/>
  <c r="AK29" i="56" s="1"/>
  <c r="BW437" i="3"/>
  <c r="BV47" i="56" s="1"/>
  <c r="BW417" i="3"/>
  <c r="BV29" i="56" s="1"/>
  <c r="BB436" i="3"/>
  <c r="BA46" i="56" s="1"/>
  <c r="BB416" i="3"/>
  <c r="BA28" i="56" s="1"/>
  <c r="BB417" i="3"/>
  <c r="BA29" i="56" s="1"/>
  <c r="AO436" i="3"/>
  <c r="AN46" i="56" s="1"/>
  <c r="AO416" i="3"/>
  <c r="AN28" i="56" s="1"/>
  <c r="AO417" i="3"/>
  <c r="AN29" i="56" s="1"/>
  <c r="M437" i="3"/>
  <c r="L47" i="56" s="1"/>
  <c r="M416" i="3"/>
  <c r="L28" i="56" s="1"/>
  <c r="M417" i="3"/>
  <c r="L29" i="56" s="1"/>
  <c r="CA437" i="3"/>
  <c r="BZ47" i="56" s="1"/>
  <c r="CA417" i="3"/>
  <c r="BZ29" i="56" s="1"/>
  <c r="DF437" i="3"/>
  <c r="DE47" i="56" s="1"/>
  <c r="DF417" i="3"/>
  <c r="DE29" i="56" s="1"/>
  <c r="AM436" i="3"/>
  <c r="AL46" i="56" s="1"/>
  <c r="AM416" i="3"/>
  <c r="AL28" i="56" s="1"/>
  <c r="AM417" i="3"/>
  <c r="AL29" i="56" s="1"/>
  <c r="CW437" i="3"/>
  <c r="CV47" i="56" s="1"/>
  <c r="CW417" i="3"/>
  <c r="CV29" i="56" s="1"/>
  <c r="BE436" i="3"/>
  <c r="BD46" i="56" s="1"/>
  <c r="BE416" i="3"/>
  <c r="BD28" i="56" s="1"/>
  <c r="BE417" i="3"/>
  <c r="BD29" i="56" s="1"/>
  <c r="BX417" i="3"/>
  <c r="BW29" i="56" s="1"/>
  <c r="BX437" i="3"/>
  <c r="BW47" i="56" s="1"/>
  <c r="AH436" i="3"/>
  <c r="AG46" i="56" s="1"/>
  <c r="AH417" i="3"/>
  <c r="AG29" i="56" s="1"/>
  <c r="AH416" i="3"/>
  <c r="AG28" i="56" s="1"/>
  <c r="AO437" i="3"/>
  <c r="AN47" i="56" s="1"/>
  <c r="DB417" i="3"/>
  <c r="DA29" i="56" s="1"/>
  <c r="DJ417" i="3"/>
  <c r="DI29" i="56" s="1"/>
  <c r="BT437" i="3"/>
  <c r="BS47" i="56" s="1"/>
  <c r="BT417" i="3"/>
  <c r="BS29" i="56" s="1"/>
  <c r="AK436" i="3"/>
  <c r="AJ46" i="56" s="1"/>
  <c r="AK417" i="3"/>
  <c r="AJ29" i="56" s="1"/>
  <c r="AK416" i="3"/>
  <c r="AJ28" i="56" s="1"/>
  <c r="CH437" i="3"/>
  <c r="CG47" i="56" s="1"/>
  <c r="CH417" i="3"/>
  <c r="CG29" i="56" s="1"/>
  <c r="BA436" i="3"/>
  <c r="AZ46" i="56" s="1"/>
  <c r="BA417" i="3"/>
  <c r="AZ29" i="56" s="1"/>
  <c r="BA416" i="3"/>
  <c r="AZ28" i="56" s="1"/>
  <c r="X437" i="3"/>
  <c r="W47" i="56" s="1"/>
  <c r="X416" i="3"/>
  <c r="W28" i="56" s="1"/>
  <c r="X417" i="3"/>
  <c r="W29" i="56" s="1"/>
  <c r="CP437" i="3"/>
  <c r="CO47" i="56" s="1"/>
  <c r="CP417" i="3"/>
  <c r="CO29" i="56" s="1"/>
  <c r="CJ437" i="3"/>
  <c r="CI47" i="56" s="1"/>
  <c r="CJ417" i="3"/>
  <c r="CI29" i="56" s="1"/>
  <c r="AP436" i="3"/>
  <c r="AO46" i="56" s="1"/>
  <c r="AP416" i="3"/>
  <c r="AO28" i="56" s="1"/>
  <c r="AP417" i="3"/>
  <c r="AO29" i="56" s="1"/>
  <c r="DC437" i="3"/>
  <c r="DB47" i="56" s="1"/>
  <c r="DC417" i="3"/>
  <c r="DB29" i="56" s="1"/>
  <c r="BZ437" i="3"/>
  <c r="BY47" i="56" s="1"/>
  <c r="BZ417" i="3"/>
  <c r="BY29" i="56" s="1"/>
  <c r="CZ437" i="3"/>
  <c r="CY47" i="56" s="1"/>
  <c r="CZ417" i="3"/>
  <c r="CY29" i="56" s="1"/>
  <c r="AS436" i="3"/>
  <c r="AR46" i="56" s="1"/>
  <c r="AS416" i="3"/>
  <c r="AR28" i="56" s="1"/>
  <c r="AS417" i="3"/>
  <c r="AR29" i="56" s="1"/>
  <c r="CM437" i="3"/>
  <c r="CL47" i="56" s="1"/>
  <c r="CM417" i="3"/>
  <c r="CL29" i="56" s="1"/>
  <c r="AI436" i="3"/>
  <c r="AH46" i="56" s="1"/>
  <c r="AI416" i="3"/>
  <c r="AH28" i="56" s="1"/>
  <c r="AI417" i="3"/>
  <c r="AH29" i="56" s="1"/>
  <c r="CN437" i="3"/>
  <c r="CM47" i="56" s="1"/>
  <c r="CN417" i="3"/>
  <c r="CM29" i="56" s="1"/>
  <c r="BH436" i="3"/>
  <c r="BG46" i="56" s="1"/>
  <c r="BH416" i="3"/>
  <c r="BG28" i="56" s="1"/>
  <c r="BH417" i="3"/>
  <c r="BG29" i="56" s="1"/>
  <c r="DP437" i="3"/>
  <c r="DO47" i="56" s="1"/>
  <c r="DP417" i="3"/>
  <c r="DO29" i="56" s="1"/>
  <c r="AN436" i="3"/>
  <c r="AM46" i="56" s="1"/>
  <c r="AN417" i="3"/>
  <c r="AM29" i="56" s="1"/>
  <c r="AN416" i="3"/>
  <c r="AM28" i="56" s="1"/>
  <c r="AX436" i="3"/>
  <c r="AW46" i="56" s="1"/>
  <c r="AX437" i="3"/>
  <c r="AW47" i="56" s="1"/>
  <c r="AX417" i="3"/>
  <c r="AW29" i="56" s="1"/>
  <c r="AX416" i="3"/>
  <c r="AW28" i="56" s="1"/>
  <c r="AW436" i="3"/>
  <c r="AV46" i="56" s="1"/>
  <c r="AW416" i="3"/>
  <c r="AV28" i="56" s="1"/>
  <c r="AW417" i="3"/>
  <c r="AV29" i="56" s="1"/>
  <c r="DD417" i="3"/>
  <c r="DC29" i="56" s="1"/>
  <c r="DD437" i="3"/>
  <c r="DC47" i="56" s="1"/>
  <c r="AJ437" i="3"/>
  <c r="AI47" i="56" s="1"/>
  <c r="DK417" i="3"/>
  <c r="DJ29" i="56" s="1"/>
  <c r="J436" i="3"/>
  <c r="I46" i="56" s="1"/>
  <c r="J416" i="3"/>
  <c r="I28" i="56" s="1"/>
  <c r="J417" i="3"/>
  <c r="I29" i="56" s="1"/>
  <c r="CF437" i="3"/>
  <c r="CE47" i="56" s="1"/>
  <c r="CF417" i="3"/>
  <c r="CE29" i="56" s="1"/>
  <c r="AY436" i="3"/>
  <c r="AX46" i="56" s="1"/>
  <c r="AY416" i="3"/>
  <c r="AX28" i="56" s="1"/>
  <c r="AY417" i="3"/>
  <c r="AX29" i="56" s="1"/>
  <c r="CU437" i="3"/>
  <c r="CT47" i="56" s="1"/>
  <c r="CU417" i="3"/>
  <c r="CT29" i="56" s="1"/>
  <c r="O436" i="3"/>
  <c r="N46" i="56" s="1"/>
  <c r="O417" i="3"/>
  <c r="N29" i="56" s="1"/>
  <c r="O416" i="3"/>
  <c r="N28" i="56" s="1"/>
  <c r="BL436" i="3"/>
  <c r="BK46" i="56" s="1"/>
  <c r="BL416" i="3"/>
  <c r="BK28" i="56" s="1"/>
  <c r="BL417" i="3"/>
  <c r="BK29" i="56" s="1"/>
  <c r="DL437" i="3"/>
  <c r="DK47" i="56" s="1"/>
  <c r="DL417" i="3"/>
  <c r="DK29" i="56" s="1"/>
  <c r="AU436" i="3"/>
  <c r="AT46" i="56" s="1"/>
  <c r="AU417" i="3"/>
  <c r="AT29" i="56" s="1"/>
  <c r="AU416" i="3"/>
  <c r="AT28" i="56" s="1"/>
  <c r="DE437" i="3"/>
  <c r="DD47" i="56" s="1"/>
  <c r="DE417" i="3"/>
  <c r="DD29" i="56" s="1"/>
  <c r="AG436" i="3"/>
  <c r="AF46" i="56" s="1"/>
  <c r="AG417" i="3"/>
  <c r="AF29" i="56" s="1"/>
  <c r="AG416" i="3"/>
  <c r="AF28" i="56" s="1"/>
  <c r="CY437" i="3"/>
  <c r="CX47" i="56" s="1"/>
  <c r="CY417" i="3"/>
  <c r="CX29" i="56" s="1"/>
  <c r="BD437" i="3"/>
  <c r="BC47" i="56" s="1"/>
  <c r="BD416" i="3"/>
  <c r="BC28" i="56" s="1"/>
  <c r="BD417" i="3"/>
  <c r="BC29" i="56" s="1"/>
  <c r="I436" i="3"/>
  <c r="H46" i="56" s="1"/>
  <c r="I437" i="3"/>
  <c r="H47" i="56" s="1"/>
  <c r="I416" i="3"/>
  <c r="H28" i="56" s="1"/>
  <c r="H14" i="3"/>
  <c r="I417" i="3"/>
  <c r="AF437" i="3"/>
  <c r="AE47" i="56" s="1"/>
  <c r="AF417" i="3"/>
  <c r="AE29" i="56" s="1"/>
  <c r="AF416" i="3"/>
  <c r="AE28" i="56" s="1"/>
  <c r="K436" i="3"/>
  <c r="J46" i="56" s="1"/>
  <c r="K416" i="3"/>
  <c r="J28" i="56" s="1"/>
  <c r="K417" i="3"/>
  <c r="J29" i="56" s="1"/>
  <c r="W416" i="3"/>
  <c r="V28" i="56" s="1"/>
  <c r="W436" i="3"/>
  <c r="V46" i="56" s="1"/>
  <c r="W417" i="3"/>
  <c r="V29" i="56" s="1"/>
  <c r="W437" i="3"/>
  <c r="V47" i="56" s="1"/>
  <c r="AC436" i="3"/>
  <c r="AB46" i="56" s="1"/>
  <c r="AC437" i="3"/>
  <c r="AB47" i="56" s="1"/>
  <c r="AC416" i="3"/>
  <c r="AB28" i="56" s="1"/>
  <c r="AC417" i="3"/>
  <c r="AB29" i="56" s="1"/>
  <c r="S436" i="3"/>
  <c r="R46" i="56" s="1"/>
  <c r="S416" i="3"/>
  <c r="R28" i="56" s="1"/>
  <c r="S437" i="3"/>
  <c r="R47" i="56" s="1"/>
  <c r="S417" i="3"/>
  <c r="R29" i="56" s="1"/>
  <c r="U416" i="3"/>
  <c r="T28" i="56" s="1"/>
  <c r="U436" i="3"/>
  <c r="T46" i="56" s="1"/>
  <c r="U437" i="3"/>
  <c r="T47" i="56" s="1"/>
  <c r="U417" i="3"/>
  <c r="T29" i="56" s="1"/>
  <c r="Y416" i="3"/>
  <c r="X28" i="56" s="1"/>
  <c r="Y417" i="3"/>
  <c r="X29" i="56" s="1"/>
  <c r="Y436" i="3"/>
  <c r="X46" i="56" s="1"/>
  <c r="Y437" i="3"/>
  <c r="X47" i="56" s="1"/>
  <c r="AE436" i="3"/>
  <c r="AD46" i="56" s="1"/>
  <c r="AE416" i="3"/>
  <c r="AD28" i="56" s="1"/>
  <c r="AE437" i="3"/>
  <c r="AD47" i="56" s="1"/>
  <c r="AE417" i="3"/>
  <c r="AD29" i="56" s="1"/>
  <c r="I442" i="3"/>
  <c r="H52" i="56" s="1"/>
  <c r="I402" i="3"/>
  <c r="J398" i="3" s="1"/>
  <c r="Q417" i="3"/>
  <c r="P29" i="56" s="1"/>
  <c r="Q436" i="3"/>
  <c r="P46" i="56" s="1"/>
  <c r="Q437" i="3"/>
  <c r="P47" i="56" s="1"/>
  <c r="Q416" i="3"/>
  <c r="P28" i="56" s="1"/>
  <c r="R437" i="3"/>
  <c r="Q47" i="56" s="1"/>
  <c r="R416" i="3"/>
  <c r="Q28" i="56" s="1"/>
  <c r="R436" i="3"/>
  <c r="Q46" i="56" s="1"/>
  <c r="R417" i="3"/>
  <c r="Q29" i="56" s="1"/>
  <c r="Z436" i="3"/>
  <c r="Y46" i="56" s="1"/>
  <c r="Z416" i="3"/>
  <c r="Y28" i="56" s="1"/>
  <c r="Z417" i="3"/>
  <c r="Y29" i="56" s="1"/>
  <c r="L436" i="3"/>
  <c r="K46" i="56" s="1"/>
  <c r="L437" i="3"/>
  <c r="K47" i="56" s="1"/>
  <c r="L416" i="3"/>
  <c r="K28" i="56" s="1"/>
  <c r="L417" i="3"/>
  <c r="K29" i="56" s="1"/>
  <c r="AB437" i="3"/>
  <c r="AA47" i="56" s="1"/>
  <c r="AB416" i="3"/>
  <c r="AA28" i="56" s="1"/>
  <c r="AB417" i="3"/>
  <c r="AA29" i="56" s="1"/>
  <c r="P437" i="3"/>
  <c r="O47" i="56" s="1"/>
  <c r="P416" i="3"/>
  <c r="O28" i="56" s="1"/>
  <c r="P436" i="3"/>
  <c r="O46" i="56" s="1"/>
  <c r="P417" i="3"/>
  <c r="O29" i="56" s="1"/>
  <c r="T437" i="3"/>
  <c r="S47" i="56" s="1"/>
  <c r="T416" i="3"/>
  <c r="S28" i="56" s="1"/>
  <c r="T436" i="3"/>
  <c r="S46" i="56" s="1"/>
  <c r="T417" i="3"/>
  <c r="S29" i="56" s="1"/>
  <c r="AD436" i="3"/>
  <c r="AC46" i="56" s="1"/>
  <c r="AD416" i="3"/>
  <c r="AC28" i="56" s="1"/>
  <c r="AD417" i="3"/>
  <c r="AC29" i="56" s="1"/>
  <c r="J360" i="3"/>
  <c r="J361" i="3" s="1"/>
  <c r="J362" i="3" s="1"/>
  <c r="T360" i="3"/>
  <c r="T361" i="3" s="1"/>
  <c r="T362" i="3" s="1"/>
  <c r="AS360" i="3"/>
  <c r="AZ360" i="3"/>
  <c r="BD360" i="3"/>
  <c r="BK360" i="3"/>
  <c r="BQ360" i="3"/>
  <c r="BQ361" i="3" s="1"/>
  <c r="BQ362" i="3" s="1"/>
  <c r="BW360" i="3"/>
  <c r="BW361" i="3" s="1"/>
  <c r="BW362" i="3" s="1"/>
  <c r="CI360" i="3"/>
  <c r="CU360" i="3"/>
  <c r="DE360" i="3"/>
  <c r="DE361" i="3" s="1"/>
  <c r="DE362" i="3" s="1"/>
  <c r="DL360" i="3"/>
  <c r="DL361" i="3" s="1"/>
  <c r="DL362" i="3" s="1"/>
  <c r="DY360" i="3"/>
  <c r="DY361" i="3" s="1"/>
  <c r="DY362" i="3" s="1"/>
  <c r="M360" i="3"/>
  <c r="V360" i="3"/>
  <c r="V361" i="3" s="1"/>
  <c r="V362" i="3" s="1"/>
  <c r="X360" i="3"/>
  <c r="X361" i="3" s="1"/>
  <c r="X362" i="3" s="1"/>
  <c r="Z360" i="3"/>
  <c r="AB360" i="3"/>
  <c r="AD360" i="3"/>
  <c r="AF360" i="3"/>
  <c r="AH360" i="3"/>
  <c r="AM360" i="3"/>
  <c r="AM361" i="3" s="1"/>
  <c r="AM362" i="3" s="1"/>
  <c r="AW360" i="3"/>
  <c r="BE360" i="3"/>
  <c r="BE361" i="3" s="1"/>
  <c r="BE362" i="3" s="1"/>
  <c r="BR360" i="3"/>
  <c r="BR361" i="3" s="1"/>
  <c r="BR362" i="3" s="1"/>
  <c r="BX360" i="3"/>
  <c r="CN360" i="3"/>
  <c r="CN361" i="3" s="1"/>
  <c r="CN362" i="3" s="1"/>
  <c r="CZ360" i="3"/>
  <c r="DF360" i="3"/>
  <c r="DF361" i="3" s="1"/>
  <c r="DF362" i="3" s="1"/>
  <c r="DS360" i="3"/>
  <c r="DS361" i="3" s="1"/>
  <c r="DS362" i="3" s="1"/>
  <c r="DS420" i="3" s="1"/>
  <c r="DR32" i="56" s="1"/>
  <c r="O360" i="3"/>
  <c r="AK360" i="3"/>
  <c r="AP360" i="3"/>
  <c r="BA360" i="3"/>
  <c r="BF360" i="3"/>
  <c r="BL360" i="3"/>
  <c r="BS360" i="3"/>
  <c r="BY360" i="3"/>
  <c r="BY361" i="3" s="1"/>
  <c r="BY362" i="3" s="1"/>
  <c r="CJ360" i="3"/>
  <c r="CO360" i="3"/>
  <c r="DA360" i="3"/>
  <c r="DA361" i="3" s="1"/>
  <c r="DA362" i="3" s="1"/>
  <c r="DA420" i="3" s="1"/>
  <c r="CZ32" i="56" s="1"/>
  <c r="DG360" i="3"/>
  <c r="DM360" i="3"/>
  <c r="DM361" i="3" s="1"/>
  <c r="DM362" i="3" s="1"/>
  <c r="DT360" i="3"/>
  <c r="DT361" i="3" s="1"/>
  <c r="DT362" i="3" s="1"/>
  <c r="I360" i="3"/>
  <c r="K360" i="3"/>
  <c r="Q360" i="3"/>
  <c r="AN360" i="3"/>
  <c r="AT360" i="3"/>
  <c r="CD360" i="3"/>
  <c r="BM360" i="3"/>
  <c r="BM361" i="3" s="1"/>
  <c r="BM362" i="3" s="1"/>
  <c r="BZ360" i="3"/>
  <c r="BZ361" i="3" s="1"/>
  <c r="BZ362" i="3" s="1"/>
  <c r="CE360" i="3"/>
  <c r="CK360" i="3"/>
  <c r="CP360" i="3"/>
  <c r="CP361" i="3" s="1"/>
  <c r="CP362" i="3" s="1"/>
  <c r="CV360" i="3"/>
  <c r="CV361" i="3" s="1"/>
  <c r="CV362" i="3" s="1"/>
  <c r="DB360" i="3"/>
  <c r="DB361" i="3" s="1"/>
  <c r="DB362" i="3" s="1"/>
  <c r="DN360" i="3"/>
  <c r="DN361" i="3" s="1"/>
  <c r="DN362" i="3" s="1"/>
  <c r="S360" i="3"/>
  <c r="AI360" i="3"/>
  <c r="AI361" i="3" s="1"/>
  <c r="AI362" i="3" s="1"/>
  <c r="AQ360" i="3"/>
  <c r="AQ361" i="3" s="1"/>
  <c r="AQ362" i="3" s="1"/>
  <c r="AX360" i="3"/>
  <c r="BG360" i="3"/>
  <c r="BG361" i="3" s="1"/>
  <c r="BG362" i="3" s="1"/>
  <c r="BN360" i="3"/>
  <c r="BN361" i="3" s="1"/>
  <c r="BN362" i="3" s="1"/>
  <c r="BT360" i="3"/>
  <c r="CA360" i="3"/>
  <c r="CF360" i="3"/>
  <c r="CF361" i="3" s="1"/>
  <c r="CF362" i="3" s="1"/>
  <c r="CL360" i="3"/>
  <c r="CL361" i="3" s="1"/>
  <c r="CL362" i="3" s="1"/>
  <c r="CQ360" i="3"/>
  <c r="DH360" i="3"/>
  <c r="DO360" i="3"/>
  <c r="DO361" i="3" s="1"/>
  <c r="DO362" i="3" s="1"/>
  <c r="DU360" i="3"/>
  <c r="DU361" i="3" s="1"/>
  <c r="DU362" i="3" s="1"/>
  <c r="N360" i="3"/>
  <c r="U360" i="3"/>
  <c r="AL360" i="3"/>
  <c r="AU360" i="3"/>
  <c r="AU361" i="3" s="1"/>
  <c r="AU362" i="3" s="1"/>
  <c r="BB360" i="3"/>
  <c r="BH360" i="3"/>
  <c r="BU360" i="3"/>
  <c r="BU361" i="3" s="1"/>
  <c r="BU362" i="3" s="1"/>
  <c r="CR360" i="3"/>
  <c r="CW360" i="3"/>
  <c r="CW361" i="3" s="1"/>
  <c r="CW362" i="3" s="1"/>
  <c r="DC360" i="3"/>
  <c r="DI360" i="3"/>
  <c r="DI361" i="3" s="1"/>
  <c r="DI362" i="3" s="1"/>
  <c r="DI420" i="3" s="1"/>
  <c r="DH32" i="56" s="1"/>
  <c r="DP360" i="3"/>
  <c r="DP361" i="3" s="1"/>
  <c r="DP362" i="3" s="1"/>
  <c r="DP440" i="3" s="1"/>
  <c r="DO50" i="56" s="1"/>
  <c r="DV360" i="3"/>
  <c r="DV361" i="3" s="1"/>
  <c r="DV362" i="3" s="1"/>
  <c r="L360" i="3"/>
  <c r="P360" i="3"/>
  <c r="P361" i="3" s="1"/>
  <c r="P362" i="3" s="1"/>
  <c r="W360" i="3"/>
  <c r="Y360" i="3"/>
  <c r="AG360" i="3"/>
  <c r="AJ360" i="3"/>
  <c r="AJ361" i="3" s="1"/>
  <c r="AJ362" i="3" s="1"/>
  <c r="AR360" i="3"/>
  <c r="AY360" i="3"/>
  <c r="AY361" i="3" s="1"/>
  <c r="AY362" i="3" s="1"/>
  <c r="BC360" i="3"/>
  <c r="BI360" i="3"/>
  <c r="BI361" i="3" s="1"/>
  <c r="BI362" i="3" s="1"/>
  <c r="BO360" i="3"/>
  <c r="BO361" i="3" s="1"/>
  <c r="BO362" i="3" s="1"/>
  <c r="BV360" i="3"/>
  <c r="BV361" i="3" s="1"/>
  <c r="BV362" i="3" s="1"/>
  <c r="CB360" i="3"/>
  <c r="CG360" i="3"/>
  <c r="CM360" i="3"/>
  <c r="CS360" i="3"/>
  <c r="CX360" i="3"/>
  <c r="CX361" i="3" s="1"/>
  <c r="CX362" i="3" s="1"/>
  <c r="DJ360" i="3"/>
  <c r="DJ361" i="3" s="1"/>
  <c r="DJ362" i="3" s="1"/>
  <c r="DQ360" i="3"/>
  <c r="DW360" i="3"/>
  <c r="DW361" i="3" s="1"/>
  <c r="DW362" i="3" s="1"/>
  <c r="BP360" i="3"/>
  <c r="R360" i="3"/>
  <c r="R361" i="3" s="1"/>
  <c r="R362" i="3" s="1"/>
  <c r="AA360" i="3"/>
  <c r="AC360" i="3"/>
  <c r="AC361" i="3" s="1"/>
  <c r="AC362" i="3" s="1"/>
  <c r="AC420" i="3" s="1"/>
  <c r="AB32" i="56" s="1"/>
  <c r="AE360" i="3"/>
  <c r="AO360" i="3"/>
  <c r="AV360" i="3"/>
  <c r="BJ360" i="3"/>
  <c r="BJ361" i="3" s="1"/>
  <c r="BJ362" i="3" s="1"/>
  <c r="CY360" i="3"/>
  <c r="DD360" i="3"/>
  <c r="DD361" i="3" s="1"/>
  <c r="DD362" i="3" s="1"/>
  <c r="DK360" i="3"/>
  <c r="DR360" i="3"/>
  <c r="CC360" i="3"/>
  <c r="CC361" i="3" s="1"/>
  <c r="CC362" i="3" s="1"/>
  <c r="DX360" i="3"/>
  <c r="CH360" i="3"/>
  <c r="CH361" i="3" s="1"/>
  <c r="CH362" i="3" s="1"/>
  <c r="CT360" i="3"/>
  <c r="CT361" i="3" s="1"/>
  <c r="CT362" i="3" s="1"/>
  <c r="N437" i="3"/>
  <c r="M47" i="56" s="1"/>
  <c r="N416" i="3"/>
  <c r="M28" i="56" s="1"/>
  <c r="N436" i="3"/>
  <c r="M46" i="56" s="1"/>
  <c r="N417" i="3"/>
  <c r="M29" i="56" s="1"/>
  <c r="AA416" i="3"/>
  <c r="Z28" i="56" s="1"/>
  <c r="AA417" i="3"/>
  <c r="Z29" i="56" s="1"/>
  <c r="AA436" i="3"/>
  <c r="Z46" i="56" s="1"/>
  <c r="AA437" i="3"/>
  <c r="Z47" i="56" s="1"/>
  <c r="P355" i="3"/>
  <c r="X355" i="3"/>
  <c r="AF355" i="3"/>
  <c r="AN355" i="3"/>
  <c r="AV355" i="3"/>
  <c r="K355" i="3"/>
  <c r="S355" i="3"/>
  <c r="AA355" i="3"/>
  <c r="AI355" i="3"/>
  <c r="AQ355" i="3"/>
  <c r="AY355" i="3"/>
  <c r="N355" i="3"/>
  <c r="V355" i="3"/>
  <c r="AD355" i="3"/>
  <c r="AL355" i="3"/>
  <c r="AT355" i="3"/>
  <c r="BB355" i="3"/>
  <c r="I355" i="3"/>
  <c r="Q355" i="3"/>
  <c r="Y355" i="3"/>
  <c r="AG355" i="3"/>
  <c r="AO355" i="3"/>
  <c r="AW355" i="3"/>
  <c r="L355" i="3"/>
  <c r="T355" i="3"/>
  <c r="AB355" i="3"/>
  <c r="AJ355" i="3"/>
  <c r="AR355" i="3"/>
  <c r="AZ355" i="3"/>
  <c r="O355" i="3"/>
  <c r="W355" i="3"/>
  <c r="AE355" i="3"/>
  <c r="AM355" i="3"/>
  <c r="AU355" i="3"/>
  <c r="J355" i="3"/>
  <c r="R355" i="3"/>
  <c r="Z355" i="3"/>
  <c r="AH355" i="3"/>
  <c r="AP355" i="3"/>
  <c r="AX355" i="3"/>
  <c r="M355" i="3"/>
  <c r="U355" i="3"/>
  <c r="AC355" i="3"/>
  <c r="AK355" i="3"/>
  <c r="AS355" i="3"/>
  <c r="BA355" i="3"/>
  <c r="I349" i="3"/>
  <c r="J339" i="3"/>
  <c r="J346" i="3" s="1"/>
  <c r="AA46" i="56"/>
  <c r="AE46" i="56"/>
  <c r="DA440" i="3" l="1"/>
  <c r="CZ50" i="56" s="1"/>
  <c r="AC440" i="3"/>
  <c r="AB50" i="56" s="1"/>
  <c r="BP141" i="3"/>
  <c r="DS440" i="3"/>
  <c r="DR50" i="56" s="1"/>
  <c r="DI440" i="3"/>
  <c r="DH50" i="56" s="1"/>
  <c r="DP420" i="3"/>
  <c r="DO32" i="56" s="1"/>
  <c r="BZ406" i="3"/>
  <c r="BZ70" i="3" s="1"/>
  <c r="H437" i="3"/>
  <c r="CH406" i="3"/>
  <c r="CH443" i="3" s="1"/>
  <c r="CG53" i="56" s="1"/>
  <c r="DX361" i="3"/>
  <c r="DX362" i="3" s="1"/>
  <c r="AO361" i="3"/>
  <c r="AO362" i="3" s="1"/>
  <c r="DJ440" i="3"/>
  <c r="DI50" i="56" s="1"/>
  <c r="DJ420" i="3"/>
  <c r="DI32" i="56" s="1"/>
  <c r="BI440" i="3"/>
  <c r="BH50" i="56" s="1"/>
  <c r="BI420" i="3"/>
  <c r="BH32" i="56" s="1"/>
  <c r="P440" i="3"/>
  <c r="O50" i="56" s="1"/>
  <c r="P420" i="3"/>
  <c r="O32" i="56" s="1"/>
  <c r="BU440" i="3"/>
  <c r="BT50" i="56" s="1"/>
  <c r="BU420" i="3"/>
  <c r="BT32" i="56" s="1"/>
  <c r="DO440" i="3"/>
  <c r="DN50" i="56" s="1"/>
  <c r="DO420" i="3"/>
  <c r="DN32" i="56" s="1"/>
  <c r="BG440" i="3"/>
  <c r="BF50" i="56" s="1"/>
  <c r="BG420" i="3"/>
  <c r="BF32" i="56" s="1"/>
  <c r="CP440" i="3"/>
  <c r="CO50" i="56" s="1"/>
  <c r="CP420" i="3"/>
  <c r="CO32" i="56" s="1"/>
  <c r="Q361" i="3"/>
  <c r="Q362" i="3" s="1"/>
  <c r="CJ361" i="3"/>
  <c r="CJ362" i="3" s="1"/>
  <c r="O361" i="3"/>
  <c r="O362" i="3" s="1"/>
  <c r="AW361" i="3"/>
  <c r="AW362" i="3" s="1"/>
  <c r="V440" i="3"/>
  <c r="U50" i="56" s="1"/>
  <c r="V420" i="3"/>
  <c r="U32" i="56" s="1"/>
  <c r="BQ440" i="3"/>
  <c r="BP50" i="56" s="1"/>
  <c r="BQ420" i="3"/>
  <c r="BP32" i="56" s="1"/>
  <c r="CC440" i="3"/>
  <c r="CB50" i="56" s="1"/>
  <c r="CC420" i="3"/>
  <c r="CB32" i="56" s="1"/>
  <c r="AE361" i="3"/>
  <c r="AE362" i="3" s="1"/>
  <c r="CX440" i="3"/>
  <c r="CW50" i="56" s="1"/>
  <c r="CX420" i="3"/>
  <c r="CW32" i="56" s="1"/>
  <c r="BC361" i="3"/>
  <c r="BC362" i="3" s="1"/>
  <c r="L361" i="3"/>
  <c r="L362" i="3" s="1"/>
  <c r="BH361" i="3"/>
  <c r="BH362" i="3" s="1"/>
  <c r="DH361" i="3"/>
  <c r="DH362" i="3" s="1"/>
  <c r="AX361" i="3"/>
  <c r="AX362" i="3" s="1"/>
  <c r="CK361" i="3"/>
  <c r="CK362" i="3" s="1"/>
  <c r="K361" i="3"/>
  <c r="K362" i="3" s="1"/>
  <c r="BY440" i="3"/>
  <c r="BX50" i="56" s="1"/>
  <c r="BY420" i="3"/>
  <c r="BX32" i="56" s="1"/>
  <c r="AM440" i="3"/>
  <c r="AL50" i="56" s="1"/>
  <c r="AM420" i="3"/>
  <c r="AL32" i="56" s="1"/>
  <c r="M361" i="3"/>
  <c r="M362" i="3" s="1"/>
  <c r="BK361" i="3"/>
  <c r="BK362" i="3" s="1"/>
  <c r="J401" i="3"/>
  <c r="J442" i="3" s="1"/>
  <c r="I52" i="56" s="1"/>
  <c r="DR361" i="3"/>
  <c r="DR362" i="3" s="1"/>
  <c r="CS361" i="3"/>
  <c r="CS362" i="3" s="1"/>
  <c r="AY440" i="3"/>
  <c r="AX50" i="56" s="1"/>
  <c r="AY420" i="3"/>
  <c r="AX32" i="56" s="1"/>
  <c r="DV440" i="3"/>
  <c r="DU50" i="56" s="1"/>
  <c r="DV420" i="3"/>
  <c r="DU32" i="56" s="1"/>
  <c r="BB361" i="3"/>
  <c r="BB362" i="3" s="1"/>
  <c r="CQ361" i="3"/>
  <c r="CQ362" i="3" s="1"/>
  <c r="AQ440" i="3"/>
  <c r="AP50" i="56" s="1"/>
  <c r="AQ420" i="3"/>
  <c r="AP32" i="56" s="1"/>
  <c r="CE361" i="3"/>
  <c r="CE362" i="3" s="1"/>
  <c r="I361" i="3"/>
  <c r="H360" i="3"/>
  <c r="BS361" i="3"/>
  <c r="BS362" i="3" s="1"/>
  <c r="DF440" i="3"/>
  <c r="DE50" i="56" s="1"/>
  <c r="DF420" i="3"/>
  <c r="DE32" i="56" s="1"/>
  <c r="AH361" i="3"/>
  <c r="AH362" i="3" s="1"/>
  <c r="DY440" i="3"/>
  <c r="DX50" i="56" s="1"/>
  <c r="DY420" i="3"/>
  <c r="DX32" i="56" s="1"/>
  <c r="BD361" i="3"/>
  <c r="BD362" i="3" s="1"/>
  <c r="H29" i="56"/>
  <c r="G29" i="56" s="1"/>
  <c r="H417" i="3"/>
  <c r="DK361" i="3"/>
  <c r="DK362" i="3" s="1"/>
  <c r="AA361" i="3"/>
  <c r="AA362" i="3" s="1"/>
  <c r="CM361" i="3"/>
  <c r="CM362" i="3" s="1"/>
  <c r="AR361" i="3"/>
  <c r="AR362" i="3" s="1"/>
  <c r="AU440" i="3"/>
  <c r="AT50" i="56" s="1"/>
  <c r="AU420" i="3"/>
  <c r="AT32" i="56" s="1"/>
  <c r="CL440" i="3"/>
  <c r="CK50" i="56" s="1"/>
  <c r="CL420" i="3"/>
  <c r="CK32" i="56" s="1"/>
  <c r="AI440" i="3"/>
  <c r="AH50" i="56" s="1"/>
  <c r="AI420" i="3"/>
  <c r="AH32" i="56" s="1"/>
  <c r="BZ440" i="3"/>
  <c r="BY50" i="56" s="1"/>
  <c r="BZ420" i="3"/>
  <c r="BY32" i="56" s="1"/>
  <c r="DT420" i="3"/>
  <c r="DS32" i="56" s="1"/>
  <c r="DT440" i="3"/>
  <c r="DS50" i="56" s="1"/>
  <c r="BL361" i="3"/>
  <c r="BL362" i="3" s="1"/>
  <c r="CZ361" i="3"/>
  <c r="CZ362" i="3" s="1"/>
  <c r="AF361" i="3"/>
  <c r="AF362" i="3" s="1"/>
  <c r="DL440" i="3"/>
  <c r="DK50" i="56" s="1"/>
  <c r="DL420" i="3"/>
  <c r="DK32" i="56" s="1"/>
  <c r="AZ361" i="3"/>
  <c r="AZ362" i="3" s="1"/>
  <c r="DD440" i="3"/>
  <c r="DC50" i="56" s="1"/>
  <c r="DD420" i="3"/>
  <c r="DC32" i="56" s="1"/>
  <c r="R440" i="3"/>
  <c r="Q50" i="56" s="1"/>
  <c r="R420" i="3"/>
  <c r="Q32" i="56" s="1"/>
  <c r="CG361" i="3"/>
  <c r="CG362" i="3" s="1"/>
  <c r="AJ440" i="3"/>
  <c r="AI50" i="56" s="1"/>
  <c r="AJ420" i="3"/>
  <c r="AI32" i="56" s="1"/>
  <c r="AL361" i="3"/>
  <c r="AL362" i="3" s="1"/>
  <c r="CF440" i="3"/>
  <c r="CE50" i="56" s="1"/>
  <c r="CF420" i="3"/>
  <c r="CE32" i="56" s="1"/>
  <c r="S361" i="3"/>
  <c r="S362" i="3" s="1"/>
  <c r="BM440" i="3"/>
  <c r="BL50" i="56" s="1"/>
  <c r="BM420" i="3"/>
  <c r="BL32" i="56" s="1"/>
  <c r="DM440" i="3"/>
  <c r="DL50" i="56" s="1"/>
  <c r="DM420" i="3"/>
  <c r="DL32" i="56" s="1"/>
  <c r="BF361" i="3"/>
  <c r="BF362" i="3" s="1"/>
  <c r="CN440" i="3"/>
  <c r="CM50" i="56" s="1"/>
  <c r="CN420" i="3"/>
  <c r="CM32" i="56" s="1"/>
  <c r="AD361" i="3"/>
  <c r="AD362" i="3" s="1"/>
  <c r="DE440" i="3"/>
  <c r="DD50" i="56" s="1"/>
  <c r="DE420" i="3"/>
  <c r="DD32" i="56" s="1"/>
  <c r="AS361" i="3"/>
  <c r="AS362" i="3" s="1"/>
  <c r="CY361" i="3"/>
  <c r="CY362" i="3" s="1"/>
  <c r="BP361" i="3"/>
  <c r="BP362" i="3" s="1"/>
  <c r="CB361" i="3"/>
  <c r="CB362" i="3" s="1"/>
  <c r="AG361" i="3"/>
  <c r="AG362" i="3" s="1"/>
  <c r="DC361" i="3"/>
  <c r="DC362" i="3" s="1"/>
  <c r="U361" i="3"/>
  <c r="U362" i="3" s="1"/>
  <c r="CA361" i="3"/>
  <c r="CA362" i="3" s="1"/>
  <c r="DN440" i="3"/>
  <c r="DM50" i="56" s="1"/>
  <c r="DN420" i="3"/>
  <c r="DM32" i="56" s="1"/>
  <c r="U80" i="2"/>
  <c r="CD361" i="3"/>
  <c r="CD362" i="3" s="1"/>
  <c r="DG361" i="3"/>
  <c r="DG362" i="3" s="1"/>
  <c r="BA361" i="3"/>
  <c r="BA362" i="3" s="1"/>
  <c r="BX361" i="3"/>
  <c r="BX362" i="3" s="1"/>
  <c r="AB361" i="3"/>
  <c r="AB362" i="3" s="1"/>
  <c r="CU361" i="3"/>
  <c r="CU362" i="3" s="1"/>
  <c r="T440" i="3"/>
  <c r="S50" i="56" s="1"/>
  <c r="T420" i="3"/>
  <c r="S32" i="56" s="1"/>
  <c r="CT440" i="3"/>
  <c r="CS50" i="56" s="1"/>
  <c r="CT420" i="3"/>
  <c r="CS32" i="56" s="1"/>
  <c r="BJ420" i="3"/>
  <c r="BI32" i="56" s="1"/>
  <c r="BJ440" i="3"/>
  <c r="BI50" i="56" s="1"/>
  <c r="DW420" i="3"/>
  <c r="DV32" i="56" s="1"/>
  <c r="DW440" i="3"/>
  <c r="DV50" i="56" s="1"/>
  <c r="BV440" i="3"/>
  <c r="BU50" i="56" s="1"/>
  <c r="BV420" i="3"/>
  <c r="BU32" i="56" s="1"/>
  <c r="Y361" i="3"/>
  <c r="Y362" i="3" s="1"/>
  <c r="CW440" i="3"/>
  <c r="CV50" i="56" s="1"/>
  <c r="CW420" i="3"/>
  <c r="CV32" i="56" s="1"/>
  <c r="N361" i="3"/>
  <c r="N362" i="3" s="1"/>
  <c r="BT361" i="3"/>
  <c r="BT362" i="3" s="1"/>
  <c r="DB440" i="3"/>
  <c r="DA50" i="56" s="1"/>
  <c r="DB420" i="3"/>
  <c r="DA32" i="56" s="1"/>
  <c r="AT361" i="3"/>
  <c r="AT362" i="3" s="1"/>
  <c r="AP361" i="3"/>
  <c r="AP362" i="3" s="1"/>
  <c r="BR440" i="3"/>
  <c r="BQ50" i="56" s="1"/>
  <c r="BR420" i="3"/>
  <c r="BQ32" i="56" s="1"/>
  <c r="Z361" i="3"/>
  <c r="Z362" i="3" s="1"/>
  <c r="CI361" i="3"/>
  <c r="CI362" i="3" s="1"/>
  <c r="J440" i="3"/>
  <c r="I50" i="56" s="1"/>
  <c r="J420" i="3"/>
  <c r="I32" i="56" s="1"/>
  <c r="G47" i="56"/>
  <c r="CH440" i="3"/>
  <c r="CG50" i="56" s="1"/>
  <c r="CH420" i="3"/>
  <c r="CG32" i="56" s="1"/>
  <c r="AV361" i="3"/>
  <c r="AV362" i="3" s="1"/>
  <c r="DQ361" i="3"/>
  <c r="DQ362" i="3" s="1"/>
  <c r="BO440" i="3"/>
  <c r="BN50" i="56" s="1"/>
  <c r="BO420" i="3"/>
  <c r="BN32" i="56" s="1"/>
  <c r="W361" i="3"/>
  <c r="W362" i="3" s="1"/>
  <c r="CR361" i="3"/>
  <c r="CR362" i="3" s="1"/>
  <c r="DU440" i="3"/>
  <c r="DT50" i="56" s="1"/>
  <c r="DU420" i="3"/>
  <c r="DT32" i="56" s="1"/>
  <c r="BN440" i="3"/>
  <c r="BM50" i="56" s="1"/>
  <c r="BN420" i="3"/>
  <c r="BM32" i="56" s="1"/>
  <c r="CV440" i="3"/>
  <c r="CU50" i="56" s="1"/>
  <c r="CV420" i="3"/>
  <c r="CU32" i="56" s="1"/>
  <c r="AN361" i="3"/>
  <c r="AN362" i="3" s="1"/>
  <c r="CO361" i="3"/>
  <c r="CO362" i="3" s="1"/>
  <c r="AK361" i="3"/>
  <c r="AK362" i="3" s="1"/>
  <c r="BE440" i="3"/>
  <c r="BD50" i="56" s="1"/>
  <c r="BE420" i="3"/>
  <c r="BD32" i="56" s="1"/>
  <c r="X440" i="3"/>
  <c r="W50" i="56" s="1"/>
  <c r="X420" i="3"/>
  <c r="W32" i="56" s="1"/>
  <c r="BW420" i="3"/>
  <c r="BV32" i="56" s="1"/>
  <c r="BW440" i="3"/>
  <c r="BV50" i="56" s="1"/>
  <c r="DR406" i="3"/>
  <c r="DL406" i="3"/>
  <c r="CR406" i="3"/>
  <c r="CY406" i="3"/>
  <c r="CI406" i="3"/>
  <c r="CD406" i="3"/>
  <c r="AP356" i="3"/>
  <c r="AP357" i="3" s="1"/>
  <c r="W356" i="3"/>
  <c r="W357" i="3" s="1"/>
  <c r="AW356" i="3"/>
  <c r="AW357" i="3" s="1"/>
  <c r="AL356" i="3"/>
  <c r="AL357" i="3" s="1"/>
  <c r="S356" i="3"/>
  <c r="S357" i="3" s="1"/>
  <c r="DV406" i="3"/>
  <c r="DB406" i="3"/>
  <c r="DM406" i="3"/>
  <c r="DP406" i="3"/>
  <c r="CV406" i="3"/>
  <c r="CC406" i="3"/>
  <c r="CO406" i="3"/>
  <c r="BY406" i="3"/>
  <c r="CJ406" i="3"/>
  <c r="BT406" i="3"/>
  <c r="CM406" i="3"/>
  <c r="BW406" i="3"/>
  <c r="BR406" i="3"/>
  <c r="DG406" i="3"/>
  <c r="BA356" i="3"/>
  <c r="BA357" i="3" s="1"/>
  <c r="AH356" i="3"/>
  <c r="AH357" i="3" s="1"/>
  <c r="O356" i="3"/>
  <c r="O357" i="3" s="1"/>
  <c r="AO356" i="3"/>
  <c r="AO357" i="3" s="1"/>
  <c r="AD356" i="3"/>
  <c r="AD357" i="3" s="1"/>
  <c r="K356" i="3"/>
  <c r="K357" i="3" s="1"/>
  <c r="DX406" i="3"/>
  <c r="DQ406" i="3"/>
  <c r="CU406" i="3"/>
  <c r="CX406" i="3"/>
  <c r="AS356" i="3"/>
  <c r="AS357" i="3" s="1"/>
  <c r="Z356" i="3"/>
  <c r="Z357" i="3" s="1"/>
  <c r="AZ356" i="3"/>
  <c r="AZ357" i="3" s="1"/>
  <c r="AG356" i="3"/>
  <c r="AG357" i="3" s="1"/>
  <c r="V356" i="3"/>
  <c r="V357" i="3" s="1"/>
  <c r="AV356" i="3"/>
  <c r="AV357" i="3" s="1"/>
  <c r="DN406" i="3"/>
  <c r="DS406" i="3"/>
  <c r="DI406" i="3"/>
  <c r="BS406" i="3"/>
  <c r="AK356" i="3"/>
  <c r="AK357" i="3" s="1"/>
  <c r="R356" i="3"/>
  <c r="R357" i="3" s="1"/>
  <c r="AR356" i="3"/>
  <c r="AR357" i="3" s="1"/>
  <c r="Y356" i="3"/>
  <c r="Y357" i="3" s="1"/>
  <c r="N356" i="3"/>
  <c r="N357" i="3" s="1"/>
  <c r="AN356" i="3"/>
  <c r="AN357" i="3" s="1"/>
  <c r="CZ406" i="3"/>
  <c r="DK406" i="3"/>
  <c r="CQ406" i="3"/>
  <c r="CA406" i="3"/>
  <c r="CL406" i="3"/>
  <c r="BV406" i="3"/>
  <c r="AC356" i="3"/>
  <c r="AC357" i="3" s="1"/>
  <c r="J356" i="3"/>
  <c r="J357" i="3" s="1"/>
  <c r="AJ356" i="3"/>
  <c r="AJ357" i="3" s="1"/>
  <c r="Q356" i="3"/>
  <c r="Q357" i="3" s="1"/>
  <c r="AY356" i="3"/>
  <c r="AY357" i="3" s="1"/>
  <c r="AF356" i="3"/>
  <c r="AF357" i="3" s="1"/>
  <c r="J349" i="3"/>
  <c r="K339" i="3"/>
  <c r="K346" i="3" s="1"/>
  <c r="DU406" i="3"/>
  <c r="DY406" i="3"/>
  <c r="CT406" i="3"/>
  <c r="DA406" i="3"/>
  <c r="DD406" i="3"/>
  <c r="CK406" i="3"/>
  <c r="CE406" i="3"/>
  <c r="U356" i="3"/>
  <c r="U357" i="3" s="1"/>
  <c r="AU356" i="3"/>
  <c r="AU357" i="3" s="1"/>
  <c r="AB356" i="3"/>
  <c r="AB357" i="3" s="1"/>
  <c r="I356" i="3"/>
  <c r="I357" i="3" s="1"/>
  <c r="AQ356" i="3"/>
  <c r="AQ357" i="3" s="1"/>
  <c r="X356" i="3"/>
  <c r="X357" i="3" s="1"/>
  <c r="I438" i="3"/>
  <c r="I418" i="3"/>
  <c r="DT406" i="3"/>
  <c r="DO406" i="3"/>
  <c r="DC406" i="3"/>
  <c r="DJ406" i="3"/>
  <c r="CN406" i="3"/>
  <c r="BX406" i="3"/>
  <c r="DF406" i="3"/>
  <c r="BP406" i="3"/>
  <c r="DH406" i="3"/>
  <c r="M356" i="3"/>
  <c r="M357" i="3" s="1"/>
  <c r="AM356" i="3"/>
  <c r="AM357" i="3" s="1"/>
  <c r="T356" i="3"/>
  <c r="T357" i="3" s="1"/>
  <c r="BB356" i="3"/>
  <c r="BB357" i="3" s="1"/>
  <c r="AI356" i="3"/>
  <c r="AI357" i="3" s="1"/>
  <c r="P356" i="3"/>
  <c r="P357" i="3" s="1"/>
  <c r="DW406" i="3"/>
  <c r="CW406" i="3"/>
  <c r="CP406" i="3"/>
  <c r="BQ406" i="3"/>
  <c r="AX356" i="3"/>
  <c r="AX357" i="3" s="1"/>
  <c r="AE356" i="3"/>
  <c r="AE357" i="3" s="1"/>
  <c r="L356" i="3"/>
  <c r="L357" i="3" s="1"/>
  <c r="AT356" i="3"/>
  <c r="AT357" i="3" s="1"/>
  <c r="AA356" i="3"/>
  <c r="AA357" i="3" s="1"/>
  <c r="BZ443" i="3" l="1"/>
  <c r="BY53" i="56" s="1"/>
  <c r="CH70" i="3"/>
  <c r="J402" i="3"/>
  <c r="K398" i="3" s="1"/>
  <c r="BA420" i="3"/>
  <c r="AZ32" i="56" s="1"/>
  <c r="BA440" i="3"/>
  <c r="AZ50" i="56" s="1"/>
  <c r="AF440" i="3"/>
  <c r="AE50" i="56" s="1"/>
  <c r="AF420" i="3"/>
  <c r="AE32" i="56" s="1"/>
  <c r="AA440" i="3"/>
  <c r="Z50" i="56" s="1"/>
  <c r="AA420" i="3"/>
  <c r="Z32" i="56" s="1"/>
  <c r="BH440" i="3"/>
  <c r="BG50" i="56" s="1"/>
  <c r="BH420" i="3"/>
  <c r="BG32" i="56" s="1"/>
  <c r="AT440" i="3"/>
  <c r="AS50" i="56" s="1"/>
  <c r="AT420" i="3"/>
  <c r="AS32" i="56" s="1"/>
  <c r="AD440" i="3"/>
  <c r="AC50" i="56" s="1"/>
  <c r="AD420" i="3"/>
  <c r="AC32" i="56" s="1"/>
  <c r="S440" i="3"/>
  <c r="R50" i="56" s="1"/>
  <c r="S420" i="3"/>
  <c r="R32" i="56" s="1"/>
  <c r="CZ440" i="3"/>
  <c r="CY50" i="56" s="1"/>
  <c r="CZ420" i="3"/>
  <c r="CY32" i="56" s="1"/>
  <c r="L440" i="3"/>
  <c r="K50" i="56" s="1"/>
  <c r="L420" i="3"/>
  <c r="K32" i="56" s="1"/>
  <c r="BL420" i="3"/>
  <c r="BK32" i="56" s="1"/>
  <c r="BL440" i="3"/>
  <c r="BK50" i="56" s="1"/>
  <c r="CI440" i="3"/>
  <c r="CH50" i="56" s="1"/>
  <c r="CI420" i="3"/>
  <c r="CH32" i="56" s="1"/>
  <c r="AK440" i="3"/>
  <c r="AJ50" i="56" s="1"/>
  <c r="AK420" i="3"/>
  <c r="AJ32" i="56" s="1"/>
  <c r="Z440" i="3"/>
  <c r="Y50" i="56" s="1"/>
  <c r="Z420" i="3"/>
  <c r="Y32" i="56" s="1"/>
  <c r="DC440" i="3"/>
  <c r="DB50" i="56" s="1"/>
  <c r="DC420" i="3"/>
  <c r="DB32" i="56" s="1"/>
  <c r="BF440" i="3"/>
  <c r="BE50" i="56" s="1"/>
  <c r="BF420" i="3"/>
  <c r="BE32" i="56" s="1"/>
  <c r="Q440" i="3"/>
  <c r="P50" i="56" s="1"/>
  <c r="Q420" i="3"/>
  <c r="P32" i="56" s="1"/>
  <c r="AV440" i="3"/>
  <c r="AU50" i="56" s="1"/>
  <c r="AV420" i="3"/>
  <c r="AU32" i="56" s="1"/>
  <c r="AZ440" i="3"/>
  <c r="AY50" i="56" s="1"/>
  <c r="AZ420" i="3"/>
  <c r="AY32" i="56" s="1"/>
  <c r="AR440" i="3"/>
  <c r="AQ50" i="56" s="1"/>
  <c r="AR420" i="3"/>
  <c r="AQ32" i="56" s="1"/>
  <c r="CS420" i="3"/>
  <c r="CR32" i="56" s="1"/>
  <c r="CS440" i="3"/>
  <c r="CR50" i="56" s="1"/>
  <c r="CR440" i="3"/>
  <c r="CQ50" i="56" s="1"/>
  <c r="CR420" i="3"/>
  <c r="CQ32" i="56" s="1"/>
  <c r="N440" i="3"/>
  <c r="M50" i="56" s="1"/>
  <c r="N420" i="3"/>
  <c r="M32" i="56" s="1"/>
  <c r="BS420" i="3"/>
  <c r="BR32" i="56" s="1"/>
  <c r="BS440" i="3"/>
  <c r="BR50" i="56" s="1"/>
  <c r="AN440" i="3"/>
  <c r="AM50" i="56" s="1"/>
  <c r="AN420" i="3"/>
  <c r="AM32" i="56" s="1"/>
  <c r="BX440" i="3"/>
  <c r="BW50" i="56" s="1"/>
  <c r="BX420" i="3"/>
  <c r="BW32" i="56" s="1"/>
  <c r="BD420" i="3"/>
  <c r="BC32" i="56" s="1"/>
  <c r="BD440" i="3"/>
  <c r="BC50" i="56" s="1"/>
  <c r="BT420" i="3"/>
  <c r="BS32" i="56" s="1"/>
  <c r="BT440" i="3"/>
  <c r="BS50" i="56" s="1"/>
  <c r="CU440" i="3"/>
  <c r="CT50" i="56" s="1"/>
  <c r="CU420" i="3"/>
  <c r="CT32" i="56" s="1"/>
  <c r="DG420" i="3"/>
  <c r="DF32" i="56" s="1"/>
  <c r="DG440" i="3"/>
  <c r="DF50" i="56" s="1"/>
  <c r="M440" i="3"/>
  <c r="L50" i="56" s="1"/>
  <c r="M420" i="3"/>
  <c r="L32" i="56" s="1"/>
  <c r="CK420" i="3"/>
  <c r="CJ32" i="56" s="1"/>
  <c r="CK440" i="3"/>
  <c r="CJ50" i="56" s="1"/>
  <c r="O440" i="3"/>
  <c r="N50" i="56" s="1"/>
  <c r="O420" i="3"/>
  <c r="N32" i="56" s="1"/>
  <c r="CQ440" i="3"/>
  <c r="CP50" i="56" s="1"/>
  <c r="CQ420" i="3"/>
  <c r="CP32" i="56" s="1"/>
  <c r="AX420" i="3"/>
  <c r="AW32" i="56" s="1"/>
  <c r="AX440" i="3"/>
  <c r="AW50" i="56" s="1"/>
  <c r="BC440" i="3"/>
  <c r="BB50" i="56" s="1"/>
  <c r="BC420" i="3"/>
  <c r="BB32" i="56" s="1"/>
  <c r="CJ440" i="3"/>
  <c r="CI50" i="56" s="1"/>
  <c r="CJ420" i="3"/>
  <c r="CI32" i="56" s="1"/>
  <c r="AP420" i="3"/>
  <c r="AO32" i="56" s="1"/>
  <c r="AP440" i="3"/>
  <c r="AO50" i="56" s="1"/>
  <c r="AB440" i="3"/>
  <c r="AA50" i="56" s="1"/>
  <c r="AB420" i="3"/>
  <c r="AA32" i="56" s="1"/>
  <c r="CD440" i="3"/>
  <c r="CC50" i="56" s="1"/>
  <c r="CD420" i="3"/>
  <c r="CC32" i="56" s="1"/>
  <c r="U440" i="3"/>
  <c r="T50" i="56" s="1"/>
  <c r="U420" i="3"/>
  <c r="T32" i="56" s="1"/>
  <c r="BP440" i="3"/>
  <c r="BO50" i="56" s="1"/>
  <c r="BP420" i="3"/>
  <c r="BO32" i="56" s="1"/>
  <c r="DK440" i="3"/>
  <c r="DJ50" i="56" s="1"/>
  <c r="DK420" i="3"/>
  <c r="DJ32" i="56" s="1"/>
  <c r="CO420" i="3"/>
  <c r="CN32" i="56" s="1"/>
  <c r="CO440" i="3"/>
  <c r="CN50" i="56" s="1"/>
  <c r="DQ440" i="3"/>
  <c r="DP50" i="56" s="1"/>
  <c r="DQ420" i="3"/>
  <c r="DP32" i="56" s="1"/>
  <c r="CY440" i="3"/>
  <c r="CX50" i="56" s="1"/>
  <c r="CY420" i="3"/>
  <c r="CX32" i="56" s="1"/>
  <c r="CG440" i="3"/>
  <c r="CF50" i="56" s="1"/>
  <c r="CG420" i="3"/>
  <c r="CF32" i="56" s="1"/>
  <c r="H361" i="3"/>
  <c r="BB420" i="3"/>
  <c r="BA32" i="56" s="1"/>
  <c r="BB440" i="3"/>
  <c r="BA50" i="56" s="1"/>
  <c r="DR420" i="3"/>
  <c r="DQ32" i="56" s="1"/>
  <c r="DR440" i="3"/>
  <c r="DQ50" i="56" s="1"/>
  <c r="DH440" i="3"/>
  <c r="DG50" i="56" s="1"/>
  <c r="DH420" i="3"/>
  <c r="DG32" i="56" s="1"/>
  <c r="AO440" i="3"/>
  <c r="AN50" i="56" s="1"/>
  <c r="AO420" i="3"/>
  <c r="AN32" i="56" s="1"/>
  <c r="U84" i="2"/>
  <c r="V80" i="2"/>
  <c r="AH440" i="3"/>
  <c r="AG50" i="56" s="1"/>
  <c r="AH420" i="3"/>
  <c r="AG32" i="56" s="1"/>
  <c r="I362" i="3"/>
  <c r="AG440" i="3"/>
  <c r="AF50" i="56" s="1"/>
  <c r="AG420" i="3"/>
  <c r="AF32" i="56" s="1"/>
  <c r="AS440" i="3"/>
  <c r="AR50" i="56" s="1"/>
  <c r="AS420" i="3"/>
  <c r="AR32" i="56" s="1"/>
  <c r="CE420" i="3"/>
  <c r="CD32" i="56" s="1"/>
  <c r="CE440" i="3"/>
  <c r="CD50" i="56" s="1"/>
  <c r="BK440" i="3"/>
  <c r="BJ50" i="56" s="1"/>
  <c r="BK420" i="3"/>
  <c r="BJ32" i="56" s="1"/>
  <c r="K440" i="3"/>
  <c r="J50" i="56" s="1"/>
  <c r="K420" i="3"/>
  <c r="J32" i="56" s="1"/>
  <c r="AE440" i="3"/>
  <c r="AD50" i="56" s="1"/>
  <c r="AE420" i="3"/>
  <c r="AD32" i="56" s="1"/>
  <c r="AW420" i="3"/>
  <c r="AV32" i="56" s="1"/>
  <c r="AW440" i="3"/>
  <c r="AV50" i="56" s="1"/>
  <c r="DX440" i="3"/>
  <c r="DW50" i="56" s="1"/>
  <c r="DX420" i="3"/>
  <c r="DW32" i="56" s="1"/>
  <c r="W420" i="3"/>
  <c r="V32" i="56" s="1"/>
  <c r="W440" i="3"/>
  <c r="V50" i="56" s="1"/>
  <c r="Y440" i="3"/>
  <c r="X50" i="56" s="1"/>
  <c r="Y420" i="3"/>
  <c r="X32" i="56" s="1"/>
  <c r="CA440" i="3"/>
  <c r="BZ50" i="56" s="1"/>
  <c r="CA420" i="3"/>
  <c r="BZ32" i="56" s="1"/>
  <c r="CB440" i="3"/>
  <c r="CA50" i="56" s="1"/>
  <c r="CB420" i="3"/>
  <c r="CA32" i="56" s="1"/>
  <c r="AL440" i="3"/>
  <c r="AK50" i="56" s="1"/>
  <c r="AL420" i="3"/>
  <c r="AK32" i="56" s="1"/>
  <c r="CM440" i="3"/>
  <c r="CL50" i="56" s="1"/>
  <c r="CM420" i="3"/>
  <c r="CL32" i="56" s="1"/>
  <c r="AR439" i="3"/>
  <c r="AQ49" i="56" s="1"/>
  <c r="AR419" i="3"/>
  <c r="AQ31" i="56" s="1"/>
  <c r="V439" i="3"/>
  <c r="U49" i="56" s="1"/>
  <c r="V419" i="3"/>
  <c r="U31" i="56" s="1"/>
  <c r="AP439" i="3"/>
  <c r="AO49" i="56" s="1"/>
  <c r="AP419" i="3"/>
  <c r="AO31" i="56" s="1"/>
  <c r="R439" i="3"/>
  <c r="Q49" i="56" s="1"/>
  <c r="R419" i="3"/>
  <c r="Q31" i="56" s="1"/>
  <c r="AG439" i="3"/>
  <c r="AF49" i="56" s="1"/>
  <c r="AG419" i="3"/>
  <c r="AF31" i="56" s="1"/>
  <c r="AU439" i="3"/>
  <c r="AT49" i="56" s="1"/>
  <c r="AU419" i="3"/>
  <c r="AT31" i="56" s="1"/>
  <c r="AK439" i="3"/>
  <c r="AJ49" i="56" s="1"/>
  <c r="AK419" i="3"/>
  <c r="AJ31" i="56" s="1"/>
  <c r="T439" i="3"/>
  <c r="S49" i="56" s="1"/>
  <c r="T419" i="3"/>
  <c r="S31" i="56" s="1"/>
  <c r="U439" i="3"/>
  <c r="T49" i="56" s="1"/>
  <c r="U419" i="3"/>
  <c r="T31" i="56" s="1"/>
  <c r="AT439" i="3"/>
  <c r="AS49" i="56" s="1"/>
  <c r="AT419" i="3"/>
  <c r="AS31" i="56" s="1"/>
  <c r="AH439" i="3"/>
  <c r="AG49" i="56" s="1"/>
  <c r="AH419" i="3"/>
  <c r="AG31" i="56" s="1"/>
  <c r="X439" i="3"/>
  <c r="W49" i="56" s="1"/>
  <c r="X419" i="3"/>
  <c r="W31" i="56" s="1"/>
  <c r="AF439" i="3"/>
  <c r="AE49" i="56" s="1"/>
  <c r="AF419" i="3"/>
  <c r="AE31" i="56" s="1"/>
  <c r="AQ439" i="3"/>
  <c r="AP49" i="56" s="1"/>
  <c r="AQ419" i="3"/>
  <c r="AP31" i="56" s="1"/>
  <c r="N439" i="3"/>
  <c r="M49" i="56" s="1"/>
  <c r="N419" i="3"/>
  <c r="M31" i="56" s="1"/>
  <c r="AS439" i="3"/>
  <c r="AR49" i="56" s="1"/>
  <c r="AS419" i="3"/>
  <c r="AR31" i="56" s="1"/>
  <c r="AA439" i="3"/>
  <c r="Z49" i="56" s="1"/>
  <c r="AA419" i="3"/>
  <c r="Z31" i="56" s="1"/>
  <c r="I439" i="3"/>
  <c r="H49" i="56" s="1"/>
  <c r="I419" i="3"/>
  <c r="H31" i="56" s="1"/>
  <c r="Y439" i="3"/>
  <c r="X49" i="56" s="1"/>
  <c r="Y419" i="3"/>
  <c r="X31" i="56" s="1"/>
  <c r="AV439" i="3"/>
  <c r="AU49" i="56" s="1"/>
  <c r="AV419" i="3"/>
  <c r="AU31" i="56" s="1"/>
  <c r="CW443" i="3"/>
  <c r="CV53" i="56" s="1"/>
  <c r="CW70" i="3"/>
  <c r="BB439" i="3"/>
  <c r="BA49" i="56" s="1"/>
  <c r="BB419" i="3"/>
  <c r="BA31" i="56" s="1"/>
  <c r="DH70" i="3"/>
  <c r="DH443" i="3"/>
  <c r="DG53" i="56" s="1"/>
  <c r="DC70" i="3"/>
  <c r="DC443" i="3"/>
  <c r="DB53" i="56" s="1"/>
  <c r="DA70" i="3"/>
  <c r="DA443" i="3"/>
  <c r="CZ53" i="56" s="1"/>
  <c r="CL70" i="3"/>
  <c r="CL443" i="3"/>
  <c r="CK53" i="56" s="1"/>
  <c r="BS443" i="3"/>
  <c r="BR53" i="56" s="1"/>
  <c r="BS70" i="3"/>
  <c r="DX70" i="3"/>
  <c r="DX443" i="3"/>
  <c r="DW53" i="56" s="1"/>
  <c r="CJ70" i="3"/>
  <c r="CJ443" i="3"/>
  <c r="CI53" i="56" s="1"/>
  <c r="DB70" i="3"/>
  <c r="DB443" i="3"/>
  <c r="DA53" i="56" s="1"/>
  <c r="CI443" i="3"/>
  <c r="CH53" i="56" s="1"/>
  <c r="CI70" i="3"/>
  <c r="BQ443" i="3"/>
  <c r="BP53" i="56" s="1"/>
  <c r="BQ70" i="3"/>
  <c r="CP443" i="3"/>
  <c r="CO53" i="56" s="1"/>
  <c r="CP70" i="3"/>
  <c r="AE439" i="3"/>
  <c r="AD49" i="56" s="1"/>
  <c r="AE419" i="3"/>
  <c r="AD31" i="56" s="1"/>
  <c r="DW443" i="3"/>
  <c r="DV53" i="56" s="1"/>
  <c r="DW70" i="3"/>
  <c r="BP443" i="3"/>
  <c r="BO53" i="56" s="1"/>
  <c r="BP70" i="3"/>
  <c r="DO443" i="3"/>
  <c r="DN53" i="56" s="1"/>
  <c r="DO70" i="3"/>
  <c r="CT70" i="3"/>
  <c r="CT443" i="3"/>
  <c r="CS53" i="56" s="1"/>
  <c r="AJ439" i="3"/>
  <c r="AI49" i="56" s="1"/>
  <c r="AJ419" i="3"/>
  <c r="AI31" i="56" s="1"/>
  <c r="CA443" i="3"/>
  <c r="BZ53" i="56" s="1"/>
  <c r="CA70" i="3"/>
  <c r="BO406" i="3"/>
  <c r="AD439" i="3"/>
  <c r="AC49" i="56" s="1"/>
  <c r="AD419" i="3"/>
  <c r="AC31" i="56" s="1"/>
  <c r="BA439" i="3"/>
  <c r="AZ49" i="56" s="1"/>
  <c r="BA419" i="3"/>
  <c r="AZ31" i="56" s="1"/>
  <c r="BY443" i="3"/>
  <c r="BX53" i="56" s="1"/>
  <c r="BY70" i="3"/>
  <c r="DV443" i="3"/>
  <c r="DU53" i="56" s="1"/>
  <c r="DV70" i="3"/>
  <c r="AW439" i="3"/>
  <c r="AV49" i="56" s="1"/>
  <c r="AW419" i="3"/>
  <c r="AV31" i="56" s="1"/>
  <c r="CY443" i="3"/>
  <c r="CX53" i="56" s="1"/>
  <c r="CY70" i="3"/>
  <c r="DF443" i="3"/>
  <c r="DE53" i="56" s="1"/>
  <c r="DF70" i="3"/>
  <c r="DT443" i="3"/>
  <c r="DS53" i="56" s="1"/>
  <c r="DT70" i="3"/>
  <c r="CE70" i="3"/>
  <c r="CE443" i="3"/>
  <c r="CD53" i="56" s="1"/>
  <c r="DY70" i="3"/>
  <c r="DY443" i="3"/>
  <c r="DX53" i="56" s="1"/>
  <c r="CQ443" i="3"/>
  <c r="CP53" i="56" s="1"/>
  <c r="CQ70" i="3"/>
  <c r="DI70" i="3"/>
  <c r="DI443" i="3"/>
  <c r="DH53" i="56" s="1"/>
  <c r="CO443" i="3"/>
  <c r="CN53" i="56" s="1"/>
  <c r="CO70" i="3"/>
  <c r="CR70" i="3"/>
  <c r="CR443" i="3"/>
  <c r="CQ53" i="56" s="1"/>
  <c r="AI439" i="3"/>
  <c r="AH49" i="56" s="1"/>
  <c r="AI419" i="3"/>
  <c r="AH31" i="56" s="1"/>
  <c r="M439" i="3"/>
  <c r="L49" i="56" s="1"/>
  <c r="M419" i="3"/>
  <c r="L31" i="56" s="1"/>
  <c r="BX443" i="3"/>
  <c r="BW53" i="56" s="1"/>
  <c r="BX70" i="3"/>
  <c r="DU443" i="3"/>
  <c r="DT53" i="56" s="1"/>
  <c r="DU70" i="3"/>
  <c r="DK70" i="3"/>
  <c r="DK443" i="3"/>
  <c r="DJ53" i="56" s="1"/>
  <c r="DS70" i="3"/>
  <c r="DS443" i="3"/>
  <c r="DR53" i="56" s="1"/>
  <c r="AO439" i="3"/>
  <c r="AN49" i="56" s="1"/>
  <c r="AO419" i="3"/>
  <c r="AN31" i="56" s="1"/>
  <c r="DG443" i="3"/>
  <c r="DF53" i="56" s="1"/>
  <c r="DG70" i="3"/>
  <c r="CC70" i="3"/>
  <c r="CC443" i="3"/>
  <c r="CB53" i="56" s="1"/>
  <c r="W439" i="3"/>
  <c r="V49" i="56" s="1"/>
  <c r="W419" i="3"/>
  <c r="V31" i="56" s="1"/>
  <c r="DL443" i="3"/>
  <c r="DK53" i="56" s="1"/>
  <c r="DL70" i="3"/>
  <c r="AX439" i="3"/>
  <c r="AW49" i="56" s="1"/>
  <c r="AX419" i="3"/>
  <c r="AW31" i="56" s="1"/>
  <c r="P439" i="3"/>
  <c r="O49" i="56" s="1"/>
  <c r="P419" i="3"/>
  <c r="O31" i="56" s="1"/>
  <c r="AM439" i="3"/>
  <c r="AL49" i="56" s="1"/>
  <c r="AM419" i="3"/>
  <c r="AL31" i="56" s="1"/>
  <c r="H48" i="56"/>
  <c r="AB439" i="3"/>
  <c r="AA49" i="56" s="1"/>
  <c r="AB419" i="3"/>
  <c r="AA31" i="56" s="1"/>
  <c r="J439" i="3"/>
  <c r="I49" i="56" s="1"/>
  <c r="J419" i="3"/>
  <c r="I31" i="56" s="1"/>
  <c r="AN439" i="3"/>
  <c r="AM49" i="56" s="1"/>
  <c r="AN419" i="3"/>
  <c r="AM31" i="56" s="1"/>
  <c r="DN443" i="3"/>
  <c r="DM53" i="56" s="1"/>
  <c r="DN70" i="3"/>
  <c r="AZ439" i="3"/>
  <c r="AY49" i="56" s="1"/>
  <c r="AZ419" i="3"/>
  <c r="AY31" i="56" s="1"/>
  <c r="BR443" i="3"/>
  <c r="BQ53" i="56" s="1"/>
  <c r="BR70" i="3"/>
  <c r="CV443" i="3"/>
  <c r="CU53" i="56" s="1"/>
  <c r="CV70" i="3"/>
  <c r="DR70" i="3"/>
  <c r="DR443" i="3"/>
  <c r="DQ53" i="56" s="1"/>
  <c r="CN443" i="3"/>
  <c r="CM53" i="56" s="1"/>
  <c r="CN70" i="3"/>
  <c r="CG406" i="3"/>
  <c r="CZ70" i="3"/>
  <c r="CZ443" i="3"/>
  <c r="CY53" i="56" s="1"/>
  <c r="DE406" i="3"/>
  <c r="BU406" i="3"/>
  <c r="AY439" i="3"/>
  <c r="AX49" i="56" s="1"/>
  <c r="AY419" i="3"/>
  <c r="AX31" i="56" s="1"/>
  <c r="AC439" i="3"/>
  <c r="AB49" i="56" s="1"/>
  <c r="AC419" i="3"/>
  <c r="AB31" i="56" s="1"/>
  <c r="CX443" i="3"/>
  <c r="CW53" i="56" s="1"/>
  <c r="CX70" i="3"/>
  <c r="O439" i="3"/>
  <c r="N49" i="56" s="1"/>
  <c r="O419" i="3"/>
  <c r="N31" i="56" s="1"/>
  <c r="BW70" i="3"/>
  <c r="BW443" i="3"/>
  <c r="BV53" i="56" s="1"/>
  <c r="DP70" i="3"/>
  <c r="DP443" i="3"/>
  <c r="DO53" i="56" s="1"/>
  <c r="S439" i="3"/>
  <c r="R49" i="56" s="1"/>
  <c r="S419" i="3"/>
  <c r="R31" i="56" s="1"/>
  <c r="CK70" i="3"/>
  <c r="CK443" i="3"/>
  <c r="CJ53" i="56" s="1"/>
  <c r="L339" i="3"/>
  <c r="L346" i="3" s="1"/>
  <c r="K349" i="3"/>
  <c r="CU70" i="3"/>
  <c r="CU443" i="3"/>
  <c r="CT53" i="56" s="1"/>
  <c r="CM70" i="3"/>
  <c r="CM443" i="3"/>
  <c r="CL53" i="56" s="1"/>
  <c r="CS406" i="3"/>
  <c r="L439" i="3"/>
  <c r="K49" i="56" s="1"/>
  <c r="L419" i="3"/>
  <c r="K31" i="56" s="1"/>
  <c r="DJ70" i="3"/>
  <c r="DJ443" i="3"/>
  <c r="DI53" i="56" s="1"/>
  <c r="DD443" i="3"/>
  <c r="DC53" i="56" s="1"/>
  <c r="DD70" i="3"/>
  <c r="J438" i="3"/>
  <c r="J418" i="3"/>
  <c r="Q439" i="3"/>
  <c r="P49" i="56" s="1"/>
  <c r="Q419" i="3"/>
  <c r="P31" i="56" s="1"/>
  <c r="BV70" i="3"/>
  <c r="BV443" i="3"/>
  <c r="BU53" i="56" s="1"/>
  <c r="Z439" i="3"/>
  <c r="Y49" i="56" s="1"/>
  <c r="Z419" i="3"/>
  <c r="Y31" i="56" s="1"/>
  <c r="DQ70" i="3"/>
  <c r="DQ443" i="3"/>
  <c r="DP53" i="56" s="1"/>
  <c r="K439" i="3"/>
  <c r="J49" i="56" s="1"/>
  <c r="K419" i="3"/>
  <c r="J31" i="56" s="1"/>
  <c r="BT70" i="3"/>
  <c r="BT443" i="3"/>
  <c r="BS53" i="56" s="1"/>
  <c r="DM443" i="3"/>
  <c r="DL53" i="56" s="1"/>
  <c r="DM70" i="3"/>
  <c r="AL439" i="3"/>
  <c r="AK49" i="56" s="1"/>
  <c r="AL419" i="3"/>
  <c r="AK31" i="56" s="1"/>
  <c r="CD70" i="3"/>
  <c r="CD443" i="3"/>
  <c r="CC53" i="56" s="1"/>
  <c r="K401" i="3" l="1"/>
  <c r="K442" i="3" s="1"/>
  <c r="J52" i="56" s="1"/>
  <c r="I440" i="3"/>
  <c r="I420" i="3"/>
  <c r="H362" i="3"/>
  <c r="K438" i="3"/>
  <c r="K418" i="3"/>
  <c r="BU70" i="3"/>
  <c r="BU443" i="3"/>
  <c r="BT53" i="56" s="1"/>
  <c r="BO70" i="3"/>
  <c r="BO443" i="3"/>
  <c r="M339" i="3"/>
  <c r="M346" i="3" s="1"/>
  <c r="L349" i="3"/>
  <c r="I30" i="56"/>
  <c r="I33" i="56" s="1"/>
  <c r="J421" i="3"/>
  <c r="CS70" i="3"/>
  <c r="CS443" i="3"/>
  <c r="CR53" i="56" s="1"/>
  <c r="DE443" i="3"/>
  <c r="DD53" i="56" s="1"/>
  <c r="DE70" i="3"/>
  <c r="I48" i="56"/>
  <c r="J444" i="3"/>
  <c r="CG443" i="3"/>
  <c r="CF53" i="56" s="1"/>
  <c r="CG70" i="3"/>
  <c r="K402" i="3" l="1"/>
  <c r="L398" i="3" s="1"/>
  <c r="H32" i="56"/>
  <c r="H420" i="3"/>
  <c r="I421" i="3"/>
  <c r="I422" i="3" s="1"/>
  <c r="J422" i="3" s="1"/>
  <c r="H50" i="56"/>
  <c r="G50" i="56" s="1"/>
  <c r="H440" i="3"/>
  <c r="I444" i="3"/>
  <c r="I380" i="3" s="1"/>
  <c r="BN53" i="56"/>
  <c r="J30" i="56"/>
  <c r="J33" i="56" s="1"/>
  <c r="K421" i="3"/>
  <c r="J48" i="56"/>
  <c r="J54" i="56" s="1"/>
  <c r="K444" i="3"/>
  <c r="L438" i="3"/>
  <c r="L418" i="3"/>
  <c r="J380" i="3"/>
  <c r="J381" i="3" s="1"/>
  <c r="J382" i="3" s="1"/>
  <c r="M349" i="3"/>
  <c r="N339" i="3"/>
  <c r="N346" i="3" s="1"/>
  <c r="L401" i="3" l="1"/>
  <c r="L402" i="3" s="1"/>
  <c r="M398" i="3" s="1"/>
  <c r="K422" i="3"/>
  <c r="H33" i="56"/>
  <c r="H34" i="56" s="1"/>
  <c r="I34" i="56" s="1"/>
  <c r="J34" i="56" s="1"/>
  <c r="G32" i="56"/>
  <c r="I445" i="3"/>
  <c r="J445" i="3" s="1"/>
  <c r="K445" i="3" s="1"/>
  <c r="I381" i="3"/>
  <c r="I382" i="3" s="1"/>
  <c r="I54" i="56"/>
  <c r="I55" i="56" s="1"/>
  <c r="J55" i="56" s="1"/>
  <c r="K380" i="3"/>
  <c r="K381" i="3" s="1"/>
  <c r="K382" i="3" s="1"/>
  <c r="K30" i="56"/>
  <c r="K33" i="56" s="1"/>
  <c r="L421" i="3"/>
  <c r="K48" i="56"/>
  <c r="N349" i="3"/>
  <c r="O339" i="3"/>
  <c r="O346" i="3" s="1"/>
  <c r="M438" i="3"/>
  <c r="M418" i="3"/>
  <c r="L422" i="3" l="1"/>
  <c r="L442" i="3"/>
  <c r="M401" i="3"/>
  <c r="M442" i="3" s="1"/>
  <c r="L52" i="56" s="1"/>
  <c r="K34" i="56"/>
  <c r="P339" i="3"/>
  <c r="P346" i="3" s="1"/>
  <c r="O349" i="3"/>
  <c r="L30" i="56"/>
  <c r="L33" i="56" s="1"/>
  <c r="M421" i="3"/>
  <c r="M422" i="3" s="1"/>
  <c r="N438" i="3"/>
  <c r="N418" i="3"/>
  <c r="L48" i="56"/>
  <c r="M444" i="3" l="1"/>
  <c r="L54" i="56"/>
  <c r="L34" i="56"/>
  <c r="K52" i="56"/>
  <c r="K54" i="56" s="1"/>
  <c r="K55" i="56" s="1"/>
  <c r="L444" i="3"/>
  <c r="M402" i="3"/>
  <c r="N398" i="3" s="1"/>
  <c r="O438" i="3"/>
  <c r="O418" i="3"/>
  <c r="P349" i="3"/>
  <c r="Q339" i="3"/>
  <c r="Q346" i="3" s="1"/>
  <c r="M30" i="56"/>
  <c r="M33" i="56" s="1"/>
  <c r="N421" i="3"/>
  <c r="N422" i="3" s="1"/>
  <c r="M48" i="56"/>
  <c r="M380" i="3"/>
  <c r="M381" i="3" s="1"/>
  <c r="M382" i="3" s="1"/>
  <c r="L55" i="56" l="1"/>
  <c r="M34" i="56"/>
  <c r="N401" i="3"/>
  <c r="N442" i="3" s="1"/>
  <c r="L445" i="3"/>
  <c r="M445" i="3" s="1"/>
  <c r="L380" i="3"/>
  <c r="L381" i="3" s="1"/>
  <c r="L382" i="3" s="1"/>
  <c r="N48" i="56"/>
  <c r="Q349" i="3"/>
  <c r="R339" i="3"/>
  <c r="R346" i="3" s="1"/>
  <c r="P438" i="3"/>
  <c r="P418" i="3"/>
  <c r="N30" i="56"/>
  <c r="N33" i="56" s="1"/>
  <c r="O421" i="3"/>
  <c r="O422" i="3" s="1"/>
  <c r="N34" i="56" l="1"/>
  <c r="M52" i="56"/>
  <c r="M54" i="56" s="1"/>
  <c r="M55" i="56" s="1"/>
  <c r="N444" i="3"/>
  <c r="N402" i="3"/>
  <c r="O398" i="3" s="1"/>
  <c r="O401" i="3" s="1"/>
  <c r="P421" i="3"/>
  <c r="P422" i="3" s="1"/>
  <c r="O30" i="56"/>
  <c r="O33" i="56" s="1"/>
  <c r="R349" i="3"/>
  <c r="S339" i="3"/>
  <c r="S346" i="3" s="1"/>
  <c r="Q438" i="3"/>
  <c r="Q418" i="3"/>
  <c r="O48" i="56"/>
  <c r="O34" i="56" l="1"/>
  <c r="O402" i="3"/>
  <c r="P398" i="3" s="1"/>
  <c r="O442" i="3"/>
  <c r="N380" i="3"/>
  <c r="N381" i="3" s="1"/>
  <c r="N382" i="3" s="1"/>
  <c r="N445" i="3"/>
  <c r="Q421" i="3"/>
  <c r="Q422" i="3" s="1"/>
  <c r="P30" i="56"/>
  <c r="P33" i="56" s="1"/>
  <c r="P48" i="56"/>
  <c r="T339" i="3"/>
  <c r="T346" i="3" s="1"/>
  <c r="S349" i="3"/>
  <c r="R438" i="3"/>
  <c r="R418" i="3"/>
  <c r="P34" i="56" l="1"/>
  <c r="O444" i="3"/>
  <c r="N52" i="56"/>
  <c r="N54" i="56" s="1"/>
  <c r="N55" i="56" s="1"/>
  <c r="P401" i="3"/>
  <c r="P442" i="3" s="1"/>
  <c r="S438" i="3"/>
  <c r="S418" i="3"/>
  <c r="T349" i="3"/>
  <c r="U339" i="3"/>
  <c r="U346" i="3" s="1"/>
  <c r="Q30" i="56"/>
  <c r="Q33" i="56" s="1"/>
  <c r="R421" i="3"/>
  <c r="R422" i="3" s="1"/>
  <c r="Q48" i="56"/>
  <c r="Q34" i="56" l="1"/>
  <c r="P402" i="3"/>
  <c r="Q398" i="3" s="1"/>
  <c r="Q401" i="3" s="1"/>
  <c r="O52" i="56"/>
  <c r="O54" i="56" s="1"/>
  <c r="O55" i="56" s="1"/>
  <c r="P444" i="3"/>
  <c r="O380" i="3"/>
  <c r="O381" i="3" s="1"/>
  <c r="O382" i="3" s="1"/>
  <c r="O445" i="3"/>
  <c r="R30" i="56"/>
  <c r="R33" i="56" s="1"/>
  <c r="S421" i="3"/>
  <c r="S422" i="3" s="1"/>
  <c r="R48" i="56"/>
  <c r="U349" i="3"/>
  <c r="V339" i="3"/>
  <c r="V346" i="3" s="1"/>
  <c r="T438" i="3"/>
  <c r="T418" i="3"/>
  <c r="R34" i="56" l="1"/>
  <c r="P380" i="3"/>
  <c r="P381" i="3" s="1"/>
  <c r="P382" i="3" s="1"/>
  <c r="P445" i="3"/>
  <c r="Q402" i="3"/>
  <c r="R398" i="3" s="1"/>
  <c r="Q442" i="3"/>
  <c r="S30" i="56"/>
  <c r="S33" i="56" s="1"/>
  <c r="T421" i="3"/>
  <c r="T422" i="3" s="1"/>
  <c r="S48" i="56"/>
  <c r="V349" i="3"/>
  <c r="W339" i="3"/>
  <c r="W346" i="3" s="1"/>
  <c r="U438" i="3"/>
  <c r="U418" i="3"/>
  <c r="S34" i="56" l="1"/>
  <c r="P52" i="56"/>
  <c r="P54" i="56" s="1"/>
  <c r="P55" i="56" s="1"/>
  <c r="Q444" i="3"/>
  <c r="R401" i="3"/>
  <c r="R442" i="3" s="1"/>
  <c r="V438" i="3"/>
  <c r="V418" i="3"/>
  <c r="T30" i="56"/>
  <c r="T33" i="56" s="1"/>
  <c r="U421" i="3"/>
  <c r="U422" i="3" s="1"/>
  <c r="T48" i="56"/>
  <c r="X339" i="3"/>
  <c r="X346" i="3" s="1"/>
  <c r="W349" i="3"/>
  <c r="T34" i="56" l="1"/>
  <c r="R402" i="3"/>
  <c r="S398" i="3" s="1"/>
  <c r="Q380" i="3"/>
  <c r="Q381" i="3" s="1"/>
  <c r="Q382" i="3" s="1"/>
  <c r="Q445" i="3"/>
  <c r="Q52" i="56"/>
  <c r="Q54" i="56" s="1"/>
  <c r="Q55" i="56" s="1"/>
  <c r="R444" i="3"/>
  <c r="R380" i="3" s="1"/>
  <c r="R381" i="3" s="1"/>
  <c r="R382" i="3" s="1"/>
  <c r="X349" i="3"/>
  <c r="Y339" i="3"/>
  <c r="Y346" i="3" s="1"/>
  <c r="U30" i="56"/>
  <c r="U33" i="56" s="1"/>
  <c r="V421" i="3"/>
  <c r="V422" i="3" s="1"/>
  <c r="U48" i="56"/>
  <c r="W438" i="3"/>
  <c r="W418" i="3"/>
  <c r="U34" i="56" l="1"/>
  <c r="R445" i="3"/>
  <c r="S401" i="3"/>
  <c r="S442" i="3" s="1"/>
  <c r="Y349" i="3"/>
  <c r="Z339" i="3"/>
  <c r="Z346" i="3" s="1"/>
  <c r="V30" i="56"/>
  <c r="V33" i="56" s="1"/>
  <c r="V34" i="56" s="1"/>
  <c r="W421" i="3"/>
  <c r="W422" i="3" s="1"/>
  <c r="V48" i="56"/>
  <c r="X438" i="3"/>
  <c r="X418" i="3"/>
  <c r="S402" i="3" l="1"/>
  <c r="T398" i="3" s="1"/>
  <c r="T401" i="3" s="1"/>
  <c r="T442" i="3" s="1"/>
  <c r="R52" i="56"/>
  <c r="R54" i="56" s="1"/>
  <c r="R55" i="56" s="1"/>
  <c r="S444" i="3"/>
  <c r="Z349" i="3"/>
  <c r="AA339" i="3"/>
  <c r="AA346" i="3" s="1"/>
  <c r="Y438" i="3"/>
  <c r="Y418" i="3"/>
  <c r="X421" i="3"/>
  <c r="X422" i="3" s="1"/>
  <c r="W30" i="56"/>
  <c r="W33" i="56" s="1"/>
  <c r="W34" i="56" s="1"/>
  <c r="W48" i="56"/>
  <c r="T402" i="3" l="1"/>
  <c r="U398" i="3" s="1"/>
  <c r="U401" i="3" s="1"/>
  <c r="U442" i="3" s="1"/>
  <c r="S52" i="56"/>
  <c r="S54" i="56" s="1"/>
  <c r="S55" i="56" s="1"/>
  <c r="T444" i="3"/>
  <c r="S380" i="3"/>
  <c r="S381" i="3" s="1"/>
  <c r="S382" i="3" s="1"/>
  <c r="S445" i="3"/>
  <c r="Y421" i="3"/>
  <c r="Y422" i="3" s="1"/>
  <c r="X30" i="56"/>
  <c r="X33" i="56" s="1"/>
  <c r="X34" i="56" s="1"/>
  <c r="X48" i="56"/>
  <c r="AB339" i="3"/>
  <c r="AB346" i="3" s="1"/>
  <c r="AA349" i="3"/>
  <c r="Z438" i="3"/>
  <c r="Z418" i="3"/>
  <c r="T445" i="3" l="1"/>
  <c r="T380" i="3"/>
  <c r="T381" i="3" s="1"/>
  <c r="T382" i="3" s="1"/>
  <c r="U402" i="3"/>
  <c r="V398" i="3" s="1"/>
  <c r="T52" i="56"/>
  <c r="T54" i="56" s="1"/>
  <c r="T55" i="56" s="1"/>
  <c r="U444" i="3"/>
  <c r="AB349" i="3"/>
  <c r="AC339" i="3"/>
  <c r="AC346" i="3" s="1"/>
  <c r="Y30" i="56"/>
  <c r="Y33" i="56" s="1"/>
  <c r="Y34" i="56" s="1"/>
  <c r="Z421" i="3"/>
  <c r="Z422" i="3" s="1"/>
  <c r="Y48" i="56"/>
  <c r="AA438" i="3"/>
  <c r="AA418" i="3"/>
  <c r="U380" i="3" l="1"/>
  <c r="U381" i="3" s="1"/>
  <c r="U382" i="3" s="1"/>
  <c r="U445" i="3"/>
  <c r="V401" i="3"/>
  <c r="V442" i="3" s="1"/>
  <c r="Z30" i="56"/>
  <c r="Z33" i="56" s="1"/>
  <c r="Z34" i="56" s="1"/>
  <c r="AA421" i="3"/>
  <c r="AA422" i="3" s="1"/>
  <c r="Z48" i="56"/>
  <c r="AC349" i="3"/>
  <c r="AD339" i="3"/>
  <c r="AD346" i="3" s="1"/>
  <c r="AB438" i="3"/>
  <c r="AB418" i="3"/>
  <c r="V402" i="3" l="1"/>
  <c r="W398" i="3" s="1"/>
  <c r="U52" i="56"/>
  <c r="U54" i="56" s="1"/>
  <c r="U55" i="56" s="1"/>
  <c r="V444" i="3"/>
  <c r="AD349" i="3"/>
  <c r="AE339" i="3"/>
  <c r="AE346" i="3" s="1"/>
  <c r="AA30" i="56"/>
  <c r="AA33" i="56" s="1"/>
  <c r="AA34" i="56" s="1"/>
  <c r="AB421" i="3"/>
  <c r="AB422" i="3" s="1"/>
  <c r="AC438" i="3"/>
  <c r="AC418" i="3"/>
  <c r="AA48" i="56"/>
  <c r="V380" i="3" l="1"/>
  <c r="V381" i="3" s="1"/>
  <c r="V382" i="3" s="1"/>
  <c r="V445" i="3"/>
  <c r="W401" i="3"/>
  <c r="W442" i="3" s="1"/>
  <c r="AB30" i="56"/>
  <c r="AB33" i="56" s="1"/>
  <c r="AB34" i="56" s="1"/>
  <c r="AC421" i="3"/>
  <c r="AC422" i="3" s="1"/>
  <c r="AB48" i="56"/>
  <c r="AF339" i="3"/>
  <c r="AF346" i="3" s="1"/>
  <c r="AE349" i="3"/>
  <c r="AD438" i="3"/>
  <c r="AD418" i="3"/>
  <c r="W402" i="3" l="1"/>
  <c r="X398" i="3" s="1"/>
  <c r="V52" i="56"/>
  <c r="V54" i="56" s="1"/>
  <c r="V55" i="56" s="1"/>
  <c r="W444" i="3"/>
  <c r="AE438" i="3"/>
  <c r="AE418" i="3"/>
  <c r="AC30" i="56"/>
  <c r="AC33" i="56" s="1"/>
  <c r="AC34" i="56" s="1"/>
  <c r="AD421" i="3"/>
  <c r="AD422" i="3" s="1"/>
  <c r="AF349" i="3"/>
  <c r="AG339" i="3"/>
  <c r="AG346" i="3" s="1"/>
  <c r="AC48" i="56"/>
  <c r="W380" i="3" l="1"/>
  <c r="W381" i="3" s="1"/>
  <c r="W382" i="3" s="1"/>
  <c r="W445" i="3"/>
  <c r="X401" i="3"/>
  <c r="X442" i="3" s="1"/>
  <c r="AG349" i="3"/>
  <c r="AH339" i="3"/>
  <c r="AH346" i="3" s="1"/>
  <c r="AF438" i="3"/>
  <c r="AF418" i="3"/>
  <c r="AD30" i="56"/>
  <c r="AD33" i="56" s="1"/>
  <c r="AD34" i="56" s="1"/>
  <c r="AE421" i="3"/>
  <c r="AE422" i="3" s="1"/>
  <c r="AD48" i="56"/>
  <c r="X402" i="3" l="1"/>
  <c r="Y398" i="3" s="1"/>
  <c r="X444" i="3"/>
  <c r="W52" i="56"/>
  <c r="W54" i="56" s="1"/>
  <c r="W55" i="56" s="1"/>
  <c r="AI339" i="3"/>
  <c r="AI346" i="3" s="1"/>
  <c r="AH349" i="3"/>
  <c r="AG438" i="3"/>
  <c r="AG418" i="3"/>
  <c r="AF421" i="3"/>
  <c r="AF422" i="3" s="1"/>
  <c r="AE30" i="56"/>
  <c r="AE33" i="56" s="1"/>
  <c r="AE34" i="56" s="1"/>
  <c r="AE48" i="56"/>
  <c r="X445" i="3" l="1"/>
  <c r="X380" i="3"/>
  <c r="X381" i="3" s="1"/>
  <c r="X382" i="3" s="1"/>
  <c r="Y401" i="3"/>
  <c r="Y442" i="3" s="1"/>
  <c r="AH438" i="3"/>
  <c r="AH418" i="3"/>
  <c r="AG421" i="3"/>
  <c r="AG422" i="3" s="1"/>
  <c r="AF30" i="56"/>
  <c r="AF33" i="56" s="1"/>
  <c r="AF34" i="56" s="1"/>
  <c r="AJ339" i="3"/>
  <c r="AJ346" i="3" s="1"/>
  <c r="AI349" i="3"/>
  <c r="AF48" i="56"/>
  <c r="X52" i="56" l="1"/>
  <c r="X54" i="56" s="1"/>
  <c r="X55" i="56" s="1"/>
  <c r="Y444" i="3"/>
  <c r="Y402" i="3"/>
  <c r="Z398" i="3" s="1"/>
  <c r="AI438" i="3"/>
  <c r="AI418" i="3"/>
  <c r="AK339" i="3"/>
  <c r="AK346" i="3" s="1"/>
  <c r="AJ349" i="3"/>
  <c r="AG30" i="56"/>
  <c r="AG33" i="56" s="1"/>
  <c r="AG34" i="56" s="1"/>
  <c r="AH421" i="3"/>
  <c r="AH422" i="3" s="1"/>
  <c r="AG48" i="56"/>
  <c r="Y380" i="3" l="1"/>
  <c r="Y381" i="3" s="1"/>
  <c r="Y382" i="3" s="1"/>
  <c r="Y445" i="3"/>
  <c r="Z401" i="3"/>
  <c r="Z442" i="3" s="1"/>
  <c r="AJ438" i="3"/>
  <c r="AJ418" i="3"/>
  <c r="AL339" i="3"/>
  <c r="AL346" i="3" s="1"/>
  <c r="AK349" i="3"/>
  <c r="AH30" i="56"/>
  <c r="AH33" i="56" s="1"/>
  <c r="AH34" i="56" s="1"/>
  <c r="AI421" i="3"/>
  <c r="AI422" i="3" s="1"/>
  <c r="AH48" i="56"/>
  <c r="Z402" i="3" l="1"/>
  <c r="AA398" i="3" s="1"/>
  <c r="Y52" i="56"/>
  <c r="Y54" i="56" s="1"/>
  <c r="Y55" i="56" s="1"/>
  <c r="Z444" i="3"/>
  <c r="Z380" i="3" s="1"/>
  <c r="Z381" i="3" s="1"/>
  <c r="Z382" i="3" s="1"/>
  <c r="AM339" i="3"/>
  <c r="AM346" i="3" s="1"/>
  <c r="AL349" i="3"/>
  <c r="AI30" i="56"/>
  <c r="AI33" i="56" s="1"/>
  <c r="AI34" i="56" s="1"/>
  <c r="AJ421" i="3"/>
  <c r="AJ422" i="3" s="1"/>
  <c r="AI48" i="56"/>
  <c r="AK438" i="3"/>
  <c r="AK418" i="3"/>
  <c r="AA401" i="3" l="1"/>
  <c r="AA442" i="3" s="1"/>
  <c r="Z445" i="3"/>
  <c r="AL438" i="3"/>
  <c r="AL418" i="3"/>
  <c r="AJ30" i="56"/>
  <c r="AJ33" i="56" s="1"/>
  <c r="AJ34" i="56" s="1"/>
  <c r="AK421" i="3"/>
  <c r="AK422" i="3" s="1"/>
  <c r="AJ48" i="56"/>
  <c r="AN339" i="3"/>
  <c r="AN346" i="3" s="1"/>
  <c r="AM349" i="3"/>
  <c r="AA402" i="3" l="1"/>
  <c r="AB398" i="3" s="1"/>
  <c r="Z52" i="56"/>
  <c r="Z54" i="56" s="1"/>
  <c r="Z55" i="56" s="1"/>
  <c r="AA444" i="3"/>
  <c r="AK48" i="56"/>
  <c r="AM438" i="3"/>
  <c r="AM418" i="3"/>
  <c r="AO339" i="3"/>
  <c r="AO346" i="3" s="1"/>
  <c r="AN349" i="3"/>
  <c r="AK30" i="56"/>
  <c r="AL421" i="3"/>
  <c r="AA380" i="3" l="1"/>
  <c r="AA381" i="3" s="1"/>
  <c r="AA382" i="3" s="1"/>
  <c r="AA445" i="3"/>
  <c r="AB401" i="3"/>
  <c r="AB442" i="3" s="1"/>
  <c r="AK33" i="56"/>
  <c r="AN438" i="3"/>
  <c r="AN418" i="3"/>
  <c r="AP339" i="3"/>
  <c r="AP346" i="3" s="1"/>
  <c r="AO349" i="3"/>
  <c r="AL30" i="56"/>
  <c r="AL33" i="56" s="1"/>
  <c r="AM421" i="3"/>
  <c r="AL422" i="3"/>
  <c r="AL48" i="56"/>
  <c r="AB402" i="3" l="1"/>
  <c r="AC398" i="3" s="1"/>
  <c r="AA52" i="56"/>
  <c r="AA54" i="56" s="1"/>
  <c r="AA55" i="56" s="1"/>
  <c r="AB444" i="3"/>
  <c r="AM422" i="3"/>
  <c r="AQ339" i="3"/>
  <c r="AQ346" i="3" s="1"/>
  <c r="AP349" i="3"/>
  <c r="AO438" i="3"/>
  <c r="AO418" i="3"/>
  <c r="AN421" i="3"/>
  <c r="AM30" i="56"/>
  <c r="AM33" i="56" s="1"/>
  <c r="AM48" i="56"/>
  <c r="AK34" i="56"/>
  <c r="AB380" i="3" l="1"/>
  <c r="AB381" i="3" s="1"/>
  <c r="AB382" i="3" s="1"/>
  <c r="AB445" i="3"/>
  <c r="AC401" i="3"/>
  <c r="AC442" i="3" s="1"/>
  <c r="AP438" i="3"/>
  <c r="AP418" i="3"/>
  <c r="AR339" i="3"/>
  <c r="AR346" i="3" s="1"/>
  <c r="AQ349" i="3"/>
  <c r="AO421" i="3"/>
  <c r="AN30" i="56"/>
  <c r="AN33" i="56" s="1"/>
  <c r="AN422" i="3"/>
  <c r="AL34" i="56"/>
  <c r="AM34" i="56" s="1"/>
  <c r="AN48" i="56"/>
  <c r="AC402" i="3" l="1"/>
  <c r="AD398" i="3" s="1"/>
  <c r="AD401" i="3" s="1"/>
  <c r="AD442" i="3" s="1"/>
  <c r="AB52" i="56"/>
  <c r="AB54" i="56" s="1"/>
  <c r="AB55" i="56" s="1"/>
  <c r="AC444" i="3"/>
  <c r="AC380" i="3" s="1"/>
  <c r="AC381" i="3" s="1"/>
  <c r="AC382" i="3" s="1"/>
  <c r="AO422" i="3"/>
  <c r="AS339" i="3"/>
  <c r="AS346" i="3" s="1"/>
  <c r="AR349" i="3"/>
  <c r="AO30" i="56"/>
  <c r="AO33" i="56" s="1"/>
  <c r="AP421" i="3"/>
  <c r="AO48" i="56"/>
  <c r="AN34" i="56"/>
  <c r="AQ438" i="3"/>
  <c r="AQ418" i="3"/>
  <c r="AC445" i="3" l="1"/>
  <c r="AD402" i="3"/>
  <c r="AE398" i="3" s="1"/>
  <c r="AE401" i="3" s="1"/>
  <c r="AE442" i="3" s="1"/>
  <c r="AC52" i="56"/>
  <c r="AC54" i="56" s="1"/>
  <c r="AC55" i="56" s="1"/>
  <c r="AD444" i="3"/>
  <c r="AP30" i="56"/>
  <c r="AP33" i="56" s="1"/>
  <c r="AQ421" i="3"/>
  <c r="AP422" i="3"/>
  <c r="AR438" i="3"/>
  <c r="AR418" i="3"/>
  <c r="AT339" i="3"/>
  <c r="AT346" i="3" s="1"/>
  <c r="AS349" i="3"/>
  <c r="AP48" i="56"/>
  <c r="AO34" i="56"/>
  <c r="AE402" i="3" l="1"/>
  <c r="AF398" i="3" s="1"/>
  <c r="AF401" i="3" s="1"/>
  <c r="AE444" i="3"/>
  <c r="AE380" i="3" s="1"/>
  <c r="AE381" i="3" s="1"/>
  <c r="AE382" i="3" s="1"/>
  <c r="AD52" i="56"/>
  <c r="AD54" i="56" s="1"/>
  <c r="AD55" i="56" s="1"/>
  <c r="AD380" i="3"/>
  <c r="AD381" i="3" s="1"/>
  <c r="AD382" i="3" s="1"/>
  <c r="AD445" i="3"/>
  <c r="AE445" i="3" s="1"/>
  <c r="AQ48" i="56"/>
  <c r="AP34" i="56"/>
  <c r="AS438" i="3"/>
  <c r="AS418" i="3"/>
  <c r="AQ422" i="3"/>
  <c r="AU339" i="3"/>
  <c r="AU346" i="3" s="1"/>
  <c r="AT349" i="3"/>
  <c r="AQ30" i="56"/>
  <c r="AQ33" i="56" s="1"/>
  <c r="AR421" i="3"/>
  <c r="AF402" i="3" l="1"/>
  <c r="AG398" i="3" s="1"/>
  <c r="AF442" i="3"/>
  <c r="AR422" i="3"/>
  <c r="AR30" i="56"/>
  <c r="AR33" i="56" s="1"/>
  <c r="AS421" i="3"/>
  <c r="AS422" i="3" s="1"/>
  <c r="AQ34" i="56"/>
  <c r="AT438" i="3"/>
  <c r="AT418" i="3"/>
  <c r="AV339" i="3"/>
  <c r="AV346" i="3" s="1"/>
  <c r="AU349" i="3"/>
  <c r="AR48" i="56"/>
  <c r="AE52" i="56" l="1"/>
  <c r="AE54" i="56" s="1"/>
  <c r="AE55" i="56" s="1"/>
  <c r="AF444" i="3"/>
  <c r="AG401" i="3"/>
  <c r="AG442" i="3" s="1"/>
  <c r="AS30" i="56"/>
  <c r="AS33" i="56" s="1"/>
  <c r="AT421" i="3"/>
  <c r="AT422" i="3" s="1"/>
  <c r="AS48" i="56"/>
  <c r="AR34" i="56"/>
  <c r="AW339" i="3"/>
  <c r="AW346" i="3" s="1"/>
  <c r="AV349" i="3"/>
  <c r="AU438" i="3"/>
  <c r="AU418" i="3"/>
  <c r="AF445" i="3" l="1"/>
  <c r="AF380" i="3"/>
  <c r="AF381" i="3" s="1"/>
  <c r="AF382" i="3" s="1"/>
  <c r="AF52" i="56"/>
  <c r="AF54" i="56" s="1"/>
  <c r="AF55" i="56" s="1"/>
  <c r="AG444" i="3"/>
  <c r="AG402" i="3"/>
  <c r="AH398" i="3" s="1"/>
  <c r="AV438" i="3"/>
  <c r="AV418" i="3"/>
  <c r="AX339" i="3"/>
  <c r="AX346" i="3" s="1"/>
  <c r="AW349" i="3"/>
  <c r="AT30" i="56"/>
  <c r="AT33" i="56" s="1"/>
  <c r="AU421" i="3"/>
  <c r="AU422" i="3" s="1"/>
  <c r="AS34" i="56"/>
  <c r="AT48" i="56"/>
  <c r="AH401" i="3" l="1"/>
  <c r="AH442" i="3" s="1"/>
  <c r="AG380" i="3"/>
  <c r="AG381" i="3" s="1"/>
  <c r="AG382" i="3" s="1"/>
  <c r="AG445" i="3"/>
  <c r="AW438" i="3"/>
  <c r="AW418" i="3"/>
  <c r="AY339" i="3"/>
  <c r="AY346" i="3" s="1"/>
  <c r="AX349" i="3"/>
  <c r="AT34" i="56"/>
  <c r="AV421" i="3"/>
  <c r="AV422" i="3" s="1"/>
  <c r="AU30" i="56"/>
  <c r="AU33" i="56" s="1"/>
  <c r="AU48" i="56"/>
  <c r="AH402" i="3" l="1"/>
  <c r="AI398" i="3" s="1"/>
  <c r="AH444" i="3"/>
  <c r="AG52" i="56"/>
  <c r="AG54" i="56" s="1"/>
  <c r="AG55" i="56" s="1"/>
  <c r="AX438" i="3"/>
  <c r="AX418" i="3"/>
  <c r="AZ339" i="3"/>
  <c r="AZ346" i="3" s="1"/>
  <c r="AY349" i="3"/>
  <c r="AU34" i="56"/>
  <c r="AW421" i="3"/>
  <c r="AW422" i="3" s="1"/>
  <c r="AV30" i="56"/>
  <c r="AV33" i="56" s="1"/>
  <c r="AV48" i="56"/>
  <c r="AH380" i="3" l="1"/>
  <c r="AH381" i="3" s="1"/>
  <c r="AH382" i="3" s="1"/>
  <c r="AH445" i="3"/>
  <c r="AI401" i="3"/>
  <c r="AI442" i="3" s="1"/>
  <c r="AV34" i="56"/>
  <c r="AY438" i="3"/>
  <c r="AY418" i="3"/>
  <c r="BA339" i="3"/>
  <c r="BA346" i="3" s="1"/>
  <c r="AZ349" i="3"/>
  <c r="AW30" i="56"/>
  <c r="AW33" i="56" s="1"/>
  <c r="AX421" i="3"/>
  <c r="AX422" i="3" s="1"/>
  <c r="AW48" i="56"/>
  <c r="AI402" i="3" l="1"/>
  <c r="AJ398" i="3" s="1"/>
  <c r="AH52" i="56"/>
  <c r="AH54" i="56" s="1"/>
  <c r="AH55" i="56" s="1"/>
  <c r="AI444" i="3"/>
  <c r="AJ401" i="3"/>
  <c r="AJ442" i="3" s="1"/>
  <c r="AX48" i="56"/>
  <c r="AZ438" i="3"/>
  <c r="AZ418" i="3"/>
  <c r="AW34" i="56"/>
  <c r="AX30" i="56"/>
  <c r="AX33" i="56" s="1"/>
  <c r="AY421" i="3"/>
  <c r="AY422" i="3" s="1"/>
  <c r="BB339" i="3"/>
  <c r="BB346" i="3" s="1"/>
  <c r="BA349" i="3"/>
  <c r="AJ402" i="3" l="1"/>
  <c r="AK398" i="3" s="1"/>
  <c r="AK401" i="3" s="1"/>
  <c r="AK442" i="3" s="1"/>
  <c r="AI52" i="56"/>
  <c r="AI54" i="56" s="1"/>
  <c r="AI55" i="56" s="1"/>
  <c r="AJ444" i="3"/>
  <c r="AI380" i="3"/>
  <c r="AI381" i="3" s="1"/>
  <c r="AI382" i="3" s="1"/>
  <c r="AI445" i="3"/>
  <c r="AY30" i="56"/>
  <c r="AY33" i="56" s="1"/>
  <c r="AZ421" i="3"/>
  <c r="AZ422" i="3" s="1"/>
  <c r="AY48" i="56"/>
  <c r="BA438" i="3"/>
  <c r="BA418" i="3"/>
  <c r="AX34" i="56"/>
  <c r="BC339" i="3"/>
  <c r="BC346" i="3" s="1"/>
  <c r="BB349" i="3"/>
  <c r="AJ445" i="3" l="1"/>
  <c r="AJ380" i="3"/>
  <c r="AJ381" i="3" s="1"/>
  <c r="AJ382" i="3" s="1"/>
  <c r="AK402" i="3"/>
  <c r="AL398" i="3" s="1"/>
  <c r="AJ52" i="56"/>
  <c r="AJ54" i="56" s="1"/>
  <c r="AJ55" i="56" s="1"/>
  <c r="AK444" i="3"/>
  <c r="AY34" i="56"/>
  <c r="BA421" i="3"/>
  <c r="BA422" i="3" s="1"/>
  <c r="AZ30" i="56"/>
  <c r="AZ33" i="56" s="1"/>
  <c r="AZ48" i="56"/>
  <c r="BB438" i="3"/>
  <c r="BB418" i="3"/>
  <c r="BD339" i="3"/>
  <c r="BD346" i="3" s="1"/>
  <c r="BC349" i="3"/>
  <c r="AK380" i="3" l="1"/>
  <c r="AK381" i="3" s="1"/>
  <c r="AK382" i="3" s="1"/>
  <c r="AK445" i="3"/>
  <c r="AL401" i="3"/>
  <c r="AL442" i="3" s="1"/>
  <c r="BE339" i="3"/>
  <c r="BE346" i="3" s="1"/>
  <c r="BD349" i="3"/>
  <c r="BA48" i="56"/>
  <c r="BC438" i="3"/>
  <c r="BC418" i="3"/>
  <c r="BA30" i="56"/>
  <c r="BA33" i="56" s="1"/>
  <c r="BB421" i="3"/>
  <c r="BB422" i="3" s="1"/>
  <c r="AZ34" i="56"/>
  <c r="AK52" i="56" l="1"/>
  <c r="AK54" i="56" s="1"/>
  <c r="AK55" i="56" s="1"/>
  <c r="AL444" i="3"/>
  <c r="AL380" i="3" s="1"/>
  <c r="AL381" i="3" s="1"/>
  <c r="AL382" i="3" s="1"/>
  <c r="AL402" i="3"/>
  <c r="AM398" i="3" s="1"/>
  <c r="AM401" i="3" s="1"/>
  <c r="BF339" i="3"/>
  <c r="BF346" i="3" s="1"/>
  <c r="BE349" i="3"/>
  <c r="BD438" i="3"/>
  <c r="BD418" i="3"/>
  <c r="BA34" i="56"/>
  <c r="BB30" i="56"/>
  <c r="BB48" i="56"/>
  <c r="AL445" i="3" l="1"/>
  <c r="AM402" i="3"/>
  <c r="AN398" i="3" s="1"/>
  <c r="AM442" i="3"/>
  <c r="BC48" i="56"/>
  <c r="BC30" i="56"/>
  <c r="BE438" i="3"/>
  <c r="BE418" i="3"/>
  <c r="BG339" i="3"/>
  <c r="BG346" i="3" s="1"/>
  <c r="BF349" i="3"/>
  <c r="AL52" i="56" l="1"/>
  <c r="AL54" i="56" s="1"/>
  <c r="AL55" i="56" s="1"/>
  <c r="AM444" i="3"/>
  <c r="AN401" i="3"/>
  <c r="AN442" i="3" s="1"/>
  <c r="BD48" i="56"/>
  <c r="BD30" i="56"/>
  <c r="BF438" i="3"/>
  <c r="BF418" i="3"/>
  <c r="BG349" i="3"/>
  <c r="BH339" i="3"/>
  <c r="BH346" i="3" s="1"/>
  <c r="AN402" i="3" l="1"/>
  <c r="AO398" i="3" s="1"/>
  <c r="AO401" i="3" s="1"/>
  <c r="AO402" i="3" s="1"/>
  <c r="AP398" i="3" s="1"/>
  <c r="AM52" i="56"/>
  <c r="AM54" i="56" s="1"/>
  <c r="AM55" i="56" s="1"/>
  <c r="AN444" i="3"/>
  <c r="AN380" i="3" s="1"/>
  <c r="AN381" i="3" s="1"/>
  <c r="AN382" i="3" s="1"/>
  <c r="AM380" i="3"/>
  <c r="AM381" i="3" s="1"/>
  <c r="AM382" i="3" s="1"/>
  <c r="AM445" i="3"/>
  <c r="AN445" i="3" s="1"/>
  <c r="BE30" i="56"/>
  <c r="BG438" i="3"/>
  <c r="BG418" i="3"/>
  <c r="BI349" i="3"/>
  <c r="BH349" i="3"/>
  <c r="BI339" i="3"/>
  <c r="BE48" i="56"/>
  <c r="AO442" i="3" l="1"/>
  <c r="AO444" i="3" s="1"/>
  <c r="AN52" i="56"/>
  <c r="AN54" i="56" s="1"/>
  <c r="AN55" i="56" s="1"/>
  <c r="AP401" i="3"/>
  <c r="AP442" i="3" s="1"/>
  <c r="BH438" i="3"/>
  <c r="BH418" i="3"/>
  <c r="BI438" i="3"/>
  <c r="BI418" i="3"/>
  <c r="BF30" i="56"/>
  <c r="BF48" i="56"/>
  <c r="AP402" i="3" l="1"/>
  <c r="AQ398" i="3" s="1"/>
  <c r="AQ401" i="3" s="1"/>
  <c r="AQ442" i="3" s="1"/>
  <c r="AP444" i="3"/>
  <c r="AP380" i="3" s="1"/>
  <c r="AP381" i="3" s="1"/>
  <c r="AP382" i="3" s="1"/>
  <c r="AO52" i="56"/>
  <c r="AO54" i="56" s="1"/>
  <c r="AO55" i="56" s="1"/>
  <c r="AO445" i="3"/>
  <c r="AP445" i="3" s="1"/>
  <c r="AO380" i="3"/>
  <c r="AO381" i="3" s="1"/>
  <c r="AO382" i="3" s="1"/>
  <c r="BG48" i="56"/>
  <c r="BG30" i="56"/>
  <c r="BH30" i="56"/>
  <c r="BH48" i="56"/>
  <c r="AQ402" i="3" l="1"/>
  <c r="AR398" i="3" s="1"/>
  <c r="AR401" i="3" s="1"/>
  <c r="AR442" i="3" s="1"/>
  <c r="AP52" i="56"/>
  <c r="AP54" i="56" s="1"/>
  <c r="AP55" i="56" s="1"/>
  <c r="AQ444" i="3"/>
  <c r="AQ380" i="3" l="1"/>
  <c r="AQ381" i="3" s="1"/>
  <c r="AQ382" i="3" s="1"/>
  <c r="AQ445" i="3"/>
  <c r="AR402" i="3"/>
  <c r="AS398" i="3" s="1"/>
  <c r="AS401" i="3" s="1"/>
  <c r="AR444" i="3"/>
  <c r="AR380" i="3" s="1"/>
  <c r="AR381" i="3" s="1"/>
  <c r="AR382" i="3" s="1"/>
  <c r="AQ52" i="56"/>
  <c r="AQ54" i="56" s="1"/>
  <c r="AQ55" i="56" s="1"/>
  <c r="AS402" i="3" l="1"/>
  <c r="AT398" i="3" s="1"/>
  <c r="AS442" i="3"/>
  <c r="AR445" i="3"/>
  <c r="AR52" i="56" l="1"/>
  <c r="AR54" i="56" s="1"/>
  <c r="AR55" i="56" s="1"/>
  <c r="AS444" i="3"/>
  <c r="AT401" i="3"/>
  <c r="AT442" i="3" s="1"/>
  <c r="AT402" i="3" l="1"/>
  <c r="AU398" i="3" s="1"/>
  <c r="AS52" i="56"/>
  <c r="AS54" i="56" s="1"/>
  <c r="AS55" i="56" s="1"/>
  <c r="AT444" i="3"/>
  <c r="AS380" i="3"/>
  <c r="AS381" i="3" s="1"/>
  <c r="AS382" i="3" s="1"/>
  <c r="AS445" i="3"/>
  <c r="AT380" i="3" l="1"/>
  <c r="AT381" i="3" s="1"/>
  <c r="AT382" i="3" s="1"/>
  <c r="AT445" i="3"/>
  <c r="AU401" i="3"/>
  <c r="AU442" i="3" s="1"/>
  <c r="AU402" i="3" l="1"/>
  <c r="AV398" i="3" s="1"/>
  <c r="AU444" i="3"/>
  <c r="AT52" i="56"/>
  <c r="AT54" i="56" s="1"/>
  <c r="AT55" i="56" s="1"/>
  <c r="AU380" i="3" l="1"/>
  <c r="AU381" i="3" s="1"/>
  <c r="AU382" i="3" s="1"/>
  <c r="AU445" i="3"/>
  <c r="AV401" i="3"/>
  <c r="AV442" i="3" s="1"/>
  <c r="AV444" i="3" l="1"/>
  <c r="AU52" i="56"/>
  <c r="AU54" i="56" s="1"/>
  <c r="AU55" i="56" s="1"/>
  <c r="AV402" i="3"/>
  <c r="AW398" i="3" s="1"/>
  <c r="AW401" i="3" l="1"/>
  <c r="AW442" i="3" s="1"/>
  <c r="AV445" i="3"/>
  <c r="AV380" i="3"/>
  <c r="AV381" i="3" s="1"/>
  <c r="AV382" i="3" s="1"/>
  <c r="AW402" i="3" l="1"/>
  <c r="AX398" i="3" s="1"/>
  <c r="AX401" i="3" s="1"/>
  <c r="AX442" i="3" s="1"/>
  <c r="AW444" i="3"/>
  <c r="AV52" i="56"/>
  <c r="AV54" i="56" s="1"/>
  <c r="AV55" i="56" s="1"/>
  <c r="AW445" i="3" l="1"/>
  <c r="AW380" i="3"/>
  <c r="AW381" i="3" s="1"/>
  <c r="AW382" i="3" s="1"/>
  <c r="AX402" i="3"/>
  <c r="AY398" i="3" s="1"/>
  <c r="AX444" i="3"/>
  <c r="AW52" i="56"/>
  <c r="AW54" i="56" s="1"/>
  <c r="AW55" i="56" s="1"/>
  <c r="AX380" i="3" l="1"/>
  <c r="AX381" i="3" s="1"/>
  <c r="AX382" i="3" s="1"/>
  <c r="AX445" i="3"/>
  <c r="AY401" i="3"/>
  <c r="AY442" i="3" s="1"/>
  <c r="AY402" i="3" l="1"/>
  <c r="AZ398" i="3" s="1"/>
  <c r="AZ401" i="3" s="1"/>
  <c r="AZ442" i="3" s="1"/>
  <c r="AY444" i="3"/>
  <c r="AX52" i="56"/>
  <c r="AX54" i="56" s="1"/>
  <c r="AX55" i="56" s="1"/>
  <c r="AZ402" i="3" l="1"/>
  <c r="BA398" i="3" s="1"/>
  <c r="AY445" i="3"/>
  <c r="AY380" i="3"/>
  <c r="AY381" i="3" s="1"/>
  <c r="AY382" i="3" s="1"/>
  <c r="AZ444" i="3"/>
  <c r="AY52" i="56"/>
  <c r="AY54" i="56" s="1"/>
  <c r="AY55" i="56" s="1"/>
  <c r="BA401" i="3"/>
  <c r="BA442" i="3" s="1"/>
  <c r="BA444" i="3" l="1"/>
  <c r="BA380" i="3" s="1"/>
  <c r="BA381" i="3" s="1"/>
  <c r="BA382" i="3" s="1"/>
  <c r="AZ52" i="56"/>
  <c r="AZ54" i="56" s="1"/>
  <c r="AZ55" i="56" s="1"/>
  <c r="BA402" i="3"/>
  <c r="BB398" i="3" s="1"/>
  <c r="AZ380" i="3"/>
  <c r="AZ381" i="3" s="1"/>
  <c r="AZ382" i="3" s="1"/>
  <c r="AZ445" i="3"/>
  <c r="BA445" i="3" l="1"/>
  <c r="BB401" i="3"/>
  <c r="BB442" i="3" s="1"/>
  <c r="BB444" i="3" l="1"/>
  <c r="BA52" i="56"/>
  <c r="BA54" i="56" s="1"/>
  <c r="BA55" i="56" s="1"/>
  <c r="BB402" i="3"/>
  <c r="BC398" i="3" s="1"/>
  <c r="BC401" i="3" l="1"/>
  <c r="BC442" i="3" s="1"/>
  <c r="BB52" i="56" s="1"/>
  <c r="BB445" i="3"/>
  <c r="BB380" i="3"/>
  <c r="BB381" i="3" s="1"/>
  <c r="BB382" i="3" s="1"/>
  <c r="BC402" i="3" l="1"/>
  <c r="BD398" i="3" s="1"/>
  <c r="BD401" i="3" s="1"/>
  <c r="BD442" i="3" s="1"/>
  <c r="BC52" i="56" s="1"/>
  <c r="BD402" i="3" l="1"/>
  <c r="BE398" i="3" s="1"/>
  <c r="BE401" i="3" l="1"/>
  <c r="BE442" i="3" s="1"/>
  <c r="BD52" i="56" s="1"/>
  <c r="BE402" i="3" l="1"/>
  <c r="BF398" i="3" s="1"/>
  <c r="BF401" i="3" l="1"/>
  <c r="BF442" i="3" s="1"/>
  <c r="BE52" i="56" s="1"/>
  <c r="BF402" i="3" l="1"/>
  <c r="BG398" i="3" s="1"/>
  <c r="BG401" i="3" s="1"/>
  <c r="BG442" i="3" s="1"/>
  <c r="BF52" i="56" s="1"/>
  <c r="BG402" i="3" l="1"/>
  <c r="BH398" i="3" s="1"/>
  <c r="BH401" i="3" l="1"/>
  <c r="BH442" i="3" s="1"/>
  <c r="BG52" i="56" s="1"/>
  <c r="BH402" i="3" l="1"/>
  <c r="BI398" i="3" s="1"/>
  <c r="BI401" i="3" l="1"/>
  <c r="BI442" i="3" s="1"/>
  <c r="BH52" i="56" s="1"/>
  <c r="BI402" i="3" l="1"/>
  <c r="BJ398" i="3" s="1"/>
  <c r="BJ401" i="3" s="1"/>
  <c r="BJ402" i="3" l="1"/>
  <c r="BK398" i="3" s="1"/>
  <c r="BJ442" i="3"/>
  <c r="BI52" i="56" s="1"/>
  <c r="BK401" i="3" l="1"/>
  <c r="BK442" i="3" s="1"/>
  <c r="BJ52" i="56" s="1"/>
  <c r="BK402" i="3" l="1"/>
  <c r="BL398" i="3" s="1"/>
  <c r="BL401" i="3" s="1"/>
  <c r="BL442" i="3" s="1"/>
  <c r="BK52" i="56" s="1"/>
  <c r="BL402" i="3" l="1"/>
  <c r="BM398" i="3" s="1"/>
  <c r="BM401" i="3" s="1"/>
  <c r="BM442" i="3" s="1"/>
  <c r="BL52" i="56" s="1"/>
  <c r="BM402" i="3" l="1"/>
  <c r="BN398" i="3" s="1"/>
  <c r="BN401" i="3" s="1"/>
  <c r="BN402" i="3" s="1"/>
  <c r="BO398" i="3" s="1"/>
  <c r="BN442" i="3" l="1"/>
  <c r="BM52" i="56" s="1"/>
  <c r="BO401" i="3"/>
  <c r="BO442" i="3" s="1"/>
  <c r="BN52" i="56" s="1"/>
  <c r="BO402" i="3" l="1"/>
  <c r="BP398" i="3" s="1"/>
  <c r="BP401" i="3" l="1"/>
  <c r="BP442" i="3" s="1"/>
  <c r="BO52" i="56" s="1"/>
  <c r="BP402" i="3" l="1"/>
  <c r="BQ398" i="3" s="1"/>
  <c r="BQ401" i="3" l="1"/>
  <c r="BQ442" i="3" s="1"/>
  <c r="BP52" i="56" s="1"/>
  <c r="BQ402" i="3" l="1"/>
  <c r="BR398" i="3" s="1"/>
  <c r="BR401" i="3" l="1"/>
  <c r="BR442" i="3" s="1"/>
  <c r="BQ52" i="56" s="1"/>
  <c r="BR402" i="3" l="1"/>
  <c r="BS398" i="3" s="1"/>
  <c r="BS401" i="3" s="1"/>
  <c r="BS442" i="3" s="1"/>
  <c r="BR52" i="56" s="1"/>
  <c r="BS402" i="3" l="1"/>
  <c r="BT398" i="3" s="1"/>
  <c r="BT401" i="3" s="1"/>
  <c r="BT442" i="3" s="1"/>
  <c r="BS52" i="56" s="1"/>
  <c r="BT402" i="3" l="1"/>
  <c r="BU398" i="3" s="1"/>
  <c r="BU401" i="3" s="1"/>
  <c r="BU442" i="3" s="1"/>
  <c r="BT52" i="56" s="1"/>
  <c r="BU402" i="3" l="1"/>
  <c r="BV398" i="3" s="1"/>
  <c r="BV401" i="3" l="1"/>
  <c r="BV442" i="3" s="1"/>
  <c r="BU52" i="56" s="1"/>
  <c r="BV402" i="3" l="1"/>
  <c r="BW398" i="3" s="1"/>
  <c r="BW401" i="3" s="1"/>
  <c r="BW442" i="3" s="1"/>
  <c r="BV52" i="56" s="1"/>
  <c r="BW402" i="3" l="1"/>
  <c r="BX398" i="3" s="1"/>
  <c r="BX401" i="3" s="1"/>
  <c r="BX442" i="3" s="1"/>
  <c r="BW52" i="56" s="1"/>
  <c r="BX402" i="3" l="1"/>
  <c r="BY398" i="3" s="1"/>
  <c r="BY401" i="3" l="1"/>
  <c r="BY442" i="3" s="1"/>
  <c r="BX52" i="56" s="1"/>
  <c r="BY402" i="3" l="1"/>
  <c r="BZ398" i="3" s="1"/>
  <c r="BZ401" i="3" l="1"/>
  <c r="BZ442" i="3" s="1"/>
  <c r="BY52" i="56" s="1"/>
  <c r="BZ402" i="3" l="1"/>
  <c r="CA398" i="3" s="1"/>
  <c r="CA401" i="3" l="1"/>
  <c r="CA442" i="3" s="1"/>
  <c r="BZ52" i="56" s="1"/>
  <c r="CA402" i="3" l="1"/>
  <c r="CB398" i="3" l="1"/>
  <c r="CB401" i="3" s="1"/>
  <c r="CB442" i="3" s="1"/>
  <c r="CA52" i="56" s="1"/>
  <c r="CB405" i="3"/>
  <c r="CB402" i="3"/>
  <c r="CC398" i="3" s="1"/>
  <c r="CB406" i="3" l="1"/>
  <c r="CC401" i="3"/>
  <c r="CC442" i="3" s="1"/>
  <c r="CB52" i="56" s="1"/>
  <c r="CB443" i="3" l="1"/>
  <c r="CB70" i="3"/>
  <c r="CC402" i="3"/>
  <c r="CD398" i="3" s="1"/>
  <c r="CD401" i="3" s="1"/>
  <c r="CD442" i="3" s="1"/>
  <c r="CC52" i="56" s="1"/>
  <c r="CA53" i="56" l="1"/>
  <c r="CD402" i="3"/>
  <c r="CE398" i="3" s="1"/>
  <c r="CE401" i="3" s="1"/>
  <c r="CE442" i="3" s="1"/>
  <c r="CD52" i="56" s="1"/>
  <c r="CE402" i="3" l="1"/>
  <c r="CF398" i="3" l="1"/>
  <c r="CF405" i="3"/>
  <c r="CF401" i="3"/>
  <c r="CF442" i="3" s="1"/>
  <c r="CE52" i="56" s="1"/>
  <c r="CF406" i="3" l="1"/>
  <c r="H405" i="3"/>
  <c r="CF402" i="3"/>
  <c r="CG398" i="3" s="1"/>
  <c r="CG401" i="3" s="1"/>
  <c r="CG442" i="3" s="1"/>
  <c r="CF52" i="56" s="1"/>
  <c r="CF443" i="3" l="1"/>
  <c r="CF70" i="3"/>
  <c r="G70" i="3" s="1"/>
  <c r="H406" i="3"/>
  <c r="L111" i="2" s="1"/>
  <c r="CG402" i="3"/>
  <c r="CH398" i="3" s="1"/>
  <c r="CH401" i="3" s="1"/>
  <c r="CH442" i="3" s="1"/>
  <c r="CG52" i="56" s="1"/>
  <c r="J44" i="2" l="1"/>
  <c r="G74" i="16"/>
  <c r="CE53" i="56"/>
  <c r="G53" i="56" s="1"/>
  <c r="H443" i="3"/>
  <c r="CH402" i="3"/>
  <c r="CI398" i="3" s="1"/>
  <c r="E74" i="16" l="1"/>
  <c r="M92" i="16"/>
  <c r="G75" i="16"/>
  <c r="H74" i="16"/>
  <c r="I74" i="16"/>
  <c r="J74" i="16"/>
  <c r="L44" i="2"/>
  <c r="J62" i="2"/>
  <c r="J42" i="2"/>
  <c r="CI401" i="3"/>
  <c r="CI442" i="3" s="1"/>
  <c r="CH52" i="56" s="1"/>
  <c r="L62" i="2" l="1"/>
  <c r="L74" i="16"/>
  <c r="K74" i="16"/>
  <c r="M74" i="16"/>
  <c r="E75" i="16"/>
  <c r="T86" i="2"/>
  <c r="T84" i="2"/>
  <c r="H75" i="16"/>
  <c r="T76" i="2"/>
  <c r="J75" i="16"/>
  <c r="M75" i="16"/>
  <c r="I75" i="16"/>
  <c r="M72" i="16"/>
  <c r="M111" i="16"/>
  <c r="L92" i="16"/>
  <c r="J92" i="16"/>
  <c r="K92" i="16"/>
  <c r="L42" i="2"/>
  <c r="J60" i="2"/>
  <c r="J43" i="2"/>
  <c r="CI402" i="3"/>
  <c r="CJ398" i="3" s="1"/>
  <c r="K111" i="16" l="1"/>
  <c r="L111" i="16"/>
  <c r="J45" i="2"/>
  <c r="J61" i="2"/>
  <c r="L43" i="2"/>
  <c r="L75" i="16"/>
  <c r="K75" i="16"/>
  <c r="L60" i="2"/>
  <c r="CJ401" i="3"/>
  <c r="CJ442" i="3" s="1"/>
  <c r="CI52" i="56" s="1"/>
  <c r="L61" i="2" l="1"/>
  <c r="K43" i="2"/>
  <c r="J63" i="2"/>
  <c r="K61" i="2" s="1"/>
  <c r="K41" i="2"/>
  <c r="K40" i="2"/>
  <c r="L45" i="2"/>
  <c r="K36" i="2"/>
  <c r="K37" i="2"/>
  <c r="K38" i="2"/>
  <c r="K39" i="2"/>
  <c r="K45" i="2"/>
  <c r="K44" i="2"/>
  <c r="K42" i="2"/>
  <c r="CJ402" i="3"/>
  <c r="CK398" i="3" s="1"/>
  <c r="K58" i="2" l="1"/>
  <c r="K59" i="2"/>
  <c r="K55" i="2"/>
  <c r="L63" i="2"/>
  <c r="K54" i="2"/>
  <c r="K63" i="2"/>
  <c r="K57" i="2"/>
  <c r="K56" i="2"/>
  <c r="K62" i="2"/>
  <c r="K60" i="2"/>
  <c r="CK401" i="3"/>
  <c r="CK442" i="3" s="1"/>
  <c r="CJ52" i="56" s="1"/>
  <c r="CK402" i="3" l="1"/>
  <c r="CL398" i="3" s="1"/>
  <c r="CL401" i="3" l="1"/>
  <c r="CL442" i="3" s="1"/>
  <c r="CK52" i="56" s="1"/>
  <c r="CL402" i="3" l="1"/>
  <c r="CM398" i="3" s="1"/>
  <c r="CM401" i="3" l="1"/>
  <c r="CM442" i="3" s="1"/>
  <c r="CL52" i="56" s="1"/>
  <c r="CM402" i="3" l="1"/>
  <c r="CN398" i="3" s="1"/>
  <c r="CN401" i="3" s="1"/>
  <c r="CN442" i="3" s="1"/>
  <c r="CM52" i="56" s="1"/>
  <c r="CN402" i="3" l="1"/>
  <c r="CO398" i="3" s="1"/>
  <c r="CO401" i="3" l="1"/>
  <c r="CO442" i="3" s="1"/>
  <c r="CN52" i="56" s="1"/>
  <c r="CO402" i="3" l="1"/>
  <c r="CP398" i="3" s="1"/>
  <c r="CP401" i="3" l="1"/>
  <c r="CP442" i="3" s="1"/>
  <c r="CO52" i="56" s="1"/>
  <c r="CP402" i="3" l="1"/>
  <c r="CQ398" i="3" s="1"/>
  <c r="CQ401" i="3" l="1"/>
  <c r="CQ442" i="3" s="1"/>
  <c r="CP52" i="56" s="1"/>
  <c r="CQ402" i="3" l="1"/>
  <c r="CR398" i="3" s="1"/>
  <c r="CR401" i="3" l="1"/>
  <c r="CR442" i="3" s="1"/>
  <c r="CQ52" i="56" s="1"/>
  <c r="CR402" i="3" l="1"/>
  <c r="CS398" i="3" s="1"/>
  <c r="CS401" i="3" s="1"/>
  <c r="CS442" i="3" s="1"/>
  <c r="CR52" i="56" s="1"/>
  <c r="CS402" i="3" l="1"/>
  <c r="CT398" i="3" s="1"/>
  <c r="CT401" i="3" s="1"/>
  <c r="CT442" i="3" s="1"/>
  <c r="CS52" i="56" s="1"/>
  <c r="CT402" i="3" l="1"/>
  <c r="CU398" i="3" s="1"/>
  <c r="CU401" i="3" l="1"/>
  <c r="CU442" i="3" s="1"/>
  <c r="CT52" i="56" s="1"/>
  <c r="CU402" i="3" l="1"/>
  <c r="CV398" i="3" s="1"/>
  <c r="CV401" i="3" s="1"/>
  <c r="CV442" i="3" s="1"/>
  <c r="CU52" i="56" s="1"/>
  <c r="CV402" i="3" l="1"/>
  <c r="CW398" i="3" s="1"/>
  <c r="CW401" i="3" l="1"/>
  <c r="CW442" i="3" s="1"/>
  <c r="CV52" i="56" s="1"/>
  <c r="CW402" i="3" l="1"/>
  <c r="CX398" i="3" s="1"/>
  <c r="CX401" i="3" l="1"/>
  <c r="CX442" i="3" s="1"/>
  <c r="CW52" i="56" s="1"/>
  <c r="CX402" i="3" l="1"/>
  <c r="CY398" i="3" s="1"/>
  <c r="CY401" i="3" s="1"/>
  <c r="CY442" i="3" s="1"/>
  <c r="CX52" i="56" s="1"/>
  <c r="CY402" i="3" l="1"/>
  <c r="CZ398" i="3" s="1"/>
  <c r="CZ401" i="3" s="1"/>
  <c r="CZ442" i="3" l="1"/>
  <c r="CY52" i="56" s="1"/>
  <c r="CZ402" i="3"/>
  <c r="DA398" i="3" s="1"/>
  <c r="DA401" i="3" s="1"/>
  <c r="DA442" i="3" s="1"/>
  <c r="CZ52" i="56" s="1"/>
  <c r="DA402" i="3" l="1"/>
  <c r="DB398" i="3" s="1"/>
  <c r="DB401" i="3" s="1"/>
  <c r="DB442" i="3" s="1"/>
  <c r="DA52" i="56" s="1"/>
  <c r="DB402" i="3" l="1"/>
  <c r="DC398" i="3" s="1"/>
  <c r="DC401" i="3" s="1"/>
  <c r="DC442" i="3" s="1"/>
  <c r="DB52" i="56" s="1"/>
  <c r="DC402" i="3" l="1"/>
  <c r="DD398" i="3" s="1"/>
  <c r="DD401" i="3" l="1"/>
  <c r="DD442" i="3" s="1"/>
  <c r="DC52" i="56" s="1"/>
  <c r="DD402" i="3" l="1"/>
  <c r="DE398" i="3" s="1"/>
  <c r="DE401" i="3" l="1"/>
  <c r="DE442" i="3" s="1"/>
  <c r="DD52" i="56" s="1"/>
  <c r="DE402" i="3" l="1"/>
  <c r="DF398" i="3" s="1"/>
  <c r="DF401" i="3" l="1"/>
  <c r="DF442" i="3" s="1"/>
  <c r="DE52" i="56" s="1"/>
  <c r="DF402" i="3" l="1"/>
  <c r="DG398" i="3" s="1"/>
  <c r="DG401" i="3" s="1"/>
  <c r="DG442" i="3" s="1"/>
  <c r="DF52" i="56" s="1"/>
  <c r="DG402" i="3" l="1"/>
  <c r="DH398" i="3" s="1"/>
  <c r="DH401" i="3" s="1"/>
  <c r="DH402" i="3" s="1"/>
  <c r="DI398" i="3" s="1"/>
  <c r="DH442" i="3" l="1"/>
  <c r="DG52" i="56" s="1"/>
  <c r="DI401" i="3"/>
  <c r="DI442" i="3" s="1"/>
  <c r="DH52" i="56" s="1"/>
  <c r="DI402" i="3" l="1"/>
  <c r="DJ398" i="3" s="1"/>
  <c r="DJ401" i="3" s="1"/>
  <c r="DJ442" i="3" s="1"/>
  <c r="DI52" i="56" s="1"/>
  <c r="DJ402" i="3" l="1"/>
  <c r="DK398" i="3" s="1"/>
  <c r="DK401" i="3" s="1"/>
  <c r="DK442" i="3" s="1"/>
  <c r="DJ52" i="56" s="1"/>
  <c r="DK402" i="3" l="1"/>
  <c r="DL398" i="3" s="1"/>
  <c r="DL401" i="3" s="1"/>
  <c r="DL442" i="3" s="1"/>
  <c r="DK52" i="56" s="1"/>
  <c r="DL402" i="3" l="1"/>
  <c r="DM398" i="3" s="1"/>
  <c r="DM401" i="3" l="1"/>
  <c r="DM442" i="3" s="1"/>
  <c r="DL52" i="56" s="1"/>
  <c r="DM402" i="3" l="1"/>
  <c r="DN398" i="3" s="1"/>
  <c r="DN401" i="3" s="1"/>
  <c r="DN442" i="3" s="1"/>
  <c r="DM52" i="56" s="1"/>
  <c r="DN402" i="3" l="1"/>
  <c r="DO398" i="3" s="1"/>
  <c r="DO401" i="3" l="1"/>
  <c r="DO442" i="3" s="1"/>
  <c r="DN52" i="56" s="1"/>
  <c r="DO402" i="3" l="1"/>
  <c r="DP398" i="3" s="1"/>
  <c r="DP401" i="3" l="1"/>
  <c r="DP442" i="3" s="1"/>
  <c r="DO52" i="56" s="1"/>
  <c r="DP402" i="3" l="1"/>
  <c r="DQ398" i="3" s="1"/>
  <c r="DQ401" i="3" l="1"/>
  <c r="DQ402" i="3" s="1"/>
  <c r="DR398" i="3" s="1"/>
  <c r="DR401" i="3" l="1"/>
  <c r="DR442" i="3" s="1"/>
  <c r="DQ52" i="56" s="1"/>
  <c r="DQ442" i="3"/>
  <c r="DP52" i="56" l="1"/>
  <c r="DR402" i="3"/>
  <c r="DS398" i="3" s="1"/>
  <c r="DS401" i="3" l="1"/>
  <c r="DS402" i="3" s="1"/>
  <c r="DT398" i="3" s="1"/>
  <c r="DT401" i="3" l="1"/>
  <c r="DT442" i="3" s="1"/>
  <c r="DS52" i="56" s="1"/>
  <c r="DS442" i="3"/>
  <c r="DR52" i="56" l="1"/>
  <c r="DT402" i="3"/>
  <c r="DU398" i="3" s="1"/>
  <c r="DU401" i="3" l="1"/>
  <c r="DU402" i="3" s="1"/>
  <c r="DV398" i="3" s="1"/>
  <c r="DV401" i="3" l="1"/>
  <c r="DV442" i="3" s="1"/>
  <c r="DU52" i="56" s="1"/>
  <c r="DU442" i="3"/>
  <c r="DT52" i="56" l="1"/>
  <c r="DV402" i="3"/>
  <c r="DW398" i="3" s="1"/>
  <c r="BQ141" i="3"/>
  <c r="DW401" i="3" l="1"/>
  <c r="DW402" i="3" s="1"/>
  <c r="DX398" i="3" s="1"/>
  <c r="BR141" i="3"/>
  <c r="DX401" i="3" l="1"/>
  <c r="DX442" i="3" s="1"/>
  <c r="DW52" i="56" s="1"/>
  <c r="DW442" i="3"/>
  <c r="BS141" i="3"/>
  <c r="DX402" i="3" l="1"/>
  <c r="DY398" i="3" s="1"/>
  <c r="DY401" i="3" s="1"/>
  <c r="DY402" i="3" s="1"/>
  <c r="DV52" i="56"/>
  <c r="BT141" i="3"/>
  <c r="DY442" i="3" l="1"/>
  <c r="H401" i="3"/>
  <c r="DX52" i="56" l="1"/>
  <c r="G52" i="56" s="1"/>
  <c r="H442" i="3"/>
  <c r="H145" i="3" l="1"/>
  <c r="BO108" i="3" l="1"/>
  <c r="BO111" i="3"/>
  <c r="BO120" i="3"/>
  <c r="BO112" i="3" l="1"/>
  <c r="BO147" i="3"/>
  <c r="BO140" i="3" l="1"/>
  <c r="BP339" i="3" l="1"/>
  <c r="BO349" i="3"/>
  <c r="BO418" i="3" l="1"/>
  <c r="BO438" i="3"/>
  <c r="BN48" i="56" l="1"/>
  <c r="BN30" i="56"/>
  <c r="BO127" i="3"/>
  <c r="BO129" i="3"/>
  <c r="BO250" i="3" l="1"/>
  <c r="BO436" i="3" s="1"/>
  <c r="BN46" i="56" s="1"/>
  <c r="BO245" i="3"/>
  <c r="BO247" i="3" l="1"/>
  <c r="BO334" i="3"/>
  <c r="BO416" i="3"/>
  <c r="BN28" i="56" s="1"/>
  <c r="BO251" i="3"/>
  <c r="BC248" i="3"/>
  <c r="BC355" i="3" s="1"/>
  <c r="BC356" i="3" s="1"/>
  <c r="BC357" i="3" s="1"/>
  <c r="BO246" i="3"/>
  <c r="BC439" i="3" l="1"/>
  <c r="BC419" i="3"/>
  <c r="BC421" i="3" l="1"/>
  <c r="BB31" i="56"/>
  <c r="BC444" i="3"/>
  <c r="BB49" i="56"/>
  <c r="BB33" i="56" l="1"/>
  <c r="BB54" i="56"/>
  <c r="BC380" i="3"/>
  <c r="BC445" i="3"/>
  <c r="BC422" i="3"/>
  <c r="BC381" i="3" l="1"/>
  <c r="BB55" i="56"/>
  <c r="BB34" i="56"/>
  <c r="BC382" i="3" l="1"/>
  <c r="BP140" i="3" l="1"/>
  <c r="BP147" i="3"/>
  <c r="BP108" i="3" l="1"/>
  <c r="BP112" i="3" s="1"/>
  <c r="BQ339" i="3"/>
  <c r="BP349" i="3"/>
  <c r="BP418" i="3" s="1"/>
  <c r="BO30" i="56" s="1"/>
  <c r="BP120" i="3"/>
  <c r="BP127" i="3"/>
  <c r="BP129" i="3" l="1"/>
  <c r="BP250" i="3" s="1"/>
  <c r="BP416" i="3" s="1"/>
  <c r="BO28" i="56" s="1"/>
  <c r="BP438" i="3"/>
  <c r="BO48" i="56" s="1"/>
  <c r="BP245" i="3" l="1"/>
  <c r="BP436" i="3"/>
  <c r="BO46" i="56" s="1"/>
  <c r="BP334" i="3"/>
  <c r="BP251" i="3"/>
  <c r="BP247" i="3" l="1"/>
  <c r="BP246" i="3"/>
  <c r="BD248" i="3"/>
  <c r="BD355" i="3" s="1"/>
  <c r="BD356" i="3" s="1"/>
  <c r="BD357" i="3" s="1"/>
  <c r="BD419" i="3" l="1"/>
  <c r="BD439" i="3"/>
  <c r="BC49" i="56" l="1"/>
  <c r="BD444" i="3"/>
  <c r="BC31" i="56"/>
  <c r="BD421" i="3"/>
  <c r="BD422" i="3" l="1"/>
  <c r="BC33" i="56"/>
  <c r="BD380" i="3"/>
  <c r="BD445" i="3"/>
  <c r="BC54" i="56"/>
  <c r="BD381" i="3" l="1"/>
  <c r="BC34" i="56"/>
  <c r="BC55" i="56"/>
  <c r="BD382" i="3" l="1"/>
  <c r="BQ108" i="3" l="1"/>
  <c r="BQ111" i="3"/>
  <c r="BQ112" i="3" s="1"/>
  <c r="BQ120" i="3"/>
  <c r="BR339" i="3"/>
  <c r="BQ129" i="3" l="1"/>
  <c r="BQ349" i="3"/>
  <c r="BQ140" i="3"/>
  <c r="BQ418" i="3" l="1"/>
  <c r="BQ438" i="3"/>
  <c r="BP48" i="56" l="1"/>
  <c r="BP30" i="56"/>
  <c r="BQ245" i="3"/>
  <c r="BQ247" i="3" s="1"/>
  <c r="BQ250" i="3"/>
  <c r="BQ251" i="3" s="1"/>
  <c r="BQ246" i="3" l="1"/>
  <c r="BE248" i="3"/>
  <c r="BE355" i="3" s="1"/>
  <c r="BQ416" i="3"/>
  <c r="BP28" i="56" s="1"/>
  <c r="BQ436" i="3"/>
  <c r="BP46" i="56" s="1"/>
  <c r="BQ334" i="3"/>
  <c r="BE356" i="3" l="1"/>
  <c r="BE357" i="3" s="1"/>
  <c r="BE439" i="3" l="1"/>
  <c r="BE419" i="3"/>
  <c r="BD31" i="56" l="1"/>
  <c r="BE421" i="3"/>
  <c r="BD49" i="56"/>
  <c r="BE444" i="3"/>
  <c r="BE380" i="3" l="1"/>
  <c r="BE445" i="3"/>
  <c r="BD54" i="56"/>
  <c r="BE422" i="3"/>
  <c r="BD33" i="56"/>
  <c r="BD55" i="56" l="1"/>
  <c r="BD34" i="56"/>
  <c r="BE381" i="3"/>
  <c r="BE382" i="3" l="1"/>
  <c r="BR140" i="3" l="1"/>
  <c r="BR108" i="3"/>
  <c r="BR111" i="3"/>
  <c r="BR112" i="3" s="1"/>
  <c r="BS339" i="3" l="1"/>
  <c r="BR349" i="3"/>
  <c r="BR418" i="3" l="1"/>
  <c r="BR438" i="3"/>
  <c r="BQ48" i="56" l="1"/>
  <c r="BQ30" i="56"/>
  <c r="BR120" i="3"/>
  <c r="BR127" i="3"/>
  <c r="BR129" i="3"/>
  <c r="BR245" i="3" l="1"/>
  <c r="BR247" i="3" s="1"/>
  <c r="BR250" i="3"/>
  <c r="BR251" i="3" l="1"/>
  <c r="BR334" i="3"/>
  <c r="BR416" i="3"/>
  <c r="BR436" i="3"/>
  <c r="BR246" i="3"/>
  <c r="BF248" i="3"/>
  <c r="BF355" i="3" s="1"/>
  <c r="BQ46" i="56" l="1"/>
  <c r="BF356" i="3"/>
  <c r="BF357" i="3" s="1"/>
  <c r="BQ28" i="56"/>
  <c r="BF419" i="3" l="1"/>
  <c r="BF439" i="3"/>
  <c r="BF421" i="3" l="1"/>
  <c r="BE31" i="56"/>
  <c r="BF444" i="3"/>
  <c r="BE49" i="56"/>
  <c r="BF380" i="3" l="1"/>
  <c r="BF445" i="3"/>
  <c r="BE33" i="56"/>
  <c r="BE54" i="56"/>
  <c r="BF422" i="3"/>
  <c r="BE55" i="56" l="1"/>
  <c r="BE34" i="56"/>
  <c r="BF381" i="3"/>
  <c r="BF382" i="3" l="1"/>
  <c r="BT339" i="3" l="1"/>
  <c r="BS349" i="3"/>
  <c r="BS418" i="3" s="1"/>
  <c r="BR30" i="56" s="1"/>
  <c r="BS438" i="3" l="1"/>
  <c r="BR48" i="56" l="1"/>
  <c r="BS108" i="3" l="1"/>
  <c r="BS111" i="3"/>
  <c r="BS112" i="3" s="1"/>
  <c r="BS120" i="3"/>
  <c r="BS147" i="3"/>
  <c r="BS127" i="3"/>
  <c r="BS129" i="3" l="1"/>
  <c r="BS245" i="3" s="1"/>
  <c r="BS247" i="3" s="1"/>
  <c r="BS250" i="3" l="1"/>
  <c r="BS251" i="3" s="1"/>
  <c r="BG248" i="3"/>
  <c r="BG355" i="3" s="1"/>
  <c r="BG356" i="3" s="1"/>
  <c r="BG357" i="3" s="1"/>
  <c r="BS246" i="3"/>
  <c r="BS436" i="3" l="1"/>
  <c r="BR46" i="56" s="1"/>
  <c r="BS334" i="3"/>
  <c r="BS416" i="3"/>
  <c r="BR28" i="56" s="1"/>
  <c r="BG419" i="3"/>
  <c r="BG439" i="3"/>
  <c r="BG444" i="3" l="1"/>
  <c r="BF49" i="56"/>
  <c r="BF31" i="56"/>
  <c r="BG421" i="3"/>
  <c r="BF33" i="56" l="1"/>
  <c r="BF54" i="56"/>
  <c r="BG422" i="3"/>
  <c r="BG380" i="3"/>
  <c r="BG445" i="3"/>
  <c r="BF55" i="56" l="1"/>
  <c r="BG381" i="3"/>
  <c r="BG464" i="3"/>
  <c r="BG465" i="3"/>
  <c r="BF34" i="56"/>
  <c r="BG480" i="3" l="1"/>
  <c r="BG472" i="3"/>
  <c r="BG382" i="3"/>
  <c r="BG490" i="3" l="1"/>
  <c r="BG491" i="3" s="1"/>
  <c r="BG473" i="3"/>
  <c r="BH469" i="3" s="1"/>
  <c r="BG481" i="3"/>
  <c r="BH477" i="3" s="1"/>
  <c r="BG499" i="3"/>
  <c r="BG500" i="3" s="1"/>
  <c r="BG508" i="3" l="1"/>
  <c r="BG509" i="3"/>
  <c r="BG501" i="3"/>
  <c r="BH496" i="3" s="1"/>
  <c r="BH479" i="3"/>
  <c r="BH471" i="3"/>
  <c r="BG516" i="3"/>
  <c r="BG515" i="3"/>
  <c r="BG492" i="3"/>
  <c r="BH487" i="3" s="1"/>
  <c r="BG510" i="3" l="1"/>
  <c r="BG521" i="3"/>
  <c r="BG520" i="3"/>
  <c r="BG527" i="3"/>
  <c r="BG528" i="3" s="1"/>
  <c r="BH489" i="3"/>
  <c r="BH498" i="3"/>
  <c r="BG517" i="3"/>
  <c r="BG545" i="3"/>
  <c r="BG546" i="3" l="1"/>
  <c r="BG529" i="3"/>
  <c r="BG531" i="3"/>
  <c r="BG547" i="3" l="1"/>
  <c r="BG549" i="3"/>
  <c r="BT147" i="3" l="1"/>
  <c r="BT140" i="3"/>
  <c r="BT91" i="3"/>
  <c r="BU96" i="3" s="1"/>
  <c r="BT96" i="3" l="1"/>
  <c r="G80" i="2" s="1"/>
  <c r="G77" i="2" l="1"/>
  <c r="G78" i="2"/>
  <c r="G74" i="2"/>
  <c r="G75" i="2"/>
  <c r="G76" i="2"/>
  <c r="G73" i="2"/>
  <c r="BW141" i="3" l="1"/>
  <c r="BT108" i="3" l="1"/>
  <c r="BT111" i="3"/>
  <c r="BT112" i="3" l="1"/>
  <c r="BT349" i="3" s="1"/>
  <c r="BT438" i="3" s="1"/>
  <c r="BS48" i="56" s="1"/>
  <c r="BU339" i="3"/>
  <c r="BT120" i="3"/>
  <c r="BT127" i="3"/>
  <c r="BT129" i="3" l="1"/>
  <c r="BT250" i="3" s="1"/>
  <c r="BT251" i="3" s="1"/>
  <c r="BT245" i="3"/>
  <c r="BT247" i="3" s="1"/>
  <c r="BT418" i="3"/>
  <c r="BS30" i="56" s="1"/>
  <c r="BT416" i="3" l="1"/>
  <c r="BS28" i="56" s="1"/>
  <c r="BT334" i="3"/>
  <c r="BT436" i="3"/>
  <c r="BS46" i="56" s="1"/>
  <c r="BT246" i="3"/>
  <c r="BH248" i="3"/>
  <c r="BH355" i="3" s="1"/>
  <c r="BH356" i="3" s="1"/>
  <c r="BH357" i="3" s="1"/>
  <c r="BH419" i="3" s="1"/>
  <c r="BH439" i="3" l="1"/>
  <c r="BH444" i="3" s="1"/>
  <c r="BG49" i="56"/>
  <c r="BH421" i="3"/>
  <c r="BG31" i="56"/>
  <c r="BG33" i="56" l="1"/>
  <c r="BH422" i="3"/>
  <c r="BH380" i="3"/>
  <c r="BH445" i="3"/>
  <c r="BG54" i="56"/>
  <c r="BH464" i="3" l="1"/>
  <c r="BH465" i="3"/>
  <c r="BH381" i="3"/>
  <c r="BG55" i="56"/>
  <c r="BG34" i="56"/>
  <c r="BH382" i="3" l="1"/>
  <c r="BH480" i="3"/>
  <c r="BH472" i="3"/>
  <c r="BH499" i="3" l="1"/>
  <c r="BH500" i="3" s="1"/>
  <c r="BH515" i="3" s="1"/>
  <c r="BH481" i="3"/>
  <c r="BI477" i="3" s="1"/>
  <c r="BH490" i="3"/>
  <c r="BH473" i="3"/>
  <c r="BI469" i="3" s="1"/>
  <c r="BH491" i="3"/>
  <c r="BH516" i="3" l="1"/>
  <c r="BH517" i="3" s="1"/>
  <c r="BI471" i="3"/>
  <c r="BI479" i="3"/>
  <c r="BH508" i="3"/>
  <c r="BH509" i="3"/>
  <c r="BH501" i="3"/>
  <c r="BI496" i="3" s="1"/>
  <c r="BH492" i="3"/>
  <c r="BI487" i="3" s="1"/>
  <c r="BH545" i="3"/>
  <c r="BH510" i="3" l="1"/>
  <c r="BI489" i="3"/>
  <c r="BH520" i="3"/>
  <c r="BI498" i="3"/>
  <c r="BH546" i="3"/>
  <c r="BH527" i="3"/>
  <c r="BH521" i="3"/>
  <c r="BH528" i="3" l="1"/>
  <c r="BH547" i="3"/>
  <c r="BH549" i="3"/>
  <c r="BH529" i="3" l="1"/>
  <c r="BH531" i="3"/>
  <c r="BU108" i="3" l="1"/>
  <c r="BU111" i="3"/>
  <c r="BU112" i="3"/>
  <c r="BU120" i="3"/>
  <c r="BV339" i="3" l="1"/>
  <c r="BU349" i="3"/>
  <c r="BU418" i="3" l="1"/>
  <c r="BU438" i="3"/>
  <c r="BT30" i="56" l="1"/>
  <c r="BT48" i="56"/>
  <c r="BU127" i="3"/>
  <c r="BU129" i="3"/>
  <c r="BU250" i="3" s="1"/>
  <c r="BU251" i="3" s="1"/>
  <c r="BU436" i="3" l="1"/>
  <c r="BT46" i="56" s="1"/>
  <c r="BU416" i="3"/>
  <c r="BT28" i="56" s="1"/>
  <c r="BU334" i="3"/>
  <c r="BU245" i="3"/>
  <c r="BU247" i="3" s="1"/>
  <c r="BU246" i="3" l="1"/>
  <c r="BI248" i="3"/>
  <c r="BI355" i="3" s="1"/>
  <c r="BI356" i="3" l="1"/>
  <c r="BI357" i="3" l="1"/>
  <c r="BI419" i="3" l="1"/>
  <c r="BI439" i="3"/>
  <c r="BI444" i="3" l="1"/>
  <c r="BH49" i="56"/>
  <c r="BI421" i="3"/>
  <c r="BH31" i="56"/>
  <c r="BH54" i="56" l="1"/>
  <c r="BH33" i="56"/>
  <c r="BI422" i="3"/>
  <c r="BI380" i="3"/>
  <c r="BI445" i="3"/>
  <c r="BI381" i="3" l="1"/>
  <c r="BI465" i="3"/>
  <c r="BI464" i="3"/>
  <c r="BH34" i="56"/>
  <c r="BH55" i="56"/>
  <c r="BI480" i="3" l="1"/>
  <c r="BI472" i="3"/>
  <c r="BI382" i="3"/>
  <c r="BI473" i="3" l="1"/>
  <c r="BJ469" i="3" s="1"/>
  <c r="BI490" i="3"/>
  <c r="BI481" i="3"/>
  <c r="BJ477" i="3" s="1"/>
  <c r="BI499" i="3"/>
  <c r="BI491" i="3"/>
  <c r="BI508" i="3" s="1"/>
  <c r="BI492" i="3" l="1"/>
  <c r="BJ487" i="3" s="1"/>
  <c r="BI527" i="3"/>
  <c r="BJ471" i="3"/>
  <c r="BI509" i="3"/>
  <c r="BI520" i="3" s="1"/>
  <c r="BJ479" i="3"/>
  <c r="BI500" i="3"/>
  <c r="BI501" i="3" s="1"/>
  <c r="BJ496" i="3" s="1"/>
  <c r="BJ489" i="3" l="1"/>
  <c r="BI528" i="3"/>
  <c r="BI510" i="3"/>
  <c r="BJ498" i="3"/>
  <c r="BI515" i="3"/>
  <c r="BI516" i="3"/>
  <c r="BI521" i="3" l="1"/>
  <c r="BI545" i="3"/>
  <c r="BI531" i="3"/>
  <c r="BI529" i="3"/>
  <c r="BI517" i="3"/>
  <c r="BI546" i="3" l="1"/>
  <c r="BI549" i="3" l="1"/>
  <c r="BI547" i="3"/>
  <c r="BV108" i="3" l="1"/>
  <c r="BV112" i="3" s="1"/>
  <c r="BV120" i="3"/>
  <c r="BV349" i="3" l="1"/>
  <c r="BW339" i="3"/>
  <c r="BV418" i="3" l="1"/>
  <c r="BV438" i="3"/>
  <c r="BU48" i="56" l="1"/>
  <c r="BU30" i="56"/>
  <c r="BV127" i="3"/>
  <c r="BV129" i="3"/>
  <c r="BV250" i="3" l="1"/>
  <c r="BV436" i="3" s="1"/>
  <c r="BU46" i="56" s="1"/>
  <c r="BV245" i="3"/>
  <c r="BJ248" i="3" s="1"/>
  <c r="BJ355" i="3" s="1"/>
  <c r="BJ356" i="3" s="1"/>
  <c r="BJ357" i="3" s="1"/>
  <c r="BV251" i="3"/>
  <c r="BV416" i="3"/>
  <c r="BU28" i="56" s="1"/>
  <c r="BV334" i="3" l="1"/>
  <c r="BV247" i="3"/>
  <c r="BV246" i="3"/>
  <c r="BJ439" i="3"/>
  <c r="BJ419" i="3"/>
  <c r="BJ421" i="3" l="1"/>
  <c r="BI31" i="56"/>
  <c r="BJ444" i="3"/>
  <c r="BI49" i="56"/>
  <c r="BI54" i="56" l="1"/>
  <c r="BJ380" i="3"/>
  <c r="BJ445" i="3"/>
  <c r="BI33" i="56"/>
  <c r="BJ422" i="3"/>
  <c r="BI34" i="56" l="1"/>
  <c r="BI55" i="56"/>
  <c r="BJ465" i="3"/>
  <c r="BJ464" i="3"/>
  <c r="BJ381" i="3"/>
  <c r="BJ382" i="3" l="1"/>
  <c r="BJ472" i="3"/>
  <c r="BJ480" i="3"/>
  <c r="BJ473" i="3" l="1"/>
  <c r="BK469" i="3" s="1"/>
  <c r="BJ490" i="3"/>
  <c r="BJ491" i="3"/>
  <c r="BJ481" i="3"/>
  <c r="BK477" i="3" s="1"/>
  <c r="BJ499" i="3"/>
  <c r="BJ509" i="3" l="1"/>
  <c r="BJ500" i="3"/>
  <c r="BJ492" i="3"/>
  <c r="BK487" i="3" s="1"/>
  <c r="BK471" i="3"/>
  <c r="BK479" i="3"/>
  <c r="BJ508" i="3"/>
  <c r="BJ520" i="3" s="1"/>
  <c r="BJ516" i="3" l="1"/>
  <c r="BJ515" i="3"/>
  <c r="BJ527" i="3"/>
  <c r="BJ510" i="3"/>
  <c r="BJ501" i="3"/>
  <c r="BK496" i="3" s="1"/>
  <c r="BK489" i="3"/>
  <c r="BJ517" i="3" l="1"/>
  <c r="BJ521" i="3"/>
  <c r="BJ545" i="3"/>
  <c r="BK498" i="3"/>
  <c r="BJ528" i="3"/>
  <c r="BJ546" i="3" l="1"/>
  <c r="BJ529" i="3"/>
  <c r="BJ531" i="3"/>
  <c r="BJ549" i="3" l="1"/>
  <c r="BJ547" i="3"/>
  <c r="BV92" i="3"/>
  <c r="BV91" i="3" s="1"/>
  <c r="BV96" i="3" l="1"/>
  <c r="BW96" i="3"/>
  <c r="BW108" i="3" l="1"/>
  <c r="BW111" i="3"/>
  <c r="BW112" i="3" s="1"/>
  <c r="BW120" i="3"/>
  <c r="BW140" i="3"/>
  <c r="BW147" i="3"/>
  <c r="G345" i="3" l="1"/>
  <c r="BW349" i="3" l="1"/>
  <c r="BX339" i="3"/>
  <c r="BW418" i="3" l="1"/>
  <c r="BW438" i="3"/>
  <c r="BV48" i="56" l="1"/>
  <c r="BV30" i="56"/>
  <c r="BW127" i="3"/>
  <c r="BW129" i="3"/>
  <c r="E107" i="3" s="1"/>
  <c r="G99" i="2" s="1"/>
  <c r="BW250" i="3"/>
  <c r="BW251" i="3" s="1"/>
  <c r="BW245" i="3" l="1"/>
  <c r="BW247" i="3" s="1"/>
  <c r="BW416" i="3"/>
  <c r="BV28" i="56" s="1"/>
  <c r="BW334" i="3"/>
  <c r="BW436" i="3"/>
  <c r="BV46" i="56" s="1"/>
  <c r="BK248" i="3"/>
  <c r="BK355" i="3" s="1"/>
  <c r="BW246" i="3"/>
  <c r="BK356" i="3" l="1"/>
  <c r="BK357" i="3" s="1"/>
  <c r="BK439" i="3" l="1"/>
  <c r="BK419" i="3"/>
  <c r="BK444" i="3" l="1"/>
  <c r="BJ49" i="56"/>
  <c r="BK421" i="3"/>
  <c r="BJ31" i="56"/>
  <c r="BJ33" i="56" l="1"/>
  <c r="BK422" i="3"/>
  <c r="BJ54" i="56"/>
  <c r="BK380" i="3"/>
  <c r="BK445" i="3"/>
  <c r="BJ55" i="56" l="1"/>
  <c r="BK381" i="3"/>
  <c r="BK465" i="3"/>
  <c r="BK464" i="3"/>
  <c r="BJ34" i="56"/>
  <c r="BK480" i="3" l="1"/>
  <c r="BK382" i="3"/>
  <c r="BK472" i="3"/>
  <c r="BK473" i="3" l="1"/>
  <c r="BL469" i="3" s="1"/>
  <c r="BK490" i="3"/>
  <c r="BK481" i="3"/>
  <c r="BL477" i="3" s="1"/>
  <c r="BK499" i="3"/>
  <c r="BK491" i="3" l="1"/>
  <c r="BL471" i="3"/>
  <c r="BK500" i="3"/>
  <c r="BK501" i="3" s="1"/>
  <c r="BL496" i="3" s="1"/>
  <c r="BL479" i="3"/>
  <c r="BL498" i="3" l="1"/>
  <c r="BK509" i="3"/>
  <c r="BK508" i="3"/>
  <c r="BK492" i="3"/>
  <c r="BL487" i="3" s="1"/>
  <c r="BK516" i="3"/>
  <c r="BK515" i="3"/>
  <c r="BK545" i="3" s="1"/>
  <c r="BL489" i="3" l="1"/>
  <c r="BK510" i="3"/>
  <c r="BK527" i="3"/>
  <c r="BK546" i="3"/>
  <c r="BK521" i="3"/>
  <c r="BK517" i="3"/>
  <c r="BK520" i="3"/>
  <c r="BK528" i="3" l="1"/>
  <c r="BK547" i="3"/>
  <c r="BK549" i="3"/>
  <c r="BK531" i="3" l="1"/>
  <c r="BK529" i="3"/>
  <c r="BL464" i="3"/>
  <c r="BM464" i="3"/>
  <c r="BN464" i="3"/>
  <c r="BO464" i="3"/>
  <c r="BP464" i="3"/>
  <c r="BQ464" i="3"/>
  <c r="BR464" i="3"/>
  <c r="BS464" i="3"/>
  <c r="BT464" i="3"/>
  <c r="BU464" i="3"/>
  <c r="BV464" i="3"/>
  <c r="BW464" i="3"/>
  <c r="BL465" i="3"/>
  <c r="BM465" i="3"/>
  <c r="BN465" i="3"/>
  <c r="BO465" i="3"/>
  <c r="BP465" i="3"/>
  <c r="BQ465" i="3"/>
  <c r="BR465" i="3"/>
  <c r="BS465" i="3"/>
  <c r="BT465" i="3"/>
  <c r="BU465" i="3"/>
  <c r="BV465" i="3"/>
  <c r="BW465" i="3"/>
  <c r="BM469" i="3"/>
  <c r="BL472" i="3"/>
  <c r="BL473" i="3"/>
  <c r="BM477" i="3"/>
  <c r="BL480" i="3"/>
  <c r="BL481" i="3"/>
  <c r="BL490" i="3"/>
  <c r="BL491" i="3"/>
  <c r="BL499" i="3"/>
  <c r="BL508" i="3"/>
  <c r="BL527" i="3"/>
  <c r="BL528" i="3" l="1"/>
  <c r="BL500" i="3"/>
  <c r="BL501" i="3" s="1"/>
  <c r="BM496" i="3" s="1"/>
  <c r="BM479" i="3"/>
  <c r="BM480" i="3"/>
  <c r="BM481" i="3"/>
  <c r="BN477" i="3" s="1"/>
  <c r="BL492" i="3"/>
  <c r="BM487" i="3" s="1"/>
  <c r="BL509" i="3"/>
  <c r="BM471" i="3"/>
  <c r="BL510" i="3"/>
  <c r="BM498" i="3" l="1"/>
  <c r="BM499" i="3"/>
  <c r="BN479" i="3"/>
  <c r="BN480" i="3"/>
  <c r="BN481" i="3"/>
  <c r="BO477" i="3" s="1"/>
  <c r="BL516" i="3"/>
  <c r="BL521" i="3"/>
  <c r="BL515" i="3"/>
  <c r="BL545" i="3" s="1"/>
  <c r="BL520" i="3"/>
  <c r="BM472" i="3"/>
  <c r="BM489" i="3"/>
  <c r="BL529" i="3"/>
  <c r="BL531" i="3"/>
  <c r="BL546" i="3" l="1"/>
  <c r="BM490" i="3"/>
  <c r="BM491" i="3"/>
  <c r="BO479" i="3"/>
  <c r="BN499" i="3"/>
  <c r="BM500" i="3"/>
  <c r="BM501" i="3" s="1"/>
  <c r="BN496" i="3" s="1"/>
  <c r="BM473" i="3"/>
  <c r="BN469" i="3" s="1"/>
  <c r="BL517" i="3"/>
  <c r="BN498" i="3" l="1"/>
  <c r="BN500" i="3"/>
  <c r="BN471" i="3"/>
  <c r="BN472" i="3"/>
  <c r="BN473" i="3"/>
  <c r="BO469" i="3" s="1"/>
  <c r="BM492" i="3"/>
  <c r="BN487" i="3" s="1"/>
  <c r="BM508" i="3"/>
  <c r="BO480" i="3"/>
  <c r="BO481" i="3" s="1"/>
  <c r="BP477" i="3" s="1"/>
  <c r="BM509" i="3"/>
  <c r="BM516" i="3"/>
  <c r="BM515" i="3"/>
  <c r="BM545" i="3" s="1"/>
  <c r="BM521" i="3"/>
  <c r="BL547" i="3"/>
  <c r="BL549" i="3"/>
  <c r="BP479" i="3" l="1"/>
  <c r="BP480" i="3"/>
  <c r="BM546" i="3"/>
  <c r="BM510" i="3"/>
  <c r="BM520" i="3"/>
  <c r="BN490" i="3"/>
  <c r="BN489" i="3"/>
  <c r="BM527" i="3"/>
  <c r="BM517" i="3"/>
  <c r="BN515" i="3"/>
  <c r="BN517" i="3" s="1"/>
  <c r="BN516" i="3"/>
  <c r="BO471" i="3"/>
  <c r="BO473" i="3" s="1"/>
  <c r="BP469" i="3" s="1"/>
  <c r="BO472" i="3"/>
  <c r="BN501" i="3"/>
  <c r="BO496" i="3" s="1"/>
  <c r="BO499" i="3"/>
  <c r="BP473" i="3" l="1"/>
  <c r="BQ469" i="3" s="1"/>
  <c r="BP471" i="3"/>
  <c r="BP472" i="3"/>
  <c r="BO490" i="3"/>
  <c r="BM549" i="3"/>
  <c r="BM547" i="3"/>
  <c r="BM528" i="3"/>
  <c r="BP499" i="3"/>
  <c r="BN521" i="3"/>
  <c r="BN491" i="3"/>
  <c r="BN545" i="3"/>
  <c r="BO498" i="3"/>
  <c r="BP481" i="3"/>
  <c r="BQ477" i="3" s="1"/>
  <c r="BO500" i="3" l="1"/>
  <c r="BN546" i="3"/>
  <c r="BN509" i="3"/>
  <c r="BN508" i="3"/>
  <c r="BN527" i="3" s="1"/>
  <c r="BQ479" i="3"/>
  <c r="BQ480" i="3" s="1"/>
  <c r="BN492" i="3"/>
  <c r="BO487" i="3" s="1"/>
  <c r="BP490" i="3"/>
  <c r="BO501" i="3"/>
  <c r="BP496" i="3" s="1"/>
  <c r="BM529" i="3"/>
  <c r="BM531" i="3"/>
  <c r="BQ471" i="3"/>
  <c r="BQ472" i="3" s="1"/>
  <c r="BQ499" i="3" l="1"/>
  <c r="BQ481" i="3"/>
  <c r="BR477" i="3" s="1"/>
  <c r="BQ490" i="3"/>
  <c r="BN528" i="3"/>
  <c r="BQ473" i="3"/>
  <c r="BR469" i="3" s="1"/>
  <c r="BO489" i="3"/>
  <c r="BO491" i="3"/>
  <c r="BO492" i="3" s="1"/>
  <c r="BP487" i="3" s="1"/>
  <c r="BP498" i="3"/>
  <c r="BP500" i="3" s="1"/>
  <c r="BN520" i="3"/>
  <c r="BN549" i="3"/>
  <c r="BN547" i="3"/>
  <c r="BO515" i="3"/>
  <c r="BO516" i="3"/>
  <c r="BO545" i="3"/>
  <c r="BO521" i="3"/>
  <c r="BN510" i="3"/>
  <c r="BP515" i="3" l="1"/>
  <c r="BP517" i="3" s="1"/>
  <c r="BP516" i="3"/>
  <c r="BP501" i="3"/>
  <c r="BQ496" i="3" s="1"/>
  <c r="BP489" i="3"/>
  <c r="BP491" i="3" s="1"/>
  <c r="BR480" i="3"/>
  <c r="BR479" i="3"/>
  <c r="BR481" i="3" s="1"/>
  <c r="BS477" i="3" s="1"/>
  <c r="BN531" i="3"/>
  <c r="BN529" i="3"/>
  <c r="BO546" i="3"/>
  <c r="BO517" i="3"/>
  <c r="BO509" i="3"/>
  <c r="BO508" i="3"/>
  <c r="BR472" i="3"/>
  <c r="BR473" i="3"/>
  <c r="BS469" i="3" s="1"/>
  <c r="BR471" i="3"/>
  <c r="BS479" i="3" l="1"/>
  <c r="BS480" i="3" s="1"/>
  <c r="BP508" i="3"/>
  <c r="BP510" i="3" s="1"/>
  <c r="BP509" i="3"/>
  <c r="BP492" i="3"/>
  <c r="BQ487" i="3" s="1"/>
  <c r="BQ498" i="3"/>
  <c r="BQ500" i="3"/>
  <c r="BS471" i="3"/>
  <c r="BS472" i="3" s="1"/>
  <c r="BO510" i="3"/>
  <c r="BO549" i="3"/>
  <c r="BO547" i="3"/>
  <c r="BP521" i="3"/>
  <c r="BO527" i="3"/>
  <c r="BO520" i="3"/>
  <c r="BR499" i="3"/>
  <c r="BR490" i="3"/>
  <c r="BP545" i="3"/>
  <c r="BS490" i="3" l="1"/>
  <c r="BS499" i="3"/>
  <c r="BO528" i="3"/>
  <c r="BQ489" i="3"/>
  <c r="BQ491" i="3" s="1"/>
  <c r="BS473" i="3"/>
  <c r="BT469" i="3" s="1"/>
  <c r="BQ515" i="3"/>
  <c r="BQ545" i="3"/>
  <c r="BQ546" i="3" s="1"/>
  <c r="BQ516" i="3"/>
  <c r="BP527" i="3"/>
  <c r="BP528" i="3" s="1"/>
  <c r="BQ501" i="3"/>
  <c r="BR496" i="3" s="1"/>
  <c r="BP520" i="3"/>
  <c r="BP546" i="3"/>
  <c r="BS481" i="3"/>
  <c r="BT477" i="3" s="1"/>
  <c r="BQ509" i="3" l="1"/>
  <c r="BQ508" i="3"/>
  <c r="BQ510" i="3" s="1"/>
  <c r="BQ492" i="3"/>
  <c r="BR487" i="3" s="1"/>
  <c r="BT479" i="3"/>
  <c r="BT480" i="3" s="1"/>
  <c r="BP531" i="3"/>
  <c r="BQ517" i="3"/>
  <c r="BQ549" i="3"/>
  <c r="BP547" i="3"/>
  <c r="BQ547" i="3" s="1"/>
  <c r="BP549" i="3"/>
  <c r="BQ521" i="3"/>
  <c r="BO531" i="3"/>
  <c r="BO529" i="3"/>
  <c r="BP529" i="3" s="1"/>
  <c r="BT471" i="3"/>
  <c r="BT472" i="3"/>
  <c r="BT473" i="3"/>
  <c r="BU469" i="3" s="1"/>
  <c r="BR498" i="3"/>
  <c r="BR500" i="3"/>
  <c r="BR501" i="3" s="1"/>
  <c r="BS496" i="3" s="1"/>
  <c r="BT499" i="3" l="1"/>
  <c r="BT481" i="3"/>
  <c r="BU477" i="3" s="1"/>
  <c r="BS498" i="3"/>
  <c r="BR489" i="3"/>
  <c r="BR492" i="3" s="1"/>
  <c r="BS487" i="3" s="1"/>
  <c r="BR491" i="3"/>
  <c r="BU471" i="3"/>
  <c r="BU472" i="3" s="1"/>
  <c r="BQ520" i="3"/>
  <c r="BR516" i="3"/>
  <c r="BR515" i="3"/>
  <c r="BR517" i="3" s="1"/>
  <c r="BR545" i="3"/>
  <c r="BR546" i="3" s="1"/>
  <c r="BR521" i="3"/>
  <c r="BT490" i="3"/>
  <c r="BQ527" i="3"/>
  <c r="BQ528" i="3" s="1"/>
  <c r="BS489" i="3" l="1"/>
  <c r="BS492" i="3" s="1"/>
  <c r="BT487" i="3" s="1"/>
  <c r="BS491" i="3"/>
  <c r="BU490" i="3"/>
  <c r="BU479" i="3"/>
  <c r="BU480" i="3"/>
  <c r="BQ529" i="3"/>
  <c r="BQ531" i="3"/>
  <c r="BR547" i="3"/>
  <c r="BR549" i="3"/>
  <c r="BR508" i="3"/>
  <c r="BR527" i="3" s="1"/>
  <c r="BR528" i="3" s="1"/>
  <c r="BR509" i="3"/>
  <c r="BR520" i="3"/>
  <c r="BS500" i="3"/>
  <c r="BU473" i="3"/>
  <c r="BV469" i="3" s="1"/>
  <c r="BR529" i="3" l="1"/>
  <c r="BR531" i="3"/>
  <c r="BT489" i="3"/>
  <c r="BT491" i="3"/>
  <c r="BS521" i="3"/>
  <c r="BS515" i="3"/>
  <c r="BS517" i="3" s="1"/>
  <c r="BS545" i="3"/>
  <c r="BS546" i="3" s="1"/>
  <c r="BS516" i="3"/>
  <c r="BU499" i="3"/>
  <c r="BV471" i="3"/>
  <c r="BV472" i="3"/>
  <c r="BV473" i="3" s="1"/>
  <c r="BW469" i="3" s="1"/>
  <c r="BU481" i="3"/>
  <c r="BV477" i="3" s="1"/>
  <c r="BS509" i="3"/>
  <c r="BS508" i="3"/>
  <c r="BS510" i="3" s="1"/>
  <c r="BR510" i="3"/>
  <c r="BS501" i="3"/>
  <c r="BT496" i="3" s="1"/>
  <c r="BW471" i="3" l="1"/>
  <c r="BW472" i="3"/>
  <c r="BT509" i="3"/>
  <c r="BT508" i="3"/>
  <c r="BT510" i="3" s="1"/>
  <c r="BS547" i="3"/>
  <c r="BS549" i="3"/>
  <c r="BV479" i="3"/>
  <c r="BV480" i="3"/>
  <c r="BV481" i="3"/>
  <c r="BW477" i="3" s="1"/>
  <c r="BT492" i="3"/>
  <c r="BU487" i="3" s="1"/>
  <c r="BS527" i="3"/>
  <c r="BS528" i="3" s="1"/>
  <c r="BV490" i="3"/>
  <c r="BT498" i="3"/>
  <c r="BT501" i="3" s="1"/>
  <c r="BU496" i="3" s="1"/>
  <c r="BT500" i="3"/>
  <c r="BS520" i="3"/>
  <c r="BW473" i="3" l="1"/>
  <c r="BX469" i="3" s="1"/>
  <c r="BU498" i="3"/>
  <c r="BU500" i="3"/>
  <c r="BX471" i="3"/>
  <c r="BT516" i="3"/>
  <c r="BT521" i="3"/>
  <c r="BT515" i="3"/>
  <c r="BT545" i="3"/>
  <c r="BT546" i="3" s="1"/>
  <c r="BT527" i="3"/>
  <c r="BT528" i="3" s="1"/>
  <c r="BU489" i="3"/>
  <c r="BU491" i="3"/>
  <c r="BU492" i="3" s="1"/>
  <c r="BV487" i="3" s="1"/>
  <c r="BV499" i="3"/>
  <c r="BW490" i="3"/>
  <c r="BS529" i="3"/>
  <c r="BS531" i="3"/>
  <c r="BW479" i="3"/>
  <c r="BW480" i="3"/>
  <c r="BT520" i="3"/>
  <c r="BW481" i="3" l="1"/>
  <c r="BX477" i="3" s="1"/>
  <c r="BX479" i="3"/>
  <c r="BV489" i="3"/>
  <c r="BV491" i="3"/>
  <c r="BU508" i="3"/>
  <c r="BU510" i="3" s="1"/>
  <c r="BU509" i="3"/>
  <c r="BT529" i="3"/>
  <c r="BT531" i="3"/>
  <c r="BU516" i="3"/>
  <c r="BU521" i="3"/>
  <c r="BU515" i="3"/>
  <c r="BU517" i="3" s="1"/>
  <c r="BW499" i="3"/>
  <c r="BT547" i="3"/>
  <c r="BT549" i="3"/>
  <c r="BU501" i="3"/>
  <c r="BV496" i="3" s="1"/>
  <c r="BT517" i="3"/>
  <c r="BV509" i="3" l="1"/>
  <c r="BV508" i="3"/>
  <c r="BV510" i="3" s="1"/>
  <c r="BV492" i="3"/>
  <c r="BW487" i="3" s="1"/>
  <c r="BU545" i="3"/>
  <c r="BU546" i="3" s="1"/>
  <c r="BV498" i="3"/>
  <c r="BU527" i="3"/>
  <c r="BU528" i="3" s="1"/>
  <c r="BU520" i="3"/>
  <c r="BV520" i="3" l="1"/>
  <c r="BW489" i="3"/>
  <c r="BW491" i="3"/>
  <c r="BW492" i="3" s="1"/>
  <c r="BX487" i="3" s="1"/>
  <c r="BV527" i="3"/>
  <c r="BV528" i="3" s="1"/>
  <c r="BU549" i="3"/>
  <c r="BU547" i="3"/>
  <c r="BU529" i="3"/>
  <c r="BU531" i="3"/>
  <c r="BV500" i="3"/>
  <c r="BX489" i="3" l="1"/>
  <c r="BV516" i="3"/>
  <c r="BV515" i="3"/>
  <c r="BV517" i="3" s="1"/>
  <c r="BV531" i="3"/>
  <c r="BV529" i="3"/>
  <c r="BW509" i="3"/>
  <c r="BW508" i="3"/>
  <c r="BW510" i="3" s="1"/>
  <c r="BV501" i="3"/>
  <c r="BW496" i="3" s="1"/>
  <c r="BW527" i="3" l="1"/>
  <c r="BW528" i="3" s="1"/>
  <c r="BW498" i="3"/>
  <c r="BW500" i="3"/>
  <c r="BV521" i="3"/>
  <c r="BW531" i="3"/>
  <c r="BW529" i="3"/>
  <c r="BV545" i="3"/>
  <c r="BV546" i="3" s="1"/>
  <c r="BW520" i="3"/>
  <c r="BV549" i="3" l="1"/>
  <c r="BV547" i="3"/>
  <c r="BW515" i="3"/>
  <c r="BW545" i="3" s="1"/>
  <c r="BW546" i="3" s="1"/>
  <c r="BW516" i="3"/>
  <c r="BW521" i="3" s="1"/>
  <c r="BW501" i="3"/>
  <c r="BX496" i="3" s="1"/>
  <c r="BW549" i="3" l="1"/>
  <c r="BW547" i="3"/>
  <c r="BX498" i="3"/>
  <c r="BW517" i="3"/>
  <c r="BX464" i="3"/>
  <c r="BY464" i="3"/>
  <c r="BZ464" i="3"/>
  <c r="CA464" i="3"/>
  <c r="CB464" i="3"/>
  <c r="CC464" i="3"/>
  <c r="CD464" i="3"/>
  <c r="CE464" i="3"/>
  <c r="BX465" i="3"/>
  <c r="BY465" i="3"/>
  <c r="BZ465" i="3"/>
  <c r="CA465" i="3"/>
  <c r="CB465" i="3"/>
  <c r="CC465" i="3"/>
  <c r="CD465" i="3"/>
  <c r="CE465" i="3"/>
  <c r="BX472" i="3"/>
  <c r="BX480" i="3"/>
  <c r="BX490" i="3"/>
  <c r="BX499" i="3"/>
  <c r="BX500" i="3" l="1"/>
  <c r="BX481" i="3"/>
  <c r="BY477" i="3" s="1"/>
  <c r="BX473" i="3"/>
  <c r="BY469" i="3" s="1"/>
  <c r="BX491" i="3"/>
  <c r="BY479" i="3" l="1"/>
  <c r="BX509" i="3"/>
  <c r="BX508" i="3"/>
  <c r="BX527" i="3"/>
  <c r="BX515" i="3"/>
  <c r="BX545" i="3"/>
  <c r="BX516" i="3"/>
  <c r="BX521" i="3" s="1"/>
  <c r="BX492" i="3"/>
  <c r="BY487" i="3" s="1"/>
  <c r="BY471" i="3"/>
  <c r="BX501" i="3"/>
  <c r="BY496" i="3" s="1"/>
  <c r="BX528" i="3" l="1"/>
  <c r="BX510" i="3"/>
  <c r="BY489" i="3"/>
  <c r="BX520" i="3"/>
  <c r="BX546" i="3"/>
  <c r="BY472" i="3"/>
  <c r="BY473" i="3" s="1"/>
  <c r="BZ469" i="3" s="1"/>
  <c r="BY498" i="3"/>
  <c r="BX517" i="3"/>
  <c r="BY480" i="3"/>
  <c r="BZ471" i="3" l="1"/>
  <c r="BY499" i="3"/>
  <c r="BY481" i="3"/>
  <c r="BZ477" i="3" s="1"/>
  <c r="BX549" i="3"/>
  <c r="BX547" i="3"/>
  <c r="BX531" i="3"/>
  <c r="BX529" i="3"/>
  <c r="BY490" i="3"/>
  <c r="BY491" i="3" s="1"/>
  <c r="BY509" i="3" l="1"/>
  <c r="BY508" i="3"/>
  <c r="BY527" i="3"/>
  <c r="BZ480" i="3"/>
  <c r="BZ479" i="3"/>
  <c r="BY500" i="3"/>
  <c r="BY492" i="3"/>
  <c r="BZ487" i="3" s="1"/>
  <c r="BZ472" i="3"/>
  <c r="BY501" i="3" l="1"/>
  <c r="BZ496" i="3" s="1"/>
  <c r="BY515" i="3"/>
  <c r="BY516" i="3"/>
  <c r="BY528" i="3"/>
  <c r="BZ499" i="3"/>
  <c r="BZ491" i="3"/>
  <c r="BZ490" i="3"/>
  <c r="BZ473" i="3"/>
  <c r="CA469" i="3" s="1"/>
  <c r="BY510" i="3"/>
  <c r="BY520" i="3"/>
  <c r="BZ489" i="3"/>
  <c r="BZ481" i="3"/>
  <c r="CA477" i="3" s="1"/>
  <c r="BY531" i="3" l="1"/>
  <c r="BY529" i="3"/>
  <c r="BY517" i="3"/>
  <c r="BZ492" i="3"/>
  <c r="CA487" i="3" s="1"/>
  <c r="BZ498" i="3"/>
  <c r="BZ508" i="3"/>
  <c r="BY545" i="3"/>
  <c r="BZ509" i="3"/>
  <c r="BY521" i="3"/>
  <c r="CA471" i="3"/>
  <c r="CA479" i="3"/>
  <c r="BZ500" i="3"/>
  <c r="CA472" i="3" l="1"/>
  <c r="BZ510" i="3"/>
  <c r="BZ520" i="3"/>
  <c r="BY546" i="3"/>
  <c r="BZ516" i="3"/>
  <c r="BZ515" i="3"/>
  <c r="BZ521" i="3"/>
  <c r="BZ501" i="3"/>
  <c r="CA496" i="3" s="1"/>
  <c r="CA489" i="3"/>
  <c r="CA480" i="3"/>
  <c r="CA481" i="3"/>
  <c r="CB477" i="3" s="1"/>
  <c r="BZ527" i="3"/>
  <c r="BY549" i="3" l="1"/>
  <c r="BY547" i="3"/>
  <c r="BZ517" i="3"/>
  <c r="BZ528" i="3"/>
  <c r="CA498" i="3"/>
  <c r="BZ545" i="3"/>
  <c r="CA490" i="3"/>
  <c r="CA491" i="3" s="1"/>
  <c r="CB481" i="3"/>
  <c r="CC477" i="3" s="1"/>
  <c r="CB480" i="3"/>
  <c r="CB479" i="3"/>
  <c r="CA499" i="3"/>
  <c r="CA500" i="3" s="1"/>
  <c r="CA473" i="3"/>
  <c r="CB469" i="3" s="1"/>
  <c r="CA509" i="3" l="1"/>
  <c r="CA508" i="3"/>
  <c r="CA527" i="3"/>
  <c r="CA501" i="3"/>
  <c r="CB496" i="3" s="1"/>
  <c r="CA515" i="3"/>
  <c r="CA516" i="3"/>
  <c r="CA492" i="3"/>
  <c r="CB487" i="3" s="1"/>
  <c r="BZ546" i="3"/>
  <c r="CC479" i="3"/>
  <c r="CB471" i="3"/>
  <c r="BZ531" i="3"/>
  <c r="BZ529" i="3"/>
  <c r="CB499" i="3"/>
  <c r="CA517" i="3" l="1"/>
  <c r="CB472" i="3"/>
  <c r="BZ549" i="3"/>
  <c r="BZ547" i="3"/>
  <c r="CB498" i="3"/>
  <c r="CB489" i="3"/>
  <c r="CA528" i="3"/>
  <c r="CA510" i="3"/>
  <c r="CA521" i="3"/>
  <c r="CC480" i="3"/>
  <c r="CA520" i="3"/>
  <c r="CB500" i="3"/>
  <c r="CA545" i="3"/>
  <c r="CB516" i="3" l="1"/>
  <c r="CB515" i="3"/>
  <c r="CB545" i="3"/>
  <c r="CB546" i="3" s="1"/>
  <c r="CB521" i="3"/>
  <c r="CB491" i="3"/>
  <c r="CB520" i="3" s="1"/>
  <c r="CB490" i="3"/>
  <c r="CB492" i="3" s="1"/>
  <c r="CC487" i="3" s="1"/>
  <c r="CB509" i="3"/>
  <c r="CB527" i="3"/>
  <c r="CB508" i="3"/>
  <c r="CA531" i="3"/>
  <c r="CA529" i="3"/>
  <c r="CB501" i="3"/>
  <c r="CC496" i="3" s="1"/>
  <c r="CA546" i="3"/>
  <c r="CC499" i="3"/>
  <c r="CC481" i="3"/>
  <c r="CD477" i="3" s="1"/>
  <c r="CB473" i="3"/>
  <c r="CC469" i="3" s="1"/>
  <c r="CC489" i="3" l="1"/>
  <c r="CB510" i="3"/>
  <c r="CB549" i="3"/>
  <c r="CB547" i="3"/>
  <c r="CB517" i="3"/>
  <c r="CB528" i="3"/>
  <c r="CC472" i="3"/>
  <c r="CC471" i="3"/>
  <c r="CC473" i="3" s="1"/>
  <c r="CD469" i="3" s="1"/>
  <c r="CD479" i="3"/>
  <c r="CC498" i="3"/>
  <c r="CA549" i="3"/>
  <c r="CA547" i="3"/>
  <c r="CD471" i="3" l="1"/>
  <c r="CD480" i="3"/>
  <c r="CC491" i="3"/>
  <c r="CC508" i="3" s="1"/>
  <c r="CC490" i="3"/>
  <c r="CC500" i="3"/>
  <c r="CC501" i="3" s="1"/>
  <c r="CD496" i="3" s="1"/>
  <c r="CB531" i="3"/>
  <c r="CB529" i="3"/>
  <c r="CD498" i="3" l="1"/>
  <c r="CD499" i="3"/>
  <c r="CC515" i="3"/>
  <c r="CC516" i="3"/>
  <c r="CC521" i="3"/>
  <c r="CC492" i="3"/>
  <c r="CD487" i="3" s="1"/>
  <c r="CD481" i="3"/>
  <c r="CE477" i="3" s="1"/>
  <c r="CC527" i="3"/>
  <c r="CC528" i="3" s="1"/>
  <c r="CC509" i="3"/>
  <c r="CC510" i="3" s="1"/>
  <c r="CD472" i="3"/>
  <c r="CD473" i="3" s="1"/>
  <c r="CE469" i="3" s="1"/>
  <c r="CE471" i="3" l="1"/>
  <c r="CD500" i="3"/>
  <c r="CD501" i="3" s="1"/>
  <c r="CE496" i="3" s="1"/>
  <c r="CE479" i="3"/>
  <c r="CC517" i="3"/>
  <c r="CD489" i="3"/>
  <c r="CD491" i="3" s="1"/>
  <c r="CC520" i="3"/>
  <c r="CD490" i="3"/>
  <c r="CC545" i="3"/>
  <c r="CC531" i="3"/>
  <c r="CC529" i="3"/>
  <c r="CE498" i="3" l="1"/>
  <c r="CD509" i="3"/>
  <c r="CD508" i="3"/>
  <c r="CD510" i="3" s="1"/>
  <c r="CE473" i="3"/>
  <c r="CF469" i="3" s="1"/>
  <c r="CE480" i="3"/>
  <c r="CC546" i="3"/>
  <c r="CD492" i="3"/>
  <c r="CE487" i="3" s="1"/>
  <c r="CE472" i="3"/>
  <c r="CD516" i="3"/>
  <c r="CD515" i="3"/>
  <c r="CD517" i="3" s="1"/>
  <c r="CD527" i="3" l="1"/>
  <c r="CD528" i="3" s="1"/>
  <c r="CE489" i="3"/>
  <c r="CE492" i="3" s="1"/>
  <c r="CF487" i="3" s="1"/>
  <c r="CD520" i="3"/>
  <c r="CD545" i="3"/>
  <c r="CD546" i="3" s="1"/>
  <c r="CF471" i="3"/>
  <c r="CC549" i="3"/>
  <c r="CC547" i="3"/>
  <c r="CE491" i="3"/>
  <c r="CE508" i="3" s="1"/>
  <c r="CE510" i="3" s="1"/>
  <c r="CE490" i="3"/>
  <c r="CE509" i="3"/>
  <c r="CD521" i="3"/>
  <c r="CE499" i="3"/>
  <c r="CE481" i="3"/>
  <c r="CF477" i="3" s="1"/>
  <c r="CE501" i="3" l="1"/>
  <c r="CF496" i="3" s="1"/>
  <c r="CF489" i="3"/>
  <c r="CE500" i="3"/>
  <c r="CD547" i="3"/>
  <c r="CD549" i="3"/>
  <c r="CE520" i="3"/>
  <c r="CE527" i="3"/>
  <c r="CE528" i="3" s="1"/>
  <c r="CD531" i="3"/>
  <c r="CD529" i="3"/>
  <c r="CF479" i="3"/>
  <c r="CE529" i="3" l="1"/>
  <c r="CE531" i="3"/>
  <c r="CE516" i="3"/>
  <c r="CE515" i="3"/>
  <c r="CE517" i="3" s="1"/>
  <c r="CE521" i="3"/>
  <c r="CE545" i="3"/>
  <c r="CE546" i="3" s="1"/>
  <c r="CF498" i="3"/>
  <c r="CE549" i="3" l="1"/>
  <c r="CE547" i="3"/>
  <c r="CA91" i="3"/>
  <c r="CB91" i="3" s="1"/>
  <c r="CC91" i="3" s="1"/>
  <c r="CC92" i="3" s="1"/>
  <c r="CC94" i="3" s="1"/>
  <c r="CC95" i="3" s="1"/>
  <c r="CC102" i="3" s="1"/>
  <c r="CC132" i="3" s="1"/>
  <c r="BY132" i="3"/>
  <c r="BZ92" i="3"/>
  <c r="BZ94" i="3" s="1"/>
  <c r="BZ95" i="3" s="1"/>
  <c r="BZ102" i="3" s="1"/>
  <c r="BY141" i="3" l="1"/>
  <c r="BY144" i="3"/>
  <c r="CC123" i="3"/>
  <c r="CC125" i="3" s="1"/>
  <c r="CC141" i="3"/>
  <c r="BZ117" i="3"/>
  <c r="BZ144" i="3"/>
  <c r="BZ132" i="3"/>
  <c r="CC117" i="3"/>
  <c r="CA92" i="3"/>
  <c r="CA94" i="3" s="1"/>
  <c r="CA95" i="3" s="1"/>
  <c r="CA102" i="3" s="1"/>
  <c r="CA106" i="3" s="1"/>
  <c r="CC144" i="3"/>
  <c r="CC106" i="3"/>
  <c r="CC109" i="3"/>
  <c r="BZ109" i="3"/>
  <c r="BZ106" i="3"/>
  <c r="CD91" i="3"/>
  <c r="CB92" i="3"/>
  <c r="CB94" i="3" s="1"/>
  <c r="CB95" i="3" s="1"/>
  <c r="CB102" i="3" s="1"/>
  <c r="BX141" i="3" l="1"/>
  <c r="BZ123" i="3"/>
  <c r="BZ125" i="3" s="1"/>
  <c r="BZ141" i="3"/>
  <c r="CA109" i="3"/>
  <c r="CA144" i="3"/>
  <c r="CA117" i="3"/>
  <c r="CA132" i="3"/>
  <c r="CE91" i="3"/>
  <c r="CD92" i="3"/>
  <c r="CD94" i="3" s="1"/>
  <c r="CD95" i="3" s="1"/>
  <c r="CD102" i="3" s="1"/>
  <c r="CD109" i="3" s="1"/>
  <c r="CB106" i="3"/>
  <c r="CB109" i="3"/>
  <c r="CB117" i="3"/>
  <c r="CB132" i="3"/>
  <c r="CB144" i="3"/>
  <c r="CA123" i="3" l="1"/>
  <c r="CA125" i="3" s="1"/>
  <c r="CA141" i="3"/>
  <c r="CD106" i="3"/>
  <c r="CD132" i="3"/>
  <c r="CD144" i="3"/>
  <c r="CB123" i="3"/>
  <c r="CB141" i="3"/>
  <c r="CE92" i="3"/>
  <c r="CE94" i="3" s="1"/>
  <c r="CE95" i="3" s="1"/>
  <c r="CE102" i="3" s="1"/>
  <c r="CE109" i="3" s="1"/>
  <c r="CF91" i="3"/>
  <c r="CD117" i="3"/>
  <c r="CE117" i="3" l="1"/>
  <c r="CB125" i="3"/>
  <c r="CG91" i="3"/>
  <c r="CF92" i="3"/>
  <c r="CF94" i="3" s="1"/>
  <c r="CF95" i="3" s="1"/>
  <c r="CF102" i="3" s="1"/>
  <c r="CD123" i="3"/>
  <c r="CD141" i="3"/>
  <c r="CE106" i="3"/>
  <c r="CE132" i="3"/>
  <c r="CE144" i="3"/>
  <c r="CF106" i="3" l="1"/>
  <c r="CF132" i="3"/>
  <c r="CF144" i="3"/>
  <c r="CF117" i="3"/>
  <c r="CE123" i="3"/>
  <c r="CE141" i="3"/>
  <c r="CF109" i="3"/>
  <c r="CG92" i="3"/>
  <c r="CG94" i="3" s="1"/>
  <c r="CG95" i="3" s="1"/>
  <c r="CG102" i="3" s="1"/>
  <c r="CG109" i="3" s="1"/>
  <c r="CH91" i="3"/>
  <c r="CD125" i="3"/>
  <c r="CF123" i="3" l="1"/>
  <c r="CF141" i="3"/>
  <c r="CG106" i="3"/>
  <c r="CG144" i="3"/>
  <c r="CG132" i="3"/>
  <c r="CG117" i="3"/>
  <c r="CE125" i="3"/>
  <c r="CI91" i="3"/>
  <c r="CH92" i="3"/>
  <c r="CH94" i="3" s="1"/>
  <c r="CH95" i="3" s="1"/>
  <c r="CH102" i="3" s="1"/>
  <c r="CH106" i="3" l="1"/>
  <c r="CH144" i="3"/>
  <c r="CH132" i="3"/>
  <c r="CF125" i="3"/>
  <c r="CG123" i="3"/>
  <c r="CG141" i="3"/>
  <c r="CH109" i="3"/>
  <c r="CI92" i="3"/>
  <c r="CI94" i="3" s="1"/>
  <c r="CI95" i="3" s="1"/>
  <c r="CI102" i="3" s="1"/>
  <c r="CI117" i="3" s="1"/>
  <c r="CJ91" i="3"/>
  <c r="CH117" i="3"/>
  <c r="CH123" i="3" l="1"/>
  <c r="CH141" i="3"/>
  <c r="CK91" i="3"/>
  <c r="CJ92" i="3"/>
  <c r="CJ94" i="3" s="1"/>
  <c r="CJ95" i="3" s="1"/>
  <c r="CJ102" i="3" s="1"/>
  <c r="CJ109" i="3" s="1"/>
  <c r="CI106" i="3"/>
  <c r="CI144" i="3"/>
  <c r="CI132" i="3"/>
  <c r="CI109" i="3"/>
  <c r="CG125" i="3"/>
  <c r="CJ117" i="3" l="1"/>
  <c r="CK92" i="3"/>
  <c r="CK94" i="3" s="1"/>
  <c r="CK95" i="3" s="1"/>
  <c r="CK102" i="3" s="1"/>
  <c r="CK109" i="3" s="1"/>
  <c r="CL91" i="3"/>
  <c r="CI123" i="3"/>
  <c r="CI141" i="3"/>
  <c r="CJ106" i="3"/>
  <c r="CJ132" i="3"/>
  <c r="CJ144" i="3"/>
  <c r="CH125" i="3"/>
  <c r="CK117" i="3" l="1"/>
  <c r="CM91" i="3"/>
  <c r="CL92" i="3"/>
  <c r="CL94" i="3" s="1"/>
  <c r="CL95" i="3" s="1"/>
  <c r="CL102" i="3" s="1"/>
  <c r="CL117" i="3" s="1"/>
  <c r="CK106" i="3"/>
  <c r="CK132" i="3"/>
  <c r="CK144" i="3"/>
  <c r="CJ123" i="3"/>
  <c r="CJ141" i="3"/>
  <c r="CI125" i="3"/>
  <c r="CL109" i="3" l="1"/>
  <c r="CL106" i="3"/>
  <c r="CL132" i="3"/>
  <c r="CL144" i="3"/>
  <c r="CM92" i="3"/>
  <c r="CM94" i="3" s="1"/>
  <c r="CM95" i="3" s="1"/>
  <c r="CM102" i="3" s="1"/>
  <c r="CM109" i="3" s="1"/>
  <c r="CN91" i="3"/>
  <c r="CJ125" i="3"/>
  <c r="CK123" i="3"/>
  <c r="CK141" i="3"/>
  <c r="CM117" i="3" l="1"/>
  <c r="CL123" i="3"/>
  <c r="CL141" i="3"/>
  <c r="CK125" i="3"/>
  <c r="CO91" i="3"/>
  <c r="CN92" i="3"/>
  <c r="CN94" i="3" s="1"/>
  <c r="CN95" i="3" s="1"/>
  <c r="CN102" i="3" s="1"/>
  <c r="CM106" i="3"/>
  <c r="CM132" i="3"/>
  <c r="CM144" i="3"/>
  <c r="CN106" i="3" l="1"/>
  <c r="CN132" i="3"/>
  <c r="CN144" i="3"/>
  <c r="CM123" i="3"/>
  <c r="CM141" i="3"/>
  <c r="CL125" i="3"/>
  <c r="CN109" i="3"/>
  <c r="CN117" i="3"/>
  <c r="CP91" i="3"/>
  <c r="CO92" i="3"/>
  <c r="CO94" i="3" s="1"/>
  <c r="CO95" i="3" s="1"/>
  <c r="CO102" i="3" s="1"/>
  <c r="CO109" i="3" s="1"/>
  <c r="CM125" i="3" l="1"/>
  <c r="CN123" i="3"/>
  <c r="CN141" i="3"/>
  <c r="CO117" i="3"/>
  <c r="CO106" i="3"/>
  <c r="CO144" i="3"/>
  <c r="CO132" i="3"/>
  <c r="CQ91" i="3"/>
  <c r="CP92" i="3"/>
  <c r="CP94" i="3" s="1"/>
  <c r="CP95" i="3" s="1"/>
  <c r="CP102" i="3" s="1"/>
  <c r="CP109" i="3" s="1"/>
  <c r="CN125" i="3" l="1"/>
  <c r="CP117" i="3"/>
  <c r="CO141" i="3"/>
  <c r="CO123" i="3"/>
  <c r="CP106" i="3"/>
  <c r="CP144" i="3"/>
  <c r="CP132" i="3"/>
  <c r="CQ92" i="3"/>
  <c r="CQ94" i="3" s="1"/>
  <c r="CQ95" i="3" s="1"/>
  <c r="CQ102" i="3" s="1"/>
  <c r="CQ109" i="3" s="1"/>
  <c r="CR91" i="3"/>
  <c r="CQ117" i="3" l="1"/>
  <c r="CP141" i="3"/>
  <c r="CP123" i="3"/>
  <c r="CS91" i="3"/>
  <c r="CR92" i="3"/>
  <c r="CR94" i="3" s="1"/>
  <c r="CR95" i="3" s="1"/>
  <c r="CR102" i="3" s="1"/>
  <c r="CR109" i="3" s="1"/>
  <c r="CQ106" i="3"/>
  <c r="CQ144" i="3"/>
  <c r="CQ132" i="3"/>
  <c r="CO125" i="3"/>
  <c r="CQ123" i="3" l="1"/>
  <c r="CQ141" i="3"/>
  <c r="CP125" i="3"/>
  <c r="CS92" i="3"/>
  <c r="CS94" i="3" s="1"/>
  <c r="CS95" i="3" s="1"/>
  <c r="CS102" i="3" s="1"/>
  <c r="CS109" i="3" s="1"/>
  <c r="CT91" i="3"/>
  <c r="CR106" i="3"/>
  <c r="CR132" i="3"/>
  <c r="CR144" i="3"/>
  <c r="CR117" i="3"/>
  <c r="CS117" i="3" l="1"/>
  <c r="CR123" i="3"/>
  <c r="CR141" i="3"/>
  <c r="CQ125" i="3"/>
  <c r="CU91" i="3"/>
  <c r="CT92" i="3"/>
  <c r="CT94" i="3" s="1"/>
  <c r="CT95" i="3" s="1"/>
  <c r="CT102" i="3" s="1"/>
  <c r="CS106" i="3"/>
  <c r="CS132" i="3"/>
  <c r="CS144" i="3"/>
  <c r="CT106" i="3" l="1"/>
  <c r="CT132" i="3"/>
  <c r="CT144" i="3"/>
  <c r="CR125" i="3"/>
  <c r="CT109" i="3"/>
  <c r="CT117" i="3"/>
  <c r="CS123" i="3"/>
  <c r="CS141" i="3"/>
  <c r="CV91" i="3"/>
  <c r="CU92" i="3"/>
  <c r="CU94" i="3" s="1"/>
  <c r="CU95" i="3" s="1"/>
  <c r="CU102" i="3" s="1"/>
  <c r="CU106" i="3" l="1"/>
  <c r="CU132" i="3"/>
  <c r="CU144" i="3"/>
  <c r="CS125" i="3"/>
  <c r="CW91" i="3"/>
  <c r="CV92" i="3"/>
  <c r="CV94" i="3" s="1"/>
  <c r="CV95" i="3" s="1"/>
  <c r="CV102" i="3" s="1"/>
  <c r="CV117" i="3" s="1"/>
  <c r="CT123" i="3"/>
  <c r="CT141" i="3"/>
  <c r="CU117" i="3"/>
  <c r="CU109" i="3"/>
  <c r="CX91" i="3" l="1"/>
  <c r="CW92" i="3"/>
  <c r="CW94" i="3" s="1"/>
  <c r="CW95" i="3" s="1"/>
  <c r="CW102" i="3" s="1"/>
  <c r="CW117" i="3" s="1"/>
  <c r="CV106" i="3"/>
  <c r="CV132" i="3"/>
  <c r="CV144" i="3"/>
  <c r="CT125" i="3"/>
  <c r="CU123" i="3"/>
  <c r="CU141" i="3"/>
  <c r="CV109" i="3"/>
  <c r="CW106" i="3" l="1"/>
  <c r="CW144" i="3"/>
  <c r="CW132" i="3"/>
  <c r="CY91" i="3"/>
  <c r="CX92" i="3"/>
  <c r="CX94" i="3" s="1"/>
  <c r="CX95" i="3" s="1"/>
  <c r="CX102" i="3" s="1"/>
  <c r="CX117" i="3" s="1"/>
  <c r="CU125" i="3"/>
  <c r="CV123" i="3"/>
  <c r="CV141" i="3"/>
  <c r="CW109" i="3"/>
  <c r="CV125" i="3" l="1"/>
  <c r="CW141" i="3"/>
  <c r="CW123" i="3"/>
  <c r="CZ91" i="3"/>
  <c r="CY92" i="3"/>
  <c r="CY94" i="3" s="1"/>
  <c r="CY95" i="3" s="1"/>
  <c r="CY102" i="3" s="1"/>
  <c r="CY117" i="3" s="1"/>
  <c r="CX106" i="3"/>
  <c r="CX144" i="3"/>
  <c r="CX132" i="3"/>
  <c r="CX109" i="3"/>
  <c r="CW125" i="3" l="1"/>
  <c r="CY109" i="3"/>
  <c r="CX141" i="3"/>
  <c r="CX123" i="3"/>
  <c r="DA91" i="3"/>
  <c r="CZ92" i="3"/>
  <c r="CZ94" i="3" s="1"/>
  <c r="CZ95" i="3" s="1"/>
  <c r="CZ102" i="3" s="1"/>
  <c r="CY106" i="3"/>
  <c r="CY144" i="3"/>
  <c r="CY132" i="3"/>
  <c r="CZ106" i="3" l="1"/>
  <c r="CZ132" i="3"/>
  <c r="CZ144" i="3"/>
  <c r="CZ117" i="3"/>
  <c r="CX125" i="3"/>
  <c r="CZ109" i="3"/>
  <c r="CY123" i="3"/>
  <c r="CY141" i="3"/>
  <c r="DA92" i="3"/>
  <c r="DA94" i="3" s="1"/>
  <c r="DA95" i="3" s="1"/>
  <c r="DA102" i="3" s="1"/>
  <c r="DA109" i="3" s="1"/>
  <c r="DB91" i="3"/>
  <c r="DA117" i="3" l="1"/>
  <c r="CY125" i="3"/>
  <c r="DA106" i="3"/>
  <c r="DA132" i="3"/>
  <c r="DA144" i="3"/>
  <c r="CZ123" i="3"/>
  <c r="CZ141" i="3"/>
  <c r="DC91" i="3"/>
  <c r="DB92" i="3"/>
  <c r="DB94" i="3" s="1"/>
  <c r="DB95" i="3" s="1"/>
  <c r="DB102" i="3" s="1"/>
  <c r="DB117" i="3" s="1"/>
  <c r="DB106" i="3" l="1"/>
  <c r="DB132" i="3"/>
  <c r="DB144" i="3"/>
  <c r="DB109" i="3"/>
  <c r="DA123" i="3"/>
  <c r="DA141" i="3"/>
  <c r="CZ125" i="3"/>
  <c r="DC109" i="3"/>
  <c r="DC92" i="3"/>
  <c r="DC94" i="3" s="1"/>
  <c r="DC95" i="3" s="1"/>
  <c r="DC102" i="3" s="1"/>
  <c r="DC117" i="3" s="1"/>
  <c r="DD91" i="3"/>
  <c r="DB123" i="3" l="1"/>
  <c r="DB141" i="3"/>
  <c r="DE91" i="3"/>
  <c r="DD92" i="3"/>
  <c r="DD94" i="3" s="1"/>
  <c r="DD95" i="3" s="1"/>
  <c r="DD102" i="3" s="1"/>
  <c r="DC106" i="3"/>
  <c r="DC132" i="3"/>
  <c r="DC144" i="3"/>
  <c r="DA125" i="3"/>
  <c r="DD106" i="3" l="1"/>
  <c r="DD132" i="3"/>
  <c r="DD144" i="3"/>
  <c r="DB125" i="3"/>
  <c r="DD109" i="3"/>
  <c r="DD117" i="3"/>
  <c r="DC123" i="3"/>
  <c r="DC141" i="3"/>
  <c r="DE92" i="3"/>
  <c r="DE94" i="3" s="1"/>
  <c r="DE95" i="3" s="1"/>
  <c r="DE102" i="3" s="1"/>
  <c r="DE117" i="3" s="1"/>
  <c r="DF91" i="3"/>
  <c r="DD123" i="3" l="1"/>
  <c r="DD141" i="3"/>
  <c r="DC125" i="3"/>
  <c r="DG91" i="3"/>
  <c r="DF92" i="3"/>
  <c r="DF94" i="3" s="1"/>
  <c r="DF95" i="3" s="1"/>
  <c r="DF102" i="3" s="1"/>
  <c r="DF109" i="3" s="1"/>
  <c r="DE106" i="3"/>
  <c r="DE144" i="3"/>
  <c r="DE132" i="3"/>
  <c r="DE109" i="3"/>
  <c r="DE141" i="3" l="1"/>
  <c r="DE123" i="3"/>
  <c r="DF117" i="3"/>
  <c r="DH91" i="3"/>
  <c r="DG92" i="3"/>
  <c r="DG94" i="3" s="1"/>
  <c r="DG95" i="3" s="1"/>
  <c r="DG102" i="3" s="1"/>
  <c r="DD125" i="3"/>
  <c r="DF106" i="3"/>
  <c r="DF144" i="3"/>
  <c r="DF132" i="3"/>
  <c r="DE125" i="3" l="1"/>
  <c r="DG106" i="3"/>
  <c r="DG144" i="3"/>
  <c r="DG132" i="3"/>
  <c r="DF141" i="3"/>
  <c r="DF123" i="3"/>
  <c r="DG117" i="3"/>
  <c r="DG109" i="3"/>
  <c r="DI91" i="3"/>
  <c r="DH92" i="3"/>
  <c r="DH94" i="3" s="1"/>
  <c r="DH95" i="3" s="1"/>
  <c r="DH102" i="3" s="1"/>
  <c r="DH117" i="3" s="1"/>
  <c r="DF125" i="3" l="1"/>
  <c r="DH109" i="3"/>
  <c r="DG123" i="3"/>
  <c r="DG141" i="3"/>
  <c r="DH106" i="3"/>
  <c r="DH132" i="3"/>
  <c r="DH144" i="3"/>
  <c r="DJ91" i="3"/>
  <c r="DI92" i="3"/>
  <c r="DI94" i="3" s="1"/>
  <c r="DI95" i="3" s="1"/>
  <c r="DI102" i="3" s="1"/>
  <c r="DI117" i="3" s="1"/>
  <c r="DG125" i="3" l="1"/>
  <c r="DH123" i="3"/>
  <c r="DH141" i="3"/>
  <c r="DI106" i="3"/>
  <c r="DI132" i="3"/>
  <c r="DI144" i="3"/>
  <c r="DI109" i="3"/>
  <c r="DK91" i="3"/>
  <c r="DJ92" i="3"/>
  <c r="DJ94" i="3" s="1"/>
  <c r="DJ95" i="3" s="1"/>
  <c r="DJ102" i="3" s="1"/>
  <c r="DJ117" i="3" s="1"/>
  <c r="DJ109" i="3" l="1"/>
  <c r="DI123" i="3"/>
  <c r="DI141" i="3"/>
  <c r="DH125" i="3"/>
  <c r="DJ106" i="3"/>
  <c r="DJ132" i="3"/>
  <c r="DJ144" i="3"/>
  <c r="DL91" i="3"/>
  <c r="DK92" i="3"/>
  <c r="DK94" i="3" s="1"/>
  <c r="DK95" i="3" s="1"/>
  <c r="DK102" i="3" s="1"/>
  <c r="DK117" i="3" s="1"/>
  <c r="DJ123" i="3" l="1"/>
  <c r="DJ141" i="3"/>
  <c r="DI125" i="3"/>
  <c r="DM91" i="3"/>
  <c r="DL92" i="3"/>
  <c r="DL94" i="3" s="1"/>
  <c r="DL95" i="3" s="1"/>
  <c r="DL102" i="3" s="1"/>
  <c r="DL117" i="3" s="1"/>
  <c r="DK106" i="3"/>
  <c r="DK132" i="3"/>
  <c r="DK144" i="3"/>
  <c r="DK109" i="3"/>
  <c r="DL106" i="3" l="1"/>
  <c r="DL132" i="3"/>
  <c r="DL144" i="3"/>
  <c r="DL109" i="3"/>
  <c r="DJ125" i="3"/>
  <c r="DK123" i="3"/>
  <c r="DK141" i="3"/>
  <c r="DN91" i="3"/>
  <c r="DM92" i="3"/>
  <c r="DM94" i="3" s="1"/>
  <c r="DM95" i="3" s="1"/>
  <c r="DM102" i="3" s="1"/>
  <c r="DM117" i="3" s="1"/>
  <c r="DK125" i="3" l="1"/>
  <c r="DL123" i="3"/>
  <c r="DL141" i="3"/>
  <c r="DO91" i="3"/>
  <c r="DN92" i="3"/>
  <c r="DN94" i="3" s="1"/>
  <c r="DN95" i="3" s="1"/>
  <c r="DN102" i="3" s="1"/>
  <c r="DN117" i="3" s="1"/>
  <c r="DM106" i="3"/>
  <c r="DM144" i="3"/>
  <c r="DM132" i="3"/>
  <c r="DM109" i="3"/>
  <c r="DL125" i="3" l="1"/>
  <c r="DM123" i="3"/>
  <c r="DM141" i="3"/>
  <c r="DN109" i="3"/>
  <c r="DP91" i="3"/>
  <c r="DO92" i="3"/>
  <c r="DO94" i="3" s="1"/>
  <c r="DO95" i="3" s="1"/>
  <c r="DO102" i="3" s="1"/>
  <c r="DN106" i="3"/>
  <c r="DN144" i="3"/>
  <c r="DN132" i="3"/>
  <c r="DO144" i="3" l="1"/>
  <c r="DO106" i="3"/>
  <c r="DO132" i="3"/>
  <c r="DM125" i="3"/>
  <c r="DO109" i="3"/>
  <c r="DN123" i="3"/>
  <c r="DN141" i="3"/>
  <c r="DO117" i="3"/>
  <c r="DQ91" i="3"/>
  <c r="DP92" i="3"/>
  <c r="DP94" i="3" s="1"/>
  <c r="DP95" i="3" s="1"/>
  <c r="DP102" i="3" s="1"/>
  <c r="DP109" i="3" s="1"/>
  <c r="DP117" i="3" l="1"/>
  <c r="DN125" i="3"/>
  <c r="DO123" i="3"/>
  <c r="DO141" i="3"/>
  <c r="DP106" i="3"/>
  <c r="DP132" i="3"/>
  <c r="DP144" i="3"/>
  <c r="DQ92" i="3"/>
  <c r="DQ94" i="3" s="1"/>
  <c r="DQ95" i="3" s="1"/>
  <c r="DQ102" i="3" s="1"/>
  <c r="DQ109" i="3" s="1"/>
  <c r="DR91" i="3"/>
  <c r="DQ117" i="3" l="1"/>
  <c r="DO125" i="3"/>
  <c r="DP123" i="3"/>
  <c r="DP141" i="3"/>
  <c r="DS91" i="3"/>
  <c r="DR92" i="3"/>
  <c r="DR94" i="3" s="1"/>
  <c r="DR95" i="3" s="1"/>
  <c r="DR102" i="3" s="1"/>
  <c r="DR117" i="3" s="1"/>
  <c r="DQ106" i="3"/>
  <c r="DQ132" i="3"/>
  <c r="DQ144" i="3"/>
  <c r="DR109" i="3" l="1"/>
  <c r="DP125" i="3"/>
  <c r="DQ123" i="3"/>
  <c r="DQ141" i="3"/>
  <c r="DR106" i="3"/>
  <c r="DR132" i="3"/>
  <c r="DR144" i="3"/>
  <c r="DS92" i="3"/>
  <c r="DS94" i="3" s="1"/>
  <c r="DS95" i="3" s="1"/>
  <c r="DS102" i="3" s="1"/>
  <c r="DT91" i="3"/>
  <c r="DR123" i="3" l="1"/>
  <c r="DR141" i="3"/>
  <c r="DU91" i="3"/>
  <c r="DT92" i="3"/>
  <c r="DT94" i="3" s="1"/>
  <c r="DT95" i="3" s="1"/>
  <c r="DT102" i="3" s="1"/>
  <c r="DT117" i="3" s="1"/>
  <c r="DS106" i="3"/>
  <c r="DS132" i="3"/>
  <c r="DS144" i="3"/>
  <c r="DQ125" i="3"/>
  <c r="DS117" i="3"/>
  <c r="DS109" i="3"/>
  <c r="DT109" i="3" l="1"/>
  <c r="DS123" i="3"/>
  <c r="DS141" i="3"/>
  <c r="DR125" i="3"/>
  <c r="DT106" i="3"/>
  <c r="DT132" i="3"/>
  <c r="DT144" i="3"/>
  <c r="DV91" i="3"/>
  <c r="DU92" i="3"/>
  <c r="DU94" i="3" s="1"/>
  <c r="DU95" i="3" s="1"/>
  <c r="DU102" i="3" s="1"/>
  <c r="DU117" i="3" s="1"/>
  <c r="DS125" i="3" l="1"/>
  <c r="DT123" i="3"/>
  <c r="DT141" i="3"/>
  <c r="DW91" i="3"/>
  <c r="DV92" i="3"/>
  <c r="DV94" i="3" s="1"/>
  <c r="DV95" i="3" s="1"/>
  <c r="DV102" i="3" s="1"/>
  <c r="DU106" i="3"/>
  <c r="DU144" i="3"/>
  <c r="DU132" i="3"/>
  <c r="DU109" i="3"/>
  <c r="DV106" i="3" l="1"/>
  <c r="DV144" i="3"/>
  <c r="DV132" i="3"/>
  <c r="DV109" i="3"/>
  <c r="DT125" i="3"/>
  <c r="DX91" i="3"/>
  <c r="DW92" i="3"/>
  <c r="DW94" i="3" s="1"/>
  <c r="DW95" i="3" s="1"/>
  <c r="DW102" i="3" s="1"/>
  <c r="DW109" i="3" s="1"/>
  <c r="DV117" i="3"/>
  <c r="DU141" i="3"/>
  <c r="DU123" i="3"/>
  <c r="DV141" i="3" l="1"/>
  <c r="DV123" i="3"/>
  <c r="DY91" i="3"/>
  <c r="DX92" i="3"/>
  <c r="DX94" i="3" s="1"/>
  <c r="DX95" i="3" s="1"/>
  <c r="DX102" i="3" s="1"/>
  <c r="DX109" i="3" s="1"/>
  <c r="DW106" i="3"/>
  <c r="DW144" i="3"/>
  <c r="DW132" i="3"/>
  <c r="DU125" i="3"/>
  <c r="DW117" i="3"/>
  <c r="DV125" i="3" l="1"/>
  <c r="DX117" i="3"/>
  <c r="DY92" i="3"/>
  <c r="DY94" i="3" s="1"/>
  <c r="DY95" i="3" s="1"/>
  <c r="DY102" i="3" s="1"/>
  <c r="DY109" i="3" s="1"/>
  <c r="DW123" i="3"/>
  <c r="DW141" i="3"/>
  <c r="DX106" i="3"/>
  <c r="DX132" i="3"/>
  <c r="DX144" i="3"/>
  <c r="DY117" i="3" l="1"/>
  <c r="DW125" i="3"/>
  <c r="H117" i="3"/>
  <c r="DX123" i="3"/>
  <c r="DX141" i="3"/>
  <c r="H109" i="3"/>
  <c r="DY106" i="3"/>
  <c r="H106" i="3" s="1"/>
  <c r="DY132" i="3"/>
  <c r="DY144" i="3"/>
  <c r="H102" i="3"/>
  <c r="DX125" i="3" l="1"/>
  <c r="H144" i="3"/>
  <c r="DY123" i="3"/>
  <c r="DY141" i="3"/>
  <c r="H132" i="3"/>
  <c r="DY125" i="3" l="1"/>
  <c r="H125" i="3" s="1"/>
  <c r="H123" i="3"/>
  <c r="BX108" i="3" l="1"/>
  <c r="BX111" i="3"/>
  <c r="BX112" i="3" l="1"/>
  <c r="BX120" i="3" l="1"/>
  <c r="BX140" i="3"/>
  <c r="BX146" i="3"/>
  <c r="BX147" i="3" s="1"/>
  <c r="BX250" i="3" l="1"/>
  <c r="BX251" i="3" s="1"/>
  <c r="BY339" i="3"/>
  <c r="BX349" i="3" l="1"/>
  <c r="BX418" i="3" s="1"/>
  <c r="BX438" i="3" l="1"/>
  <c r="BW48" i="56"/>
  <c r="BW30" i="56"/>
  <c r="BX127" i="3"/>
  <c r="BX129" i="3"/>
  <c r="BX245" i="3" s="1"/>
  <c r="BX247" i="3" s="1"/>
  <c r="BL248" i="3" l="1"/>
  <c r="BL355" i="3" s="1"/>
  <c r="BX246" i="3"/>
  <c r="BX416" i="3" l="1"/>
  <c r="BW28" i="56" s="1"/>
  <c r="BX436" i="3"/>
  <c r="BW46" i="56" s="1"/>
  <c r="BX334" i="3"/>
  <c r="BL356" i="3"/>
  <c r="BL357" i="3" s="1"/>
  <c r="BL419" i="3" l="1"/>
  <c r="BL439" i="3"/>
  <c r="BL444" i="3" l="1"/>
  <c r="BK49" i="56"/>
  <c r="BL421" i="3"/>
  <c r="BK31" i="56"/>
  <c r="BL422" i="3" l="1"/>
  <c r="BK54" i="56"/>
  <c r="BK33" i="56"/>
  <c r="BL445" i="3"/>
  <c r="BL380" i="3"/>
  <c r="BK34" i="56" l="1"/>
  <c r="BL381" i="3"/>
  <c r="BK55" i="56"/>
  <c r="BL382" i="3" l="1"/>
  <c r="BY108" i="3" l="1"/>
  <c r="BY111" i="3"/>
  <c r="BY112" i="3"/>
  <c r="BY120" i="3"/>
  <c r="BY139" i="3"/>
  <c r="BY140" i="3"/>
  <c r="BY146" i="3"/>
  <c r="BY147" i="3"/>
  <c r="BZ339" i="3" l="1"/>
  <c r="BY349" i="3"/>
  <c r="BY438" i="3" l="1"/>
  <c r="BY418" i="3"/>
  <c r="BX30" i="56" l="1"/>
  <c r="BX48" i="56"/>
  <c r="BY127" i="3"/>
  <c r="BY129" i="3" s="1"/>
  <c r="BY250" i="3" l="1"/>
  <c r="BY245" i="3"/>
  <c r="BY246" i="3" l="1"/>
  <c r="BM248" i="3"/>
  <c r="BM355" i="3" s="1"/>
  <c r="BY334" i="3"/>
  <c r="BY251" i="3"/>
  <c r="BY416" i="3"/>
  <c r="BY436" i="3"/>
  <c r="BX46" i="56" l="1"/>
  <c r="BX28" i="56"/>
  <c r="BM356" i="3"/>
  <c r="BM357" i="3" l="1"/>
  <c r="BM419" i="3" l="1"/>
  <c r="BM439" i="3"/>
  <c r="BM444" i="3" l="1"/>
  <c r="BL49" i="56"/>
  <c r="BM421" i="3"/>
  <c r="BL31" i="56"/>
  <c r="BL54" i="56" l="1"/>
  <c r="BL33" i="56"/>
  <c r="BM422" i="3"/>
  <c r="BM380" i="3"/>
  <c r="BM445" i="3"/>
  <c r="BL34" i="56" l="1"/>
  <c r="BL55" i="56"/>
  <c r="BM381" i="3"/>
  <c r="BM382" i="3" l="1"/>
  <c r="J81" i="16" l="1"/>
  <c r="K81" i="16"/>
  <c r="L81" i="16"/>
  <c r="M81" i="16"/>
  <c r="J91" i="16"/>
  <c r="K91" i="16"/>
  <c r="L91" i="16"/>
  <c r="M91" i="16"/>
  <c r="J94" i="16"/>
  <c r="K94" i="16"/>
  <c r="L94" i="16"/>
  <c r="M94" i="16"/>
  <c r="K100" i="16"/>
  <c r="L100" i="16"/>
  <c r="M100" i="16"/>
  <c r="K110" i="16"/>
  <c r="L110" i="16"/>
  <c r="M110" i="16"/>
  <c r="K113" i="16"/>
  <c r="L113" i="16"/>
  <c r="M113" i="16"/>
  <c r="K11" i="2"/>
  <c r="L11" i="2"/>
  <c r="K12" i="2"/>
  <c r="L12" i="2"/>
  <c r="K13" i="2"/>
  <c r="L13" i="2"/>
  <c r="K14" i="2"/>
  <c r="L14" i="2"/>
  <c r="K15" i="2"/>
  <c r="L15" i="2"/>
  <c r="L17" i="2"/>
  <c r="L18" i="2"/>
  <c r="L19" i="2"/>
  <c r="L20" i="2"/>
  <c r="K23" i="2"/>
  <c r="L23" i="2"/>
  <c r="K24" i="2"/>
  <c r="L24" i="2"/>
  <c r="K25" i="2"/>
  <c r="L25" i="2"/>
  <c r="K26" i="2"/>
  <c r="L26" i="2"/>
  <c r="K27" i="2"/>
  <c r="L27" i="2"/>
  <c r="G45" i="2"/>
  <c r="G47" i="2"/>
  <c r="G48" i="2"/>
  <c r="J51" i="2"/>
  <c r="Q57" i="2"/>
  <c r="R57" i="2"/>
  <c r="S57" i="2"/>
  <c r="T57" i="2"/>
  <c r="V57" i="2"/>
  <c r="Q58" i="2"/>
  <c r="R58" i="2"/>
  <c r="S58" i="2"/>
  <c r="T58" i="2"/>
  <c r="V58" i="2"/>
  <c r="Q59" i="2"/>
  <c r="T59" i="2"/>
  <c r="Q60" i="2"/>
  <c r="T60" i="2"/>
  <c r="U66" i="2"/>
  <c r="V66" i="2"/>
  <c r="U67" i="2"/>
  <c r="V67" i="2"/>
  <c r="U72" i="2"/>
  <c r="V72" i="2"/>
  <c r="T73" i="2"/>
  <c r="U73" i="2"/>
  <c r="B7" i="3"/>
  <c r="B8" i="3"/>
  <c r="BK78" i="3"/>
  <c r="BL78" i="3"/>
  <c r="BM78" i="3"/>
  <c r="BN78" i="3"/>
  <c r="BO78" i="3"/>
  <c r="BP78" i="3"/>
  <c r="BQ78" i="3"/>
  <c r="BR78" i="3"/>
  <c r="BS78" i="3"/>
  <c r="BT78" i="3"/>
  <c r="BU78" i="3"/>
  <c r="BV78" i="3"/>
  <c r="BW78" i="3"/>
  <c r="BX78" i="3"/>
  <c r="BY78" i="3"/>
  <c r="BZ78" i="3"/>
  <c r="CA78" i="3"/>
  <c r="CB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8" i="3"/>
  <c r="DM78" i="3"/>
  <c r="DN78" i="3"/>
  <c r="DO78" i="3"/>
  <c r="DP78" i="3"/>
  <c r="DQ78" i="3"/>
  <c r="DR78" i="3"/>
  <c r="DS78" i="3"/>
  <c r="DT78" i="3"/>
  <c r="DU78" i="3"/>
  <c r="DV78" i="3"/>
  <c r="DW78" i="3"/>
  <c r="DX78" i="3"/>
  <c r="DY78" i="3"/>
  <c r="D79" i="3"/>
  <c r="H79" i="3"/>
  <c r="BJ79" i="3"/>
  <c r="BK79" i="3"/>
  <c r="BL79" i="3"/>
  <c r="BM79" i="3"/>
  <c r="BN79" i="3"/>
  <c r="BO79" i="3"/>
  <c r="BP79" i="3"/>
  <c r="BQ79" i="3"/>
  <c r="BR79" i="3"/>
  <c r="BS79" i="3"/>
  <c r="BT79" i="3"/>
  <c r="BU79" i="3"/>
  <c r="BV79" i="3"/>
  <c r="BW79" i="3"/>
  <c r="BX79" i="3"/>
  <c r="BY79" i="3"/>
  <c r="BZ79" i="3"/>
  <c r="CA79" i="3"/>
  <c r="CB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L79" i="3"/>
  <c r="DM79" i="3"/>
  <c r="DN79" i="3"/>
  <c r="DO79" i="3"/>
  <c r="DP79" i="3"/>
  <c r="DQ79" i="3"/>
  <c r="DR79" i="3"/>
  <c r="DS79" i="3"/>
  <c r="DT79" i="3"/>
  <c r="DU79" i="3"/>
  <c r="DV79" i="3"/>
  <c r="DW79" i="3"/>
  <c r="DX79" i="3"/>
  <c r="DY79" i="3"/>
  <c r="H80" i="3"/>
  <c r="BK80" i="3"/>
  <c r="BL80" i="3"/>
  <c r="BM80" i="3"/>
  <c r="BN80" i="3"/>
  <c r="BQ80" i="3"/>
  <c r="BZ80" i="3"/>
  <c r="CA80" i="3"/>
  <c r="CB80" i="3"/>
  <c r="CC80" i="3"/>
  <c r="CD80" i="3"/>
  <c r="CE80" i="3"/>
  <c r="CF80" i="3"/>
  <c r="CG80" i="3"/>
  <c r="CH80" i="3"/>
  <c r="CI80" i="3"/>
  <c r="CJ80" i="3"/>
  <c r="CK80" i="3"/>
  <c r="CL80" i="3"/>
  <c r="CM80" i="3"/>
  <c r="CN80" i="3"/>
  <c r="CO80" i="3"/>
  <c r="CP80" i="3"/>
  <c r="CQ80" i="3"/>
  <c r="CR80" i="3"/>
  <c r="CS80" i="3"/>
  <c r="CT80" i="3"/>
  <c r="CU80" i="3"/>
  <c r="CV80" i="3"/>
  <c r="CW80" i="3"/>
  <c r="CX80" i="3"/>
  <c r="CY80" i="3"/>
  <c r="CZ80" i="3"/>
  <c r="DA80" i="3"/>
  <c r="DB80" i="3"/>
  <c r="DC80" i="3"/>
  <c r="DD80" i="3"/>
  <c r="DE80" i="3"/>
  <c r="DF80" i="3"/>
  <c r="DG80" i="3"/>
  <c r="DH80" i="3"/>
  <c r="DI80" i="3"/>
  <c r="DJ80" i="3"/>
  <c r="DK80" i="3"/>
  <c r="DL80" i="3"/>
  <c r="DM80" i="3"/>
  <c r="DN80" i="3"/>
  <c r="DO80" i="3"/>
  <c r="DP80" i="3"/>
  <c r="DQ80" i="3"/>
  <c r="DR80" i="3"/>
  <c r="DS80" i="3"/>
  <c r="DT80" i="3"/>
  <c r="DU80" i="3"/>
  <c r="DV80" i="3"/>
  <c r="DW80" i="3"/>
  <c r="DX80" i="3"/>
  <c r="DY80" i="3"/>
  <c r="BJ81" i="3"/>
  <c r="BK81" i="3"/>
  <c r="BL81" i="3"/>
  <c r="BM81" i="3"/>
  <c r="BN81" i="3"/>
  <c r="BO81" i="3"/>
  <c r="BP81" i="3"/>
  <c r="BQ81" i="3"/>
  <c r="BR81" i="3"/>
  <c r="BS81" i="3"/>
  <c r="BT81" i="3"/>
  <c r="BU81" i="3"/>
  <c r="BV81" i="3"/>
  <c r="BW81" i="3"/>
  <c r="BX81" i="3"/>
  <c r="BY81" i="3"/>
  <c r="BZ81" i="3"/>
  <c r="CA81" i="3"/>
  <c r="CB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1" i="3"/>
  <c r="DM81" i="3"/>
  <c r="DN81" i="3"/>
  <c r="DO81" i="3"/>
  <c r="DP81" i="3"/>
  <c r="DQ81" i="3"/>
  <c r="DR81" i="3"/>
  <c r="DS81" i="3"/>
  <c r="DT81" i="3"/>
  <c r="DU81" i="3"/>
  <c r="DV81" i="3"/>
  <c r="DW81" i="3"/>
  <c r="DX81" i="3"/>
  <c r="DY81" i="3"/>
  <c r="BJ83" i="3"/>
  <c r="BK83" i="3"/>
  <c r="BL83" i="3"/>
  <c r="BM83" i="3"/>
  <c r="BN83" i="3"/>
  <c r="BO83" i="3"/>
  <c r="BP83" i="3"/>
  <c r="BQ83" i="3"/>
  <c r="BR83" i="3"/>
  <c r="BS83" i="3"/>
  <c r="BT83" i="3"/>
  <c r="BU83" i="3"/>
  <c r="BV83" i="3"/>
  <c r="BW83" i="3"/>
  <c r="BX83" i="3"/>
  <c r="BY83" i="3"/>
  <c r="BZ83" i="3"/>
  <c r="CA83" i="3"/>
  <c r="CB83" i="3"/>
  <c r="CC83" i="3"/>
  <c r="CD83" i="3"/>
  <c r="CE83" i="3"/>
  <c r="CF83" i="3"/>
  <c r="CG83" i="3"/>
  <c r="CH83" i="3"/>
  <c r="CI83" i="3"/>
  <c r="CJ83" i="3"/>
  <c r="CK83" i="3"/>
  <c r="CL83" i="3"/>
  <c r="CM83" i="3"/>
  <c r="CN83" i="3"/>
  <c r="CO83" i="3"/>
  <c r="CP83" i="3"/>
  <c r="CQ83" i="3"/>
  <c r="CR83" i="3"/>
  <c r="CS83" i="3"/>
  <c r="CT83" i="3"/>
  <c r="CU83" i="3"/>
  <c r="CV83" i="3"/>
  <c r="CW83" i="3"/>
  <c r="CX83" i="3"/>
  <c r="CY83" i="3"/>
  <c r="CZ83" i="3"/>
  <c r="DA83" i="3"/>
  <c r="DB83" i="3"/>
  <c r="DC83" i="3"/>
  <c r="DD83" i="3"/>
  <c r="DE83" i="3"/>
  <c r="DF83" i="3"/>
  <c r="DG83" i="3"/>
  <c r="DH83" i="3"/>
  <c r="DI83" i="3"/>
  <c r="DJ83" i="3"/>
  <c r="DK83" i="3"/>
  <c r="DL83" i="3"/>
  <c r="DM83" i="3"/>
  <c r="DN83" i="3"/>
  <c r="DO83" i="3"/>
  <c r="DP83" i="3"/>
  <c r="DQ83" i="3"/>
  <c r="DR83" i="3"/>
  <c r="DS83" i="3"/>
  <c r="DT83" i="3"/>
  <c r="DU83" i="3"/>
  <c r="DV83" i="3"/>
  <c r="DW83" i="3"/>
  <c r="DX83" i="3"/>
  <c r="DY83" i="3"/>
  <c r="BJ84" i="3"/>
  <c r="BK84" i="3"/>
  <c r="BL84" i="3"/>
  <c r="BM84" i="3"/>
  <c r="BN84" i="3"/>
  <c r="BO84" i="3"/>
  <c r="BP84" i="3"/>
  <c r="BQ84" i="3"/>
  <c r="BR84" i="3"/>
  <c r="BS84" i="3"/>
  <c r="BT84" i="3"/>
  <c r="BU84" i="3"/>
  <c r="BV84" i="3"/>
  <c r="BW84" i="3"/>
  <c r="BX84" i="3"/>
  <c r="BY84" i="3"/>
  <c r="BZ84" i="3"/>
  <c r="CA84" i="3"/>
  <c r="CB84" i="3"/>
  <c r="CC84" i="3"/>
  <c r="CD84" i="3"/>
  <c r="CE84" i="3"/>
  <c r="CF84" i="3"/>
  <c r="CG84" i="3"/>
  <c r="CH84" i="3"/>
  <c r="CI84" i="3"/>
  <c r="CJ84" i="3"/>
  <c r="CK84" i="3"/>
  <c r="CL84" i="3"/>
  <c r="CM84" i="3"/>
  <c r="CN84" i="3"/>
  <c r="CO84" i="3"/>
  <c r="CP84" i="3"/>
  <c r="CQ84" i="3"/>
  <c r="CR84" i="3"/>
  <c r="CS84" i="3"/>
  <c r="CT84" i="3"/>
  <c r="CU84" i="3"/>
  <c r="CV84" i="3"/>
  <c r="CW84" i="3"/>
  <c r="CX84" i="3"/>
  <c r="CY84" i="3"/>
  <c r="CZ84" i="3"/>
  <c r="DA84" i="3"/>
  <c r="DB84" i="3"/>
  <c r="DC84" i="3"/>
  <c r="DD84" i="3"/>
  <c r="DE84" i="3"/>
  <c r="DF84" i="3"/>
  <c r="DG84" i="3"/>
  <c r="DH84" i="3"/>
  <c r="DI84" i="3"/>
  <c r="DJ84" i="3"/>
  <c r="DK84" i="3"/>
  <c r="DL84" i="3"/>
  <c r="DM84" i="3"/>
  <c r="DN84" i="3"/>
  <c r="DO84" i="3"/>
  <c r="DP84" i="3"/>
  <c r="DQ84" i="3"/>
  <c r="DR84" i="3"/>
  <c r="DS84" i="3"/>
  <c r="DT84" i="3"/>
  <c r="DU84" i="3"/>
  <c r="DV84" i="3"/>
  <c r="DW84" i="3"/>
  <c r="DX84" i="3"/>
  <c r="DY84" i="3"/>
  <c r="BJ85" i="3"/>
  <c r="BK85" i="3"/>
  <c r="BL85" i="3"/>
  <c r="BM85" i="3"/>
  <c r="BN85" i="3"/>
  <c r="BO85" i="3"/>
  <c r="BP85" i="3"/>
  <c r="BQ85" i="3"/>
  <c r="BR85" i="3"/>
  <c r="BS85" i="3"/>
  <c r="BT85" i="3"/>
  <c r="BU85" i="3"/>
  <c r="BV85" i="3"/>
  <c r="BW85" i="3"/>
  <c r="BX85" i="3"/>
  <c r="BY85" i="3"/>
  <c r="BZ85" i="3"/>
  <c r="CA85" i="3"/>
  <c r="CB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L85" i="3"/>
  <c r="DM85" i="3"/>
  <c r="DN85" i="3"/>
  <c r="DO85" i="3"/>
  <c r="DP85" i="3"/>
  <c r="DQ85" i="3"/>
  <c r="DR85" i="3"/>
  <c r="DS85" i="3"/>
  <c r="DT85" i="3"/>
  <c r="DU85" i="3"/>
  <c r="DV85" i="3"/>
  <c r="DW85" i="3"/>
  <c r="DX85" i="3"/>
  <c r="DY85" i="3"/>
  <c r="BJ86" i="3"/>
  <c r="BK86" i="3"/>
  <c r="BL86" i="3"/>
  <c r="BM86" i="3"/>
  <c r="BN86" i="3"/>
  <c r="BO86" i="3"/>
  <c r="BP86" i="3"/>
  <c r="BQ86" i="3"/>
  <c r="BR86" i="3"/>
  <c r="BS86" i="3"/>
  <c r="BT86" i="3"/>
  <c r="BU86" i="3"/>
  <c r="BV86" i="3"/>
  <c r="BW86" i="3"/>
  <c r="BX86" i="3"/>
  <c r="BY86" i="3"/>
  <c r="BZ86" i="3"/>
  <c r="CA86" i="3"/>
  <c r="CB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L86" i="3"/>
  <c r="DM86" i="3"/>
  <c r="DN86" i="3"/>
  <c r="DO86" i="3"/>
  <c r="DP86" i="3"/>
  <c r="DQ86" i="3"/>
  <c r="DR86" i="3"/>
  <c r="DS86" i="3"/>
  <c r="DT86" i="3"/>
  <c r="DU86" i="3"/>
  <c r="DV86" i="3"/>
  <c r="DW86" i="3"/>
  <c r="DX86" i="3"/>
  <c r="DY86" i="3"/>
  <c r="H104" i="3"/>
  <c r="BZ104" i="3"/>
  <c r="CA104" i="3"/>
  <c r="CB104" i="3"/>
  <c r="CC104" i="3"/>
  <c r="CD104" i="3"/>
  <c r="CE104" i="3"/>
  <c r="CF104" i="3"/>
  <c r="CG104" i="3"/>
  <c r="CH104" i="3"/>
  <c r="CI104" i="3"/>
  <c r="CJ104" i="3"/>
  <c r="CK104" i="3"/>
  <c r="CL104" i="3"/>
  <c r="CM104" i="3"/>
  <c r="CN104" i="3"/>
  <c r="CO104" i="3"/>
  <c r="CP104" i="3"/>
  <c r="CQ104" i="3"/>
  <c r="CR104" i="3"/>
  <c r="CS104" i="3"/>
  <c r="CT104" i="3"/>
  <c r="CU104" i="3"/>
  <c r="CV104" i="3"/>
  <c r="CW104" i="3"/>
  <c r="CX104" i="3"/>
  <c r="CY104" i="3"/>
  <c r="CZ104" i="3"/>
  <c r="DA104" i="3"/>
  <c r="DB104" i="3"/>
  <c r="DC104" i="3"/>
  <c r="DD104" i="3"/>
  <c r="DE104" i="3"/>
  <c r="DF104" i="3"/>
  <c r="DG104" i="3"/>
  <c r="DH104" i="3"/>
  <c r="DI104" i="3"/>
  <c r="DJ104" i="3"/>
  <c r="DK104" i="3"/>
  <c r="DL104" i="3"/>
  <c r="DM104" i="3"/>
  <c r="DN104" i="3"/>
  <c r="DO104" i="3"/>
  <c r="DP104" i="3"/>
  <c r="DQ104" i="3"/>
  <c r="DR104" i="3"/>
  <c r="DS104" i="3"/>
  <c r="DT104" i="3"/>
  <c r="DU104" i="3"/>
  <c r="DV104" i="3"/>
  <c r="DW104" i="3"/>
  <c r="DX104" i="3"/>
  <c r="DY104" i="3"/>
  <c r="H105" i="3"/>
  <c r="BZ105" i="3"/>
  <c r="CA105" i="3"/>
  <c r="CB105" i="3"/>
  <c r="CC105" i="3"/>
  <c r="H107" i="3"/>
  <c r="BZ107" i="3"/>
  <c r="CA107" i="3"/>
  <c r="CB107" i="3"/>
  <c r="CC107" i="3"/>
  <c r="CD107" i="3"/>
  <c r="CE107" i="3"/>
  <c r="CF107" i="3"/>
  <c r="CG107" i="3"/>
  <c r="CH107" i="3"/>
  <c r="CI107" i="3"/>
  <c r="CJ107" i="3"/>
  <c r="CK107" i="3"/>
  <c r="CL107" i="3"/>
  <c r="CM107" i="3"/>
  <c r="CN107" i="3"/>
  <c r="CO107" i="3"/>
  <c r="CP107" i="3"/>
  <c r="CQ107" i="3"/>
  <c r="CR107" i="3"/>
  <c r="CS107" i="3"/>
  <c r="CT107" i="3"/>
  <c r="CU107" i="3"/>
  <c r="CV107" i="3"/>
  <c r="CW107" i="3"/>
  <c r="CX107" i="3"/>
  <c r="CY107" i="3"/>
  <c r="CZ107" i="3"/>
  <c r="DA107" i="3"/>
  <c r="DB107" i="3"/>
  <c r="DC107" i="3"/>
  <c r="DD107" i="3"/>
  <c r="DE107" i="3"/>
  <c r="DF107" i="3"/>
  <c r="DG107" i="3"/>
  <c r="DH107" i="3"/>
  <c r="DI107" i="3"/>
  <c r="DJ107" i="3"/>
  <c r="DK107" i="3"/>
  <c r="DL107" i="3"/>
  <c r="DM107" i="3"/>
  <c r="DN107" i="3"/>
  <c r="DO107" i="3"/>
  <c r="DP107" i="3"/>
  <c r="DQ107" i="3"/>
  <c r="DR107" i="3"/>
  <c r="DS107" i="3"/>
  <c r="DT107" i="3"/>
  <c r="DU107" i="3"/>
  <c r="DV107" i="3"/>
  <c r="DW107" i="3"/>
  <c r="DX107" i="3"/>
  <c r="DY107" i="3"/>
  <c r="H108" i="3"/>
  <c r="BZ108" i="3"/>
  <c r="CA108" i="3"/>
  <c r="CB108" i="3"/>
  <c r="CC108" i="3"/>
  <c r="CD108" i="3"/>
  <c r="CE108" i="3"/>
  <c r="CF108" i="3"/>
  <c r="CG108" i="3"/>
  <c r="CH108" i="3"/>
  <c r="CI108" i="3"/>
  <c r="CJ108" i="3"/>
  <c r="CK108" i="3"/>
  <c r="CL108" i="3"/>
  <c r="CM108" i="3"/>
  <c r="CN108" i="3"/>
  <c r="CO108" i="3"/>
  <c r="CP108" i="3"/>
  <c r="CQ108" i="3"/>
  <c r="CR108" i="3"/>
  <c r="CS108" i="3"/>
  <c r="CT108" i="3"/>
  <c r="CU108" i="3"/>
  <c r="CV108" i="3"/>
  <c r="CW108" i="3"/>
  <c r="CX108" i="3"/>
  <c r="CY108" i="3"/>
  <c r="CZ108" i="3"/>
  <c r="DA108" i="3"/>
  <c r="DB108" i="3"/>
  <c r="DC108" i="3"/>
  <c r="DD108" i="3"/>
  <c r="DE108" i="3"/>
  <c r="DF108" i="3"/>
  <c r="DG108" i="3"/>
  <c r="DH108" i="3"/>
  <c r="DI108" i="3"/>
  <c r="DJ108" i="3"/>
  <c r="DK108" i="3"/>
  <c r="DL108" i="3"/>
  <c r="DM108" i="3"/>
  <c r="DN108" i="3"/>
  <c r="DO108" i="3"/>
  <c r="DP108" i="3"/>
  <c r="DQ108" i="3"/>
  <c r="DR108" i="3"/>
  <c r="DS108" i="3"/>
  <c r="DT108" i="3"/>
  <c r="DU108" i="3"/>
  <c r="DV108" i="3"/>
  <c r="DW108" i="3"/>
  <c r="DX108" i="3"/>
  <c r="DY108" i="3"/>
  <c r="H110" i="3"/>
  <c r="BZ110" i="3"/>
  <c r="CA110" i="3"/>
  <c r="CB110" i="3"/>
  <c r="CC110" i="3"/>
  <c r="CD110" i="3"/>
  <c r="CE110" i="3"/>
  <c r="CF110" i="3"/>
  <c r="CG110" i="3"/>
  <c r="CH110" i="3"/>
  <c r="CI110" i="3"/>
  <c r="CJ110" i="3"/>
  <c r="CK110" i="3"/>
  <c r="CL110" i="3"/>
  <c r="CM110" i="3"/>
  <c r="CN110" i="3"/>
  <c r="CO110" i="3"/>
  <c r="CP110" i="3"/>
  <c r="CQ110" i="3"/>
  <c r="CR110" i="3"/>
  <c r="CS110" i="3"/>
  <c r="CT110" i="3"/>
  <c r="CU110" i="3"/>
  <c r="CV110" i="3"/>
  <c r="CW110" i="3"/>
  <c r="CX110" i="3"/>
  <c r="CY110" i="3"/>
  <c r="CZ110" i="3"/>
  <c r="DA110" i="3"/>
  <c r="DB110" i="3"/>
  <c r="DC110" i="3"/>
  <c r="DD110" i="3"/>
  <c r="DE110" i="3"/>
  <c r="DF110" i="3"/>
  <c r="DG110" i="3"/>
  <c r="DH110" i="3"/>
  <c r="DI110" i="3"/>
  <c r="DJ110" i="3"/>
  <c r="DK110" i="3"/>
  <c r="DL110" i="3"/>
  <c r="DM110" i="3"/>
  <c r="DN110" i="3"/>
  <c r="DO110" i="3"/>
  <c r="DP110" i="3"/>
  <c r="DQ110" i="3"/>
  <c r="DR110" i="3"/>
  <c r="DS110" i="3"/>
  <c r="DT110" i="3"/>
  <c r="DU110" i="3"/>
  <c r="DV110" i="3"/>
  <c r="DW110" i="3"/>
  <c r="DX110" i="3"/>
  <c r="DY110" i="3"/>
  <c r="H111" i="3"/>
  <c r="BZ111" i="3"/>
  <c r="CA111" i="3"/>
  <c r="CB111" i="3"/>
  <c r="CC111" i="3"/>
  <c r="CD111" i="3"/>
  <c r="CE111" i="3"/>
  <c r="CF111" i="3"/>
  <c r="CG111" i="3"/>
  <c r="CH111" i="3"/>
  <c r="CI111" i="3"/>
  <c r="CJ111" i="3"/>
  <c r="CK111" i="3"/>
  <c r="CL111" i="3"/>
  <c r="CM111" i="3"/>
  <c r="CN111" i="3"/>
  <c r="CO111" i="3"/>
  <c r="CP111" i="3"/>
  <c r="CQ111" i="3"/>
  <c r="CR111" i="3"/>
  <c r="CS111" i="3"/>
  <c r="CT111" i="3"/>
  <c r="CU111" i="3"/>
  <c r="CV111" i="3"/>
  <c r="CW111" i="3"/>
  <c r="CX111" i="3"/>
  <c r="CY111" i="3"/>
  <c r="CZ111" i="3"/>
  <c r="DA111" i="3"/>
  <c r="DB111" i="3"/>
  <c r="DC111" i="3"/>
  <c r="DD111" i="3"/>
  <c r="DE111" i="3"/>
  <c r="DF111" i="3"/>
  <c r="DG111" i="3"/>
  <c r="DH111" i="3"/>
  <c r="DI111" i="3"/>
  <c r="DJ111" i="3"/>
  <c r="DK111" i="3"/>
  <c r="DL111" i="3"/>
  <c r="DM111" i="3"/>
  <c r="DN111" i="3"/>
  <c r="DO111" i="3"/>
  <c r="DP111" i="3"/>
  <c r="DQ111" i="3"/>
  <c r="DR111" i="3"/>
  <c r="DS111" i="3"/>
  <c r="DT111" i="3"/>
  <c r="DU111" i="3"/>
  <c r="DV111" i="3"/>
  <c r="DW111" i="3"/>
  <c r="DX111" i="3"/>
  <c r="DY111" i="3"/>
  <c r="H112" i="3"/>
  <c r="BZ112" i="3"/>
  <c r="CA112" i="3"/>
  <c r="CB112" i="3"/>
  <c r="CC112" i="3"/>
  <c r="CD112" i="3"/>
  <c r="CE112" i="3"/>
  <c r="CF112" i="3"/>
  <c r="CG112" i="3"/>
  <c r="CH112" i="3"/>
  <c r="CI112" i="3"/>
  <c r="CJ112" i="3"/>
  <c r="CK112" i="3"/>
  <c r="CL112" i="3"/>
  <c r="CM112" i="3"/>
  <c r="CN112" i="3"/>
  <c r="CO112" i="3"/>
  <c r="CP112" i="3"/>
  <c r="CQ112" i="3"/>
  <c r="CR112" i="3"/>
  <c r="CS112" i="3"/>
  <c r="CT112" i="3"/>
  <c r="CU112" i="3"/>
  <c r="CV112" i="3"/>
  <c r="CW112" i="3"/>
  <c r="CX112" i="3"/>
  <c r="CY112" i="3"/>
  <c r="CZ112" i="3"/>
  <c r="DA112" i="3"/>
  <c r="DB112" i="3"/>
  <c r="DC112" i="3"/>
  <c r="DD112" i="3"/>
  <c r="DE112" i="3"/>
  <c r="DF112" i="3"/>
  <c r="DG112" i="3"/>
  <c r="DH112" i="3"/>
  <c r="DI112" i="3"/>
  <c r="DJ112" i="3"/>
  <c r="DK112" i="3"/>
  <c r="DL112" i="3"/>
  <c r="DM112" i="3"/>
  <c r="DN112" i="3"/>
  <c r="DO112" i="3"/>
  <c r="DP112" i="3"/>
  <c r="DQ112" i="3"/>
  <c r="DR112" i="3"/>
  <c r="DS112" i="3"/>
  <c r="DT112" i="3"/>
  <c r="DU112" i="3"/>
  <c r="DV112" i="3"/>
  <c r="DW112" i="3"/>
  <c r="DX112" i="3"/>
  <c r="DY112" i="3"/>
  <c r="H115" i="3"/>
  <c r="BZ115" i="3"/>
  <c r="CA115" i="3"/>
  <c r="CB115" i="3"/>
  <c r="CC115" i="3"/>
  <c r="CD115" i="3"/>
  <c r="CE115" i="3"/>
  <c r="CF115" i="3"/>
  <c r="CG115" i="3"/>
  <c r="CH115" i="3"/>
  <c r="CI115" i="3"/>
  <c r="CJ115" i="3"/>
  <c r="CK115" i="3"/>
  <c r="CL115" i="3"/>
  <c r="CM115" i="3"/>
  <c r="CN115" i="3"/>
  <c r="CO115" i="3"/>
  <c r="CP115" i="3"/>
  <c r="CQ115" i="3"/>
  <c r="CR115" i="3"/>
  <c r="CS115" i="3"/>
  <c r="CT115" i="3"/>
  <c r="CU115" i="3"/>
  <c r="CV115" i="3"/>
  <c r="CW115" i="3"/>
  <c r="CX115" i="3"/>
  <c r="CY115" i="3"/>
  <c r="CZ115" i="3"/>
  <c r="DA115" i="3"/>
  <c r="DB115" i="3"/>
  <c r="DC115" i="3"/>
  <c r="DD115" i="3"/>
  <c r="DE115" i="3"/>
  <c r="DF115" i="3"/>
  <c r="DG115" i="3"/>
  <c r="DH115" i="3"/>
  <c r="DI115" i="3"/>
  <c r="DJ115" i="3"/>
  <c r="DK115" i="3"/>
  <c r="DL115" i="3"/>
  <c r="DM115" i="3"/>
  <c r="DN115" i="3"/>
  <c r="DO115" i="3"/>
  <c r="DP115" i="3"/>
  <c r="DQ115" i="3"/>
  <c r="DR115" i="3"/>
  <c r="DS115" i="3"/>
  <c r="DT115" i="3"/>
  <c r="DU115" i="3"/>
  <c r="DV115" i="3"/>
  <c r="DW115" i="3"/>
  <c r="DX115" i="3"/>
  <c r="DY115" i="3"/>
  <c r="H116" i="3"/>
  <c r="BZ116" i="3"/>
  <c r="CA116" i="3"/>
  <c r="CB116" i="3"/>
  <c r="CC116" i="3"/>
  <c r="CD116" i="3"/>
  <c r="CE116" i="3"/>
  <c r="CF116" i="3"/>
  <c r="CG116" i="3"/>
  <c r="CH116" i="3"/>
  <c r="CI116" i="3"/>
  <c r="CJ116" i="3"/>
  <c r="CK116" i="3"/>
  <c r="CL116" i="3"/>
  <c r="CM116" i="3"/>
  <c r="CN116" i="3"/>
  <c r="CO116" i="3"/>
  <c r="CP116" i="3"/>
  <c r="CQ116" i="3"/>
  <c r="CR116" i="3"/>
  <c r="CS116" i="3"/>
  <c r="CT116" i="3"/>
  <c r="CU116" i="3"/>
  <c r="CV116" i="3"/>
  <c r="CW116" i="3"/>
  <c r="CX116" i="3"/>
  <c r="CY116" i="3"/>
  <c r="CZ116" i="3"/>
  <c r="DA116" i="3"/>
  <c r="DB116" i="3"/>
  <c r="DC116" i="3"/>
  <c r="DD116" i="3"/>
  <c r="DE116" i="3"/>
  <c r="DF116" i="3"/>
  <c r="DG116" i="3"/>
  <c r="DH116" i="3"/>
  <c r="DI116" i="3"/>
  <c r="DJ116" i="3"/>
  <c r="DK116" i="3"/>
  <c r="DL116" i="3"/>
  <c r="DM116" i="3"/>
  <c r="DN116" i="3"/>
  <c r="DO116" i="3"/>
  <c r="DP116" i="3"/>
  <c r="DQ116" i="3"/>
  <c r="DR116" i="3"/>
  <c r="DS116" i="3"/>
  <c r="DT116" i="3"/>
  <c r="DU116" i="3"/>
  <c r="DV116" i="3"/>
  <c r="DW116" i="3"/>
  <c r="DX116" i="3"/>
  <c r="DY116" i="3"/>
  <c r="H118" i="3"/>
  <c r="BZ118" i="3"/>
  <c r="CA118" i="3"/>
  <c r="CB118" i="3"/>
  <c r="CC118" i="3"/>
  <c r="CD118" i="3"/>
  <c r="CE118" i="3"/>
  <c r="CF118" i="3"/>
  <c r="CG118" i="3"/>
  <c r="CH118" i="3"/>
  <c r="CI118" i="3"/>
  <c r="CJ118" i="3"/>
  <c r="CK118" i="3"/>
  <c r="CL118" i="3"/>
  <c r="CM118" i="3"/>
  <c r="CN118" i="3"/>
  <c r="CO118" i="3"/>
  <c r="CP118" i="3"/>
  <c r="CQ118" i="3"/>
  <c r="CR118" i="3"/>
  <c r="CS118" i="3"/>
  <c r="CT118" i="3"/>
  <c r="CU118" i="3"/>
  <c r="CV118" i="3"/>
  <c r="CW118" i="3"/>
  <c r="CX118" i="3"/>
  <c r="CY118" i="3"/>
  <c r="CZ118" i="3"/>
  <c r="DA118" i="3"/>
  <c r="DB118" i="3"/>
  <c r="DC118" i="3"/>
  <c r="DD118" i="3"/>
  <c r="DE118" i="3"/>
  <c r="DF118" i="3"/>
  <c r="DG118" i="3"/>
  <c r="DH118" i="3"/>
  <c r="DI118" i="3"/>
  <c r="DJ118" i="3"/>
  <c r="DK118" i="3"/>
  <c r="DL118" i="3"/>
  <c r="DM118" i="3"/>
  <c r="DN118" i="3"/>
  <c r="DO118" i="3"/>
  <c r="DP118" i="3"/>
  <c r="DQ118" i="3"/>
  <c r="DR118" i="3"/>
  <c r="DS118" i="3"/>
  <c r="DT118" i="3"/>
  <c r="DU118" i="3"/>
  <c r="DV118" i="3"/>
  <c r="DW118" i="3"/>
  <c r="DX118" i="3"/>
  <c r="DY118" i="3"/>
  <c r="H119" i="3"/>
  <c r="BZ119" i="3"/>
  <c r="CA119" i="3"/>
  <c r="CB119" i="3"/>
  <c r="CC119" i="3"/>
  <c r="CD119" i="3"/>
  <c r="CE119" i="3"/>
  <c r="CF119" i="3"/>
  <c r="CG119" i="3"/>
  <c r="CH119" i="3"/>
  <c r="CI119" i="3"/>
  <c r="CJ119" i="3"/>
  <c r="CK119" i="3"/>
  <c r="CL119" i="3"/>
  <c r="CM119" i="3"/>
  <c r="CN119" i="3"/>
  <c r="CO119" i="3"/>
  <c r="CP119" i="3"/>
  <c r="CQ119" i="3"/>
  <c r="CR119" i="3"/>
  <c r="CS119" i="3"/>
  <c r="CT119" i="3"/>
  <c r="CU119" i="3"/>
  <c r="CV119" i="3"/>
  <c r="CW119" i="3"/>
  <c r="CX119" i="3"/>
  <c r="CY119" i="3"/>
  <c r="CZ119" i="3"/>
  <c r="DA119" i="3"/>
  <c r="DB119" i="3"/>
  <c r="DC119" i="3"/>
  <c r="DD119" i="3"/>
  <c r="DE119" i="3"/>
  <c r="DF119" i="3"/>
  <c r="DG119" i="3"/>
  <c r="DH119" i="3"/>
  <c r="DI119" i="3"/>
  <c r="DJ119" i="3"/>
  <c r="DK119" i="3"/>
  <c r="DL119" i="3"/>
  <c r="DM119" i="3"/>
  <c r="DN119" i="3"/>
  <c r="DO119" i="3"/>
  <c r="DP119" i="3"/>
  <c r="DQ119" i="3"/>
  <c r="DR119" i="3"/>
  <c r="DS119" i="3"/>
  <c r="DT119" i="3"/>
  <c r="DU119" i="3"/>
  <c r="DV119" i="3"/>
  <c r="DW119" i="3"/>
  <c r="DX119" i="3"/>
  <c r="DY119" i="3"/>
  <c r="H120" i="3"/>
  <c r="BZ120" i="3"/>
  <c r="CA120" i="3"/>
  <c r="CB120" i="3"/>
  <c r="CC120" i="3"/>
  <c r="CD120" i="3"/>
  <c r="CE120" i="3"/>
  <c r="CF120" i="3"/>
  <c r="CG120" i="3"/>
  <c r="CH120" i="3"/>
  <c r="CI120" i="3"/>
  <c r="CJ120" i="3"/>
  <c r="CK120" i="3"/>
  <c r="CL120" i="3"/>
  <c r="CM120" i="3"/>
  <c r="CN120" i="3"/>
  <c r="CO120" i="3"/>
  <c r="CP120" i="3"/>
  <c r="CQ120" i="3"/>
  <c r="CR120" i="3"/>
  <c r="CS120" i="3"/>
  <c r="CT120" i="3"/>
  <c r="CU120" i="3"/>
  <c r="CV120" i="3"/>
  <c r="CW120" i="3"/>
  <c r="CX120" i="3"/>
  <c r="CY120" i="3"/>
  <c r="CZ120" i="3"/>
  <c r="DA120" i="3"/>
  <c r="DB120" i="3"/>
  <c r="DC120" i="3"/>
  <c r="DD120" i="3"/>
  <c r="DE120" i="3"/>
  <c r="DF120" i="3"/>
  <c r="DG120" i="3"/>
  <c r="DH120" i="3"/>
  <c r="DI120" i="3"/>
  <c r="DJ120" i="3"/>
  <c r="DK120" i="3"/>
  <c r="DL120" i="3"/>
  <c r="DM120" i="3"/>
  <c r="DN120" i="3"/>
  <c r="DO120" i="3"/>
  <c r="DP120" i="3"/>
  <c r="DQ120" i="3"/>
  <c r="DR120" i="3"/>
  <c r="DS120" i="3"/>
  <c r="DT120" i="3"/>
  <c r="DU120" i="3"/>
  <c r="DV120" i="3"/>
  <c r="DW120" i="3"/>
  <c r="DX120" i="3"/>
  <c r="DY120" i="3"/>
  <c r="H124" i="3"/>
  <c r="BZ124" i="3"/>
  <c r="CA124" i="3"/>
  <c r="CB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4" i="3"/>
  <c r="DM124" i="3"/>
  <c r="DN124" i="3"/>
  <c r="DO124" i="3"/>
  <c r="DP124" i="3"/>
  <c r="DQ124" i="3"/>
  <c r="DR124" i="3"/>
  <c r="DS124" i="3"/>
  <c r="DT124" i="3"/>
  <c r="DU124" i="3"/>
  <c r="DV124" i="3"/>
  <c r="DW124" i="3"/>
  <c r="DX124" i="3"/>
  <c r="DY124" i="3"/>
  <c r="H126" i="3"/>
  <c r="BZ126" i="3"/>
  <c r="CA126" i="3"/>
  <c r="CB126" i="3"/>
  <c r="CC126" i="3"/>
  <c r="CD126" i="3"/>
  <c r="CE126" i="3"/>
  <c r="CF126" i="3"/>
  <c r="CG126" i="3"/>
  <c r="CH126" i="3"/>
  <c r="CI126" i="3"/>
  <c r="CJ126" i="3"/>
  <c r="CK126" i="3"/>
  <c r="CL126" i="3"/>
  <c r="CM126" i="3"/>
  <c r="CN126" i="3"/>
  <c r="CO126" i="3"/>
  <c r="CP126" i="3"/>
  <c r="CQ126" i="3"/>
  <c r="CR126" i="3"/>
  <c r="CS126" i="3"/>
  <c r="CT126" i="3"/>
  <c r="CU126" i="3"/>
  <c r="CV126" i="3"/>
  <c r="CW126" i="3"/>
  <c r="CX126" i="3"/>
  <c r="CY126" i="3"/>
  <c r="CZ126" i="3"/>
  <c r="DA126" i="3"/>
  <c r="DB126" i="3"/>
  <c r="DC126" i="3"/>
  <c r="DD126" i="3"/>
  <c r="DE126" i="3"/>
  <c r="DF126" i="3"/>
  <c r="DG126" i="3"/>
  <c r="DH126" i="3"/>
  <c r="DI126" i="3"/>
  <c r="DJ126" i="3"/>
  <c r="DK126" i="3"/>
  <c r="DL126" i="3"/>
  <c r="DM126" i="3"/>
  <c r="DN126" i="3"/>
  <c r="DO126" i="3"/>
  <c r="DP126" i="3"/>
  <c r="DQ126" i="3"/>
  <c r="DR126" i="3"/>
  <c r="DS126" i="3"/>
  <c r="DT126" i="3"/>
  <c r="DU126" i="3"/>
  <c r="DV126" i="3"/>
  <c r="DW126" i="3"/>
  <c r="DX126" i="3"/>
  <c r="DY126" i="3"/>
  <c r="H127" i="3"/>
  <c r="BZ127" i="3"/>
  <c r="CA127" i="3"/>
  <c r="CB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7" i="3"/>
  <c r="DM127" i="3"/>
  <c r="DN127" i="3"/>
  <c r="DO127" i="3"/>
  <c r="DP127" i="3"/>
  <c r="DQ127" i="3"/>
  <c r="DR127" i="3"/>
  <c r="DS127" i="3"/>
  <c r="DT127" i="3"/>
  <c r="DU127" i="3"/>
  <c r="DV127" i="3"/>
  <c r="DW127" i="3"/>
  <c r="DX127" i="3"/>
  <c r="DY127" i="3"/>
  <c r="H129" i="3"/>
  <c r="BZ129" i="3"/>
  <c r="CA129" i="3"/>
  <c r="CB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29" i="3"/>
  <c r="DM129" i="3"/>
  <c r="DN129" i="3"/>
  <c r="DO129" i="3"/>
  <c r="DP129" i="3"/>
  <c r="DQ129" i="3"/>
  <c r="DR129" i="3"/>
  <c r="DS129" i="3"/>
  <c r="DT129" i="3"/>
  <c r="DU129" i="3"/>
  <c r="DV129" i="3"/>
  <c r="DW129" i="3"/>
  <c r="DX129" i="3"/>
  <c r="DY129" i="3"/>
  <c r="H139" i="3"/>
  <c r="BZ139" i="3"/>
  <c r="CA139" i="3"/>
  <c r="CB139" i="3"/>
  <c r="CC139" i="3"/>
  <c r="CD139" i="3"/>
  <c r="CE139" i="3"/>
  <c r="CF139" i="3"/>
  <c r="CG139" i="3"/>
  <c r="CH139" i="3"/>
  <c r="CI139" i="3"/>
  <c r="CJ139" i="3"/>
  <c r="CK139" i="3"/>
  <c r="CL139" i="3"/>
  <c r="CM139" i="3"/>
  <c r="CN139" i="3"/>
  <c r="CO139" i="3"/>
  <c r="CP139" i="3"/>
  <c r="CQ139" i="3"/>
  <c r="CR139" i="3"/>
  <c r="CS139" i="3"/>
  <c r="CT139" i="3"/>
  <c r="CU139" i="3"/>
  <c r="CV139" i="3"/>
  <c r="CW139" i="3"/>
  <c r="CX139" i="3"/>
  <c r="CY139" i="3"/>
  <c r="CZ139" i="3"/>
  <c r="DA139" i="3"/>
  <c r="DB139" i="3"/>
  <c r="DC139" i="3"/>
  <c r="DD139" i="3"/>
  <c r="DE139" i="3"/>
  <c r="DF139" i="3"/>
  <c r="DG139" i="3"/>
  <c r="DH139" i="3"/>
  <c r="DI139" i="3"/>
  <c r="DJ139" i="3"/>
  <c r="DK139" i="3"/>
  <c r="DL139" i="3"/>
  <c r="DM139" i="3"/>
  <c r="DN139" i="3"/>
  <c r="DO139" i="3"/>
  <c r="DP139" i="3"/>
  <c r="DQ139" i="3"/>
  <c r="DR139" i="3"/>
  <c r="DS139" i="3"/>
  <c r="DT139" i="3"/>
  <c r="DU139" i="3"/>
  <c r="DV139" i="3"/>
  <c r="DW139" i="3"/>
  <c r="DX139" i="3"/>
  <c r="DY139" i="3"/>
  <c r="H140" i="3"/>
  <c r="BZ140" i="3"/>
  <c r="CA140" i="3"/>
  <c r="CB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0" i="3"/>
  <c r="DM140" i="3"/>
  <c r="DN140" i="3"/>
  <c r="DO140" i="3"/>
  <c r="DP140" i="3"/>
  <c r="DQ140" i="3"/>
  <c r="DR140" i="3"/>
  <c r="DS140" i="3"/>
  <c r="DT140" i="3"/>
  <c r="DU140" i="3"/>
  <c r="DV140" i="3"/>
  <c r="DW140" i="3"/>
  <c r="DX140" i="3"/>
  <c r="DY140" i="3"/>
  <c r="H146" i="3"/>
  <c r="BZ146" i="3"/>
  <c r="CA146" i="3"/>
  <c r="CB146" i="3"/>
  <c r="CC146" i="3"/>
  <c r="CD146" i="3"/>
  <c r="CE146" i="3"/>
  <c r="CF146" i="3"/>
  <c r="CG146" i="3"/>
  <c r="CH146" i="3"/>
  <c r="CI146" i="3"/>
  <c r="CJ146" i="3"/>
  <c r="CK146" i="3"/>
  <c r="CL146" i="3"/>
  <c r="CM146" i="3"/>
  <c r="CN146" i="3"/>
  <c r="CO146" i="3"/>
  <c r="CP146" i="3"/>
  <c r="CQ146" i="3"/>
  <c r="CR146" i="3"/>
  <c r="CS146" i="3"/>
  <c r="CT146" i="3"/>
  <c r="CU146" i="3"/>
  <c r="CV146" i="3"/>
  <c r="CW146" i="3"/>
  <c r="CX146" i="3"/>
  <c r="CY146" i="3"/>
  <c r="CZ146" i="3"/>
  <c r="DA146" i="3"/>
  <c r="DB146" i="3"/>
  <c r="DC146" i="3"/>
  <c r="DD146" i="3"/>
  <c r="DE146" i="3"/>
  <c r="DF146" i="3"/>
  <c r="DG146" i="3"/>
  <c r="DH146" i="3"/>
  <c r="DI146" i="3"/>
  <c r="DJ146" i="3"/>
  <c r="DK146" i="3"/>
  <c r="DL146" i="3"/>
  <c r="DM146" i="3"/>
  <c r="DN146" i="3"/>
  <c r="DO146" i="3"/>
  <c r="DP146" i="3"/>
  <c r="DQ146" i="3"/>
  <c r="DR146" i="3"/>
  <c r="DS146" i="3"/>
  <c r="DT146" i="3"/>
  <c r="DU146" i="3"/>
  <c r="DV146" i="3"/>
  <c r="DW146" i="3"/>
  <c r="DX146" i="3"/>
  <c r="DY146" i="3"/>
  <c r="H147" i="3"/>
  <c r="BZ147" i="3"/>
  <c r="CA147" i="3"/>
  <c r="CB147" i="3"/>
  <c r="CC147" i="3"/>
  <c r="CD147" i="3"/>
  <c r="CE147" i="3"/>
  <c r="CF147" i="3"/>
  <c r="CG147" i="3"/>
  <c r="CH147" i="3"/>
  <c r="CI147" i="3"/>
  <c r="CJ147" i="3"/>
  <c r="CK147" i="3"/>
  <c r="CL147" i="3"/>
  <c r="CM147" i="3"/>
  <c r="CN147" i="3"/>
  <c r="CO147" i="3"/>
  <c r="CP147" i="3"/>
  <c r="CQ147" i="3"/>
  <c r="CR147" i="3"/>
  <c r="CS147" i="3"/>
  <c r="CT147" i="3"/>
  <c r="CU147" i="3"/>
  <c r="CV147" i="3"/>
  <c r="CW147" i="3"/>
  <c r="CX147" i="3"/>
  <c r="CY147" i="3"/>
  <c r="CZ147" i="3"/>
  <c r="DA147" i="3"/>
  <c r="DB147" i="3"/>
  <c r="DC147" i="3"/>
  <c r="DD147" i="3"/>
  <c r="DE147" i="3"/>
  <c r="DF147" i="3"/>
  <c r="DG147" i="3"/>
  <c r="DH147" i="3"/>
  <c r="DI147" i="3"/>
  <c r="DJ147" i="3"/>
  <c r="DK147" i="3"/>
  <c r="DL147" i="3"/>
  <c r="DM147" i="3"/>
  <c r="DN147" i="3"/>
  <c r="DO147" i="3"/>
  <c r="DP147" i="3"/>
  <c r="DQ147" i="3"/>
  <c r="DR147" i="3"/>
  <c r="DS147" i="3"/>
  <c r="DT147" i="3"/>
  <c r="DU147" i="3"/>
  <c r="DV147" i="3"/>
  <c r="DW147" i="3"/>
  <c r="DX147" i="3"/>
  <c r="DY147" i="3"/>
  <c r="H245" i="3"/>
  <c r="BZ245" i="3"/>
  <c r="CA245" i="3"/>
  <c r="CB245" i="3"/>
  <c r="CC245" i="3"/>
  <c r="CD245" i="3"/>
  <c r="CE245" i="3"/>
  <c r="CF245" i="3"/>
  <c r="CG245" i="3"/>
  <c r="CH245" i="3"/>
  <c r="CI245" i="3"/>
  <c r="CJ245" i="3"/>
  <c r="CK245" i="3"/>
  <c r="CL245" i="3"/>
  <c r="CM245" i="3"/>
  <c r="CN245" i="3"/>
  <c r="CO245" i="3"/>
  <c r="CP245" i="3"/>
  <c r="CQ245" i="3"/>
  <c r="CR245" i="3"/>
  <c r="CS245" i="3"/>
  <c r="CT245" i="3"/>
  <c r="CU245" i="3"/>
  <c r="CV245" i="3"/>
  <c r="CW245" i="3"/>
  <c r="CX245" i="3"/>
  <c r="CY245" i="3"/>
  <c r="CZ245" i="3"/>
  <c r="DA245" i="3"/>
  <c r="DB245" i="3"/>
  <c r="DC245" i="3"/>
  <c r="DD245" i="3"/>
  <c r="DE245" i="3"/>
  <c r="DF245" i="3"/>
  <c r="DG245" i="3"/>
  <c r="DH245" i="3"/>
  <c r="DI245" i="3"/>
  <c r="DJ245" i="3"/>
  <c r="DK245" i="3"/>
  <c r="DL245" i="3"/>
  <c r="DM245" i="3"/>
  <c r="DN245" i="3"/>
  <c r="DO245" i="3"/>
  <c r="DP245" i="3"/>
  <c r="DQ245" i="3"/>
  <c r="DR245" i="3"/>
  <c r="DS245" i="3"/>
  <c r="DT245" i="3"/>
  <c r="DU245" i="3"/>
  <c r="DV245" i="3"/>
  <c r="DW245" i="3"/>
  <c r="DX245" i="3"/>
  <c r="DY245" i="3"/>
  <c r="BZ246" i="3"/>
  <c r="CA246" i="3"/>
  <c r="CB246" i="3"/>
  <c r="CC246" i="3"/>
  <c r="CD246" i="3"/>
  <c r="CE246" i="3"/>
  <c r="CF246" i="3"/>
  <c r="CG246" i="3"/>
  <c r="CH246" i="3"/>
  <c r="CI246" i="3"/>
  <c r="CJ246" i="3"/>
  <c r="CK246" i="3"/>
  <c r="CL246" i="3"/>
  <c r="CM246" i="3"/>
  <c r="CN246" i="3"/>
  <c r="CO246" i="3"/>
  <c r="CP246" i="3"/>
  <c r="CQ246" i="3"/>
  <c r="CR246" i="3"/>
  <c r="CS246" i="3"/>
  <c r="CT246" i="3"/>
  <c r="CU246" i="3"/>
  <c r="CV246" i="3"/>
  <c r="CW246" i="3"/>
  <c r="CX246" i="3"/>
  <c r="CY246" i="3"/>
  <c r="CZ246" i="3"/>
  <c r="DA246" i="3"/>
  <c r="DB246" i="3"/>
  <c r="DC246" i="3"/>
  <c r="DD246" i="3"/>
  <c r="DE246" i="3"/>
  <c r="DF246" i="3"/>
  <c r="DG246" i="3"/>
  <c r="DH246" i="3"/>
  <c r="DI246" i="3"/>
  <c r="DJ246" i="3"/>
  <c r="DK246" i="3"/>
  <c r="DL246" i="3"/>
  <c r="DM246" i="3"/>
  <c r="DN246" i="3"/>
  <c r="DO246" i="3"/>
  <c r="DP246" i="3"/>
  <c r="DQ246" i="3"/>
  <c r="DR246" i="3"/>
  <c r="DS246" i="3"/>
  <c r="DT246" i="3"/>
  <c r="DU246" i="3"/>
  <c r="DV246" i="3"/>
  <c r="DW246" i="3"/>
  <c r="DX246" i="3"/>
  <c r="DY246" i="3"/>
  <c r="BN248" i="3"/>
  <c r="BO248" i="3"/>
  <c r="BP248" i="3"/>
  <c r="BQ248" i="3"/>
  <c r="BR248" i="3"/>
  <c r="BS248" i="3"/>
  <c r="BT248" i="3"/>
  <c r="BU248" i="3"/>
  <c r="BV248" i="3"/>
  <c r="BW248" i="3"/>
  <c r="BX248" i="3"/>
  <c r="BY248" i="3"/>
  <c r="BZ248" i="3"/>
  <c r="CA248" i="3"/>
  <c r="CB248" i="3"/>
  <c r="CC248" i="3"/>
  <c r="CD248" i="3"/>
  <c r="CE248" i="3"/>
  <c r="CF248" i="3"/>
  <c r="CG248" i="3"/>
  <c r="CH248" i="3"/>
  <c r="CI248" i="3"/>
  <c r="CJ248" i="3"/>
  <c r="CK248" i="3"/>
  <c r="CL248" i="3"/>
  <c r="CM248" i="3"/>
  <c r="CN248" i="3"/>
  <c r="CO248" i="3"/>
  <c r="CP248" i="3"/>
  <c r="CQ248" i="3"/>
  <c r="CR248" i="3"/>
  <c r="CS248" i="3"/>
  <c r="CT248" i="3"/>
  <c r="CU248" i="3"/>
  <c r="CV248" i="3"/>
  <c r="CW248" i="3"/>
  <c r="CX248" i="3"/>
  <c r="CY248" i="3"/>
  <c r="CZ248" i="3"/>
  <c r="DA248" i="3"/>
  <c r="DB248" i="3"/>
  <c r="DC248" i="3"/>
  <c r="DD248" i="3"/>
  <c r="DE248" i="3"/>
  <c r="DF248" i="3"/>
  <c r="DG248" i="3"/>
  <c r="DH248" i="3"/>
  <c r="DI248" i="3"/>
  <c r="DJ248" i="3"/>
  <c r="DK248" i="3"/>
  <c r="DL248" i="3"/>
  <c r="DM248" i="3"/>
  <c r="DN248" i="3"/>
  <c r="DO248" i="3"/>
  <c r="DP248" i="3"/>
  <c r="DQ248" i="3"/>
  <c r="DR248" i="3"/>
  <c r="DS248" i="3"/>
  <c r="DT248" i="3"/>
  <c r="DU248" i="3"/>
  <c r="DV248" i="3"/>
  <c r="DW248" i="3"/>
  <c r="DX248" i="3"/>
  <c r="DY248" i="3"/>
  <c r="H250" i="3"/>
  <c r="BZ250" i="3"/>
  <c r="CA250" i="3"/>
  <c r="CB250" i="3"/>
  <c r="CC250" i="3"/>
  <c r="CD250" i="3"/>
  <c r="CE250" i="3"/>
  <c r="CF250" i="3"/>
  <c r="CG250" i="3"/>
  <c r="CH250" i="3"/>
  <c r="CI250" i="3"/>
  <c r="CJ250" i="3"/>
  <c r="CK250" i="3"/>
  <c r="CL250" i="3"/>
  <c r="CM250" i="3"/>
  <c r="CN250" i="3"/>
  <c r="CO250" i="3"/>
  <c r="CP250" i="3"/>
  <c r="CQ250" i="3"/>
  <c r="CR250" i="3"/>
  <c r="CS250" i="3"/>
  <c r="CT250" i="3"/>
  <c r="CU250" i="3"/>
  <c r="CV250" i="3"/>
  <c r="CW250" i="3"/>
  <c r="CX250" i="3"/>
  <c r="CY250" i="3"/>
  <c r="CZ250" i="3"/>
  <c r="DA250" i="3"/>
  <c r="DB250" i="3"/>
  <c r="DC250" i="3"/>
  <c r="DD250" i="3"/>
  <c r="DE250" i="3"/>
  <c r="DF250" i="3"/>
  <c r="DG250" i="3"/>
  <c r="DH250" i="3"/>
  <c r="DI250" i="3"/>
  <c r="DJ250" i="3"/>
  <c r="DK250" i="3"/>
  <c r="DL250" i="3"/>
  <c r="DM250" i="3"/>
  <c r="DN250" i="3"/>
  <c r="DO250" i="3"/>
  <c r="DP250" i="3"/>
  <c r="DQ250" i="3"/>
  <c r="DR250" i="3"/>
  <c r="DS250" i="3"/>
  <c r="DT250" i="3"/>
  <c r="DU250" i="3"/>
  <c r="DV250" i="3"/>
  <c r="DW250" i="3"/>
  <c r="DX250" i="3"/>
  <c r="DY250" i="3"/>
  <c r="BZ251" i="3"/>
  <c r="CA251" i="3"/>
  <c r="CB251" i="3"/>
  <c r="CC251" i="3"/>
  <c r="CD251" i="3"/>
  <c r="CE251" i="3"/>
  <c r="CF251" i="3"/>
  <c r="CG251" i="3"/>
  <c r="CH251" i="3"/>
  <c r="CI251" i="3"/>
  <c r="CJ251" i="3"/>
  <c r="CK251" i="3"/>
  <c r="CL251" i="3"/>
  <c r="CM251" i="3"/>
  <c r="CN251" i="3"/>
  <c r="CO251" i="3"/>
  <c r="CP251" i="3"/>
  <c r="CQ251" i="3"/>
  <c r="CR251" i="3"/>
  <c r="CS251" i="3"/>
  <c r="CT251" i="3"/>
  <c r="CU251" i="3"/>
  <c r="CV251" i="3"/>
  <c r="CW251" i="3"/>
  <c r="CX251" i="3"/>
  <c r="CY251" i="3"/>
  <c r="CZ251" i="3"/>
  <c r="DA251" i="3"/>
  <c r="DB251" i="3"/>
  <c r="DC251" i="3"/>
  <c r="DD251" i="3"/>
  <c r="DE251" i="3"/>
  <c r="DF251" i="3"/>
  <c r="DG251" i="3"/>
  <c r="DH251" i="3"/>
  <c r="DI251" i="3"/>
  <c r="DJ251" i="3"/>
  <c r="DK251" i="3"/>
  <c r="DL251" i="3"/>
  <c r="DM251" i="3"/>
  <c r="DN251" i="3"/>
  <c r="DO251" i="3"/>
  <c r="DP251" i="3"/>
  <c r="DQ251" i="3"/>
  <c r="DR251" i="3"/>
  <c r="DS251" i="3"/>
  <c r="DT251" i="3"/>
  <c r="DU251" i="3"/>
  <c r="DV251" i="3"/>
  <c r="DW251" i="3"/>
  <c r="DX251" i="3"/>
  <c r="DY251" i="3"/>
  <c r="BZ334" i="3"/>
  <c r="CA334" i="3"/>
  <c r="CB334" i="3"/>
  <c r="CC334" i="3"/>
  <c r="CD334" i="3"/>
  <c r="CE334" i="3"/>
  <c r="CF334" i="3"/>
  <c r="CG334" i="3"/>
  <c r="CH334" i="3"/>
  <c r="CI334" i="3"/>
  <c r="CJ334" i="3"/>
  <c r="CK334" i="3"/>
  <c r="CL334" i="3"/>
  <c r="CM334" i="3"/>
  <c r="CN334" i="3"/>
  <c r="CO334" i="3"/>
  <c r="CP334" i="3"/>
  <c r="CQ334" i="3"/>
  <c r="CR334" i="3"/>
  <c r="CS334" i="3"/>
  <c r="CT334" i="3"/>
  <c r="CU334" i="3"/>
  <c r="CV334" i="3"/>
  <c r="CW334" i="3"/>
  <c r="CX334" i="3"/>
  <c r="CY334" i="3"/>
  <c r="CZ334" i="3"/>
  <c r="DA334" i="3"/>
  <c r="DB334" i="3"/>
  <c r="DC334" i="3"/>
  <c r="DD334" i="3"/>
  <c r="DE334" i="3"/>
  <c r="DF334" i="3"/>
  <c r="DG334" i="3"/>
  <c r="DH334" i="3"/>
  <c r="DI334" i="3"/>
  <c r="DJ334" i="3"/>
  <c r="DK334" i="3"/>
  <c r="DL334" i="3"/>
  <c r="DM334" i="3"/>
  <c r="DN334" i="3"/>
  <c r="DO334" i="3"/>
  <c r="DP334" i="3"/>
  <c r="DQ334" i="3"/>
  <c r="DR334" i="3"/>
  <c r="DS334" i="3"/>
  <c r="DT334" i="3"/>
  <c r="DU334" i="3"/>
  <c r="DV334" i="3"/>
  <c r="DW334" i="3"/>
  <c r="DX334" i="3"/>
  <c r="DY334" i="3"/>
  <c r="CA339" i="3"/>
  <c r="CB339" i="3"/>
  <c r="CC339" i="3"/>
  <c r="CD339" i="3"/>
  <c r="CE339" i="3"/>
  <c r="CF339" i="3"/>
  <c r="CG339" i="3"/>
  <c r="CH339" i="3"/>
  <c r="CI339" i="3"/>
  <c r="CJ339" i="3"/>
  <c r="CK339" i="3"/>
  <c r="CL339" i="3"/>
  <c r="CM339" i="3"/>
  <c r="CN339" i="3"/>
  <c r="CO339" i="3"/>
  <c r="CP339" i="3"/>
  <c r="CQ339" i="3"/>
  <c r="CR339" i="3"/>
  <c r="CS339" i="3"/>
  <c r="CT339" i="3"/>
  <c r="CU339" i="3"/>
  <c r="CV339" i="3"/>
  <c r="CW339" i="3"/>
  <c r="CX339" i="3"/>
  <c r="CY339" i="3"/>
  <c r="CZ339" i="3"/>
  <c r="DA339" i="3"/>
  <c r="DB339" i="3"/>
  <c r="DC339" i="3"/>
  <c r="DD339" i="3"/>
  <c r="DE339" i="3"/>
  <c r="DF339" i="3"/>
  <c r="DG339" i="3"/>
  <c r="DH339" i="3"/>
  <c r="DI339" i="3"/>
  <c r="DJ339" i="3"/>
  <c r="DK339" i="3"/>
  <c r="DL339" i="3"/>
  <c r="DM339" i="3"/>
  <c r="DN339" i="3"/>
  <c r="DO339" i="3"/>
  <c r="DP339" i="3"/>
  <c r="DQ339" i="3"/>
  <c r="DR339" i="3"/>
  <c r="DS339" i="3"/>
  <c r="DT339" i="3"/>
  <c r="DU339" i="3"/>
  <c r="DV339" i="3"/>
  <c r="DW339" i="3"/>
  <c r="DX339" i="3"/>
  <c r="DY339" i="3"/>
  <c r="G341" i="3"/>
  <c r="BZ341" i="3"/>
  <c r="CA341" i="3"/>
  <c r="CB341" i="3"/>
  <c r="CC341" i="3"/>
  <c r="CD341" i="3"/>
  <c r="CE341" i="3"/>
  <c r="CF341" i="3"/>
  <c r="CG341" i="3"/>
  <c r="CH341" i="3"/>
  <c r="CI341" i="3"/>
  <c r="CJ341" i="3"/>
  <c r="CK341" i="3"/>
  <c r="CL341" i="3"/>
  <c r="CM341" i="3"/>
  <c r="CN341" i="3"/>
  <c r="CO341" i="3"/>
  <c r="CP341" i="3"/>
  <c r="CQ341" i="3"/>
  <c r="CR341" i="3"/>
  <c r="CS341" i="3"/>
  <c r="CT341" i="3"/>
  <c r="CU341" i="3"/>
  <c r="CV341" i="3"/>
  <c r="CW341" i="3"/>
  <c r="CX341" i="3"/>
  <c r="CY341" i="3"/>
  <c r="CZ341" i="3"/>
  <c r="DA341" i="3"/>
  <c r="DB341" i="3"/>
  <c r="DC341" i="3"/>
  <c r="DD341" i="3"/>
  <c r="DE341" i="3"/>
  <c r="DF341" i="3"/>
  <c r="DG341" i="3"/>
  <c r="DH341" i="3"/>
  <c r="DI341" i="3"/>
  <c r="DJ341" i="3"/>
  <c r="DK341" i="3"/>
  <c r="DL341" i="3"/>
  <c r="DM341" i="3"/>
  <c r="DN341" i="3"/>
  <c r="DO341" i="3"/>
  <c r="DP341" i="3"/>
  <c r="DQ341" i="3"/>
  <c r="DR341" i="3"/>
  <c r="DS341" i="3"/>
  <c r="DT341" i="3"/>
  <c r="DU341" i="3"/>
  <c r="DV341" i="3"/>
  <c r="DW341" i="3"/>
  <c r="DX341" i="3"/>
  <c r="DY341" i="3"/>
  <c r="G343" i="3"/>
  <c r="BZ343" i="3"/>
  <c r="CA343" i="3"/>
  <c r="CB343" i="3"/>
  <c r="CC343" i="3"/>
  <c r="CD343" i="3"/>
  <c r="CE343" i="3"/>
  <c r="CF343" i="3"/>
  <c r="CG343" i="3"/>
  <c r="CH343" i="3"/>
  <c r="CI343" i="3"/>
  <c r="CJ343" i="3"/>
  <c r="CK343" i="3"/>
  <c r="CL343" i="3"/>
  <c r="CM343" i="3"/>
  <c r="CN343" i="3"/>
  <c r="CO343" i="3"/>
  <c r="CP343" i="3"/>
  <c r="CQ343" i="3"/>
  <c r="CR343" i="3"/>
  <c r="CS343" i="3"/>
  <c r="CT343" i="3"/>
  <c r="CU343" i="3"/>
  <c r="CV343" i="3"/>
  <c r="CW343" i="3"/>
  <c r="CX343" i="3"/>
  <c r="CY343" i="3"/>
  <c r="CZ343" i="3"/>
  <c r="DA343" i="3"/>
  <c r="DB343" i="3"/>
  <c r="DC343" i="3"/>
  <c r="DD343" i="3"/>
  <c r="DE343" i="3"/>
  <c r="DF343" i="3"/>
  <c r="DG343" i="3"/>
  <c r="DH343" i="3"/>
  <c r="DI343" i="3"/>
  <c r="DJ343" i="3"/>
  <c r="DK343" i="3"/>
  <c r="DL343" i="3"/>
  <c r="DM343" i="3"/>
  <c r="DN343" i="3"/>
  <c r="DO343" i="3"/>
  <c r="DP343" i="3"/>
  <c r="DQ343" i="3"/>
  <c r="DR343" i="3"/>
  <c r="DS343" i="3"/>
  <c r="DT343" i="3"/>
  <c r="DU343" i="3"/>
  <c r="DV343" i="3"/>
  <c r="DW343" i="3"/>
  <c r="DX343" i="3"/>
  <c r="DY343" i="3"/>
  <c r="BZ346" i="3"/>
  <c r="CA346" i="3"/>
  <c r="CB346" i="3"/>
  <c r="CC346" i="3"/>
  <c r="CD346" i="3"/>
  <c r="CE346" i="3"/>
  <c r="CF346" i="3"/>
  <c r="CG346" i="3"/>
  <c r="CH346" i="3"/>
  <c r="CI346" i="3"/>
  <c r="CJ346" i="3"/>
  <c r="CK346" i="3"/>
  <c r="CL346" i="3"/>
  <c r="CM346" i="3"/>
  <c r="CN346" i="3"/>
  <c r="CO346" i="3"/>
  <c r="CP346" i="3"/>
  <c r="CQ346" i="3"/>
  <c r="CR346" i="3"/>
  <c r="CS346" i="3"/>
  <c r="CT346" i="3"/>
  <c r="CU346" i="3"/>
  <c r="CV346" i="3"/>
  <c r="CW346" i="3"/>
  <c r="CX346" i="3"/>
  <c r="CY346" i="3"/>
  <c r="CZ346" i="3"/>
  <c r="DA346" i="3"/>
  <c r="DB346" i="3"/>
  <c r="DC346" i="3"/>
  <c r="DD346" i="3"/>
  <c r="DE346" i="3"/>
  <c r="DF346" i="3"/>
  <c r="DG346" i="3"/>
  <c r="DH346" i="3"/>
  <c r="DI346" i="3"/>
  <c r="DJ346" i="3"/>
  <c r="DK346" i="3"/>
  <c r="DL346" i="3"/>
  <c r="DM346" i="3"/>
  <c r="DN346" i="3"/>
  <c r="DO346" i="3"/>
  <c r="DP346" i="3"/>
  <c r="DQ346" i="3"/>
  <c r="DR346" i="3"/>
  <c r="DS346" i="3"/>
  <c r="DT346" i="3"/>
  <c r="DU346" i="3"/>
  <c r="DV346" i="3"/>
  <c r="DW346" i="3"/>
  <c r="DX346" i="3"/>
  <c r="DY346" i="3"/>
  <c r="H349" i="3"/>
  <c r="BZ349" i="3"/>
  <c r="CA349" i="3"/>
  <c r="CB349" i="3"/>
  <c r="CC349" i="3"/>
  <c r="CD349" i="3"/>
  <c r="CE349" i="3"/>
  <c r="CF349" i="3"/>
  <c r="CG349" i="3"/>
  <c r="CH349" i="3"/>
  <c r="CI349" i="3"/>
  <c r="CJ349" i="3"/>
  <c r="CK349" i="3"/>
  <c r="CL349" i="3"/>
  <c r="CM349" i="3"/>
  <c r="CN349" i="3"/>
  <c r="CO349" i="3"/>
  <c r="CP349" i="3"/>
  <c r="CQ349" i="3"/>
  <c r="CR349" i="3"/>
  <c r="CS349" i="3"/>
  <c r="CT349" i="3"/>
  <c r="CU349" i="3"/>
  <c r="CV349" i="3"/>
  <c r="CW349" i="3"/>
  <c r="CX349" i="3"/>
  <c r="CY349" i="3"/>
  <c r="CZ349" i="3"/>
  <c r="DA349" i="3"/>
  <c r="DB349" i="3"/>
  <c r="DC349" i="3"/>
  <c r="DD349" i="3"/>
  <c r="DE349" i="3"/>
  <c r="DF349" i="3"/>
  <c r="DG349" i="3"/>
  <c r="DH349" i="3"/>
  <c r="DI349" i="3"/>
  <c r="DJ349" i="3"/>
  <c r="DK349" i="3"/>
  <c r="DL349" i="3"/>
  <c r="DM349" i="3"/>
  <c r="DN349" i="3"/>
  <c r="DO349" i="3"/>
  <c r="DP349" i="3"/>
  <c r="DQ349" i="3"/>
  <c r="DR349" i="3"/>
  <c r="DS349" i="3"/>
  <c r="DT349" i="3"/>
  <c r="DU349" i="3"/>
  <c r="DV349" i="3"/>
  <c r="DW349" i="3"/>
  <c r="DX349" i="3"/>
  <c r="DY349" i="3"/>
  <c r="H355" i="3"/>
  <c r="BN355" i="3"/>
  <c r="BO355" i="3"/>
  <c r="BP355" i="3"/>
  <c r="BQ355" i="3"/>
  <c r="BR355" i="3"/>
  <c r="BS355" i="3"/>
  <c r="BT355" i="3"/>
  <c r="BU355" i="3"/>
  <c r="BV355" i="3"/>
  <c r="BW355" i="3"/>
  <c r="BX355" i="3"/>
  <c r="BY355" i="3"/>
  <c r="BZ355" i="3"/>
  <c r="CA355" i="3"/>
  <c r="CB355" i="3"/>
  <c r="CC355" i="3"/>
  <c r="CD355" i="3"/>
  <c r="CE355" i="3"/>
  <c r="CF355" i="3"/>
  <c r="CG355" i="3"/>
  <c r="CH355" i="3"/>
  <c r="CI355" i="3"/>
  <c r="CJ355" i="3"/>
  <c r="CK355" i="3"/>
  <c r="CL355" i="3"/>
  <c r="CM355" i="3"/>
  <c r="CN355" i="3"/>
  <c r="CO355" i="3"/>
  <c r="CP355" i="3"/>
  <c r="CQ355" i="3"/>
  <c r="CR355" i="3"/>
  <c r="CS355" i="3"/>
  <c r="CT355" i="3"/>
  <c r="CU355" i="3"/>
  <c r="CV355" i="3"/>
  <c r="CW355" i="3"/>
  <c r="CX355" i="3"/>
  <c r="CY355" i="3"/>
  <c r="CZ355" i="3"/>
  <c r="DA355" i="3"/>
  <c r="DB355" i="3"/>
  <c r="DC355" i="3"/>
  <c r="DD355" i="3"/>
  <c r="DE355" i="3"/>
  <c r="DF355" i="3"/>
  <c r="DG355" i="3"/>
  <c r="DH355" i="3"/>
  <c r="DI355" i="3"/>
  <c r="DJ355" i="3"/>
  <c r="DK355" i="3"/>
  <c r="DL355" i="3"/>
  <c r="DM355" i="3"/>
  <c r="DN355" i="3"/>
  <c r="DO355" i="3"/>
  <c r="DP355" i="3"/>
  <c r="DQ355" i="3"/>
  <c r="DR355" i="3"/>
  <c r="DS355" i="3"/>
  <c r="DT355" i="3"/>
  <c r="DU355" i="3"/>
  <c r="DV355" i="3"/>
  <c r="DW355" i="3"/>
  <c r="DX355" i="3"/>
  <c r="DY355" i="3"/>
  <c r="H356" i="3"/>
  <c r="BN356" i="3"/>
  <c r="BO356" i="3"/>
  <c r="BP356" i="3"/>
  <c r="BQ356" i="3"/>
  <c r="BR356" i="3"/>
  <c r="BS356" i="3"/>
  <c r="BT356" i="3"/>
  <c r="BU356" i="3"/>
  <c r="BV356" i="3"/>
  <c r="BW356" i="3"/>
  <c r="BX356" i="3"/>
  <c r="BY356" i="3"/>
  <c r="BZ356" i="3"/>
  <c r="CA356" i="3"/>
  <c r="CB356" i="3"/>
  <c r="CC356" i="3"/>
  <c r="CD356" i="3"/>
  <c r="CE356" i="3"/>
  <c r="CF356" i="3"/>
  <c r="CG356" i="3"/>
  <c r="CH356" i="3"/>
  <c r="CI356" i="3"/>
  <c r="CJ356" i="3"/>
  <c r="CK356" i="3"/>
  <c r="CL356" i="3"/>
  <c r="CM356" i="3"/>
  <c r="CN356" i="3"/>
  <c r="CO356" i="3"/>
  <c r="CP356" i="3"/>
  <c r="CQ356" i="3"/>
  <c r="CR356" i="3"/>
  <c r="CS356" i="3"/>
  <c r="CT356" i="3"/>
  <c r="CU356" i="3"/>
  <c r="CV356" i="3"/>
  <c r="CW356" i="3"/>
  <c r="CX356" i="3"/>
  <c r="CY356" i="3"/>
  <c r="CZ356" i="3"/>
  <c r="DA356" i="3"/>
  <c r="DB356" i="3"/>
  <c r="DC356" i="3"/>
  <c r="DD356" i="3"/>
  <c r="DE356" i="3"/>
  <c r="DF356" i="3"/>
  <c r="DG356" i="3"/>
  <c r="DH356" i="3"/>
  <c r="DI356" i="3"/>
  <c r="DJ356" i="3"/>
  <c r="DK356" i="3"/>
  <c r="DL356" i="3"/>
  <c r="DM356" i="3"/>
  <c r="DN356" i="3"/>
  <c r="DO356" i="3"/>
  <c r="DP356" i="3"/>
  <c r="DQ356" i="3"/>
  <c r="DR356" i="3"/>
  <c r="DS356" i="3"/>
  <c r="DT356" i="3"/>
  <c r="DU356" i="3"/>
  <c r="DV356" i="3"/>
  <c r="DW356" i="3"/>
  <c r="DX356" i="3"/>
  <c r="DY356" i="3"/>
  <c r="H357" i="3"/>
  <c r="BN357" i="3"/>
  <c r="BO357" i="3"/>
  <c r="BP357" i="3"/>
  <c r="BQ357" i="3"/>
  <c r="BR357" i="3"/>
  <c r="BS357" i="3"/>
  <c r="BT357" i="3"/>
  <c r="BU357" i="3"/>
  <c r="BV357" i="3"/>
  <c r="BW357" i="3"/>
  <c r="BX357" i="3"/>
  <c r="BY357" i="3"/>
  <c r="BZ357" i="3"/>
  <c r="CA357" i="3"/>
  <c r="CB357" i="3"/>
  <c r="CC357" i="3"/>
  <c r="CD357" i="3"/>
  <c r="CE357" i="3"/>
  <c r="CF357" i="3"/>
  <c r="CG357" i="3"/>
  <c r="CH357" i="3"/>
  <c r="CI357" i="3"/>
  <c r="CJ357" i="3"/>
  <c r="CK357" i="3"/>
  <c r="CL357" i="3"/>
  <c r="CM357" i="3"/>
  <c r="CN357" i="3"/>
  <c r="CO357" i="3"/>
  <c r="CP357" i="3"/>
  <c r="CQ357" i="3"/>
  <c r="CR357" i="3"/>
  <c r="CS357" i="3"/>
  <c r="CT357" i="3"/>
  <c r="CU357" i="3"/>
  <c r="CV357" i="3"/>
  <c r="CW357" i="3"/>
  <c r="CX357" i="3"/>
  <c r="CY357" i="3"/>
  <c r="CZ357" i="3"/>
  <c r="DA357" i="3"/>
  <c r="DB357" i="3"/>
  <c r="DC357" i="3"/>
  <c r="DD357" i="3"/>
  <c r="DE357" i="3"/>
  <c r="DF357" i="3"/>
  <c r="DG357" i="3"/>
  <c r="DH357" i="3"/>
  <c r="DI357" i="3"/>
  <c r="DJ357" i="3"/>
  <c r="DK357" i="3"/>
  <c r="DL357" i="3"/>
  <c r="DM357" i="3"/>
  <c r="DN357" i="3"/>
  <c r="DO357" i="3"/>
  <c r="DP357" i="3"/>
  <c r="DQ357" i="3"/>
  <c r="DR357" i="3"/>
  <c r="DS357" i="3"/>
  <c r="DT357" i="3"/>
  <c r="DU357" i="3"/>
  <c r="DV357" i="3"/>
  <c r="DW357" i="3"/>
  <c r="DX357" i="3"/>
  <c r="DY357" i="3"/>
  <c r="H380" i="3"/>
  <c r="BN380" i="3"/>
  <c r="BO380" i="3"/>
  <c r="BP380" i="3"/>
  <c r="BQ380" i="3"/>
  <c r="BR380" i="3"/>
  <c r="BS380" i="3"/>
  <c r="BT380" i="3"/>
  <c r="BU380" i="3"/>
  <c r="BV380" i="3"/>
  <c r="BW380" i="3"/>
  <c r="BX380" i="3"/>
  <c r="BY380" i="3"/>
  <c r="BZ380" i="3"/>
  <c r="CA380" i="3"/>
  <c r="CB380" i="3"/>
  <c r="CC380" i="3"/>
  <c r="CD380" i="3"/>
  <c r="CE380" i="3"/>
  <c r="CF380" i="3"/>
  <c r="CG380" i="3"/>
  <c r="CH380" i="3"/>
  <c r="CI380" i="3"/>
  <c r="CJ380" i="3"/>
  <c r="CK380" i="3"/>
  <c r="CL380" i="3"/>
  <c r="CM380" i="3"/>
  <c r="CN380" i="3"/>
  <c r="CO380" i="3"/>
  <c r="CP380" i="3"/>
  <c r="CQ380" i="3"/>
  <c r="CR380" i="3"/>
  <c r="CS380" i="3"/>
  <c r="CT380" i="3"/>
  <c r="CU380" i="3"/>
  <c r="CV380" i="3"/>
  <c r="CW380" i="3"/>
  <c r="CX380" i="3"/>
  <c r="CY380" i="3"/>
  <c r="CZ380" i="3"/>
  <c r="DA380" i="3"/>
  <c r="DB380" i="3"/>
  <c r="DC380" i="3"/>
  <c r="DD380" i="3"/>
  <c r="DE380" i="3"/>
  <c r="DF380" i="3"/>
  <c r="DG380" i="3"/>
  <c r="DH380" i="3"/>
  <c r="DI380" i="3"/>
  <c r="DJ380" i="3"/>
  <c r="DK380" i="3"/>
  <c r="DL380" i="3"/>
  <c r="DM380" i="3"/>
  <c r="DN380" i="3"/>
  <c r="DO380" i="3"/>
  <c r="DP380" i="3"/>
  <c r="DQ380" i="3"/>
  <c r="DR380" i="3"/>
  <c r="DS380" i="3"/>
  <c r="DT380" i="3"/>
  <c r="DU380" i="3"/>
  <c r="DV380" i="3"/>
  <c r="DW380" i="3"/>
  <c r="DX380" i="3"/>
  <c r="DY380" i="3"/>
  <c r="H381" i="3"/>
  <c r="BN381" i="3"/>
  <c r="BO381" i="3"/>
  <c r="BP381" i="3"/>
  <c r="BQ381" i="3"/>
  <c r="BR381" i="3"/>
  <c r="BS381" i="3"/>
  <c r="BT381" i="3"/>
  <c r="BU381" i="3"/>
  <c r="BV381" i="3"/>
  <c r="BW381" i="3"/>
  <c r="BX381" i="3"/>
  <c r="BY381" i="3"/>
  <c r="BZ381" i="3"/>
  <c r="CA381" i="3"/>
  <c r="CB381" i="3"/>
  <c r="CC381" i="3"/>
  <c r="CD381" i="3"/>
  <c r="CE381" i="3"/>
  <c r="CF381" i="3"/>
  <c r="CG381" i="3"/>
  <c r="CH381" i="3"/>
  <c r="CI381" i="3"/>
  <c r="CJ381" i="3"/>
  <c r="CK381" i="3"/>
  <c r="CL381" i="3"/>
  <c r="CM381" i="3"/>
  <c r="CN381" i="3"/>
  <c r="CO381" i="3"/>
  <c r="CP381" i="3"/>
  <c r="CQ381" i="3"/>
  <c r="CR381" i="3"/>
  <c r="CS381" i="3"/>
  <c r="CT381" i="3"/>
  <c r="CU381" i="3"/>
  <c r="CV381" i="3"/>
  <c r="CW381" i="3"/>
  <c r="CX381" i="3"/>
  <c r="CY381" i="3"/>
  <c r="CZ381" i="3"/>
  <c r="DA381" i="3"/>
  <c r="DB381" i="3"/>
  <c r="DC381" i="3"/>
  <c r="DD381" i="3"/>
  <c r="DE381" i="3"/>
  <c r="DF381" i="3"/>
  <c r="DG381" i="3"/>
  <c r="DH381" i="3"/>
  <c r="DI381" i="3"/>
  <c r="DJ381" i="3"/>
  <c r="DK381" i="3"/>
  <c r="DL381" i="3"/>
  <c r="DM381" i="3"/>
  <c r="DN381" i="3"/>
  <c r="DO381" i="3"/>
  <c r="DP381" i="3"/>
  <c r="DQ381" i="3"/>
  <c r="DR381" i="3"/>
  <c r="DS381" i="3"/>
  <c r="DT381" i="3"/>
  <c r="DU381" i="3"/>
  <c r="DV381" i="3"/>
  <c r="DW381" i="3"/>
  <c r="DX381" i="3"/>
  <c r="DY381" i="3"/>
  <c r="H382" i="3"/>
  <c r="BN382" i="3"/>
  <c r="BO382" i="3"/>
  <c r="BP382" i="3"/>
  <c r="BQ382" i="3"/>
  <c r="BR382" i="3"/>
  <c r="BS382" i="3"/>
  <c r="BT382" i="3"/>
  <c r="BU382" i="3"/>
  <c r="BV382" i="3"/>
  <c r="BW382" i="3"/>
  <c r="BX382" i="3"/>
  <c r="BY382" i="3"/>
  <c r="BZ382" i="3"/>
  <c r="CA382" i="3"/>
  <c r="CB382" i="3"/>
  <c r="CC382" i="3"/>
  <c r="CD382" i="3"/>
  <c r="CE382" i="3"/>
  <c r="CF382" i="3"/>
  <c r="CG382" i="3"/>
  <c r="CH382" i="3"/>
  <c r="CI382" i="3"/>
  <c r="CJ382" i="3"/>
  <c r="CK382" i="3"/>
  <c r="CL382" i="3"/>
  <c r="CM382" i="3"/>
  <c r="CN382" i="3"/>
  <c r="CO382" i="3"/>
  <c r="CP382" i="3"/>
  <c r="CQ382" i="3"/>
  <c r="CR382" i="3"/>
  <c r="CS382" i="3"/>
  <c r="CT382" i="3"/>
  <c r="CU382" i="3"/>
  <c r="CV382" i="3"/>
  <c r="CW382" i="3"/>
  <c r="CX382" i="3"/>
  <c r="CY382" i="3"/>
  <c r="CZ382" i="3"/>
  <c r="DA382" i="3"/>
  <c r="DB382" i="3"/>
  <c r="DC382" i="3"/>
  <c r="DD382" i="3"/>
  <c r="DE382" i="3"/>
  <c r="DF382" i="3"/>
  <c r="DG382" i="3"/>
  <c r="DH382" i="3"/>
  <c r="DI382" i="3"/>
  <c r="DJ382" i="3"/>
  <c r="DK382" i="3"/>
  <c r="DL382" i="3"/>
  <c r="DM382" i="3"/>
  <c r="DN382" i="3"/>
  <c r="DO382" i="3"/>
  <c r="DP382" i="3"/>
  <c r="DQ382" i="3"/>
  <c r="DR382" i="3"/>
  <c r="DS382" i="3"/>
  <c r="DT382" i="3"/>
  <c r="DU382" i="3"/>
  <c r="DV382" i="3"/>
  <c r="DW382" i="3"/>
  <c r="DX382" i="3"/>
  <c r="DY382" i="3"/>
  <c r="H416" i="3"/>
  <c r="BZ416" i="3"/>
  <c r="CA416" i="3"/>
  <c r="CB416" i="3"/>
  <c r="CC416" i="3"/>
  <c r="CD416" i="3"/>
  <c r="CE416" i="3"/>
  <c r="CF416" i="3"/>
  <c r="CG416" i="3"/>
  <c r="CH416" i="3"/>
  <c r="CI416" i="3"/>
  <c r="CJ416" i="3"/>
  <c r="CK416" i="3"/>
  <c r="CL416" i="3"/>
  <c r="CM416" i="3"/>
  <c r="CN416" i="3"/>
  <c r="CO416" i="3"/>
  <c r="CP416" i="3"/>
  <c r="CQ416" i="3"/>
  <c r="CR416" i="3"/>
  <c r="CS416" i="3"/>
  <c r="CT416" i="3"/>
  <c r="CU416" i="3"/>
  <c r="CV416" i="3"/>
  <c r="CW416" i="3"/>
  <c r="CX416" i="3"/>
  <c r="CY416" i="3"/>
  <c r="CZ416" i="3"/>
  <c r="DA416" i="3"/>
  <c r="DB416" i="3"/>
  <c r="DC416" i="3"/>
  <c r="DD416" i="3"/>
  <c r="DE416" i="3"/>
  <c r="DF416" i="3"/>
  <c r="DG416" i="3"/>
  <c r="DH416" i="3"/>
  <c r="DI416" i="3"/>
  <c r="DJ416" i="3"/>
  <c r="DK416" i="3"/>
  <c r="DL416" i="3"/>
  <c r="DM416" i="3"/>
  <c r="DN416" i="3"/>
  <c r="DO416" i="3"/>
  <c r="DP416" i="3"/>
  <c r="DQ416" i="3"/>
  <c r="DR416" i="3"/>
  <c r="DS416" i="3"/>
  <c r="DT416" i="3"/>
  <c r="DU416" i="3"/>
  <c r="DV416" i="3"/>
  <c r="DW416" i="3"/>
  <c r="DX416" i="3"/>
  <c r="DY416" i="3"/>
  <c r="H418" i="3"/>
  <c r="BZ418" i="3"/>
  <c r="CA418" i="3"/>
  <c r="CB418" i="3"/>
  <c r="CC418" i="3"/>
  <c r="CD418" i="3"/>
  <c r="CE418" i="3"/>
  <c r="CF418" i="3"/>
  <c r="CG418" i="3"/>
  <c r="CH418" i="3"/>
  <c r="CI418" i="3"/>
  <c r="CJ418" i="3"/>
  <c r="CK418" i="3"/>
  <c r="CL418" i="3"/>
  <c r="CM418" i="3"/>
  <c r="CN418" i="3"/>
  <c r="CO418" i="3"/>
  <c r="CP418" i="3"/>
  <c r="CQ418" i="3"/>
  <c r="CR418" i="3"/>
  <c r="CS418" i="3"/>
  <c r="CT418" i="3"/>
  <c r="CU418" i="3"/>
  <c r="CV418" i="3"/>
  <c r="CW418" i="3"/>
  <c r="CX418" i="3"/>
  <c r="CY418" i="3"/>
  <c r="CZ418" i="3"/>
  <c r="DA418" i="3"/>
  <c r="DB418" i="3"/>
  <c r="DC418" i="3"/>
  <c r="DD418" i="3"/>
  <c r="DE418" i="3"/>
  <c r="DF418" i="3"/>
  <c r="DG418" i="3"/>
  <c r="DH418" i="3"/>
  <c r="DI418" i="3"/>
  <c r="DJ418" i="3"/>
  <c r="DK418" i="3"/>
  <c r="DL418" i="3"/>
  <c r="DM418" i="3"/>
  <c r="DN418" i="3"/>
  <c r="DO418" i="3"/>
  <c r="DP418" i="3"/>
  <c r="DQ418" i="3"/>
  <c r="DR418" i="3"/>
  <c r="DS418" i="3"/>
  <c r="DT418" i="3"/>
  <c r="DU418" i="3"/>
  <c r="DV418" i="3"/>
  <c r="DW418" i="3"/>
  <c r="DX418" i="3"/>
  <c r="DY418" i="3"/>
  <c r="H419" i="3"/>
  <c r="BN419" i="3"/>
  <c r="BO419" i="3"/>
  <c r="BP419" i="3"/>
  <c r="BQ419" i="3"/>
  <c r="BR419" i="3"/>
  <c r="BS419" i="3"/>
  <c r="BT419" i="3"/>
  <c r="BU419" i="3"/>
  <c r="BV419" i="3"/>
  <c r="BW419" i="3"/>
  <c r="BX419" i="3"/>
  <c r="BY419" i="3"/>
  <c r="BZ419" i="3"/>
  <c r="CA419" i="3"/>
  <c r="CB419" i="3"/>
  <c r="CC419" i="3"/>
  <c r="CD419" i="3"/>
  <c r="CE419" i="3"/>
  <c r="CF419" i="3"/>
  <c r="CG419" i="3"/>
  <c r="CH419" i="3"/>
  <c r="CI419" i="3"/>
  <c r="CJ419" i="3"/>
  <c r="CK419" i="3"/>
  <c r="CL419" i="3"/>
  <c r="CM419" i="3"/>
  <c r="CN419" i="3"/>
  <c r="CO419" i="3"/>
  <c r="CP419" i="3"/>
  <c r="CQ419" i="3"/>
  <c r="CR419" i="3"/>
  <c r="CS419" i="3"/>
  <c r="CT419" i="3"/>
  <c r="CU419" i="3"/>
  <c r="CV419" i="3"/>
  <c r="CW419" i="3"/>
  <c r="CX419" i="3"/>
  <c r="CY419" i="3"/>
  <c r="CZ419" i="3"/>
  <c r="DA419" i="3"/>
  <c r="DB419" i="3"/>
  <c r="DC419" i="3"/>
  <c r="DD419" i="3"/>
  <c r="DE419" i="3"/>
  <c r="DF419" i="3"/>
  <c r="DG419" i="3"/>
  <c r="DH419" i="3"/>
  <c r="DI419" i="3"/>
  <c r="DJ419" i="3"/>
  <c r="DK419" i="3"/>
  <c r="DL419" i="3"/>
  <c r="DM419" i="3"/>
  <c r="DN419" i="3"/>
  <c r="DO419" i="3"/>
  <c r="DP419" i="3"/>
  <c r="DQ419" i="3"/>
  <c r="DR419" i="3"/>
  <c r="DS419" i="3"/>
  <c r="DT419" i="3"/>
  <c r="DU419" i="3"/>
  <c r="DV419" i="3"/>
  <c r="DW419" i="3"/>
  <c r="DX419" i="3"/>
  <c r="DY419" i="3"/>
  <c r="H421" i="3"/>
  <c r="BN421" i="3"/>
  <c r="BO421" i="3"/>
  <c r="BP421" i="3"/>
  <c r="BQ421" i="3"/>
  <c r="BR421" i="3"/>
  <c r="BS421" i="3"/>
  <c r="BT421" i="3"/>
  <c r="BU421" i="3"/>
  <c r="BV421" i="3"/>
  <c r="BW421" i="3"/>
  <c r="BX421" i="3"/>
  <c r="BY421" i="3"/>
  <c r="BZ421" i="3"/>
  <c r="CA421" i="3"/>
  <c r="CB421" i="3"/>
  <c r="CC421" i="3"/>
  <c r="CD421" i="3"/>
  <c r="CE421" i="3"/>
  <c r="CF421" i="3"/>
  <c r="CG421" i="3"/>
  <c r="CH421" i="3"/>
  <c r="CI421" i="3"/>
  <c r="CJ421" i="3"/>
  <c r="CK421" i="3"/>
  <c r="CL421" i="3"/>
  <c r="CM421" i="3"/>
  <c r="CN421" i="3"/>
  <c r="CO421" i="3"/>
  <c r="CP421" i="3"/>
  <c r="CQ421" i="3"/>
  <c r="CR421" i="3"/>
  <c r="CS421" i="3"/>
  <c r="CT421" i="3"/>
  <c r="CU421" i="3"/>
  <c r="CV421" i="3"/>
  <c r="CW421" i="3"/>
  <c r="CX421" i="3"/>
  <c r="CY421" i="3"/>
  <c r="CZ421" i="3"/>
  <c r="DA421" i="3"/>
  <c r="DB421" i="3"/>
  <c r="DC421" i="3"/>
  <c r="DD421" i="3"/>
  <c r="DE421" i="3"/>
  <c r="DF421" i="3"/>
  <c r="DG421" i="3"/>
  <c r="DH421" i="3"/>
  <c r="DI421" i="3"/>
  <c r="DJ421" i="3"/>
  <c r="DK421" i="3"/>
  <c r="DL421" i="3"/>
  <c r="DM421" i="3"/>
  <c r="DN421" i="3"/>
  <c r="DO421" i="3"/>
  <c r="DP421" i="3"/>
  <c r="DQ421" i="3"/>
  <c r="DR421" i="3"/>
  <c r="DS421" i="3"/>
  <c r="DT421" i="3"/>
  <c r="DU421" i="3"/>
  <c r="DV421" i="3"/>
  <c r="DW421" i="3"/>
  <c r="DX421" i="3"/>
  <c r="DY421" i="3"/>
  <c r="H422" i="3"/>
  <c r="BN422" i="3"/>
  <c r="BO422" i="3"/>
  <c r="BP422" i="3"/>
  <c r="BQ422" i="3"/>
  <c r="BR422" i="3"/>
  <c r="BS422" i="3"/>
  <c r="BT422" i="3"/>
  <c r="BU422" i="3"/>
  <c r="BV422" i="3"/>
  <c r="BW422" i="3"/>
  <c r="BX422" i="3"/>
  <c r="BY422" i="3"/>
  <c r="BZ422" i="3"/>
  <c r="CA422" i="3"/>
  <c r="CB422" i="3"/>
  <c r="CC422" i="3"/>
  <c r="CD422" i="3"/>
  <c r="CE422" i="3"/>
  <c r="CF422" i="3"/>
  <c r="CG422" i="3"/>
  <c r="CH422" i="3"/>
  <c r="CI422" i="3"/>
  <c r="CJ422" i="3"/>
  <c r="CK422" i="3"/>
  <c r="CL422" i="3"/>
  <c r="CM422" i="3"/>
  <c r="CN422" i="3"/>
  <c r="CO422" i="3"/>
  <c r="CP422" i="3"/>
  <c r="CQ422" i="3"/>
  <c r="CR422" i="3"/>
  <c r="CS422" i="3"/>
  <c r="CT422" i="3"/>
  <c r="CU422" i="3"/>
  <c r="CV422" i="3"/>
  <c r="CW422" i="3"/>
  <c r="CX422" i="3"/>
  <c r="CY422" i="3"/>
  <c r="CZ422" i="3"/>
  <c r="DA422" i="3"/>
  <c r="DB422" i="3"/>
  <c r="DC422" i="3"/>
  <c r="DD422" i="3"/>
  <c r="DE422" i="3"/>
  <c r="DF422" i="3"/>
  <c r="DG422" i="3"/>
  <c r="DH422" i="3"/>
  <c r="DI422" i="3"/>
  <c r="DJ422" i="3"/>
  <c r="DK422" i="3"/>
  <c r="DL422" i="3"/>
  <c r="DM422" i="3"/>
  <c r="DN422" i="3"/>
  <c r="DO422" i="3"/>
  <c r="DP422" i="3"/>
  <c r="DQ422" i="3"/>
  <c r="DR422" i="3"/>
  <c r="DS422" i="3"/>
  <c r="DT422" i="3"/>
  <c r="DU422" i="3"/>
  <c r="DV422" i="3"/>
  <c r="DW422" i="3"/>
  <c r="DX422" i="3"/>
  <c r="DY422" i="3"/>
  <c r="H426" i="3"/>
  <c r="H427" i="3"/>
  <c r="H428" i="3"/>
  <c r="H429" i="3"/>
  <c r="H436" i="3"/>
  <c r="BZ436" i="3"/>
  <c r="CA436" i="3"/>
  <c r="CB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DG436" i="3"/>
  <c r="DH436" i="3"/>
  <c r="DI436" i="3"/>
  <c r="DJ436" i="3"/>
  <c r="DK436" i="3"/>
  <c r="DL436" i="3"/>
  <c r="DM436" i="3"/>
  <c r="DN436" i="3"/>
  <c r="DO436" i="3"/>
  <c r="DP436" i="3"/>
  <c r="DQ436" i="3"/>
  <c r="DR436" i="3"/>
  <c r="DS436" i="3"/>
  <c r="DT436" i="3"/>
  <c r="DU436" i="3"/>
  <c r="DV436" i="3"/>
  <c r="DW436" i="3"/>
  <c r="DX436" i="3"/>
  <c r="DY436" i="3"/>
  <c r="H438" i="3"/>
  <c r="BZ438" i="3"/>
  <c r="CA438" i="3"/>
  <c r="CB438" i="3"/>
  <c r="CC438" i="3"/>
  <c r="CD438" i="3"/>
  <c r="CE438" i="3"/>
  <c r="CF438" i="3"/>
  <c r="CG438" i="3"/>
  <c r="CH438" i="3"/>
  <c r="CI438" i="3"/>
  <c r="CJ438" i="3"/>
  <c r="CK438" i="3"/>
  <c r="CL438" i="3"/>
  <c r="CM438" i="3"/>
  <c r="CN438" i="3"/>
  <c r="CO438" i="3"/>
  <c r="CP438" i="3"/>
  <c r="CQ438" i="3"/>
  <c r="CR438" i="3"/>
  <c r="CS438" i="3"/>
  <c r="CT438" i="3"/>
  <c r="CU438" i="3"/>
  <c r="CV438" i="3"/>
  <c r="CW438" i="3"/>
  <c r="CX438" i="3"/>
  <c r="CY438" i="3"/>
  <c r="CZ438" i="3"/>
  <c r="DA438" i="3"/>
  <c r="DB438" i="3"/>
  <c r="DC438" i="3"/>
  <c r="DD438" i="3"/>
  <c r="DE438" i="3"/>
  <c r="DF438" i="3"/>
  <c r="DG438" i="3"/>
  <c r="DH438" i="3"/>
  <c r="DI438" i="3"/>
  <c r="DJ438" i="3"/>
  <c r="DK438" i="3"/>
  <c r="DL438" i="3"/>
  <c r="DM438" i="3"/>
  <c r="DN438" i="3"/>
  <c r="DO438" i="3"/>
  <c r="DP438" i="3"/>
  <c r="DQ438" i="3"/>
  <c r="DR438" i="3"/>
  <c r="DS438" i="3"/>
  <c r="DT438" i="3"/>
  <c r="DU438" i="3"/>
  <c r="DV438" i="3"/>
  <c r="DW438" i="3"/>
  <c r="DX438" i="3"/>
  <c r="DY438" i="3"/>
  <c r="H439" i="3"/>
  <c r="BN439" i="3"/>
  <c r="BO439" i="3"/>
  <c r="BP439" i="3"/>
  <c r="BQ439" i="3"/>
  <c r="BR439" i="3"/>
  <c r="BS439" i="3"/>
  <c r="BT439" i="3"/>
  <c r="BU439" i="3"/>
  <c r="BV439" i="3"/>
  <c r="BW439" i="3"/>
  <c r="BX439" i="3"/>
  <c r="BY439" i="3"/>
  <c r="BZ439" i="3"/>
  <c r="CA439" i="3"/>
  <c r="CB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DL439" i="3"/>
  <c r="DM439" i="3"/>
  <c r="DN439" i="3"/>
  <c r="DO439" i="3"/>
  <c r="DP439" i="3"/>
  <c r="DQ439" i="3"/>
  <c r="DR439" i="3"/>
  <c r="DS439" i="3"/>
  <c r="DT439" i="3"/>
  <c r="DU439" i="3"/>
  <c r="DV439" i="3"/>
  <c r="DW439" i="3"/>
  <c r="DX439" i="3"/>
  <c r="DY439" i="3"/>
  <c r="H444" i="3"/>
  <c r="BN444" i="3"/>
  <c r="BO444" i="3"/>
  <c r="BP444" i="3"/>
  <c r="BQ444" i="3"/>
  <c r="BR444" i="3"/>
  <c r="BS444" i="3"/>
  <c r="BT444" i="3"/>
  <c r="BU444" i="3"/>
  <c r="BV444" i="3"/>
  <c r="BW444" i="3"/>
  <c r="BX444" i="3"/>
  <c r="BY444" i="3"/>
  <c r="BZ444" i="3"/>
  <c r="CA444" i="3"/>
  <c r="CB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4" i="3"/>
  <c r="DH444" i="3"/>
  <c r="DI444" i="3"/>
  <c r="DJ444" i="3"/>
  <c r="DK444" i="3"/>
  <c r="DL444" i="3"/>
  <c r="DM444" i="3"/>
  <c r="DN444" i="3"/>
  <c r="DO444" i="3"/>
  <c r="DP444" i="3"/>
  <c r="DQ444" i="3"/>
  <c r="DR444" i="3"/>
  <c r="DS444" i="3"/>
  <c r="DT444" i="3"/>
  <c r="DU444" i="3"/>
  <c r="DV444" i="3"/>
  <c r="DW444" i="3"/>
  <c r="DX444" i="3"/>
  <c r="DY444" i="3"/>
  <c r="H445" i="3"/>
  <c r="BN445" i="3"/>
  <c r="BO445" i="3"/>
  <c r="BP445" i="3"/>
  <c r="BQ445" i="3"/>
  <c r="BR445" i="3"/>
  <c r="BS445" i="3"/>
  <c r="BT445" i="3"/>
  <c r="BU445" i="3"/>
  <c r="BV445" i="3"/>
  <c r="BW445" i="3"/>
  <c r="BX445" i="3"/>
  <c r="BY445" i="3"/>
  <c r="BZ445" i="3"/>
  <c r="CA445" i="3"/>
  <c r="CB445" i="3"/>
  <c r="CC445" i="3"/>
  <c r="CD445" i="3"/>
  <c r="CE445" i="3"/>
  <c r="CF445" i="3"/>
  <c r="CG445" i="3"/>
  <c r="CH445" i="3"/>
  <c r="CI445" i="3"/>
  <c r="CJ445" i="3"/>
  <c r="CK445" i="3"/>
  <c r="CL445" i="3"/>
  <c r="CM445" i="3"/>
  <c r="CN445" i="3"/>
  <c r="CO445" i="3"/>
  <c r="CP445" i="3"/>
  <c r="CQ445" i="3"/>
  <c r="CR445" i="3"/>
  <c r="CS445" i="3"/>
  <c r="CT445" i="3"/>
  <c r="CU445" i="3"/>
  <c r="CV445" i="3"/>
  <c r="CW445" i="3"/>
  <c r="CX445" i="3"/>
  <c r="CY445" i="3"/>
  <c r="CZ445" i="3"/>
  <c r="DA445" i="3"/>
  <c r="DB445" i="3"/>
  <c r="DC445" i="3"/>
  <c r="DD445" i="3"/>
  <c r="DE445" i="3"/>
  <c r="DF445" i="3"/>
  <c r="DG445" i="3"/>
  <c r="DH445" i="3"/>
  <c r="DI445" i="3"/>
  <c r="DJ445" i="3"/>
  <c r="DK445" i="3"/>
  <c r="DL445" i="3"/>
  <c r="DM445" i="3"/>
  <c r="DN445" i="3"/>
  <c r="DO445" i="3"/>
  <c r="DP445" i="3"/>
  <c r="DQ445" i="3"/>
  <c r="DR445" i="3"/>
  <c r="DS445" i="3"/>
  <c r="DT445" i="3"/>
  <c r="DU445" i="3"/>
  <c r="DV445" i="3"/>
  <c r="DW445" i="3"/>
  <c r="DX445" i="3"/>
  <c r="DY445" i="3"/>
  <c r="H448" i="3"/>
  <c r="H449" i="3"/>
  <c r="H450" i="3"/>
  <c r="H451" i="3"/>
  <c r="CF463" i="3"/>
  <c r="CG463" i="3"/>
  <c r="CH463" i="3"/>
  <c r="CI463" i="3"/>
  <c r="CJ463" i="3"/>
  <c r="CK463" i="3"/>
  <c r="CL463" i="3"/>
  <c r="CM463" i="3"/>
  <c r="CN463" i="3"/>
  <c r="CO463" i="3"/>
  <c r="CP463" i="3"/>
  <c r="CQ463" i="3"/>
  <c r="CR463" i="3"/>
  <c r="CS463" i="3"/>
  <c r="CT463" i="3"/>
  <c r="CU463" i="3"/>
  <c r="CV463" i="3"/>
  <c r="CW463" i="3"/>
  <c r="CX463" i="3"/>
  <c r="CY463" i="3"/>
  <c r="CZ463" i="3"/>
  <c r="DA463" i="3"/>
  <c r="DB463" i="3"/>
  <c r="DC463" i="3"/>
  <c r="DD463" i="3"/>
  <c r="DE463" i="3"/>
  <c r="DF463" i="3"/>
  <c r="DG463" i="3"/>
  <c r="DH463" i="3"/>
  <c r="DI463" i="3"/>
  <c r="DJ463" i="3"/>
  <c r="DK463" i="3"/>
  <c r="DL463" i="3"/>
  <c r="DM463" i="3"/>
  <c r="DN463" i="3"/>
  <c r="DO463" i="3"/>
  <c r="DP463" i="3"/>
  <c r="DQ463" i="3"/>
  <c r="DR463" i="3"/>
  <c r="DS463" i="3"/>
  <c r="DT463" i="3"/>
  <c r="DU463" i="3"/>
  <c r="DV463" i="3"/>
  <c r="DW463" i="3"/>
  <c r="DX463" i="3"/>
  <c r="DY463" i="3"/>
  <c r="H464" i="3"/>
  <c r="CF464" i="3"/>
  <c r="CG464" i="3"/>
  <c r="CH464" i="3"/>
  <c r="CI464" i="3"/>
  <c r="CJ464" i="3"/>
  <c r="CK464" i="3"/>
  <c r="CL464" i="3"/>
  <c r="CM464" i="3"/>
  <c r="CN464" i="3"/>
  <c r="CO464" i="3"/>
  <c r="CP464" i="3"/>
  <c r="CQ464" i="3"/>
  <c r="CR464" i="3"/>
  <c r="CS464" i="3"/>
  <c r="CT464" i="3"/>
  <c r="CU464" i="3"/>
  <c r="CV464" i="3"/>
  <c r="CW464" i="3"/>
  <c r="CX464" i="3"/>
  <c r="CY464" i="3"/>
  <c r="CZ464" i="3"/>
  <c r="DA464" i="3"/>
  <c r="DB464" i="3"/>
  <c r="DC464" i="3"/>
  <c r="DD464" i="3"/>
  <c r="DE464" i="3"/>
  <c r="DF464" i="3"/>
  <c r="DG464" i="3"/>
  <c r="DH464" i="3"/>
  <c r="DI464" i="3"/>
  <c r="DJ464" i="3"/>
  <c r="DK464" i="3"/>
  <c r="DL464" i="3"/>
  <c r="DM464" i="3"/>
  <c r="DN464" i="3"/>
  <c r="DO464" i="3"/>
  <c r="DP464" i="3"/>
  <c r="DQ464" i="3"/>
  <c r="DR464" i="3"/>
  <c r="DS464" i="3"/>
  <c r="DT464" i="3"/>
  <c r="DU464" i="3"/>
  <c r="DV464" i="3"/>
  <c r="DW464" i="3"/>
  <c r="DX464" i="3"/>
  <c r="DY464" i="3"/>
  <c r="H465" i="3"/>
  <c r="CF465" i="3"/>
  <c r="CG465" i="3"/>
  <c r="CH465" i="3"/>
  <c r="CI465" i="3"/>
  <c r="CJ465" i="3"/>
  <c r="CK465" i="3"/>
  <c r="CL465" i="3"/>
  <c r="CM465" i="3"/>
  <c r="CN465" i="3"/>
  <c r="CO465" i="3"/>
  <c r="CP465" i="3"/>
  <c r="CQ465" i="3"/>
  <c r="CR465" i="3"/>
  <c r="CS465" i="3"/>
  <c r="CT465" i="3"/>
  <c r="CU465" i="3"/>
  <c r="CV465" i="3"/>
  <c r="CW465" i="3"/>
  <c r="CX465" i="3"/>
  <c r="CY465" i="3"/>
  <c r="CZ465" i="3"/>
  <c r="DA465" i="3"/>
  <c r="DB465" i="3"/>
  <c r="DC465" i="3"/>
  <c r="DD465" i="3"/>
  <c r="DE465" i="3"/>
  <c r="DF465" i="3"/>
  <c r="DG465" i="3"/>
  <c r="DH465" i="3"/>
  <c r="DI465" i="3"/>
  <c r="DJ465" i="3"/>
  <c r="DK465" i="3"/>
  <c r="DL465" i="3"/>
  <c r="DM465" i="3"/>
  <c r="DN465" i="3"/>
  <c r="DO465" i="3"/>
  <c r="DP465" i="3"/>
  <c r="DQ465" i="3"/>
  <c r="DR465" i="3"/>
  <c r="DS465" i="3"/>
  <c r="DT465" i="3"/>
  <c r="DU465" i="3"/>
  <c r="DV465" i="3"/>
  <c r="DW465" i="3"/>
  <c r="DX465" i="3"/>
  <c r="DY465" i="3"/>
  <c r="CG469" i="3"/>
  <c r="CH469" i="3"/>
  <c r="CI469" i="3"/>
  <c r="CJ469" i="3"/>
  <c r="CK469" i="3"/>
  <c r="CL469" i="3"/>
  <c r="CM469" i="3"/>
  <c r="CN469" i="3"/>
  <c r="CO469" i="3"/>
  <c r="CP469" i="3"/>
  <c r="CQ469" i="3"/>
  <c r="CR469" i="3"/>
  <c r="CS469" i="3"/>
  <c r="CT469" i="3"/>
  <c r="CU469" i="3"/>
  <c r="CV469" i="3"/>
  <c r="CW469" i="3"/>
  <c r="CX469" i="3"/>
  <c r="CY469" i="3"/>
  <c r="CZ469" i="3"/>
  <c r="DA469" i="3"/>
  <c r="DB469" i="3"/>
  <c r="DC469" i="3"/>
  <c r="DD469" i="3"/>
  <c r="DE469" i="3"/>
  <c r="DF469" i="3"/>
  <c r="DG469" i="3"/>
  <c r="DH469" i="3"/>
  <c r="DI469" i="3"/>
  <c r="DJ469" i="3"/>
  <c r="DK469" i="3"/>
  <c r="DL469" i="3"/>
  <c r="DM469" i="3"/>
  <c r="DN469" i="3"/>
  <c r="DO469" i="3"/>
  <c r="DP469" i="3"/>
  <c r="DQ469" i="3"/>
  <c r="DR469" i="3"/>
  <c r="DS469" i="3"/>
  <c r="DT469" i="3"/>
  <c r="DU469" i="3"/>
  <c r="DV469" i="3"/>
  <c r="DW469" i="3"/>
  <c r="DX469" i="3"/>
  <c r="DY469" i="3"/>
  <c r="H471" i="3"/>
  <c r="CG471" i="3"/>
  <c r="CH471" i="3"/>
  <c r="CI471" i="3"/>
  <c r="CJ471" i="3"/>
  <c r="CK471" i="3"/>
  <c r="CL471" i="3"/>
  <c r="CM471" i="3"/>
  <c r="CN471" i="3"/>
  <c r="CO471" i="3"/>
  <c r="CP471" i="3"/>
  <c r="CQ471" i="3"/>
  <c r="CR471" i="3"/>
  <c r="CS471" i="3"/>
  <c r="CT471" i="3"/>
  <c r="CU471" i="3"/>
  <c r="CV471" i="3"/>
  <c r="CW471" i="3"/>
  <c r="CX471" i="3"/>
  <c r="CY471" i="3"/>
  <c r="CZ471" i="3"/>
  <c r="DA471" i="3"/>
  <c r="DB471" i="3"/>
  <c r="DC471" i="3"/>
  <c r="DD471" i="3"/>
  <c r="DE471" i="3"/>
  <c r="DF471" i="3"/>
  <c r="DG471" i="3"/>
  <c r="DH471" i="3"/>
  <c r="DI471" i="3"/>
  <c r="DJ471" i="3"/>
  <c r="DK471" i="3"/>
  <c r="DL471" i="3"/>
  <c r="DM471" i="3"/>
  <c r="DN471" i="3"/>
  <c r="DO471" i="3"/>
  <c r="DP471" i="3"/>
  <c r="DQ471" i="3"/>
  <c r="DR471" i="3"/>
  <c r="DS471" i="3"/>
  <c r="DT471" i="3"/>
  <c r="DU471" i="3"/>
  <c r="DV471" i="3"/>
  <c r="DW471" i="3"/>
  <c r="DX471" i="3"/>
  <c r="DY471" i="3"/>
  <c r="H472" i="3"/>
  <c r="CF472" i="3"/>
  <c r="CG472" i="3"/>
  <c r="CH472" i="3"/>
  <c r="CI472" i="3"/>
  <c r="CJ472" i="3"/>
  <c r="CK472" i="3"/>
  <c r="CL472" i="3"/>
  <c r="CM472" i="3"/>
  <c r="CN472" i="3"/>
  <c r="CO472" i="3"/>
  <c r="CP472" i="3"/>
  <c r="CQ472" i="3"/>
  <c r="CR472" i="3"/>
  <c r="CS472" i="3"/>
  <c r="CT472" i="3"/>
  <c r="CU472" i="3"/>
  <c r="CV472" i="3"/>
  <c r="CW472" i="3"/>
  <c r="CX472" i="3"/>
  <c r="CY472" i="3"/>
  <c r="CZ472" i="3"/>
  <c r="DA472" i="3"/>
  <c r="DB472" i="3"/>
  <c r="DC472" i="3"/>
  <c r="DD472" i="3"/>
  <c r="DE472" i="3"/>
  <c r="DF472" i="3"/>
  <c r="DG472" i="3"/>
  <c r="DH472" i="3"/>
  <c r="DI472" i="3"/>
  <c r="DJ472" i="3"/>
  <c r="DK472" i="3"/>
  <c r="DL472" i="3"/>
  <c r="DM472" i="3"/>
  <c r="DN472" i="3"/>
  <c r="DO472" i="3"/>
  <c r="DP472" i="3"/>
  <c r="DQ472" i="3"/>
  <c r="DR472" i="3"/>
  <c r="DS472" i="3"/>
  <c r="DT472" i="3"/>
  <c r="DU472" i="3"/>
  <c r="DV472" i="3"/>
  <c r="DW472" i="3"/>
  <c r="DX472" i="3"/>
  <c r="DY472" i="3"/>
  <c r="CF473" i="3"/>
  <c r="CG473" i="3"/>
  <c r="CH473" i="3"/>
  <c r="CI473" i="3"/>
  <c r="CJ473" i="3"/>
  <c r="CK473" i="3"/>
  <c r="CL473" i="3"/>
  <c r="CM473" i="3"/>
  <c r="CN473" i="3"/>
  <c r="CO473" i="3"/>
  <c r="CP473" i="3"/>
  <c r="CQ473" i="3"/>
  <c r="CR473" i="3"/>
  <c r="CS473" i="3"/>
  <c r="CT473" i="3"/>
  <c r="CU473" i="3"/>
  <c r="CV473" i="3"/>
  <c r="CW473" i="3"/>
  <c r="CX473" i="3"/>
  <c r="CY473" i="3"/>
  <c r="CZ473" i="3"/>
  <c r="DA473" i="3"/>
  <c r="DB473" i="3"/>
  <c r="DC473" i="3"/>
  <c r="DD473" i="3"/>
  <c r="DE473" i="3"/>
  <c r="DF473" i="3"/>
  <c r="DG473" i="3"/>
  <c r="DH473" i="3"/>
  <c r="DI473" i="3"/>
  <c r="DJ473" i="3"/>
  <c r="DK473" i="3"/>
  <c r="DL473" i="3"/>
  <c r="DM473" i="3"/>
  <c r="DN473" i="3"/>
  <c r="DO473" i="3"/>
  <c r="DP473" i="3"/>
  <c r="DQ473" i="3"/>
  <c r="DR473" i="3"/>
  <c r="DS473" i="3"/>
  <c r="DT473" i="3"/>
  <c r="DU473" i="3"/>
  <c r="DV473" i="3"/>
  <c r="DW473" i="3"/>
  <c r="DX473" i="3"/>
  <c r="DY473" i="3"/>
  <c r="CG477" i="3"/>
  <c r="CH477" i="3"/>
  <c r="CI477" i="3"/>
  <c r="CJ477" i="3"/>
  <c r="CK477" i="3"/>
  <c r="CL477" i="3"/>
  <c r="CM477" i="3"/>
  <c r="CN477" i="3"/>
  <c r="CO477" i="3"/>
  <c r="CP477" i="3"/>
  <c r="CQ477" i="3"/>
  <c r="CR477" i="3"/>
  <c r="CS477" i="3"/>
  <c r="CT477" i="3"/>
  <c r="CU477" i="3"/>
  <c r="CV477" i="3"/>
  <c r="CW477" i="3"/>
  <c r="CX477" i="3"/>
  <c r="CY477" i="3"/>
  <c r="CZ477" i="3"/>
  <c r="DA477" i="3"/>
  <c r="DB477" i="3"/>
  <c r="DC477" i="3"/>
  <c r="DD477" i="3"/>
  <c r="DE477" i="3"/>
  <c r="DF477" i="3"/>
  <c r="DG477" i="3"/>
  <c r="DH477" i="3"/>
  <c r="DI477" i="3"/>
  <c r="DJ477" i="3"/>
  <c r="DK477" i="3"/>
  <c r="DL477" i="3"/>
  <c r="DM477" i="3"/>
  <c r="DN477" i="3"/>
  <c r="DO477" i="3"/>
  <c r="DP477" i="3"/>
  <c r="DQ477" i="3"/>
  <c r="DR477" i="3"/>
  <c r="DS477" i="3"/>
  <c r="DT477" i="3"/>
  <c r="DU477" i="3"/>
  <c r="DV477" i="3"/>
  <c r="DW477" i="3"/>
  <c r="DX477" i="3"/>
  <c r="DY477" i="3"/>
  <c r="H479" i="3"/>
  <c r="CG479" i="3"/>
  <c r="CH479" i="3"/>
  <c r="CI479" i="3"/>
  <c r="CJ479" i="3"/>
  <c r="CK479" i="3"/>
  <c r="CL479" i="3"/>
  <c r="CM479" i="3"/>
  <c r="CN479" i="3"/>
  <c r="CO479" i="3"/>
  <c r="CP479" i="3"/>
  <c r="CQ479" i="3"/>
  <c r="CR479" i="3"/>
  <c r="CS479" i="3"/>
  <c r="CT479" i="3"/>
  <c r="CU479" i="3"/>
  <c r="CV479" i="3"/>
  <c r="CW479" i="3"/>
  <c r="CX479" i="3"/>
  <c r="CY479" i="3"/>
  <c r="CZ479" i="3"/>
  <c r="DA479" i="3"/>
  <c r="DB479" i="3"/>
  <c r="DC479" i="3"/>
  <c r="DD479" i="3"/>
  <c r="DE479" i="3"/>
  <c r="DF479" i="3"/>
  <c r="DG479" i="3"/>
  <c r="DH479" i="3"/>
  <c r="DI479" i="3"/>
  <c r="DJ479" i="3"/>
  <c r="DK479" i="3"/>
  <c r="DL479" i="3"/>
  <c r="DM479" i="3"/>
  <c r="DN479" i="3"/>
  <c r="DO479" i="3"/>
  <c r="DP479" i="3"/>
  <c r="DQ479" i="3"/>
  <c r="DR479" i="3"/>
  <c r="DS479" i="3"/>
  <c r="DT479" i="3"/>
  <c r="DU479" i="3"/>
  <c r="DV479" i="3"/>
  <c r="DW479" i="3"/>
  <c r="DX479" i="3"/>
  <c r="DY479" i="3"/>
  <c r="H480" i="3"/>
  <c r="CF480" i="3"/>
  <c r="CG480" i="3"/>
  <c r="CH480" i="3"/>
  <c r="CI480" i="3"/>
  <c r="CJ480" i="3"/>
  <c r="CK480" i="3"/>
  <c r="CL480" i="3"/>
  <c r="CM480" i="3"/>
  <c r="CN480" i="3"/>
  <c r="CO480" i="3"/>
  <c r="CP480" i="3"/>
  <c r="CQ480" i="3"/>
  <c r="CR480" i="3"/>
  <c r="CS480" i="3"/>
  <c r="CT480" i="3"/>
  <c r="CU480" i="3"/>
  <c r="CV480" i="3"/>
  <c r="CW480" i="3"/>
  <c r="CX480" i="3"/>
  <c r="CY480" i="3"/>
  <c r="CZ480" i="3"/>
  <c r="DA480" i="3"/>
  <c r="DB480" i="3"/>
  <c r="DC480" i="3"/>
  <c r="DD480" i="3"/>
  <c r="DE480" i="3"/>
  <c r="DF480" i="3"/>
  <c r="DG480" i="3"/>
  <c r="DH480" i="3"/>
  <c r="DI480" i="3"/>
  <c r="DJ480" i="3"/>
  <c r="DK480" i="3"/>
  <c r="DL480" i="3"/>
  <c r="DM480" i="3"/>
  <c r="DN480" i="3"/>
  <c r="DO480" i="3"/>
  <c r="DP480" i="3"/>
  <c r="DQ480" i="3"/>
  <c r="DR480" i="3"/>
  <c r="DS480" i="3"/>
  <c r="DT480" i="3"/>
  <c r="DU480" i="3"/>
  <c r="DV480" i="3"/>
  <c r="DW480" i="3"/>
  <c r="DX480" i="3"/>
  <c r="DY480" i="3"/>
  <c r="CF481" i="3"/>
  <c r="CG481" i="3"/>
  <c r="CH481" i="3"/>
  <c r="CI481" i="3"/>
  <c r="CJ481" i="3"/>
  <c r="CK481" i="3"/>
  <c r="CL481" i="3"/>
  <c r="CM481" i="3"/>
  <c r="CN481" i="3"/>
  <c r="CO481" i="3"/>
  <c r="CP481" i="3"/>
  <c r="CQ481" i="3"/>
  <c r="CR481" i="3"/>
  <c r="CS481" i="3"/>
  <c r="CT481" i="3"/>
  <c r="CU481" i="3"/>
  <c r="CV481" i="3"/>
  <c r="CW481" i="3"/>
  <c r="CX481" i="3"/>
  <c r="CY481" i="3"/>
  <c r="CZ481" i="3"/>
  <c r="DA481" i="3"/>
  <c r="DB481" i="3"/>
  <c r="DC481" i="3"/>
  <c r="DD481" i="3"/>
  <c r="DE481" i="3"/>
  <c r="DF481" i="3"/>
  <c r="DG481" i="3"/>
  <c r="DH481" i="3"/>
  <c r="DI481" i="3"/>
  <c r="DJ481" i="3"/>
  <c r="DK481" i="3"/>
  <c r="DL481" i="3"/>
  <c r="DM481" i="3"/>
  <c r="DN481" i="3"/>
  <c r="DO481" i="3"/>
  <c r="DP481" i="3"/>
  <c r="DQ481" i="3"/>
  <c r="DR481" i="3"/>
  <c r="DS481" i="3"/>
  <c r="DT481" i="3"/>
  <c r="DU481" i="3"/>
  <c r="DV481" i="3"/>
  <c r="DW481" i="3"/>
  <c r="DX481" i="3"/>
  <c r="DY481" i="3"/>
  <c r="CG487" i="3"/>
  <c r="CH487" i="3"/>
  <c r="CI487" i="3"/>
  <c r="CJ487" i="3"/>
  <c r="CK487" i="3"/>
  <c r="CL487" i="3"/>
  <c r="CM487" i="3"/>
  <c r="CN487" i="3"/>
  <c r="CO487" i="3"/>
  <c r="CP487" i="3"/>
  <c r="CQ487" i="3"/>
  <c r="CR487" i="3"/>
  <c r="CS487" i="3"/>
  <c r="CT487" i="3"/>
  <c r="CU487" i="3"/>
  <c r="CV487" i="3"/>
  <c r="CW487" i="3"/>
  <c r="CX487" i="3"/>
  <c r="CY487" i="3"/>
  <c r="CZ487" i="3"/>
  <c r="DA487" i="3"/>
  <c r="DB487" i="3"/>
  <c r="DC487" i="3"/>
  <c r="DD487" i="3"/>
  <c r="DE487" i="3"/>
  <c r="DF487" i="3"/>
  <c r="DG487" i="3"/>
  <c r="DH487" i="3"/>
  <c r="DI487" i="3"/>
  <c r="DJ487" i="3"/>
  <c r="DK487" i="3"/>
  <c r="DL487" i="3"/>
  <c r="DM487" i="3"/>
  <c r="DN487" i="3"/>
  <c r="DO487" i="3"/>
  <c r="DP487" i="3"/>
  <c r="DQ487" i="3"/>
  <c r="DR487" i="3"/>
  <c r="DS487" i="3"/>
  <c r="DT487" i="3"/>
  <c r="DU487" i="3"/>
  <c r="DV487" i="3"/>
  <c r="DW487" i="3"/>
  <c r="DX487" i="3"/>
  <c r="DY487" i="3"/>
  <c r="H489" i="3"/>
  <c r="CG489" i="3"/>
  <c r="CH489" i="3"/>
  <c r="CI489" i="3"/>
  <c r="CJ489" i="3"/>
  <c r="CK489" i="3"/>
  <c r="CL489" i="3"/>
  <c r="CM489" i="3"/>
  <c r="CN489" i="3"/>
  <c r="CO489" i="3"/>
  <c r="CP489" i="3"/>
  <c r="CQ489" i="3"/>
  <c r="CR489" i="3"/>
  <c r="CS489" i="3"/>
  <c r="CT489" i="3"/>
  <c r="CU489" i="3"/>
  <c r="CV489" i="3"/>
  <c r="CW489" i="3"/>
  <c r="CX489" i="3"/>
  <c r="CY489" i="3"/>
  <c r="CZ489" i="3"/>
  <c r="DA489" i="3"/>
  <c r="DB489" i="3"/>
  <c r="DC489" i="3"/>
  <c r="DD489" i="3"/>
  <c r="DE489" i="3"/>
  <c r="DF489" i="3"/>
  <c r="DG489" i="3"/>
  <c r="DH489" i="3"/>
  <c r="DI489" i="3"/>
  <c r="DJ489" i="3"/>
  <c r="DK489" i="3"/>
  <c r="DL489" i="3"/>
  <c r="DM489" i="3"/>
  <c r="DN489" i="3"/>
  <c r="DO489" i="3"/>
  <c r="DP489" i="3"/>
  <c r="DQ489" i="3"/>
  <c r="DR489" i="3"/>
  <c r="DS489" i="3"/>
  <c r="DT489" i="3"/>
  <c r="DU489" i="3"/>
  <c r="DV489" i="3"/>
  <c r="DW489" i="3"/>
  <c r="DX489" i="3"/>
  <c r="DY489" i="3"/>
  <c r="H490" i="3"/>
  <c r="CF490" i="3"/>
  <c r="CG490" i="3"/>
  <c r="CH490" i="3"/>
  <c r="CI490" i="3"/>
  <c r="CJ490" i="3"/>
  <c r="CK490" i="3"/>
  <c r="CL490" i="3"/>
  <c r="CM490" i="3"/>
  <c r="CN490" i="3"/>
  <c r="CO490" i="3"/>
  <c r="CP490" i="3"/>
  <c r="CQ490" i="3"/>
  <c r="CR490" i="3"/>
  <c r="CS490" i="3"/>
  <c r="CT490" i="3"/>
  <c r="CU490" i="3"/>
  <c r="CV490" i="3"/>
  <c r="CW490" i="3"/>
  <c r="CX490" i="3"/>
  <c r="CY490" i="3"/>
  <c r="CZ490" i="3"/>
  <c r="DA490" i="3"/>
  <c r="DB490" i="3"/>
  <c r="DC490" i="3"/>
  <c r="DD490" i="3"/>
  <c r="DE490" i="3"/>
  <c r="DF490" i="3"/>
  <c r="DG490" i="3"/>
  <c r="DH490" i="3"/>
  <c r="DI490" i="3"/>
  <c r="DJ490" i="3"/>
  <c r="DK490" i="3"/>
  <c r="DL490" i="3"/>
  <c r="DM490" i="3"/>
  <c r="DN490" i="3"/>
  <c r="DO490" i="3"/>
  <c r="DP490" i="3"/>
  <c r="DQ490" i="3"/>
  <c r="DR490" i="3"/>
  <c r="DS490" i="3"/>
  <c r="DT490" i="3"/>
  <c r="DU490" i="3"/>
  <c r="DV490" i="3"/>
  <c r="DW490" i="3"/>
  <c r="DX490" i="3"/>
  <c r="DY490" i="3"/>
  <c r="H491" i="3"/>
  <c r="CF491" i="3"/>
  <c r="CG491" i="3"/>
  <c r="CH491" i="3"/>
  <c r="CI491" i="3"/>
  <c r="CJ491" i="3"/>
  <c r="CK491" i="3"/>
  <c r="CL491" i="3"/>
  <c r="CM491" i="3"/>
  <c r="CN491" i="3"/>
  <c r="CO491" i="3"/>
  <c r="CP491" i="3"/>
  <c r="CQ491" i="3"/>
  <c r="CR491" i="3"/>
  <c r="CS491" i="3"/>
  <c r="CT491" i="3"/>
  <c r="CU491" i="3"/>
  <c r="CV491" i="3"/>
  <c r="CW491" i="3"/>
  <c r="CX491" i="3"/>
  <c r="CY491" i="3"/>
  <c r="CZ491" i="3"/>
  <c r="DA491" i="3"/>
  <c r="DB491" i="3"/>
  <c r="DC491" i="3"/>
  <c r="DD491" i="3"/>
  <c r="DE491" i="3"/>
  <c r="DF491" i="3"/>
  <c r="DG491" i="3"/>
  <c r="DH491" i="3"/>
  <c r="DI491" i="3"/>
  <c r="DJ491" i="3"/>
  <c r="DK491" i="3"/>
  <c r="DL491" i="3"/>
  <c r="DM491" i="3"/>
  <c r="DN491" i="3"/>
  <c r="DO491" i="3"/>
  <c r="DP491" i="3"/>
  <c r="DQ491" i="3"/>
  <c r="DR491" i="3"/>
  <c r="DS491" i="3"/>
  <c r="DT491" i="3"/>
  <c r="DU491" i="3"/>
  <c r="DV491" i="3"/>
  <c r="DW491" i="3"/>
  <c r="DX491" i="3"/>
  <c r="DY491" i="3"/>
  <c r="CF492" i="3"/>
  <c r="CG492" i="3"/>
  <c r="CH492" i="3"/>
  <c r="CI492" i="3"/>
  <c r="CJ492" i="3"/>
  <c r="CK492" i="3"/>
  <c r="CL492" i="3"/>
  <c r="CM492" i="3"/>
  <c r="CN492" i="3"/>
  <c r="CO492" i="3"/>
  <c r="CP492" i="3"/>
  <c r="CQ492" i="3"/>
  <c r="CR492" i="3"/>
  <c r="CS492" i="3"/>
  <c r="CT492" i="3"/>
  <c r="CU492" i="3"/>
  <c r="CV492" i="3"/>
  <c r="CW492" i="3"/>
  <c r="CX492" i="3"/>
  <c r="CY492" i="3"/>
  <c r="CZ492" i="3"/>
  <c r="DA492" i="3"/>
  <c r="DB492" i="3"/>
  <c r="DC492" i="3"/>
  <c r="DD492" i="3"/>
  <c r="DE492" i="3"/>
  <c r="DF492" i="3"/>
  <c r="DG492" i="3"/>
  <c r="DH492" i="3"/>
  <c r="DI492" i="3"/>
  <c r="DJ492" i="3"/>
  <c r="DK492" i="3"/>
  <c r="DL492" i="3"/>
  <c r="DM492" i="3"/>
  <c r="DN492" i="3"/>
  <c r="DO492" i="3"/>
  <c r="DP492" i="3"/>
  <c r="DQ492" i="3"/>
  <c r="DR492" i="3"/>
  <c r="DS492" i="3"/>
  <c r="DT492" i="3"/>
  <c r="DU492" i="3"/>
  <c r="DV492" i="3"/>
  <c r="DW492" i="3"/>
  <c r="DX492" i="3"/>
  <c r="DY492" i="3"/>
  <c r="CG496" i="3"/>
  <c r="CH496" i="3"/>
  <c r="CI496" i="3"/>
  <c r="CJ496" i="3"/>
  <c r="CK496" i="3"/>
  <c r="CL496" i="3"/>
  <c r="CM496" i="3"/>
  <c r="CN496" i="3"/>
  <c r="CO496" i="3"/>
  <c r="CP496" i="3"/>
  <c r="CQ496" i="3"/>
  <c r="CR496" i="3"/>
  <c r="CS496" i="3"/>
  <c r="CT496" i="3"/>
  <c r="CU496" i="3"/>
  <c r="CV496" i="3"/>
  <c r="CW496" i="3"/>
  <c r="CX496" i="3"/>
  <c r="CY496" i="3"/>
  <c r="CZ496" i="3"/>
  <c r="DA496" i="3"/>
  <c r="DB496" i="3"/>
  <c r="DC496" i="3"/>
  <c r="DD496" i="3"/>
  <c r="DE496" i="3"/>
  <c r="DF496" i="3"/>
  <c r="DG496" i="3"/>
  <c r="DH496" i="3"/>
  <c r="DI496" i="3"/>
  <c r="DJ496" i="3"/>
  <c r="DK496" i="3"/>
  <c r="DL496" i="3"/>
  <c r="DM496" i="3"/>
  <c r="DN496" i="3"/>
  <c r="DO496" i="3"/>
  <c r="DP496" i="3"/>
  <c r="DQ496" i="3"/>
  <c r="DR496" i="3"/>
  <c r="DS496" i="3"/>
  <c r="DT496" i="3"/>
  <c r="DU496" i="3"/>
  <c r="DV496" i="3"/>
  <c r="DW496" i="3"/>
  <c r="DX496" i="3"/>
  <c r="DY496" i="3"/>
  <c r="H498" i="3"/>
  <c r="CG498" i="3"/>
  <c r="CH498" i="3"/>
  <c r="CI498" i="3"/>
  <c r="CJ498" i="3"/>
  <c r="CK498" i="3"/>
  <c r="CL498" i="3"/>
  <c r="CM498" i="3"/>
  <c r="CN498" i="3"/>
  <c r="CO498" i="3"/>
  <c r="CP498" i="3"/>
  <c r="CQ498" i="3"/>
  <c r="CR498" i="3"/>
  <c r="CS498" i="3"/>
  <c r="CT498" i="3"/>
  <c r="CU498" i="3"/>
  <c r="CV498" i="3"/>
  <c r="CW498" i="3"/>
  <c r="CX498" i="3"/>
  <c r="CY498" i="3"/>
  <c r="CZ498" i="3"/>
  <c r="DA498" i="3"/>
  <c r="DB498" i="3"/>
  <c r="DC498" i="3"/>
  <c r="DD498" i="3"/>
  <c r="DE498" i="3"/>
  <c r="DF498" i="3"/>
  <c r="DG498" i="3"/>
  <c r="DH498" i="3"/>
  <c r="DI498" i="3"/>
  <c r="DJ498" i="3"/>
  <c r="DK498" i="3"/>
  <c r="DL498" i="3"/>
  <c r="DM498" i="3"/>
  <c r="DN498" i="3"/>
  <c r="DO498" i="3"/>
  <c r="DP498" i="3"/>
  <c r="DQ498" i="3"/>
  <c r="DR498" i="3"/>
  <c r="DS498" i="3"/>
  <c r="DT498" i="3"/>
  <c r="DU498" i="3"/>
  <c r="DV498" i="3"/>
  <c r="DW498" i="3"/>
  <c r="DX498" i="3"/>
  <c r="DY498" i="3"/>
  <c r="H499" i="3"/>
  <c r="CF499" i="3"/>
  <c r="CG499" i="3"/>
  <c r="CH499" i="3"/>
  <c r="CI499" i="3"/>
  <c r="CJ499" i="3"/>
  <c r="CK499" i="3"/>
  <c r="CL499" i="3"/>
  <c r="CM499" i="3"/>
  <c r="CN499" i="3"/>
  <c r="CO499" i="3"/>
  <c r="CP499" i="3"/>
  <c r="CQ499" i="3"/>
  <c r="CR499" i="3"/>
  <c r="CS499" i="3"/>
  <c r="CT499" i="3"/>
  <c r="CU499" i="3"/>
  <c r="CV499" i="3"/>
  <c r="CW499" i="3"/>
  <c r="CX499" i="3"/>
  <c r="CY499" i="3"/>
  <c r="CZ499" i="3"/>
  <c r="DA499" i="3"/>
  <c r="DB499" i="3"/>
  <c r="DC499" i="3"/>
  <c r="DD499" i="3"/>
  <c r="DE499" i="3"/>
  <c r="DF499" i="3"/>
  <c r="DG499" i="3"/>
  <c r="DH499" i="3"/>
  <c r="DI499" i="3"/>
  <c r="DJ499" i="3"/>
  <c r="DK499" i="3"/>
  <c r="DL499" i="3"/>
  <c r="DM499" i="3"/>
  <c r="DN499" i="3"/>
  <c r="DO499" i="3"/>
  <c r="DP499" i="3"/>
  <c r="DQ499" i="3"/>
  <c r="DR499" i="3"/>
  <c r="DS499" i="3"/>
  <c r="DT499" i="3"/>
  <c r="DU499" i="3"/>
  <c r="DV499" i="3"/>
  <c r="DW499" i="3"/>
  <c r="DX499" i="3"/>
  <c r="DY499" i="3"/>
  <c r="H500" i="3"/>
  <c r="CF500" i="3"/>
  <c r="CG500" i="3"/>
  <c r="CH500" i="3"/>
  <c r="CI500" i="3"/>
  <c r="CJ500" i="3"/>
  <c r="CK500" i="3"/>
  <c r="CL500" i="3"/>
  <c r="CM500" i="3"/>
  <c r="CN500" i="3"/>
  <c r="CO500" i="3"/>
  <c r="CP500" i="3"/>
  <c r="CQ500" i="3"/>
  <c r="CR500" i="3"/>
  <c r="CS500" i="3"/>
  <c r="CT500" i="3"/>
  <c r="CU500" i="3"/>
  <c r="CV500" i="3"/>
  <c r="CW500" i="3"/>
  <c r="CX500" i="3"/>
  <c r="CY500" i="3"/>
  <c r="CZ500" i="3"/>
  <c r="DA500" i="3"/>
  <c r="DB500" i="3"/>
  <c r="DC500" i="3"/>
  <c r="DD500" i="3"/>
  <c r="DE500" i="3"/>
  <c r="DF500" i="3"/>
  <c r="DG500" i="3"/>
  <c r="DH500" i="3"/>
  <c r="DI500" i="3"/>
  <c r="DJ500" i="3"/>
  <c r="DK500" i="3"/>
  <c r="DL500" i="3"/>
  <c r="DM500" i="3"/>
  <c r="DN500" i="3"/>
  <c r="DO500" i="3"/>
  <c r="DP500" i="3"/>
  <c r="DQ500" i="3"/>
  <c r="DR500" i="3"/>
  <c r="DS500" i="3"/>
  <c r="DT500" i="3"/>
  <c r="DU500" i="3"/>
  <c r="DV500" i="3"/>
  <c r="DW500" i="3"/>
  <c r="DX500" i="3"/>
  <c r="DY500" i="3"/>
  <c r="CF501" i="3"/>
  <c r="CG501" i="3"/>
  <c r="CH501" i="3"/>
  <c r="CI501" i="3"/>
  <c r="CJ501" i="3"/>
  <c r="CK501" i="3"/>
  <c r="CL501" i="3"/>
  <c r="CM501" i="3"/>
  <c r="CN501" i="3"/>
  <c r="CO501" i="3"/>
  <c r="CP501" i="3"/>
  <c r="CQ501" i="3"/>
  <c r="CR501" i="3"/>
  <c r="CS501" i="3"/>
  <c r="CT501" i="3"/>
  <c r="CU501" i="3"/>
  <c r="CV501" i="3"/>
  <c r="CW501" i="3"/>
  <c r="CX501" i="3"/>
  <c r="CY501" i="3"/>
  <c r="CZ501" i="3"/>
  <c r="DA501" i="3"/>
  <c r="DB501" i="3"/>
  <c r="DC501" i="3"/>
  <c r="DD501" i="3"/>
  <c r="DE501" i="3"/>
  <c r="DF501" i="3"/>
  <c r="DG501" i="3"/>
  <c r="DH501" i="3"/>
  <c r="DI501" i="3"/>
  <c r="DJ501" i="3"/>
  <c r="DK501" i="3"/>
  <c r="DL501" i="3"/>
  <c r="DM501" i="3"/>
  <c r="DN501" i="3"/>
  <c r="DO501" i="3"/>
  <c r="DP501" i="3"/>
  <c r="DQ501" i="3"/>
  <c r="DR501" i="3"/>
  <c r="DS501" i="3"/>
  <c r="DT501" i="3"/>
  <c r="DU501" i="3"/>
  <c r="DV501" i="3"/>
  <c r="DW501" i="3"/>
  <c r="DX501" i="3"/>
  <c r="DY501" i="3"/>
  <c r="H508" i="3"/>
  <c r="CF508" i="3"/>
  <c r="CG508" i="3"/>
  <c r="CH508" i="3"/>
  <c r="CI508" i="3"/>
  <c r="CJ508" i="3"/>
  <c r="CK508" i="3"/>
  <c r="CL508" i="3"/>
  <c r="CM508" i="3"/>
  <c r="CN508" i="3"/>
  <c r="CO508" i="3"/>
  <c r="CP508" i="3"/>
  <c r="CQ508" i="3"/>
  <c r="CR508" i="3"/>
  <c r="CS508" i="3"/>
  <c r="CT508" i="3"/>
  <c r="CU508" i="3"/>
  <c r="CV508" i="3"/>
  <c r="CW508" i="3"/>
  <c r="CX508" i="3"/>
  <c r="CY508" i="3"/>
  <c r="CZ508" i="3"/>
  <c r="DA508" i="3"/>
  <c r="DB508" i="3"/>
  <c r="DC508" i="3"/>
  <c r="DD508" i="3"/>
  <c r="DE508" i="3"/>
  <c r="DF508" i="3"/>
  <c r="DG508" i="3"/>
  <c r="DH508" i="3"/>
  <c r="DI508" i="3"/>
  <c r="DJ508" i="3"/>
  <c r="DK508" i="3"/>
  <c r="DL508" i="3"/>
  <c r="DM508" i="3"/>
  <c r="DN508" i="3"/>
  <c r="DO508" i="3"/>
  <c r="DP508" i="3"/>
  <c r="DQ508" i="3"/>
  <c r="DR508" i="3"/>
  <c r="DS508" i="3"/>
  <c r="DT508" i="3"/>
  <c r="DU508" i="3"/>
  <c r="DV508" i="3"/>
  <c r="DW508" i="3"/>
  <c r="DX508" i="3"/>
  <c r="DY508" i="3"/>
  <c r="H509" i="3"/>
  <c r="CF509" i="3"/>
  <c r="CG509" i="3"/>
  <c r="CH509" i="3"/>
  <c r="CI509" i="3"/>
  <c r="CJ509" i="3"/>
  <c r="CK509" i="3"/>
  <c r="CL509" i="3"/>
  <c r="CM509" i="3"/>
  <c r="CN509" i="3"/>
  <c r="CO509" i="3"/>
  <c r="CP509" i="3"/>
  <c r="CQ509" i="3"/>
  <c r="CR509" i="3"/>
  <c r="CS509" i="3"/>
  <c r="CT509" i="3"/>
  <c r="CU509" i="3"/>
  <c r="CV509" i="3"/>
  <c r="CW509" i="3"/>
  <c r="CX509" i="3"/>
  <c r="CY509" i="3"/>
  <c r="CZ509" i="3"/>
  <c r="DA509" i="3"/>
  <c r="DB509" i="3"/>
  <c r="DC509" i="3"/>
  <c r="DD509" i="3"/>
  <c r="DE509" i="3"/>
  <c r="DF509" i="3"/>
  <c r="DG509" i="3"/>
  <c r="DH509" i="3"/>
  <c r="DI509" i="3"/>
  <c r="DJ509" i="3"/>
  <c r="DK509" i="3"/>
  <c r="DL509" i="3"/>
  <c r="DM509" i="3"/>
  <c r="DN509" i="3"/>
  <c r="DO509" i="3"/>
  <c r="DP509" i="3"/>
  <c r="DQ509" i="3"/>
  <c r="DR509" i="3"/>
  <c r="DS509" i="3"/>
  <c r="DT509" i="3"/>
  <c r="DU509" i="3"/>
  <c r="DV509" i="3"/>
  <c r="DW509" i="3"/>
  <c r="DX509" i="3"/>
  <c r="DY509" i="3"/>
  <c r="H510" i="3"/>
  <c r="CF510" i="3"/>
  <c r="CG510" i="3"/>
  <c r="CH510" i="3"/>
  <c r="CI510" i="3"/>
  <c r="CJ510" i="3"/>
  <c r="CK510" i="3"/>
  <c r="CL510" i="3"/>
  <c r="CM510" i="3"/>
  <c r="CN510" i="3"/>
  <c r="CO510" i="3"/>
  <c r="CP510" i="3"/>
  <c r="CQ510" i="3"/>
  <c r="CR510" i="3"/>
  <c r="CS510" i="3"/>
  <c r="CT510" i="3"/>
  <c r="CU510" i="3"/>
  <c r="CV510" i="3"/>
  <c r="CW510" i="3"/>
  <c r="CX510" i="3"/>
  <c r="CY510" i="3"/>
  <c r="CZ510" i="3"/>
  <c r="DA510" i="3"/>
  <c r="DB510" i="3"/>
  <c r="DC510" i="3"/>
  <c r="DD510" i="3"/>
  <c r="DE510" i="3"/>
  <c r="DF510" i="3"/>
  <c r="DG510" i="3"/>
  <c r="DH510" i="3"/>
  <c r="DI510" i="3"/>
  <c r="DJ510" i="3"/>
  <c r="DK510" i="3"/>
  <c r="DL510" i="3"/>
  <c r="DM510" i="3"/>
  <c r="DN510" i="3"/>
  <c r="DO510" i="3"/>
  <c r="DP510" i="3"/>
  <c r="DQ510" i="3"/>
  <c r="DR510" i="3"/>
  <c r="DS510" i="3"/>
  <c r="DT510" i="3"/>
  <c r="DU510" i="3"/>
  <c r="DV510" i="3"/>
  <c r="DW510" i="3"/>
  <c r="DX510" i="3"/>
  <c r="DY510" i="3"/>
  <c r="H515" i="3"/>
  <c r="CF515" i="3"/>
  <c r="CG515" i="3"/>
  <c r="CH515" i="3"/>
  <c r="CI515" i="3"/>
  <c r="CJ515" i="3"/>
  <c r="CK515" i="3"/>
  <c r="CL515" i="3"/>
  <c r="CM515" i="3"/>
  <c r="CN515" i="3"/>
  <c r="CO515" i="3"/>
  <c r="CP515" i="3"/>
  <c r="CQ515" i="3"/>
  <c r="CR515" i="3"/>
  <c r="CS515" i="3"/>
  <c r="CT515" i="3"/>
  <c r="CU515" i="3"/>
  <c r="CV515" i="3"/>
  <c r="CW515" i="3"/>
  <c r="CX515" i="3"/>
  <c r="CY515" i="3"/>
  <c r="CZ515" i="3"/>
  <c r="DA515" i="3"/>
  <c r="DB515" i="3"/>
  <c r="DC515" i="3"/>
  <c r="DD515" i="3"/>
  <c r="DE515" i="3"/>
  <c r="DF515" i="3"/>
  <c r="DG515" i="3"/>
  <c r="DH515" i="3"/>
  <c r="DI515" i="3"/>
  <c r="DJ515" i="3"/>
  <c r="DK515" i="3"/>
  <c r="DL515" i="3"/>
  <c r="DM515" i="3"/>
  <c r="DN515" i="3"/>
  <c r="DO515" i="3"/>
  <c r="DP515" i="3"/>
  <c r="DQ515" i="3"/>
  <c r="DR515" i="3"/>
  <c r="DS515" i="3"/>
  <c r="DT515" i="3"/>
  <c r="DU515" i="3"/>
  <c r="DV515" i="3"/>
  <c r="DW515" i="3"/>
  <c r="DX515" i="3"/>
  <c r="DY515" i="3"/>
  <c r="H516" i="3"/>
  <c r="CF516" i="3"/>
  <c r="CG516" i="3"/>
  <c r="CH516" i="3"/>
  <c r="CI516" i="3"/>
  <c r="CJ516" i="3"/>
  <c r="CK516" i="3"/>
  <c r="CL516" i="3"/>
  <c r="CM516" i="3"/>
  <c r="CN516" i="3"/>
  <c r="CO516" i="3"/>
  <c r="CP516" i="3"/>
  <c r="CQ516" i="3"/>
  <c r="CR516" i="3"/>
  <c r="CS516" i="3"/>
  <c r="CT516" i="3"/>
  <c r="CU516" i="3"/>
  <c r="CV516" i="3"/>
  <c r="CW516" i="3"/>
  <c r="CX516" i="3"/>
  <c r="CY516" i="3"/>
  <c r="CZ516" i="3"/>
  <c r="DA516" i="3"/>
  <c r="DB516" i="3"/>
  <c r="DC516" i="3"/>
  <c r="DD516" i="3"/>
  <c r="DE516" i="3"/>
  <c r="DF516" i="3"/>
  <c r="DG516" i="3"/>
  <c r="DH516" i="3"/>
  <c r="DI516" i="3"/>
  <c r="DJ516" i="3"/>
  <c r="DK516" i="3"/>
  <c r="DL516" i="3"/>
  <c r="DM516" i="3"/>
  <c r="DN516" i="3"/>
  <c r="DO516" i="3"/>
  <c r="DP516" i="3"/>
  <c r="DQ516" i="3"/>
  <c r="DR516" i="3"/>
  <c r="DS516" i="3"/>
  <c r="DT516" i="3"/>
  <c r="DU516" i="3"/>
  <c r="DV516" i="3"/>
  <c r="DW516" i="3"/>
  <c r="DX516" i="3"/>
  <c r="DY516" i="3"/>
  <c r="H517" i="3"/>
  <c r="CF517" i="3"/>
  <c r="CG517" i="3"/>
  <c r="CH517" i="3"/>
  <c r="CI517" i="3"/>
  <c r="CJ517" i="3"/>
  <c r="CK517" i="3"/>
  <c r="CL517" i="3"/>
  <c r="CM517" i="3"/>
  <c r="CN517" i="3"/>
  <c r="CO517" i="3"/>
  <c r="CP517" i="3"/>
  <c r="CQ517" i="3"/>
  <c r="CR517" i="3"/>
  <c r="CS517" i="3"/>
  <c r="CT517" i="3"/>
  <c r="CU517" i="3"/>
  <c r="CV517" i="3"/>
  <c r="CW517" i="3"/>
  <c r="CX517" i="3"/>
  <c r="CY517" i="3"/>
  <c r="CZ517" i="3"/>
  <c r="DA517" i="3"/>
  <c r="DB517" i="3"/>
  <c r="DC517" i="3"/>
  <c r="DD517" i="3"/>
  <c r="DE517" i="3"/>
  <c r="DF517" i="3"/>
  <c r="DG517" i="3"/>
  <c r="DH517" i="3"/>
  <c r="DI517" i="3"/>
  <c r="DJ517" i="3"/>
  <c r="DK517" i="3"/>
  <c r="DL517" i="3"/>
  <c r="DM517" i="3"/>
  <c r="DN517" i="3"/>
  <c r="DO517" i="3"/>
  <c r="DP517" i="3"/>
  <c r="DQ517" i="3"/>
  <c r="DR517" i="3"/>
  <c r="DS517" i="3"/>
  <c r="DT517" i="3"/>
  <c r="DU517" i="3"/>
  <c r="DV517" i="3"/>
  <c r="DW517" i="3"/>
  <c r="DX517" i="3"/>
  <c r="DY517" i="3"/>
  <c r="H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0" i="3"/>
  <c r="DM520" i="3"/>
  <c r="DN520" i="3"/>
  <c r="DO520" i="3"/>
  <c r="DP520" i="3"/>
  <c r="DQ520" i="3"/>
  <c r="DR520" i="3"/>
  <c r="DS520" i="3"/>
  <c r="DT520" i="3"/>
  <c r="DU520" i="3"/>
  <c r="DV520" i="3"/>
  <c r="DW520" i="3"/>
  <c r="DX520" i="3"/>
  <c r="DY520" i="3"/>
  <c r="H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L521" i="3"/>
  <c r="DM521" i="3"/>
  <c r="DN521" i="3"/>
  <c r="DO521" i="3"/>
  <c r="DP521" i="3"/>
  <c r="DQ521" i="3"/>
  <c r="DR521" i="3"/>
  <c r="DS521" i="3"/>
  <c r="DT521" i="3"/>
  <c r="DU521" i="3"/>
  <c r="DV521" i="3"/>
  <c r="DW521" i="3"/>
  <c r="DX521" i="3"/>
  <c r="DY521" i="3"/>
  <c r="H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7" i="3"/>
  <c r="DM527" i="3"/>
  <c r="DN527" i="3"/>
  <c r="DO527" i="3"/>
  <c r="DP527" i="3"/>
  <c r="DQ527" i="3"/>
  <c r="DR527" i="3"/>
  <c r="DS527" i="3"/>
  <c r="DT527" i="3"/>
  <c r="DU527" i="3"/>
  <c r="DV527" i="3"/>
  <c r="DW527" i="3"/>
  <c r="DX527" i="3"/>
  <c r="DY527" i="3"/>
  <c r="H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28" i="3"/>
  <c r="DM528" i="3"/>
  <c r="DN528" i="3"/>
  <c r="DO528" i="3"/>
  <c r="DP528" i="3"/>
  <c r="DQ528" i="3"/>
  <c r="DR528" i="3"/>
  <c r="DS528" i="3"/>
  <c r="DT528" i="3"/>
  <c r="DU528" i="3"/>
  <c r="DV528" i="3"/>
  <c r="DW528" i="3"/>
  <c r="DX528" i="3"/>
  <c r="DY528" i="3"/>
  <c r="H529" i="3"/>
  <c r="CF529" i="3"/>
  <c r="CG529" i="3"/>
  <c r="CH529" i="3"/>
  <c r="CI529" i="3"/>
  <c r="CJ529" i="3"/>
  <c r="CK529" i="3"/>
  <c r="CL529" i="3"/>
  <c r="CM529" i="3"/>
  <c r="CN529" i="3"/>
  <c r="CO529" i="3"/>
  <c r="CP529" i="3"/>
  <c r="CQ529" i="3"/>
  <c r="CR529" i="3"/>
  <c r="CS529" i="3"/>
  <c r="CT529" i="3"/>
  <c r="CU529" i="3"/>
  <c r="CV529" i="3"/>
  <c r="CW529" i="3"/>
  <c r="CX529" i="3"/>
  <c r="CY529" i="3"/>
  <c r="CZ529" i="3"/>
  <c r="DA529" i="3"/>
  <c r="DB529" i="3"/>
  <c r="DC529" i="3"/>
  <c r="DD529" i="3"/>
  <c r="DE529" i="3"/>
  <c r="DF529" i="3"/>
  <c r="DG529" i="3"/>
  <c r="DH529" i="3"/>
  <c r="DI529" i="3"/>
  <c r="DJ529" i="3"/>
  <c r="DK529" i="3"/>
  <c r="DL529" i="3"/>
  <c r="DM529" i="3"/>
  <c r="DN529" i="3"/>
  <c r="DO529" i="3"/>
  <c r="DP529" i="3"/>
  <c r="DQ529" i="3"/>
  <c r="DR529" i="3"/>
  <c r="DS529" i="3"/>
  <c r="DT529" i="3"/>
  <c r="DU529" i="3"/>
  <c r="DV529" i="3"/>
  <c r="DW529" i="3"/>
  <c r="DX529" i="3"/>
  <c r="DY529" i="3"/>
  <c r="H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1" i="3"/>
  <c r="DM531" i="3"/>
  <c r="DN531" i="3"/>
  <c r="DO531" i="3"/>
  <c r="DP531" i="3"/>
  <c r="DQ531" i="3"/>
  <c r="DR531" i="3"/>
  <c r="DS531" i="3"/>
  <c r="DT531" i="3"/>
  <c r="DU531" i="3"/>
  <c r="DV531" i="3"/>
  <c r="DW531" i="3"/>
  <c r="DX531" i="3"/>
  <c r="DY531" i="3"/>
  <c r="H535" i="3"/>
  <c r="H536" i="3"/>
  <c r="H537" i="3"/>
  <c r="H538" i="3"/>
  <c r="H539" i="3"/>
  <c r="H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5" i="3"/>
  <c r="DM545" i="3"/>
  <c r="DN545" i="3"/>
  <c r="DO545" i="3"/>
  <c r="DP545" i="3"/>
  <c r="DQ545" i="3"/>
  <c r="DR545" i="3"/>
  <c r="DS545" i="3"/>
  <c r="DT545" i="3"/>
  <c r="DU545" i="3"/>
  <c r="DV545" i="3"/>
  <c r="DW545" i="3"/>
  <c r="DX545" i="3"/>
  <c r="DY545" i="3"/>
  <c r="H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6" i="3"/>
  <c r="DM546" i="3"/>
  <c r="DN546" i="3"/>
  <c r="DO546" i="3"/>
  <c r="DP546" i="3"/>
  <c r="DQ546" i="3"/>
  <c r="DR546" i="3"/>
  <c r="DS546" i="3"/>
  <c r="DT546" i="3"/>
  <c r="DU546" i="3"/>
  <c r="DV546" i="3"/>
  <c r="DW546" i="3"/>
  <c r="DX546" i="3"/>
  <c r="DY546" i="3"/>
  <c r="H547" i="3"/>
  <c r="CF547" i="3"/>
  <c r="CG547" i="3"/>
  <c r="CH547" i="3"/>
  <c r="CI547" i="3"/>
  <c r="CJ547" i="3"/>
  <c r="CK547" i="3"/>
  <c r="CL547" i="3"/>
  <c r="CM547" i="3"/>
  <c r="CN547" i="3"/>
  <c r="CO547" i="3"/>
  <c r="CP547" i="3"/>
  <c r="CQ547" i="3"/>
  <c r="CR547" i="3"/>
  <c r="CS547" i="3"/>
  <c r="CT547" i="3"/>
  <c r="CU547" i="3"/>
  <c r="CV547" i="3"/>
  <c r="CW547" i="3"/>
  <c r="CX547" i="3"/>
  <c r="CY547" i="3"/>
  <c r="CZ547" i="3"/>
  <c r="DA547" i="3"/>
  <c r="DB547" i="3"/>
  <c r="DC547" i="3"/>
  <c r="DD547" i="3"/>
  <c r="DE547" i="3"/>
  <c r="DF547" i="3"/>
  <c r="DG547" i="3"/>
  <c r="DH547" i="3"/>
  <c r="DI547" i="3"/>
  <c r="DJ547" i="3"/>
  <c r="DK547" i="3"/>
  <c r="DL547" i="3"/>
  <c r="DM547" i="3"/>
  <c r="DN547" i="3"/>
  <c r="DO547" i="3"/>
  <c r="DP547" i="3"/>
  <c r="DQ547" i="3"/>
  <c r="DR547" i="3"/>
  <c r="DS547" i="3"/>
  <c r="DT547" i="3"/>
  <c r="DU547" i="3"/>
  <c r="DV547" i="3"/>
  <c r="DW547" i="3"/>
  <c r="DX547" i="3"/>
  <c r="DY547" i="3"/>
  <c r="H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49" i="3"/>
  <c r="DM549" i="3"/>
  <c r="DN549" i="3"/>
  <c r="DO549" i="3"/>
  <c r="DP549" i="3"/>
  <c r="DQ549" i="3"/>
  <c r="DR549" i="3"/>
  <c r="DS549" i="3"/>
  <c r="DT549" i="3"/>
  <c r="DU549" i="3"/>
  <c r="DV549" i="3"/>
  <c r="DW549" i="3"/>
  <c r="DX549" i="3"/>
  <c r="DY549" i="3"/>
  <c r="H553" i="3"/>
  <c r="H554" i="3"/>
  <c r="H555" i="3"/>
  <c r="H556" i="3"/>
  <c r="H557" i="3"/>
  <c r="G28" i="56"/>
  <c r="BY28" i="56"/>
  <c r="BZ28" i="56"/>
  <c r="CA28" i="56"/>
  <c r="CB28" i="56"/>
  <c r="CC28" i="56"/>
  <c r="CD28" i="56"/>
  <c r="CE28" i="56"/>
  <c r="CF28" i="56"/>
  <c r="CG28" i="56"/>
  <c r="CH28" i="56"/>
  <c r="CI28" i="56"/>
  <c r="CJ28" i="56"/>
  <c r="CK28" i="56"/>
  <c r="CL28" i="56"/>
  <c r="CM28" i="56"/>
  <c r="CN28" i="56"/>
  <c r="CO28" i="56"/>
  <c r="CP28" i="56"/>
  <c r="CQ28" i="56"/>
  <c r="CR28" i="56"/>
  <c r="CS28" i="56"/>
  <c r="CT28" i="56"/>
  <c r="CU28" i="56"/>
  <c r="CV28" i="56"/>
  <c r="CW28" i="56"/>
  <c r="CX28" i="56"/>
  <c r="CY28" i="56"/>
  <c r="CZ28" i="56"/>
  <c r="DA28" i="56"/>
  <c r="DB28" i="56"/>
  <c r="DC28" i="56"/>
  <c r="DD28" i="56"/>
  <c r="DE28" i="56"/>
  <c r="DF28" i="56"/>
  <c r="DG28" i="56"/>
  <c r="DH28" i="56"/>
  <c r="DI28" i="56"/>
  <c r="DJ28" i="56"/>
  <c r="DK28" i="56"/>
  <c r="DL28" i="56"/>
  <c r="DM28" i="56"/>
  <c r="DN28" i="56"/>
  <c r="DO28" i="56"/>
  <c r="DP28" i="56"/>
  <c r="DQ28" i="56"/>
  <c r="DR28" i="56"/>
  <c r="DS28" i="56"/>
  <c r="DT28" i="56"/>
  <c r="DU28" i="56"/>
  <c r="DV28" i="56"/>
  <c r="DW28" i="56"/>
  <c r="DX28" i="56"/>
  <c r="G30" i="56"/>
  <c r="BY30" i="56"/>
  <c r="BZ30" i="56"/>
  <c r="CA30" i="56"/>
  <c r="CB30" i="56"/>
  <c r="CC30" i="56"/>
  <c r="CD30" i="56"/>
  <c r="CE30" i="56"/>
  <c r="CF30" i="56"/>
  <c r="CG30" i="56"/>
  <c r="CH30" i="56"/>
  <c r="CI30" i="56"/>
  <c r="CJ30" i="56"/>
  <c r="CK30" i="56"/>
  <c r="CL30" i="56"/>
  <c r="CM30" i="56"/>
  <c r="CN30" i="56"/>
  <c r="CO30" i="56"/>
  <c r="CP30" i="56"/>
  <c r="CQ30" i="56"/>
  <c r="CR30" i="56"/>
  <c r="CS30" i="56"/>
  <c r="CT30" i="56"/>
  <c r="CU30" i="56"/>
  <c r="CV30" i="56"/>
  <c r="CW30" i="56"/>
  <c r="CX30" i="56"/>
  <c r="CY30" i="56"/>
  <c r="CZ30" i="56"/>
  <c r="DA30" i="56"/>
  <c r="DB30" i="56"/>
  <c r="DC30" i="56"/>
  <c r="DD30" i="56"/>
  <c r="DE30" i="56"/>
  <c r="DF30" i="56"/>
  <c r="DG30" i="56"/>
  <c r="DH30" i="56"/>
  <c r="DI30" i="56"/>
  <c r="DJ30" i="56"/>
  <c r="DK30" i="56"/>
  <c r="DL30" i="56"/>
  <c r="DM30" i="56"/>
  <c r="DN30" i="56"/>
  <c r="DO30" i="56"/>
  <c r="DP30" i="56"/>
  <c r="DQ30" i="56"/>
  <c r="DR30" i="56"/>
  <c r="DS30" i="56"/>
  <c r="DT30" i="56"/>
  <c r="DU30" i="56"/>
  <c r="DV30" i="56"/>
  <c r="DW30" i="56"/>
  <c r="DX30" i="56"/>
  <c r="G31" i="56"/>
  <c r="BM31" i="56"/>
  <c r="BN31" i="56"/>
  <c r="BO31" i="56"/>
  <c r="BP31" i="56"/>
  <c r="BQ31" i="56"/>
  <c r="BR31" i="56"/>
  <c r="BS31" i="56"/>
  <c r="BT31" i="56"/>
  <c r="BU31" i="56"/>
  <c r="BV31" i="56"/>
  <c r="BW31" i="56"/>
  <c r="BX31" i="56"/>
  <c r="BY31" i="56"/>
  <c r="BZ31" i="56"/>
  <c r="CA31" i="56"/>
  <c r="CB31" i="56"/>
  <c r="CC31" i="56"/>
  <c r="CD31" i="56"/>
  <c r="CE31" i="56"/>
  <c r="CF31" i="56"/>
  <c r="CG31" i="56"/>
  <c r="CH31" i="56"/>
  <c r="CI31" i="56"/>
  <c r="CJ31" i="56"/>
  <c r="CK31" i="56"/>
  <c r="CL31" i="56"/>
  <c r="CM31" i="56"/>
  <c r="CN31" i="56"/>
  <c r="CO31" i="56"/>
  <c r="CP31" i="56"/>
  <c r="CQ31" i="56"/>
  <c r="CR31" i="56"/>
  <c r="CS31" i="56"/>
  <c r="CT31" i="56"/>
  <c r="CU31" i="56"/>
  <c r="CV31" i="56"/>
  <c r="CW31" i="56"/>
  <c r="CX31" i="56"/>
  <c r="CY31" i="56"/>
  <c r="CZ31" i="56"/>
  <c r="DA31" i="56"/>
  <c r="DB31" i="56"/>
  <c r="DC31" i="56"/>
  <c r="DD31" i="56"/>
  <c r="DE31" i="56"/>
  <c r="DF31" i="56"/>
  <c r="DG31" i="56"/>
  <c r="DH31" i="56"/>
  <c r="DI31" i="56"/>
  <c r="DJ31" i="56"/>
  <c r="DK31" i="56"/>
  <c r="DL31" i="56"/>
  <c r="DM31" i="56"/>
  <c r="DN31" i="56"/>
  <c r="DO31" i="56"/>
  <c r="DP31" i="56"/>
  <c r="DQ31" i="56"/>
  <c r="DR31" i="56"/>
  <c r="DS31" i="56"/>
  <c r="DT31" i="56"/>
  <c r="DU31" i="56"/>
  <c r="DV31" i="56"/>
  <c r="DW31" i="56"/>
  <c r="DX31" i="56"/>
  <c r="G33" i="56"/>
  <c r="BM33" i="56"/>
  <c r="BN33" i="56"/>
  <c r="BO33" i="56"/>
  <c r="BP33" i="56"/>
  <c r="BQ33" i="56"/>
  <c r="BR33" i="56"/>
  <c r="BS33" i="56"/>
  <c r="BT33" i="56"/>
  <c r="BU33" i="56"/>
  <c r="BV33" i="56"/>
  <c r="BW33" i="56"/>
  <c r="BX33" i="56"/>
  <c r="BY33" i="56"/>
  <c r="BZ33" i="56"/>
  <c r="CA33" i="56"/>
  <c r="CB33" i="56"/>
  <c r="CC33" i="56"/>
  <c r="CD33" i="56"/>
  <c r="CE33" i="56"/>
  <c r="CF33" i="56"/>
  <c r="CG33" i="56"/>
  <c r="CH33" i="56"/>
  <c r="CI33" i="56"/>
  <c r="CJ33" i="56"/>
  <c r="CK33" i="56"/>
  <c r="CL33" i="56"/>
  <c r="CM33" i="56"/>
  <c r="CN33" i="56"/>
  <c r="CO33" i="56"/>
  <c r="CP33" i="56"/>
  <c r="CQ33" i="56"/>
  <c r="CR33" i="56"/>
  <c r="CS33" i="56"/>
  <c r="CT33" i="56"/>
  <c r="CU33" i="56"/>
  <c r="CV33" i="56"/>
  <c r="CW33" i="56"/>
  <c r="CX33" i="56"/>
  <c r="CY33" i="56"/>
  <c r="CZ33" i="56"/>
  <c r="DA33" i="56"/>
  <c r="DB33" i="56"/>
  <c r="DC33" i="56"/>
  <c r="DD33" i="56"/>
  <c r="DE33" i="56"/>
  <c r="DF33" i="56"/>
  <c r="DG33" i="56"/>
  <c r="DH33" i="56"/>
  <c r="DI33" i="56"/>
  <c r="DJ33" i="56"/>
  <c r="DK33" i="56"/>
  <c r="DL33" i="56"/>
  <c r="DM33" i="56"/>
  <c r="DN33" i="56"/>
  <c r="DO33" i="56"/>
  <c r="DP33" i="56"/>
  <c r="DQ33" i="56"/>
  <c r="DR33" i="56"/>
  <c r="DS33" i="56"/>
  <c r="DT33" i="56"/>
  <c r="DU33" i="56"/>
  <c r="DV33" i="56"/>
  <c r="DW33" i="56"/>
  <c r="DX33" i="56"/>
  <c r="BM34" i="56"/>
  <c r="BN34" i="56"/>
  <c r="BO34" i="56"/>
  <c r="BP34" i="56"/>
  <c r="BQ34" i="56"/>
  <c r="BR34" i="56"/>
  <c r="BS34" i="56"/>
  <c r="BT34" i="56"/>
  <c r="BU34" i="56"/>
  <c r="BV34" i="56"/>
  <c r="BW34" i="56"/>
  <c r="BX34" i="56"/>
  <c r="BY34" i="56"/>
  <c r="BZ34" i="56"/>
  <c r="CA34" i="56"/>
  <c r="CB34" i="56"/>
  <c r="CC34" i="56"/>
  <c r="CD34" i="56"/>
  <c r="CE34" i="56"/>
  <c r="CF34" i="56"/>
  <c r="CG34" i="56"/>
  <c r="CH34" i="56"/>
  <c r="CI34" i="56"/>
  <c r="CJ34" i="56"/>
  <c r="CK34" i="56"/>
  <c r="CL34" i="56"/>
  <c r="CM34" i="56"/>
  <c r="CN34" i="56"/>
  <c r="CO34" i="56"/>
  <c r="CP34" i="56"/>
  <c r="CQ34" i="56"/>
  <c r="CR34" i="56"/>
  <c r="CS34" i="56"/>
  <c r="CT34" i="56"/>
  <c r="CU34" i="56"/>
  <c r="CV34" i="56"/>
  <c r="CW34" i="56"/>
  <c r="CX34" i="56"/>
  <c r="CY34" i="56"/>
  <c r="CZ34" i="56"/>
  <c r="DA34" i="56"/>
  <c r="DB34" i="56"/>
  <c r="DC34" i="56"/>
  <c r="DD34" i="56"/>
  <c r="DE34" i="56"/>
  <c r="DF34" i="56"/>
  <c r="DG34" i="56"/>
  <c r="DH34" i="56"/>
  <c r="DI34" i="56"/>
  <c r="DJ34" i="56"/>
  <c r="DK34" i="56"/>
  <c r="DL34" i="56"/>
  <c r="DM34" i="56"/>
  <c r="DN34" i="56"/>
  <c r="DO34" i="56"/>
  <c r="DP34" i="56"/>
  <c r="DQ34" i="56"/>
  <c r="DR34" i="56"/>
  <c r="DS34" i="56"/>
  <c r="DT34" i="56"/>
  <c r="DU34" i="56"/>
  <c r="DV34" i="56"/>
  <c r="DW34" i="56"/>
  <c r="DX34" i="56"/>
  <c r="G37" i="56"/>
  <c r="G38" i="56"/>
  <c r="G39" i="56"/>
  <c r="G40" i="56"/>
  <c r="G46" i="56"/>
  <c r="BY46" i="56"/>
  <c r="BZ46" i="56"/>
  <c r="CA46" i="56"/>
  <c r="CB46" i="56"/>
  <c r="CC46" i="56"/>
  <c r="CD46" i="56"/>
  <c r="CE46" i="56"/>
  <c r="CF46" i="56"/>
  <c r="CG46" i="56"/>
  <c r="CH46" i="56"/>
  <c r="CI46" i="56"/>
  <c r="CJ46" i="56"/>
  <c r="CK46" i="56"/>
  <c r="CL46" i="56"/>
  <c r="CM46" i="56"/>
  <c r="CN46" i="56"/>
  <c r="CO46" i="56"/>
  <c r="CP46" i="56"/>
  <c r="CQ46" i="56"/>
  <c r="CR46" i="56"/>
  <c r="CS46" i="56"/>
  <c r="CT46" i="56"/>
  <c r="CU46" i="56"/>
  <c r="CV46" i="56"/>
  <c r="CW46" i="56"/>
  <c r="CX46" i="56"/>
  <c r="CY46" i="56"/>
  <c r="CZ46" i="56"/>
  <c r="DA46" i="56"/>
  <c r="DB46" i="56"/>
  <c r="DC46" i="56"/>
  <c r="DD46" i="56"/>
  <c r="DE46" i="56"/>
  <c r="DF46" i="56"/>
  <c r="DG46" i="56"/>
  <c r="DH46" i="56"/>
  <c r="DI46" i="56"/>
  <c r="DJ46" i="56"/>
  <c r="DK46" i="56"/>
  <c r="DL46" i="56"/>
  <c r="DM46" i="56"/>
  <c r="DN46" i="56"/>
  <c r="DO46" i="56"/>
  <c r="DP46" i="56"/>
  <c r="DQ46" i="56"/>
  <c r="DR46" i="56"/>
  <c r="DS46" i="56"/>
  <c r="DT46" i="56"/>
  <c r="DU46" i="56"/>
  <c r="DV46" i="56"/>
  <c r="DW46" i="56"/>
  <c r="DX46" i="56"/>
  <c r="G48" i="56"/>
  <c r="BY48" i="56"/>
  <c r="BZ48" i="56"/>
  <c r="CA48" i="56"/>
  <c r="CB48" i="56"/>
  <c r="CC48" i="56"/>
  <c r="CD48" i="56"/>
  <c r="CE48" i="56"/>
  <c r="CF48" i="56"/>
  <c r="CG48" i="56"/>
  <c r="CH48" i="56"/>
  <c r="CI48" i="56"/>
  <c r="CJ48" i="56"/>
  <c r="CK48" i="56"/>
  <c r="CL48" i="56"/>
  <c r="CM48" i="56"/>
  <c r="CN48" i="56"/>
  <c r="CO48" i="56"/>
  <c r="CP48" i="56"/>
  <c r="CQ48" i="56"/>
  <c r="CR48" i="56"/>
  <c r="CS48" i="56"/>
  <c r="CT48" i="56"/>
  <c r="CU48" i="56"/>
  <c r="CV48" i="56"/>
  <c r="CW48" i="56"/>
  <c r="CX48" i="56"/>
  <c r="CY48" i="56"/>
  <c r="CZ48" i="56"/>
  <c r="DA48" i="56"/>
  <c r="DB48" i="56"/>
  <c r="DC48" i="56"/>
  <c r="DD48" i="56"/>
  <c r="DE48" i="56"/>
  <c r="DF48" i="56"/>
  <c r="DG48" i="56"/>
  <c r="DH48" i="56"/>
  <c r="DI48" i="56"/>
  <c r="DJ48" i="56"/>
  <c r="DK48" i="56"/>
  <c r="DL48" i="56"/>
  <c r="DM48" i="56"/>
  <c r="DN48" i="56"/>
  <c r="DO48" i="56"/>
  <c r="DP48" i="56"/>
  <c r="DQ48" i="56"/>
  <c r="DR48" i="56"/>
  <c r="DS48" i="56"/>
  <c r="DT48" i="56"/>
  <c r="DU48" i="56"/>
  <c r="DV48" i="56"/>
  <c r="DW48" i="56"/>
  <c r="DX48" i="56"/>
  <c r="G49" i="56"/>
  <c r="BM49" i="56"/>
  <c r="BN49" i="56"/>
  <c r="BO49" i="56"/>
  <c r="BP49" i="56"/>
  <c r="BQ49" i="56"/>
  <c r="BR49" i="56"/>
  <c r="BS49" i="56"/>
  <c r="BT49" i="56"/>
  <c r="BU49" i="56"/>
  <c r="BV49" i="56"/>
  <c r="BW49" i="56"/>
  <c r="BX49" i="56"/>
  <c r="BY49" i="56"/>
  <c r="BZ49" i="56"/>
  <c r="CA49" i="56"/>
  <c r="CB49" i="56"/>
  <c r="CC49" i="56"/>
  <c r="CD49" i="56"/>
  <c r="CE49" i="56"/>
  <c r="CF49" i="56"/>
  <c r="CG49" i="56"/>
  <c r="CH49" i="56"/>
  <c r="CI49" i="56"/>
  <c r="CJ49" i="56"/>
  <c r="CK49" i="56"/>
  <c r="CL49" i="56"/>
  <c r="CM49" i="56"/>
  <c r="CN49" i="56"/>
  <c r="CO49" i="56"/>
  <c r="CP49" i="56"/>
  <c r="CQ49" i="56"/>
  <c r="CR49" i="56"/>
  <c r="CS49" i="56"/>
  <c r="CT49" i="56"/>
  <c r="CU49" i="56"/>
  <c r="CV49" i="56"/>
  <c r="CW49" i="56"/>
  <c r="CX49" i="56"/>
  <c r="CY49" i="56"/>
  <c r="CZ49" i="56"/>
  <c r="DA49" i="56"/>
  <c r="DB49" i="56"/>
  <c r="DC49" i="56"/>
  <c r="DD49" i="56"/>
  <c r="DE49" i="56"/>
  <c r="DF49" i="56"/>
  <c r="DG49" i="56"/>
  <c r="DH49" i="56"/>
  <c r="DI49" i="56"/>
  <c r="DJ49" i="56"/>
  <c r="DK49" i="56"/>
  <c r="DL49" i="56"/>
  <c r="DM49" i="56"/>
  <c r="DN49" i="56"/>
  <c r="DO49" i="56"/>
  <c r="DP49" i="56"/>
  <c r="DQ49" i="56"/>
  <c r="DR49" i="56"/>
  <c r="DS49" i="56"/>
  <c r="DT49" i="56"/>
  <c r="DU49" i="56"/>
  <c r="DV49" i="56"/>
  <c r="DW49" i="56"/>
  <c r="DX49" i="56"/>
  <c r="G54" i="56"/>
  <c r="BM54" i="56"/>
  <c r="BN54" i="56"/>
  <c r="BO54" i="56"/>
  <c r="BP54" i="56"/>
  <c r="BQ54" i="56"/>
  <c r="BR54" i="56"/>
  <c r="BS54" i="56"/>
  <c r="BT54" i="56"/>
  <c r="BU54" i="56"/>
  <c r="BV54" i="56"/>
  <c r="BW54" i="56"/>
  <c r="BX54" i="56"/>
  <c r="BY54" i="56"/>
  <c r="BZ54" i="56"/>
  <c r="CA54" i="56"/>
  <c r="CB54" i="56"/>
  <c r="CC54" i="56"/>
  <c r="CD54" i="56"/>
  <c r="CE54" i="56"/>
  <c r="CF54" i="56"/>
  <c r="CG54" i="56"/>
  <c r="CH54" i="56"/>
  <c r="CI54" i="56"/>
  <c r="CJ54" i="56"/>
  <c r="CK54" i="56"/>
  <c r="CL54" i="56"/>
  <c r="CM54" i="56"/>
  <c r="CN54" i="56"/>
  <c r="CO54" i="56"/>
  <c r="CP54" i="56"/>
  <c r="CQ54" i="56"/>
  <c r="CR54" i="56"/>
  <c r="CS54" i="56"/>
  <c r="CT54" i="56"/>
  <c r="CU54" i="56"/>
  <c r="CV54" i="56"/>
  <c r="CW54" i="56"/>
  <c r="CX54" i="56"/>
  <c r="CY54" i="56"/>
  <c r="CZ54" i="56"/>
  <c r="DA54" i="56"/>
  <c r="DB54" i="56"/>
  <c r="DC54" i="56"/>
  <c r="DD54" i="56"/>
  <c r="DE54" i="56"/>
  <c r="DF54" i="56"/>
  <c r="DG54" i="56"/>
  <c r="DH54" i="56"/>
  <c r="DI54" i="56"/>
  <c r="DJ54" i="56"/>
  <c r="DK54" i="56"/>
  <c r="DL54" i="56"/>
  <c r="DM54" i="56"/>
  <c r="DN54" i="56"/>
  <c r="DO54" i="56"/>
  <c r="DP54" i="56"/>
  <c r="DQ54" i="56"/>
  <c r="DR54" i="56"/>
  <c r="DS54" i="56"/>
  <c r="DT54" i="56"/>
  <c r="DU54" i="56"/>
  <c r="DV54" i="56"/>
  <c r="DW54" i="56"/>
  <c r="DX54" i="56"/>
  <c r="BM55" i="56"/>
  <c r="BN55" i="56"/>
  <c r="BO55" i="56"/>
  <c r="BP55" i="56"/>
  <c r="BQ55" i="56"/>
  <c r="BR55" i="56"/>
  <c r="BS55" i="56"/>
  <c r="BT55" i="56"/>
  <c r="BU55" i="56"/>
  <c r="BV55" i="56"/>
  <c r="BW55" i="56"/>
  <c r="BX55" i="56"/>
  <c r="BY55" i="56"/>
  <c r="BZ55" i="56"/>
  <c r="CA55" i="56"/>
  <c r="CB55" i="56"/>
  <c r="CC55" i="56"/>
  <c r="CD55" i="56"/>
  <c r="CE55" i="56"/>
  <c r="CF55" i="56"/>
  <c r="CG55" i="56"/>
  <c r="CH55" i="56"/>
  <c r="CI55" i="56"/>
  <c r="CJ55" i="56"/>
  <c r="CK55" i="56"/>
  <c r="CL55" i="56"/>
  <c r="CM55" i="56"/>
  <c r="CN55" i="56"/>
  <c r="CO55" i="56"/>
  <c r="CP55" i="56"/>
  <c r="CQ55" i="56"/>
  <c r="CR55" i="56"/>
  <c r="CS55" i="56"/>
  <c r="CT55" i="56"/>
  <c r="CU55" i="56"/>
  <c r="CV55" i="56"/>
  <c r="CW55" i="56"/>
  <c r="CX55" i="56"/>
  <c r="CY55" i="56"/>
  <c r="CZ55" i="56"/>
  <c r="DA55" i="56"/>
  <c r="DB55" i="56"/>
  <c r="DC55" i="56"/>
  <c r="DD55" i="56"/>
  <c r="DE55" i="56"/>
  <c r="DF55" i="56"/>
  <c r="DG55" i="56"/>
  <c r="DH55" i="56"/>
  <c r="DI55" i="56"/>
  <c r="DJ55" i="56"/>
  <c r="DK55" i="56"/>
  <c r="DL55" i="56"/>
  <c r="DM55" i="56"/>
  <c r="DN55" i="56"/>
  <c r="DO55" i="56"/>
  <c r="DP55" i="56"/>
  <c r="DQ55" i="56"/>
  <c r="DR55" i="56"/>
  <c r="DS55" i="56"/>
  <c r="DT55" i="56"/>
  <c r="DU55" i="56"/>
  <c r="DV55" i="56"/>
  <c r="DW55" i="56"/>
  <c r="DX55" i="56"/>
  <c r="G58" i="56"/>
  <c r="G59" i="56"/>
  <c r="G60" i="56"/>
  <c r="G61" i="56"/>
</calcChain>
</file>

<file path=xl/sharedStrings.xml><?xml version="1.0" encoding="utf-8"?>
<sst xmlns="http://schemas.openxmlformats.org/spreadsheetml/2006/main" count="1430" uniqueCount="799">
  <si>
    <t>Units</t>
  </si>
  <si>
    <t>Total</t>
  </si>
  <si>
    <t>Unlevered</t>
  </si>
  <si>
    <t>IRR</t>
  </si>
  <si>
    <t>Multiple</t>
  </si>
  <si>
    <t>Profit</t>
  </si>
  <si>
    <t>Equity Investment</t>
  </si>
  <si>
    <t>%</t>
  </si>
  <si>
    <t>Financing Costs</t>
  </si>
  <si>
    <t>Selling Costs</t>
  </si>
  <si>
    <t>Per Unit</t>
  </si>
  <si>
    <t>Total Expenses</t>
  </si>
  <si>
    <t>Net Operating Income</t>
  </si>
  <si>
    <t>Retail</t>
  </si>
  <si>
    <t>Lease Up Absorption per Month</t>
  </si>
  <si>
    <t>Total Revenue</t>
  </si>
  <si>
    <t>Net SM</t>
  </si>
  <si>
    <t>Total Acquisition Costs</t>
  </si>
  <si>
    <t>Retail Net Sale Proceeds</t>
  </si>
  <si>
    <t>Retail Net Cash Flow</t>
  </si>
  <si>
    <t>Unlevered Cash Flow</t>
  </si>
  <si>
    <t>Investment</t>
  </si>
  <si>
    <t>Levered Cash Flow</t>
  </si>
  <si>
    <t>Leasing</t>
  </si>
  <si>
    <t>1 Bed 1 Bath - Standard</t>
  </si>
  <si>
    <t>Pre-Leased Units</t>
  </si>
  <si>
    <t>Land Cost</t>
  </si>
  <si>
    <t>Appraisal</t>
  </si>
  <si>
    <t>Notary Fee &amp; Expenses</t>
  </si>
  <si>
    <t>Market Studies</t>
  </si>
  <si>
    <t>Legal Expenses</t>
  </si>
  <si>
    <t>Total Land Acquisition Cost</t>
  </si>
  <si>
    <t>Total Hard Costs</t>
  </si>
  <si>
    <t>Total Soft Costs</t>
  </si>
  <si>
    <t>Permit Costs</t>
  </si>
  <si>
    <t>Hard Cost</t>
  </si>
  <si>
    <t>Bank Supervision</t>
  </si>
  <si>
    <t>Operating Shortfall</t>
  </si>
  <si>
    <t>Total Unleveraged Development Costs</t>
  </si>
  <si>
    <t>Total Project Costs</t>
  </si>
  <si>
    <t>Soft Costs</t>
  </si>
  <si>
    <t>Funding Source</t>
  </si>
  <si>
    <t>Equity Funding</t>
  </si>
  <si>
    <t>Acquisition Costs</t>
  </si>
  <si>
    <t>Residential</t>
  </si>
  <si>
    <t>Total Unlevered Development Costs</t>
  </si>
  <si>
    <t>Land Acquisition Cost</t>
  </si>
  <si>
    <t>Soft Cost</t>
  </si>
  <si>
    <t>Other Costs</t>
  </si>
  <si>
    <t>Total Other Costs</t>
  </si>
  <si>
    <t>Total Soft Cost</t>
  </si>
  <si>
    <t>Total Hard Cost</t>
  </si>
  <si>
    <t>Gross SM</t>
  </si>
  <si>
    <t>Unit Type</t>
  </si>
  <si>
    <t>Real Growth</t>
  </si>
  <si>
    <t>Net SF</t>
  </si>
  <si>
    <t>Gross SF</t>
  </si>
  <si>
    <t>Demolition</t>
  </si>
  <si>
    <t>Soft Cost Contingency</t>
  </si>
  <si>
    <t>Date</t>
  </si>
  <si>
    <t>Development Length</t>
  </si>
  <si>
    <t>Parking</t>
  </si>
  <si>
    <t>UF</t>
  </si>
  <si>
    <t>Cost Driver</t>
  </si>
  <si>
    <t>Furniture</t>
  </si>
  <si>
    <t>Technical Supervision</t>
  </si>
  <si>
    <t>Preliminary Layouts &amp; "Anteproyecto" Approval</t>
  </si>
  <si>
    <t>Figures in UF</t>
  </si>
  <si>
    <t>Figures in USD</t>
  </si>
  <si>
    <t>Brokerage commission</t>
  </si>
  <si>
    <t>USD</t>
  </si>
  <si>
    <t>2 Bed 2 Bath - Furnished</t>
  </si>
  <si>
    <t>1 Bed 1 Bath - Furnished</t>
  </si>
  <si>
    <t>Height</t>
  </si>
  <si>
    <t>Floor</t>
  </si>
  <si>
    <t>Gross Area</t>
  </si>
  <si>
    <t>Net Area</t>
  </si>
  <si>
    <t>Use</t>
  </si>
  <si>
    <t>Terrace</t>
  </si>
  <si>
    <t>Circulation Area</t>
  </si>
  <si>
    <t>Interior</t>
  </si>
  <si>
    <t>Exterior</t>
  </si>
  <si>
    <t xml:space="preserve">Amenities </t>
  </si>
  <si>
    <t>Area</t>
  </si>
  <si>
    <t>Exterior Area</t>
  </si>
  <si>
    <t>Summary</t>
  </si>
  <si>
    <t>2 Bed 2 Bath - Standard</t>
  </si>
  <si>
    <t>Mix</t>
  </si>
  <si>
    <t>Predevelopment (Projects, Specialists, Studies &amp; Certificates)</t>
  </si>
  <si>
    <t xml:space="preserve">Return on Cost </t>
  </si>
  <si>
    <t>VAT Reimbursement</t>
  </si>
  <si>
    <t>Financing Costs Development Period</t>
  </si>
  <si>
    <t>Construction Period</t>
  </si>
  <si>
    <t>Certificate of Occupancy</t>
  </si>
  <si>
    <t>Excavation Period</t>
  </si>
  <si>
    <t>Construction</t>
  </si>
  <si>
    <t>Security</t>
  </si>
  <si>
    <t>Others</t>
  </si>
  <si>
    <t>Real Estate Taxes</t>
  </si>
  <si>
    <t>Interest Rate</t>
  </si>
  <si>
    <t>Eff.</t>
  </si>
  <si>
    <t>(%)</t>
  </si>
  <si>
    <t>Office</t>
  </si>
  <si>
    <t>CapEx</t>
  </si>
  <si>
    <t>Hard Costs</t>
  </si>
  <si>
    <t>Accumulated Development Costs</t>
  </si>
  <si>
    <t>Development Budget</t>
  </si>
  <si>
    <t>Weight (%)</t>
  </si>
  <si>
    <t>Other Expenses</t>
  </si>
  <si>
    <t>% of Hard Costs</t>
  </si>
  <si>
    <t>Item</t>
  </si>
  <si>
    <t>Unit Price</t>
  </si>
  <si>
    <t>% of (AC + HC + SC)</t>
  </si>
  <si>
    <t xml:space="preserve">Development Fee </t>
  </si>
  <si>
    <t>% of Soft Costs</t>
  </si>
  <si>
    <t>Real Rent Growth Factor</t>
  </si>
  <si>
    <t>Revenues</t>
  </si>
  <si>
    <t>Market Base Rent p/ Sq. M.</t>
  </si>
  <si>
    <t>OpEx</t>
  </si>
  <si>
    <t>(%) Margin</t>
  </si>
  <si>
    <t>Total Others</t>
  </si>
  <si>
    <t>Fund Liquidation</t>
  </si>
  <si>
    <t xml:space="preserve">This confidential presentation and the material provided herein (this “Presentation”) is being provided by CCLA, Compass Group, CIM Group, LLC or one of its affiliates (“CCLA”) for informational purposes only.  CCLA is not soliciting or recommending any action based on this material.  It does not constitute an offer to sell or a solicitation of an offer to buy any securities relating to any CCLA investment opportunity or any parallel investment entity thereof (each a “CCLA Opportunity”) or any other securities, notwithstanding that such securities may currently be offered.  Any such offering of a CCLA Opportunity will be made only in accordance with the terms and conditions set forth in, and the material provided herein is qualified in its entirety by reference to, the confidential offering memorandum of such CCLA Opportunity (each as modified or supplemented from time to time, the “Memorandum”) and the governing documents of the entities for the applicable CLA Opportunity and the subscription agreements in respect thereof (collectively, in respect of each CCLA Opportunity, the “Agreements”), copies of each of which will be provided to each prospective investor upon request and should be reviewed before making an investment in the applicable CCLA Opportunity or in any parallel investment entity (collectively, an “Investment”).
This Presentation is not intended to be relied upon as the basis for an investment decision, and is not, and should not be assumed to be, complete.  In making an investment decision, prospective investors must rely on their own examination of the merits and risks involved.  The contents herein are not to be construed as legal, business, or tax advice, and each prospective investor should consult its own attorney, business advisor, and tax advisor in order to make an independent determination of the suitability and legal, business, and tax consequences of an Investment.  
In considering any performance information contained herein, prospective investors should bear in mind that past or projected performance is not necessarily indicative of future results, and there can be no assurance that any CIM Opportunity or any parallel investment entity will achieve comparable results or that target returns, if any, will be met.  Potential investors must be prepared to bear capital losses, even a total loss of the amount invested.  The information herein (including all projected performance information) includes, or is based upon, observations and/or assumptions and involves significant elements of subjective judgment and analysis.  No representations are made as to the accuracy of such observations and assumptions and there can be no assurances that actual events will not differ materially from those assumed.  In the event any of the assumptions used in this Presentation do not prove to be accurate, results are likely to vary substantially from those discussed herein.  Any opinions expressed in this document may be subject to change without notice. 
Any Investment is subject to various risks and other investment considerations, none of which are outlined herein.  A description of certain risks and investment considerations involved with an Investment will be found in the Memorandum; such risks and investment considerations should be carefully considered by prospective investors before they make any investment decision. Any key terms described in this Presentation represent a general overview of certain selected terms.  A more detailed summary of terms is or will be contained in the Memorandum, and such detailed summary of terms and any key terms set forth in this Presentation are qualified in their entirety by reference to the Agreements.
CCLA and its affiliates reserve the right to modify any of the terms of the offering and the interests in respect of any CCLA Opportunity described in the Memorandum or the Agreements in respect thereof.
Recipients of this Presentation agree that CCLA, its affiliates and their respective partners, members, equity holders, employees, officers, directors, agents, and representatives shall have no liability for any misstatement or omission of fact or any opinion expressed herein.  
Except as otherwise specifically set forth herein, statements in this Presentation are made as of the Report Date.  CCLA does not undertake to, and will not, update any such statements and neither the delivery of this Presentation at any time nor any sale of any interests described herein shall under any circumstances create an implication that the information contained herein has been updated as of any time after the Report Date.  
This Presentation is intended solely for the recipient thereof (the “Recipient”).  Its content is legally privileged and/or confidential.  The recipient further agrees that it will (i) not copy, reproduce, or distribute this Presentation, in whole or in part, to any person or party (including any employee of the Recipient, other than on a confidential basis and subject to this sentence an employee directly involved in evaluating an Investment) without the prior written consent of CCLA and (ii) keep permanently confidential all information contained herein that is not already public. 
</t>
  </si>
  <si>
    <t>VAT Credit BoP</t>
  </si>
  <si>
    <t>VAT Credit EoP</t>
  </si>
  <si>
    <t>Retail Sale Proceeds</t>
  </si>
  <si>
    <t>Retail Sale Costs</t>
  </si>
  <si>
    <t>Retail Terminal Value</t>
  </si>
  <si>
    <t>VAT Reimbursements</t>
  </si>
  <si>
    <t>Unlevered Figures</t>
  </si>
  <si>
    <t>Debt Funding</t>
  </si>
  <si>
    <t>Drawdown</t>
  </si>
  <si>
    <t>Interest Payments</t>
  </si>
  <si>
    <t>Interest Accruals</t>
  </si>
  <si>
    <t>Financial Debt</t>
  </si>
  <si>
    <t>Levered Figures</t>
  </si>
  <si>
    <t>Project Layout</t>
  </si>
  <si>
    <t>Total Height (Mts.)</t>
  </si>
  <si>
    <t>Floor Height (Mts.)</t>
  </si>
  <si>
    <t>Inputs</t>
  </si>
  <si>
    <t xml:space="preserve">Efficiency Ratio </t>
  </si>
  <si>
    <t>Land Area</t>
  </si>
  <si>
    <t>Project</t>
  </si>
  <si>
    <t>Underground Levels</t>
  </si>
  <si>
    <t>Deal Closing Date</t>
  </si>
  <si>
    <t>Timing &amp; Disposition Assumptions</t>
  </si>
  <si>
    <t>Disposition Case Selection:</t>
  </si>
  <si>
    <t>Pre - Development Period</t>
  </si>
  <si>
    <t>Development End Date</t>
  </si>
  <si>
    <t>Development Start Date</t>
  </si>
  <si>
    <t>Monthly UF Model</t>
  </si>
  <si>
    <t>CapEx Disbursement Schedule</t>
  </si>
  <si>
    <t>Project Activity</t>
  </si>
  <si>
    <t>Investment Vehicle Formation (Trustee)</t>
  </si>
  <si>
    <t>UF/Gross Sq. M.</t>
  </si>
  <si>
    <t>UF/Land Sq. M.</t>
  </si>
  <si>
    <t>Furniture Installment (Months before Contruction End)</t>
  </si>
  <si>
    <t>Commercial Operations Date</t>
  </si>
  <si>
    <t>VAT Reimbursement Period</t>
  </si>
  <si>
    <t>Relevant Development Dates</t>
  </si>
  <si>
    <t>Relevant Holding Dates</t>
  </si>
  <si>
    <t>Development Flag</t>
  </si>
  <si>
    <t>Construction Contingencies</t>
  </si>
  <si>
    <t>Net Sq. M.</t>
  </si>
  <si>
    <t>Gross Sq. M.</t>
  </si>
  <si>
    <t>Per Gross Sq. M.</t>
  </si>
  <si>
    <t>Per Net Sq. M.</t>
  </si>
  <si>
    <t>Operation Flag</t>
  </si>
  <si>
    <t>Trended Market Base Rent p/ Sq. M.</t>
  </si>
  <si>
    <t>Index</t>
  </si>
  <si>
    <t>Building's Stories</t>
  </si>
  <si>
    <t>Full Year Net Operating Income</t>
  </si>
  <si>
    <t>Leasing Commissions (%)</t>
  </si>
  <si>
    <t>Less: Credit Losses (% of Revenues)</t>
  </si>
  <si>
    <t>Less: Vacancy Factor (%)</t>
  </si>
  <si>
    <t>Real Estate Taxes UF p/ Sq. M.</t>
  </si>
  <si>
    <t>Insurance UF p/ Sq. M.</t>
  </si>
  <si>
    <t>Total Investment Hold</t>
  </si>
  <si>
    <t>Investment Hold After Operation Start</t>
  </si>
  <si>
    <t>Financing Assumptions</t>
  </si>
  <si>
    <t>Amortization</t>
  </si>
  <si>
    <t>VAT</t>
  </si>
  <si>
    <t>Studio</t>
  </si>
  <si>
    <t>1BR</t>
  </si>
  <si>
    <t>2BR</t>
  </si>
  <si>
    <t>3BR</t>
  </si>
  <si>
    <t>Units #</t>
  </si>
  <si>
    <t>Interior Area</t>
  </si>
  <si>
    <t>Residential Units</t>
  </si>
  <si>
    <t>Avg. Net Sq. M by Unit</t>
  </si>
  <si>
    <t>Parking Units</t>
  </si>
  <si>
    <t>Residential Assumptions</t>
  </si>
  <si>
    <t>BoP Units Leased</t>
  </si>
  <si>
    <t>Pre - Leased Units</t>
  </si>
  <si>
    <t>New Leased Units</t>
  </si>
  <si>
    <t>Residential Net Cash Flow</t>
  </si>
  <si>
    <t>Maint. Fee</t>
  </si>
  <si>
    <t>Total Rent</t>
  </si>
  <si>
    <t>Studios - Standard</t>
  </si>
  <si>
    <t>3 Bed 2 Bath - Standard</t>
  </si>
  <si>
    <t>3 Bed 2 Bath - Furnished</t>
  </si>
  <si>
    <t>Studios</t>
  </si>
  <si>
    <t>1 Bed 1 Bathroom</t>
  </si>
  <si>
    <t>2 Bed 2 Bathroom</t>
  </si>
  <si>
    <t>3 Bed 2 Bathroom</t>
  </si>
  <si>
    <t>Units / Weight</t>
  </si>
  <si>
    <t>Weighted Avg. Sq. M.</t>
  </si>
  <si>
    <t>Unit Mix</t>
  </si>
  <si>
    <t>Square Meters</t>
  </si>
  <si>
    <t>General Product Mix Overview</t>
  </si>
  <si>
    <t>Total / Weighted Avg.</t>
  </si>
  <si>
    <t>Property Size &amp; Design</t>
  </si>
  <si>
    <t>Furnished Units</t>
  </si>
  <si>
    <t>Design Parameters</t>
  </si>
  <si>
    <t>Unfurnished Units</t>
  </si>
  <si>
    <t>Layout</t>
  </si>
  <si>
    <t>Project's Rent</t>
  </si>
  <si>
    <t>Rent</t>
  </si>
  <si>
    <t>Market Base Rent p/Sq. M.</t>
  </si>
  <si>
    <t>Market Base Rent p/ Unit to Model</t>
  </si>
  <si>
    <t>Apart Hotel</t>
  </si>
  <si>
    <t>Revenue Assumptions</t>
  </si>
  <si>
    <t>CLP</t>
  </si>
  <si>
    <t>Total Units</t>
  </si>
  <si>
    <t>Stabilization Date</t>
  </si>
  <si>
    <t>Base Rent to Model - UF p/ Sq. M. Adj for VAT</t>
  </si>
  <si>
    <t>Lease Up Length</t>
  </si>
  <si>
    <t>Storage</t>
  </si>
  <si>
    <t>Storage Size - Sq. M.</t>
  </si>
  <si>
    <t>Price - UF p/ Month p/ Sq. M.</t>
  </si>
  <si>
    <t>Growth</t>
  </si>
  <si>
    <t>Housekeeping</t>
  </si>
  <si>
    <t>Discounts</t>
  </si>
  <si>
    <t>OpEx &amp; SG&amp;A</t>
  </si>
  <si>
    <t>Parking Assumptions</t>
  </si>
  <si>
    <t>Occupancy</t>
  </si>
  <si>
    <t>Total Residential Parking Revenue p/ Month</t>
  </si>
  <si>
    <t>Total Parking Spaces</t>
  </si>
  <si>
    <t>Residential Parking Spaces</t>
  </si>
  <si>
    <t>Mixed Use Parking Spaces</t>
  </si>
  <si>
    <t>Spaces</t>
  </si>
  <si>
    <t>Rel. Ratio</t>
  </si>
  <si>
    <t>Parking Revenue p/ Space</t>
  </si>
  <si>
    <t>Residential Parking Revenue p/ Month p/ Space</t>
  </si>
  <si>
    <t>Retail Parking Revenue p/ Month p/ Space</t>
  </si>
  <si>
    <t>Total Retail Parking Revenue p/ Month</t>
  </si>
  <si>
    <t>Base Rent to Model - UF p/ Sq. M. (UF)</t>
  </si>
  <si>
    <t>Total Storage Sq. M.</t>
  </si>
  <si>
    <t>Storage Occupancy (%)</t>
  </si>
  <si>
    <t>Total Storage Revenue p/ Month (UF)</t>
  </si>
  <si>
    <t>Cleaning Frequency p/ Month</t>
  </si>
  <si>
    <t>Housekeeping Demand Rate (% of Total Units)</t>
  </si>
  <si>
    <t>Housekeeping Fee p/ Visit</t>
  </si>
  <si>
    <t>Housekeeping Revenue p/ Month</t>
  </si>
  <si>
    <t>Occupancy Rate (%)</t>
  </si>
  <si>
    <t>EoP Units Leased</t>
  </si>
  <si>
    <t>Property Management Fee</t>
  </si>
  <si>
    <t>Leasing Fee (%)</t>
  </si>
  <si>
    <t>Model Units (Units)</t>
  </si>
  <si>
    <t>Credit Losses (% of Revenues)</t>
  </si>
  <si>
    <t>Vacancy Factor (%)</t>
  </si>
  <si>
    <t>Total UF</t>
  </si>
  <si>
    <t>Payroll</t>
  </si>
  <si>
    <t>Accountant</t>
  </si>
  <si>
    <t>Total Office</t>
  </si>
  <si>
    <t>Repairs and Maintenance</t>
  </si>
  <si>
    <t xml:space="preserve">General Manager </t>
  </si>
  <si>
    <t>Redecorating</t>
  </si>
  <si>
    <t>Property Manager</t>
  </si>
  <si>
    <t>Utilities</t>
  </si>
  <si>
    <t>Community Manager</t>
  </si>
  <si>
    <t>Total Advertising</t>
  </si>
  <si>
    <t>Contract Services</t>
  </si>
  <si>
    <t>Assistant Property Manager</t>
  </si>
  <si>
    <t>Office Expenses</t>
  </si>
  <si>
    <t>Property Coordinator / Receptionist</t>
  </si>
  <si>
    <t>Advertising</t>
  </si>
  <si>
    <t>Messenger</t>
  </si>
  <si>
    <t>Leasing Manager</t>
  </si>
  <si>
    <t>Leasing Associates</t>
  </si>
  <si>
    <t>Parking Expense</t>
  </si>
  <si>
    <t>Cleaning &amp; housekeeping</t>
  </si>
  <si>
    <t>Payment Processing</t>
  </si>
  <si>
    <t>Chief Engineer</t>
  </si>
  <si>
    <t>Retail Hours of Operation</t>
  </si>
  <si>
    <t>Total Controllable</t>
  </si>
  <si>
    <t>Technician Supervisor</t>
  </si>
  <si>
    <t>Maintenance Technicians</t>
  </si>
  <si>
    <t>Non-Controllable</t>
  </si>
  <si>
    <t>Total Security</t>
  </si>
  <si>
    <t>Average Tax on Salaries</t>
  </si>
  <si>
    <t>Insurance</t>
  </si>
  <si>
    <t>Repairs &amp; Maintenance</t>
  </si>
  <si>
    <t>Total Non-Controllable</t>
  </si>
  <si>
    <t>Total OpEx (ex. Reserves)</t>
  </si>
  <si>
    <t>As % of Effective Revenues (Resi)</t>
  </si>
  <si>
    <t>Waste Removal</t>
  </si>
  <si>
    <t>Grounds / Landscaping</t>
  </si>
  <si>
    <t>Turnover %</t>
  </si>
  <si>
    <t>Retail Parking Spaces</t>
  </si>
  <si>
    <t>Utilities - Common Area</t>
  </si>
  <si>
    <t>Total Retail Parking</t>
  </si>
  <si>
    <t>Total Payment Processing</t>
  </si>
  <si>
    <t>Leasing Area</t>
  </si>
  <si>
    <t>Cadastral Value</t>
  </si>
  <si>
    <t>Land</t>
  </si>
  <si>
    <t>Real Estate Tax Benefit (Rule N° 17.235)</t>
  </si>
  <si>
    <t>Construction Cost</t>
  </si>
  <si>
    <t>Untrended OpEx Summary</t>
  </si>
  <si>
    <t>UF/Gross Sq. M</t>
  </si>
  <si>
    <t>CapEx Budget</t>
  </si>
  <si>
    <t>OpEx Budget</t>
  </si>
  <si>
    <t>Residential (UF)</t>
  </si>
  <si>
    <t>Retail (UF)</t>
  </si>
  <si>
    <t>Per Sq. M. Annual</t>
  </si>
  <si>
    <t>Per Sq. M. Monthly</t>
  </si>
  <si>
    <t>Untrended OpEx Breakdown</t>
  </si>
  <si>
    <t xml:space="preserve">Staff # </t>
  </si>
  <si>
    <t>(Net CLP$)</t>
  </si>
  <si>
    <t>(Net UF)</t>
  </si>
  <si>
    <t>Water Cost &amp; Gas Cost p/ Net Sq. M.</t>
  </si>
  <si>
    <t>Residential Electricity Cost p/ Net Sq. M.</t>
  </si>
  <si>
    <t>Retail Electricity Cost p/ Net Sq. M.</t>
  </si>
  <si>
    <t>Property Tax</t>
  </si>
  <si>
    <t>Total Annual Payroll incl. Tax Burden Cost</t>
  </si>
  <si>
    <t>Total Annual Repair &amp; Maintenance Cost</t>
  </si>
  <si>
    <t>Total Annual Redecorating Cost</t>
  </si>
  <si>
    <t>Total Annual Utilities Cost</t>
  </si>
  <si>
    <t>(CLP$)</t>
  </si>
  <si>
    <t>(UF)</t>
  </si>
  <si>
    <t>Cadastral Value p/ Residential Unit</t>
  </si>
  <si>
    <t>Total Cadastral Value</t>
  </si>
  <si>
    <t>Cad. Cost p/ Sq. M.</t>
  </si>
  <si>
    <t>Cad. Constr. Cost</t>
  </si>
  <si>
    <t>11% of Cadastral Value (VAT Annual Credit for Residential Lease Contracts)</t>
  </si>
  <si>
    <t>Total Annual Insurance Cost</t>
  </si>
  <si>
    <t>Cable &amp; Internet Common Areas p/ Common Unit</t>
  </si>
  <si>
    <t>UF p/ Turnover</t>
  </si>
  <si>
    <t>Total Net Sq. M. (Ex. Undergroud Levels)</t>
  </si>
  <si>
    <t>Mo. Cost p/ Staff</t>
  </si>
  <si>
    <t>Mo. Cost</t>
  </si>
  <si>
    <t>(Gross UF)</t>
  </si>
  <si>
    <t>UF p/ Net Sq. M.</t>
  </si>
  <si>
    <t>Controllable Expenses Allocation</t>
  </si>
  <si>
    <t>Allocated to Residential based on Sq. M.</t>
  </si>
  <si>
    <t>Allocated to Retail based on Sq. M.</t>
  </si>
  <si>
    <t>Total Annual Contract Services</t>
  </si>
  <si>
    <t>(Net)</t>
  </si>
  <si>
    <t>(Gross)</t>
  </si>
  <si>
    <t>Permanent Number of Security Rovers #</t>
  </si>
  <si>
    <t>Opening Time (Am)</t>
  </si>
  <si>
    <t>Closing Time (Pm)</t>
  </si>
  <si>
    <t>Hours of Operation #</t>
  </si>
  <si>
    <t>Monthly Salary p/ Rover Including Tax Burden</t>
  </si>
  <si>
    <t>Gross Parking Garage Sq. M.</t>
  </si>
  <si>
    <t>Sq. M. p/ Space</t>
  </si>
  <si>
    <t>Total Residential Parking</t>
  </si>
  <si>
    <t>Stall p/ Month (UF)</t>
  </si>
  <si>
    <t>Payment Processing p/ Month</t>
  </si>
  <si>
    <t>Insurance rate</t>
  </si>
  <si>
    <t>Max. Hours p/ Employee p/ Week</t>
  </si>
  <si>
    <t>Amenities</t>
  </si>
  <si>
    <t>Houskeeping &amp; Cleaning</t>
  </si>
  <si>
    <t>Required Personnel</t>
  </si>
  <si>
    <t>Residential Circulation Area</t>
  </si>
  <si>
    <t>Total Required Housekeeping and Cleaning Personnel</t>
  </si>
  <si>
    <t>Housekeeping Demand (% of Total Units)</t>
  </si>
  <si>
    <t>Total Amenity Units</t>
  </si>
  <si>
    <t>Units in Demand of Housekeeping p/ Month</t>
  </si>
  <si>
    <t>Amenity Cleaning Frequency p/ Week</t>
  </si>
  <si>
    <t>Amenity Cleaning Frequency p/ Month</t>
  </si>
  <si>
    <t xml:space="preserve">Max. Units p/ Month p/ Employee Cleaning Capacity </t>
  </si>
  <si>
    <t>Amenity Cleaning Hours Needed</t>
  </si>
  <si>
    <t>Circulation Area Frequency p/ Week</t>
  </si>
  <si>
    <t>Circulation Area Frequency p/ Month</t>
  </si>
  <si>
    <t>Total Circulation Area Units</t>
  </si>
  <si>
    <t>Circulation Area Cleaning Hours Needed</t>
  </si>
  <si>
    <t>Housekeeping Work Rate p/ Employee p/ Unit (Hours)</t>
  </si>
  <si>
    <t>Amenity Cleaning Work Rate p/ Employee p/ Unit (Hours)</t>
  </si>
  <si>
    <t>Circulation Area Cleaning Work Rate p/ Employee p/ Unit (Hours)</t>
  </si>
  <si>
    <t>Without Parking</t>
  </si>
  <si>
    <t>Monthly Credit</t>
  </si>
  <si>
    <t>P/ Net Sq. M. Annual</t>
  </si>
  <si>
    <t>Res. Allocation</t>
  </si>
  <si>
    <t>Controllable (UF)</t>
  </si>
  <si>
    <t>UF p/ Res. Unit</t>
  </si>
  <si>
    <t>Retail Allocation</t>
  </si>
  <si>
    <t>Maintenance (UF)</t>
  </si>
  <si>
    <t>Property Management Fee (%)</t>
  </si>
  <si>
    <t>Investment Hold End Date</t>
  </si>
  <si>
    <t>Exit Cap Rate - Residential</t>
  </si>
  <si>
    <t>Residential Terminal Value</t>
  </si>
  <si>
    <t>Operating Assumptions</t>
  </si>
  <si>
    <t>Lease - Up</t>
  </si>
  <si>
    <t>Retail Parking Income (UF p/ Month)</t>
  </si>
  <si>
    <t>Maintenance Fee (% of Base Rent)</t>
  </si>
  <si>
    <t>Maintenance Fee (UF p/ Sq. M.)</t>
  </si>
  <si>
    <t>Retail Assumptions</t>
  </si>
  <si>
    <t>Street Retail</t>
  </si>
  <si>
    <t>Furnishing</t>
  </si>
  <si>
    <t>Maintenance Fee (UF p/ Sq. M. p/ Month)</t>
  </si>
  <si>
    <t>Maintenance Fee (% of Monthly Base Rent p/ Sq. M.)</t>
  </si>
  <si>
    <t>Maintenance Reimbursements</t>
  </si>
  <si>
    <t>Residential Sale Proceeds</t>
  </si>
  <si>
    <t>Residential Sale Costs</t>
  </si>
  <si>
    <t>Residential Net Sale Proceeds</t>
  </si>
  <si>
    <t>Base Rent - UF p/ Sq. M. (UF)</t>
  </si>
  <si>
    <t>EoP Sq. M. Leased</t>
  </si>
  <si>
    <t>BoP Sq. M. Leased</t>
  </si>
  <si>
    <t>SG&amp;A</t>
  </si>
  <si>
    <t>Allocation to Residential Operation</t>
  </si>
  <si>
    <t>Residential Vehicle Cost</t>
  </si>
  <si>
    <t>DFL2</t>
  </si>
  <si>
    <t xml:space="preserve"> Mix</t>
  </si>
  <si>
    <t>M</t>
  </si>
  <si>
    <t>Tax Advise</t>
  </si>
  <si>
    <t>Amount</t>
  </si>
  <si>
    <t>Budget Allocation</t>
  </si>
  <si>
    <t>Macroeconomics</t>
  </si>
  <si>
    <t>USD / UF Exchange Rate</t>
  </si>
  <si>
    <t>CLP / USD Exchange Rate</t>
  </si>
  <si>
    <t>CLP / UF Exchange Rate</t>
  </si>
  <si>
    <t>Volume</t>
  </si>
  <si>
    <t>General Assumptions</t>
  </si>
  <si>
    <t>Sq. M. / Sq. F.</t>
  </si>
  <si>
    <t>Parameters</t>
  </si>
  <si>
    <t>Allocated to Parking based on Sq. M.</t>
  </si>
  <si>
    <t>Monthly Credit p/ Sq. M. p/ Unit</t>
  </si>
  <si>
    <t>Total SG&amp;A</t>
  </si>
  <si>
    <t>Total OpEx</t>
  </si>
  <si>
    <t>Interest Payments / Fees</t>
  </si>
  <si>
    <t>Monthly US Model</t>
  </si>
  <si>
    <t>IPC Chile</t>
  </si>
  <si>
    <t>IPC US</t>
  </si>
  <si>
    <t>CLP/USD Exchange Rate</t>
  </si>
  <si>
    <t>USD/UF Exchange Rate</t>
  </si>
  <si>
    <t>Levered</t>
  </si>
  <si>
    <t>Equity</t>
  </si>
  <si>
    <t>Debt</t>
  </si>
  <si>
    <t>Summary Returns</t>
  </si>
  <si>
    <t>Sources and Uses</t>
  </si>
  <si>
    <t>UF / Net Sq. M.</t>
  </si>
  <si>
    <t>Total Sources</t>
  </si>
  <si>
    <t>Levered IRR</t>
  </si>
  <si>
    <t>% Margin</t>
  </si>
  <si>
    <t>% Unlevered Return on Cost</t>
  </si>
  <si>
    <t>% Levered Return on Cost</t>
  </si>
  <si>
    <t>Total Unlevered Cost Basis</t>
  </si>
  <si>
    <t>Total Levered Cost Basis</t>
  </si>
  <si>
    <t>Untrended Return on Cost</t>
  </si>
  <si>
    <t>Annual</t>
  </si>
  <si>
    <t>p/ Unit</t>
  </si>
  <si>
    <t>p/Sq. M. p/ Month</t>
  </si>
  <si>
    <t>Maintenance</t>
  </si>
  <si>
    <t>Total Net Operating Income</t>
  </si>
  <si>
    <t>Project's Levered Cash Flow</t>
  </si>
  <si>
    <t>Project's Performance</t>
  </si>
  <si>
    <t>Project's Levered Figures</t>
  </si>
  <si>
    <t>End Date</t>
  </si>
  <si>
    <t>Tax</t>
  </si>
  <si>
    <t>Offices</t>
  </si>
  <si>
    <t>Retail / Offices</t>
  </si>
  <si>
    <t>Retail / Office</t>
  </si>
  <si>
    <t>UF/ Land Sq. M.</t>
  </si>
  <si>
    <t>Retail Vehicle Cost</t>
  </si>
  <si>
    <t>Budget Allocation (%)</t>
  </si>
  <si>
    <t>Other Acquisition Costs</t>
  </si>
  <si>
    <t>Excavatiion</t>
  </si>
  <si>
    <t>Total Levered Development Costs</t>
  </si>
  <si>
    <t>Vehicle Costs (UF p/ Year)</t>
  </si>
  <si>
    <t>Municipal</t>
  </si>
  <si>
    <t>Cleaning Frequency p/ Week</t>
  </si>
  <si>
    <t>Exit Cap Rate - Retail / Office</t>
  </si>
  <si>
    <t>.</t>
  </si>
  <si>
    <t>Total Unlevered Development Cost</t>
  </si>
  <si>
    <t>Total Development Cost</t>
  </si>
  <si>
    <t>Next 12 Months NOI</t>
  </si>
  <si>
    <t>Annualized NOI at Exit Date</t>
  </si>
  <si>
    <t>Untrended Exit Value</t>
  </si>
  <si>
    <t>Market Cost per Parking Unit</t>
  </si>
  <si>
    <t>Market Cost per Storage Unit</t>
  </si>
  <si>
    <t>Trended Exit Value (Gross)</t>
  </si>
  <si>
    <t>Trended</t>
  </si>
  <si>
    <t>Price Per Unit</t>
  </si>
  <si>
    <t>Untrended</t>
  </si>
  <si>
    <t>Soil Mechanics Report</t>
  </si>
  <si>
    <t>Registration Expenses</t>
  </si>
  <si>
    <t>Topography</t>
  </si>
  <si>
    <t>Land Disbursement</t>
  </si>
  <si>
    <t>Construction Disbursement</t>
  </si>
  <si>
    <t>Sale</t>
  </si>
  <si>
    <t>Price Per Avg. Unit Net Sq. M.</t>
  </si>
  <si>
    <t>Detailed Prices (UF)</t>
  </si>
  <si>
    <t>1° Tranche</t>
  </si>
  <si>
    <t>2° Tranche</t>
  </si>
  <si>
    <t>3° Tranche</t>
  </si>
  <si>
    <t>1º Tranche</t>
  </si>
  <si>
    <t>Below Ground Construction Cost</t>
  </si>
  <si>
    <t>Above Ground Construction Cost</t>
  </si>
  <si>
    <t>Waterfall</t>
  </si>
  <si>
    <t>Sale Parameters</t>
  </si>
  <si>
    <t>Hard Costs Contingencies</t>
  </si>
  <si>
    <t>Project's Unlevered Cash Flow</t>
  </si>
  <si>
    <t>Project's Unlevered Figures</t>
  </si>
  <si>
    <t>Prices</t>
  </si>
  <si>
    <t>Street Retail Leasing (UF)</t>
  </si>
  <si>
    <t>Street Pre - Leased Sq. M.</t>
  </si>
  <si>
    <t>BoP</t>
  </si>
  <si>
    <t>Equity Invested</t>
  </si>
  <si>
    <t>Return Accruals</t>
  </si>
  <si>
    <t>Distributions</t>
  </si>
  <si>
    <t>EoP</t>
  </si>
  <si>
    <t>Prior Distributions</t>
  </si>
  <si>
    <t>Investors</t>
  </si>
  <si>
    <t>CCLA</t>
  </si>
  <si>
    <t>Capital Calls</t>
  </si>
  <si>
    <t>Dividends</t>
  </si>
  <si>
    <t>Fund's Levered Figures</t>
  </si>
  <si>
    <t>Fund's Levered Fund Figures</t>
  </si>
  <si>
    <t>Equity Needed (w/ Fund Exp. &amp; Fees)</t>
  </si>
  <si>
    <t>Plant Size (Mts.)</t>
  </si>
  <si>
    <t>1° Underground Pre - Leased Sq. M.</t>
  </si>
  <si>
    <t>2° Underground Pre - Leased Sq. M.</t>
  </si>
  <si>
    <t>1° Underground</t>
  </si>
  <si>
    <t>1° Underground Retail</t>
  </si>
  <si>
    <t>2° Underground Retail</t>
  </si>
  <si>
    <t>Offices Leasing (UF)</t>
  </si>
  <si>
    <t>1° Underground Retail Leasing (UF)</t>
  </si>
  <si>
    <t>2° Underground Retail Leasing (UF)</t>
  </si>
  <si>
    <t>1) Offices Market Base Rent p/ Sq. M.</t>
  </si>
  <si>
    <t>Offices Pre - Leased Sq. M.</t>
  </si>
  <si>
    <t>Office Lease Up Length</t>
  </si>
  <si>
    <t>Underground Lease Up Length</t>
  </si>
  <si>
    <t>Street Lease Up Length</t>
  </si>
  <si>
    <t>Land Price</t>
  </si>
  <si>
    <t>Above Street Retail</t>
  </si>
  <si>
    <t>Above Street Pre - Leased Sq. M.</t>
  </si>
  <si>
    <t>Above Street Lease Up Length</t>
  </si>
  <si>
    <t>2) Above Street Retail Market Base Rent p/ Sq. M.</t>
  </si>
  <si>
    <t>3) Street Retail Market Base Rent p/ Sq. M.</t>
  </si>
  <si>
    <t>4) 1° Underground Retail Level Market Base Rent p/ Sq. M.</t>
  </si>
  <si>
    <t>5) 2° Underground Retail Level Market Base Rent p/ Sq. M.</t>
  </si>
  <si>
    <t>Above Street Trended Market Base Rent p/ Sq. M.</t>
  </si>
  <si>
    <t>Street Trended Market Base Rent p/ Sq. M.</t>
  </si>
  <si>
    <t>1º Undeground Trended Market Base Rent p/ Sq. M.</t>
  </si>
  <si>
    <t>2º Underground Trended Market Base Rent p/ Sq. M.</t>
  </si>
  <si>
    <t>Trended Offices Market Base Rent p/ Sq. M.</t>
  </si>
  <si>
    <t>Trended Prices</t>
  </si>
  <si>
    <t>Operating Working Capital</t>
  </si>
  <si>
    <t>Sources and Uses Inputs</t>
  </si>
  <si>
    <t>Amenities Price</t>
  </si>
  <si>
    <t>Amenities Revenue p/ Month</t>
  </si>
  <si>
    <t>2° Underground and Below</t>
  </si>
  <si>
    <t>A. Hall</t>
  </si>
  <si>
    <t>(+) Development VAT Credits</t>
  </si>
  <si>
    <t>(+) Residential VAT Credits</t>
  </si>
  <si>
    <t>(+) Retail / Office VAT Credits</t>
  </si>
  <si>
    <t>Units Occupied</t>
  </si>
  <si>
    <t>Vaccancy Rate</t>
  </si>
  <si>
    <t>Space Occupied</t>
  </si>
  <si>
    <t>Less: Maintenance Vacancy Factor</t>
  </si>
  <si>
    <t>Units Vacant</t>
  </si>
  <si>
    <t>- Assumptions in BLUE are indicate inputs</t>
  </si>
  <si>
    <t>- Numbers in GREEN are linked with other tabs.</t>
  </si>
  <si>
    <t>- Numbers in RED are "Checks"</t>
  </si>
  <si>
    <r>
      <t xml:space="preserve">- Numbers in </t>
    </r>
    <r>
      <rPr>
        <b/>
        <sz val="7.5"/>
        <color theme="1"/>
        <rFont val="Century Gothic"/>
        <family val="2"/>
      </rPr>
      <t>BLACK</t>
    </r>
    <r>
      <rPr>
        <sz val="7.5"/>
        <color theme="1"/>
        <rFont val="Century Gothic"/>
        <family val="2"/>
      </rPr>
      <t xml:space="preserve"> are in-sheet formulas</t>
    </r>
  </si>
  <si>
    <t>Rent VAT Credit</t>
  </si>
  <si>
    <t>Real Estate Tax Information</t>
  </si>
  <si>
    <t>1º Rate</t>
  </si>
  <si>
    <t>2º Rate</t>
  </si>
  <si>
    <t>Empty Sites</t>
  </si>
  <si>
    <t>Empty Site Penalty</t>
  </si>
  <si>
    <t>Empty Site Penalty Term (as a % of Total Development Period)</t>
  </si>
  <si>
    <t>Limit Amounts</t>
  </si>
  <si>
    <t>Real Estate Tax Rate Change Limit</t>
  </si>
  <si>
    <t>Excess Rates</t>
  </si>
  <si>
    <t>Fiscal Excess Rate</t>
  </si>
  <si>
    <t>CLP / UTA Exchange Rate</t>
  </si>
  <si>
    <t>Total Annual Developing Property Tax Cost</t>
  </si>
  <si>
    <t>Total Annual Operating Property Tax Cost</t>
  </si>
  <si>
    <t>Op. Shortfall and CEEC</t>
  </si>
  <si>
    <t>UF / Net Sq. F.</t>
  </si>
  <si>
    <t>p/Sq. F. p/ Month</t>
  </si>
  <si>
    <t>Residential Sale Analysis</t>
  </si>
  <si>
    <t>Per Gross Sq. F.</t>
  </si>
  <si>
    <t>Per Net Sq. F.</t>
  </si>
  <si>
    <t>% Weight</t>
  </si>
  <si>
    <t>Total Others Revenue p/ Month</t>
  </si>
  <si>
    <t>Loan to Cost (%)</t>
  </si>
  <si>
    <t>Interests</t>
  </si>
  <si>
    <t>Interest Income</t>
  </si>
  <si>
    <t>Working Capital</t>
  </si>
  <si>
    <t>Disbursements</t>
  </si>
  <si>
    <t>Equity Usage</t>
  </si>
  <si>
    <t>Debt Usage</t>
  </si>
  <si>
    <t>Fst NOI</t>
  </si>
  <si>
    <t>Other Development Disbursements (Including Development VAT)</t>
  </si>
  <si>
    <t>Other Financing Payments</t>
  </si>
  <si>
    <t>Amortizations</t>
  </si>
  <si>
    <t>(-) Residential VAT Debits</t>
  </si>
  <si>
    <t>(-) Retail VAT Debits</t>
  </si>
  <si>
    <t>Storage Space to Res. Units Ratio</t>
  </si>
  <si>
    <t>Building's Perimeter</t>
  </si>
  <si>
    <t>UF per Net Sq. M.</t>
  </si>
  <si>
    <t>CLP per Net Sq. M.</t>
  </si>
  <si>
    <t>Underground Construction</t>
  </si>
  <si>
    <t>Building Construction</t>
  </si>
  <si>
    <t>Finishing</t>
  </si>
  <si>
    <t>Antonio Bellet</t>
  </si>
  <si>
    <t>Facilities</t>
  </si>
  <si>
    <t>Avg. Cost p/ Unit</t>
  </si>
  <si>
    <t>Original Budget</t>
  </si>
  <si>
    <t>Variation</t>
  </si>
  <si>
    <t>Other Debt</t>
  </si>
  <si>
    <t>Drawdowns</t>
  </si>
  <si>
    <t xml:space="preserve">Interest Accruals </t>
  </si>
  <si>
    <t>Consorcio Debt</t>
  </si>
  <si>
    <t>Consorcio Outstanding BoP</t>
  </si>
  <si>
    <t>Consorcio Outstanding EoP</t>
  </si>
  <si>
    <t>Consorcio Interest Payments BoP</t>
  </si>
  <si>
    <t>Consorcio Interest Payments EoP</t>
  </si>
  <si>
    <t>Stamp Tax &amp; Others</t>
  </si>
  <si>
    <t>Furnished Studio Unit Price</t>
  </si>
  <si>
    <t>Furnished 1D1B Unit Price</t>
  </si>
  <si>
    <t>Furnished 2D2B Unit Price</t>
  </si>
  <si>
    <t>Cost p/ Unit p/ Sq. M.</t>
  </si>
  <si>
    <t>Base Case</t>
  </si>
  <si>
    <t>Economic Performance</t>
  </si>
  <si>
    <t>Monthly Variation</t>
  </si>
  <si>
    <t>V/s Base Case</t>
  </si>
  <si>
    <t>Return over Cost</t>
  </si>
  <si>
    <t>Last Drawdown</t>
  </si>
  <si>
    <t>Consorcio's Financing</t>
  </si>
  <si>
    <t>UF/Const. Month</t>
  </si>
  <si>
    <t>UF/3 Months</t>
  </si>
  <si>
    <t>Soft Costs Contingencies</t>
  </si>
  <si>
    <t>Exchange Rates</t>
  </si>
  <si>
    <t>Inflation</t>
  </si>
  <si>
    <t>Chile</t>
  </si>
  <si>
    <t>US</t>
  </si>
  <si>
    <t>VAT (Overall)</t>
  </si>
  <si>
    <t>Effective Residential Revenues</t>
  </si>
  <si>
    <t>Effective Service Revenues</t>
  </si>
  <si>
    <t>Revenues w/ VAT</t>
  </si>
  <si>
    <t>Revenues w/o VAT</t>
  </si>
  <si>
    <t>Development Expenses</t>
  </si>
  <si>
    <t>Allocation to Retail Operation</t>
  </si>
  <si>
    <t>Others' Debt Outstanding BoP</t>
  </si>
  <si>
    <t>Others' Debt Outstanding EoP</t>
  </si>
  <si>
    <t>Residential/Retail</t>
  </si>
  <si>
    <t>Others' Debt Interest Payments BoP</t>
  </si>
  <si>
    <t>Others' Debt Interest Payments EoP</t>
  </si>
  <si>
    <t>Capital Return: Investors</t>
  </si>
  <si>
    <t>A Series</t>
  </si>
  <si>
    <t>E Series</t>
  </si>
  <si>
    <t>Hurdle Rate: Investors</t>
  </si>
  <si>
    <t>Remaining Value: Investors</t>
  </si>
  <si>
    <t>A Series Distribution Check</t>
  </si>
  <si>
    <t>E Series Distribution Check</t>
  </si>
  <si>
    <t>Fund Return A Series</t>
  </si>
  <si>
    <t>Fund's Levered Figures (Before Variable Fees)</t>
  </si>
  <si>
    <t>IRR (Before Variable Fees)</t>
  </si>
  <si>
    <t>Fund Return E Series</t>
  </si>
  <si>
    <t>Fund Figures in UF</t>
  </si>
  <si>
    <t>Fund's IRR A Series (Before Variable Fees)</t>
  </si>
  <si>
    <t>Fund's IRR E Series (Before Variable Fees)</t>
  </si>
  <si>
    <t>Fund's IRR A Series</t>
  </si>
  <si>
    <t>Fund's IRR E Series</t>
  </si>
  <si>
    <t>Less: Concessions</t>
  </si>
  <si>
    <t>Development CapEx</t>
  </si>
  <si>
    <t>Operational CapEx</t>
  </si>
  <si>
    <t>Initial CapEx</t>
  </si>
  <si>
    <t>Operational</t>
  </si>
  <si>
    <t>Total Unlevered Development/Operational CapEx</t>
  </si>
  <si>
    <t>Gain/Loss to Lease</t>
  </si>
  <si>
    <t>Maintenance p/Gross Sq. M.</t>
  </si>
  <si>
    <t>Cleaning-Payroll</t>
  </si>
  <si>
    <t>Cleaning-Contract Service</t>
  </si>
  <si>
    <t>Cleaning-Supplies &amp; Materials</t>
  </si>
  <si>
    <t>R&amp;M Payroll Salaries</t>
  </si>
  <si>
    <t>R&amp;M Payroll Outside Contract</t>
  </si>
  <si>
    <t>Elev-Service Contract</t>
  </si>
  <si>
    <t>Fire &amp; Safety- R&amp;M Contract</t>
  </si>
  <si>
    <t>Bldg R&amp;M (Interior)-Supplies &amp; Materials</t>
  </si>
  <si>
    <t>Bldg R&amp;M (Interior)-Uniforms</t>
  </si>
  <si>
    <t>Repairs And Maintenance</t>
  </si>
  <si>
    <t>Electricity</t>
  </si>
  <si>
    <t>Water/Sewer</t>
  </si>
  <si>
    <t>Landscaping Gardening Contract</t>
  </si>
  <si>
    <t>Pool-Service Contract</t>
  </si>
  <si>
    <t>Supplies &amp; Materials</t>
  </si>
  <si>
    <t>Non Creditable VAT</t>
  </si>
  <si>
    <t>Late Fees</t>
  </si>
  <si>
    <t>Administrative Payroll Salaries</t>
  </si>
  <si>
    <t>Administrative Payroll Reimbursed Labor</t>
  </si>
  <si>
    <t>Administrative Payroll Outside Contract</t>
  </si>
  <si>
    <t xml:space="preserve">Property Mgmnt Fee-3rd Party </t>
  </si>
  <si>
    <t>Accounting / Tax</t>
  </si>
  <si>
    <t>Legal Fees</t>
  </si>
  <si>
    <t>Other Profesional Fees</t>
  </si>
  <si>
    <t>Meals &amp; Entertainment</t>
  </si>
  <si>
    <t>Office Supplies</t>
  </si>
  <si>
    <t>Office Expense</t>
  </si>
  <si>
    <t>Telecom / Internet</t>
  </si>
  <si>
    <t>License, Permit, &amp; Fees</t>
  </si>
  <si>
    <t>Travel - General</t>
  </si>
  <si>
    <t>Real Estate Tax</t>
  </si>
  <si>
    <t>Property Insurance</t>
  </si>
  <si>
    <t>Leasing Payroll- Salaries</t>
  </si>
  <si>
    <t>Leasing Payroll- Outside Contract</t>
  </si>
  <si>
    <t>Advertising Promo</t>
  </si>
  <si>
    <t>Meals &amp; Enternainment</t>
  </si>
  <si>
    <t>Profesional Fees</t>
  </si>
  <si>
    <t>Other Leasing Cost</t>
  </si>
  <si>
    <t>Marketing</t>
  </si>
  <si>
    <t>Legal Services</t>
  </si>
  <si>
    <t>Allocated Payroll</t>
  </si>
  <si>
    <t>Cleaning-Extra Service</t>
  </si>
  <si>
    <t>Bldg R&amp;M (Interior)-Building</t>
  </si>
  <si>
    <t>Bldg R&amp;M (Exterior)-Building</t>
  </si>
  <si>
    <t>License, Permit &amp; Fees</t>
  </si>
  <si>
    <t>Telephone</t>
  </si>
  <si>
    <t>Credit Card Fee</t>
  </si>
  <si>
    <t>SpV Figures in UF</t>
  </si>
  <si>
    <t>Yardi</t>
  </si>
  <si>
    <t>Cleaning</t>
  </si>
  <si>
    <t>R&amp;M</t>
  </si>
  <si>
    <t>Property Mgmt.</t>
  </si>
  <si>
    <t>General Expense</t>
  </si>
  <si>
    <t xml:space="preserve">Insurance </t>
  </si>
  <si>
    <t>General Leasing Expense</t>
  </si>
  <si>
    <t>Bank Charges</t>
  </si>
  <si>
    <t>COVID - 19</t>
  </si>
  <si>
    <t>Bldg R&amp;M (Interior)-Lock &amp; Keys</t>
  </si>
  <si>
    <t>Bldg R&amp;M (Interior)-Painting</t>
  </si>
  <si>
    <t>Credit Check</t>
  </si>
  <si>
    <t>Plumbing-Supplies &amp; Materials</t>
  </si>
  <si>
    <t>Spot Prices (UF p/Sq. M.)</t>
  </si>
  <si>
    <t>Spot Prices (UF)</t>
  </si>
  <si>
    <t>Actual Prices (UF)</t>
  </si>
  <si>
    <t>Actual Prices (UF) w/ 11% Benefit</t>
  </si>
  <si>
    <t>Land Costs Contingencies</t>
  </si>
  <si>
    <t>Total Costs Contingencies</t>
  </si>
  <si>
    <t>Furnished 3D2B Unit Price</t>
  </si>
  <si>
    <t xml:space="preserve">Non - Deductible Reimbursements	</t>
  </si>
  <si>
    <t>Actual</t>
  </si>
  <si>
    <t>LT</t>
  </si>
  <si>
    <t>Amenities Usage p/ Month</t>
  </si>
  <si>
    <t>Residential Above Ground</t>
  </si>
  <si>
    <t>Retail Above Ground</t>
  </si>
  <si>
    <t>Underground</t>
  </si>
  <si>
    <t>Offices Pre-Leased Sq. M &amp; Initial Date</t>
  </si>
  <si>
    <t>Above Street Retail Pre-Leased Sq. M &amp; Initial Date</t>
  </si>
  <si>
    <t>Street Retail Pre-Leased Sq. M &amp; Initial Date</t>
  </si>
  <si>
    <t>1° Underground Pre-Leased Sq. M &amp; Initial Date</t>
  </si>
  <si>
    <t>2° Underground Pre-Leased Sq. M &amp; Initial Date</t>
  </si>
  <si>
    <t>Office Lease Up Start</t>
  </si>
  <si>
    <t>Above Street Lease Up Start</t>
  </si>
  <si>
    <t>Street Lease Up Start</t>
  </si>
  <si>
    <t>Underground Lease Up Start</t>
  </si>
  <si>
    <t>Certificate of Occupancy &amp; Operation</t>
  </si>
  <si>
    <t>Final Tranche</t>
  </si>
  <si>
    <t xml:space="preserve">Manual Override  </t>
  </si>
  <si>
    <t>Residential Leasing</t>
  </si>
  <si>
    <t>Residential Parking Income</t>
  </si>
  <si>
    <t>Storage Income</t>
  </si>
  <si>
    <t>Other Income</t>
  </si>
  <si>
    <t>Less: Vacancy Factor</t>
  </si>
  <si>
    <t>Less: Model Units</t>
  </si>
  <si>
    <t>Less: Credit Losses</t>
  </si>
  <si>
    <t>Insurance UF</t>
  </si>
  <si>
    <t>Leasing Commissions</t>
  </si>
  <si>
    <t>Retail / Office Leasing</t>
  </si>
  <si>
    <t>Retail Parking Income</t>
  </si>
  <si>
    <t>Service Revenues</t>
  </si>
  <si>
    <t>Furn. Units / Premium</t>
  </si>
  <si>
    <t>Gas</t>
  </si>
  <si>
    <t>Training &amp; Seminar</t>
  </si>
  <si>
    <t>Tenant Activity-Relations</t>
  </si>
  <si>
    <t>Auto Expense, Parking &amp; Mileage</t>
  </si>
  <si>
    <t>Fire &amp; Safety- Repairs &amp; Maintenance</t>
  </si>
  <si>
    <t>Pest Control - Contract</t>
  </si>
  <si>
    <t>Appraisal Fee</t>
  </si>
  <si>
    <t>Cleaning-Repairs &amp; Maintenance</t>
  </si>
  <si>
    <t>Office Employee Parking</t>
  </si>
  <si>
    <t>Postage-Messengerial</t>
  </si>
  <si>
    <t>(%) Accumulated Margin</t>
  </si>
  <si>
    <t>Average Growth</t>
  </si>
  <si>
    <t>Rolling Average Market Base Rent p/Sq. M.</t>
  </si>
  <si>
    <t>Projected Credit Losses (% of Revenues)</t>
  </si>
  <si>
    <t>Current Credit Losses (% of Revenues)</t>
  </si>
  <si>
    <t>Bldg R&amp;M (Interior)-Generator</t>
  </si>
  <si>
    <t>Tenant Subsidy</t>
  </si>
  <si>
    <t>Turnover</t>
  </si>
  <si>
    <t>Hay que corregir meses anteriores</t>
  </si>
  <si>
    <t>Falta en abril considerar el 63265-10</t>
  </si>
  <si>
    <t>falta la 55430-10 en abril</t>
  </si>
  <si>
    <t>falta el 65630-10 en marzo</t>
  </si>
  <si>
    <t>en marzo cae en la cuenta 68290-10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</si>
</sst>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4">
    <numFmt numFmtId="42" formatCode="_ &quot;$&quot;* #,##0_ ;_ &quot;$&quot;* \-#,##0_ ;_ &quot;$&quot;* &quot;-&quot;_ ;_ @_ "/>
    <numFmt numFmtId="164" formatCode="&quot;$&quot;\ #,##0;[Red]\-&quot;$&quot;\ #,##0"/>
    <numFmt numFmtId="165" formatCode="_-* #,##0_-;\-* #,##0_-;_-* &quot;-&quot;_-;_-@_-"/>
    <numFmt numFmtId="166" formatCode="_-&quot;$&quot;\ * #,##0.00_-;\-&quot;$&quot;\ * #,##0.00_-;_-&quot;$&quot;\ * &quot;-&quot;??_-;_-@_-"/>
    <numFmt numFmtId="167" formatCode="_-* #,##0.00_-;\-* #,##0.00_-;_-* &quot;-&quot;??_-;_-@_-"/>
    <numFmt numFmtId="168" formatCode="&quot;$&quot;#,##0_);\(&quot;$&quot;#,##0\)"/>
    <numFmt numFmtId="169" formatCode="&quot;$&quot;#,##0_);[Red]\(&quot;$&quot;#,##0\)"/>
    <numFmt numFmtId="170" formatCode="_(* #,##0_);_(* \(#,##0\);_(* &quot;-&quot;_);_(@_)"/>
    <numFmt numFmtId="171" formatCode="_(&quot;$&quot;* #,##0.00_);_(&quot;$&quot;* \(#,##0.00\);_(&quot;$&quot;* &quot;-&quot;??_);_(@_)"/>
    <numFmt numFmtId="172" formatCode="_(* #,##0.00_);_(* \(#,##0.00\);_(* &quot;-&quot;??_);_(@_)"/>
    <numFmt numFmtId="173" formatCode="0.0%_);\(0.0%\);&quot;–&quot;_)"/>
    <numFmt numFmtId="174" formatCode="#,##0&quot; sf&quot;_);\(#,##0&quot; sf&quot;\);\ \-&quot; sf&quot;_);&quot;- sf&quot;_)"/>
    <numFmt numFmtId="175" formatCode="#,##0_);\(#,##0\);\–_);&quot;–&quot;_)"/>
    <numFmt numFmtId="176" formatCode="&quot;$&quot;#,##0_);\(&quot;$&quot;#,##0\);\–_);&quot;–&quot;_)"/>
    <numFmt numFmtId="177" formatCode="#\ &quot;months&quot;"/>
    <numFmt numFmtId="178" formatCode="#,##0&quot; sm&quot;_);\(#,##0&quot; sm&quot;\);\ \-&quot; sm&quot;_);&quot;- sm&quot;_)"/>
    <numFmt numFmtId="179" formatCode="&quot;$&quot;#,##0.00&quot; psf&quot;_);\(&quot;$&quot;#,##0.00&quot; psf&quot;\);\-&quot; psf&quot;_);&quot;- psf&quot;_)"/>
    <numFmt numFmtId="180" formatCode="#,##0_);\(#,##0\);\-_);&quot;-&quot;_)"/>
    <numFmt numFmtId="181" formatCode="0.00\x_);\(0.00\x\);&quot;–&quot;_)"/>
    <numFmt numFmtId="182" formatCode="0.0%"/>
    <numFmt numFmtId="183" formatCode="0%_);\(0%\);&quot;–&quot;_)"/>
    <numFmt numFmtId="184" formatCode="mmm\-yyyy"/>
    <numFmt numFmtId="185" formatCode="0&quot; months&quot;"/>
    <numFmt numFmtId="186" formatCode="0.00%_);\(0.00%\);&quot;–&quot;_)"/>
    <numFmt numFmtId="187" formatCode="#,##0.0_);\(#,##0.0\);\–_);&quot;–&quot;_)"/>
    <numFmt numFmtId="188" formatCode="&quot;Year &quot;0"/>
    <numFmt numFmtId="189" formatCode="&quot;Month &quot;0"/>
    <numFmt numFmtId="190" formatCode="0&quot; / month&quot;"/>
    <numFmt numFmtId="191" formatCode="#,##0.00_);\(#,##0.00\);\–_);&quot;–&quot;_)"/>
    <numFmt numFmtId="192" formatCode="#,##0.00_);\(#,##0.00\);\-_);&quot;-&quot;_)"/>
    <numFmt numFmtId="193" formatCode="#,##0.000000_);\(#,##0.000000\)"/>
    <numFmt numFmtId="194" formatCode="0.0&quot; ac&quot;"/>
    <numFmt numFmtId="195" formatCode="#,##0.0_);\(#,##0.0\);\-_);&quot;-&quot;_)"/>
    <numFmt numFmtId="196" formatCode="0&quot; yrs&quot;"/>
    <numFmt numFmtId="197" formatCode="_([$€]* #,##0.00_);_([$€]* \(#,##0.00\);_([$€]* &quot;-&quot;??_);_(@_)"/>
    <numFmt numFmtId="198" formatCode="General_)"/>
    <numFmt numFmtId="199" formatCode="_-[$€-2]\ * #,##0.00_-;\-[$€-2]\ * #,##0.00_-;_-[$€-2]\ * &quot;-&quot;??_-"/>
    <numFmt numFmtId="200" formatCode="0.00\x"/>
    <numFmt numFmtId="201" formatCode="#,##0.0"/>
    <numFmt numFmtId="202" formatCode="#,##0.000_);\(#,##0.000\);\–_);&quot;–&quot;_)"/>
    <numFmt numFmtId="203" formatCode="[$-409]d/mmm/yy;;&quot;n.a.&quot;;@"/>
    <numFmt numFmtId="204" formatCode="#,##0&quot; Sq. M.&quot;_);\(#,##0&quot; sm&quot;\);\ \-&quot; sm&quot;_);&quot;- sm&quot;_)"/>
    <numFmt numFmtId="205" formatCode="#,##0&quot; Sq. F.&quot;_);\(#,##0&quot; Sq. F.&quot;\);\ \-&quot; Sq. F.&quot;_);&quot;- Sq. F.&quot;_)"/>
    <numFmt numFmtId="206" formatCode="0.0"/>
    <numFmt numFmtId="207" formatCode="[$-409]mmm\-yy;@"/>
    <numFmt numFmtId="208" formatCode="#\ &quot;Months&quot;"/>
    <numFmt numFmtId="209" formatCode="&quot;$&quot;#,##0.0&quot; psm&quot;_);\(&quot;$&quot;#,##0.0&quot; psm&quot;\);\-&quot; psm&quot;_);&quot;- psm&quot;_)"/>
    <numFmt numFmtId="210" formatCode="#,##0.000_);\(#,##0.000\);\-_);&quot;-&quot;_)"/>
    <numFmt numFmtId="211" formatCode="#,##0.0000_);\(#,##0.0000\);\-_);&quot;-&quot;_)"/>
    <numFmt numFmtId="212" formatCode="_-* #,##0_-;\-* #,##0_-;_-* &quot;-&quot;??_-;_-@_-"/>
    <numFmt numFmtId="213" formatCode="_-* #,##0.000_-;\-* #,##0.000_-;_-* &quot;-&quot;??_-;_-@_-"/>
    <numFmt numFmtId="214" formatCode="#,##0.000"/>
    <numFmt numFmtId="215" formatCode="0&quot; mos&quot;"/>
    <numFmt numFmtId="216" formatCode="0\ &quot;Sq. M. p/ Unit&quot;"/>
    <numFmt numFmtId="217" formatCode="0&quot; Months&quot;"/>
    <numFmt numFmtId="218" formatCode="#,##0&quot; Sq. M.&quot;_);\(#,##0&quot; Sq. M.&quot;\);\ \-&quot; Sq. M.&quot;_);&quot;- Sq. M.&quot;_)"/>
    <numFmt numFmtId="219" formatCode="#,##0.0&quot; psm&quot;_);\(#,##0.0&quot; psm&quot;\);\-&quot; psm&quot;_);&quot;- psm&quot;_)"/>
    <numFmt numFmtId="220" formatCode="&quot;$&quot;#,##0&quot; psm&quot;_);\(&quot;$&quot;#,##0&quot; psm&quot;\);\-&quot; psm&quot;_);&quot;- psm&quot;_)"/>
    <numFmt numFmtId="221" formatCode="&quot;$&quot;#,##0&quot; psf&quot;_);\(&quot;$&quot;#,##0&quot; psf&quot;\);\-&quot; psf&quot;_);&quot;- psf&quot;_)"/>
    <numFmt numFmtId="222" formatCode="#,##0&quot; Mts.&quot;_);\(#,##0&quot; Mts&quot;\);\ \-&quot; Mts&quot;_);&quot;- Mts&quot;_)"/>
    <numFmt numFmtId="223" formatCode="0.000"/>
    <numFmt numFmtId="224" formatCode="&quot;Year&quot;\ 0"/>
    <numFmt numFmtId="225" formatCode="&quot;Level&quot;\ 0"/>
    <numFmt numFmtId="226" formatCode="0.0000%"/>
    <numFmt numFmtId="227" formatCode="0.00000%"/>
    <numFmt numFmtId="228" formatCode="#,##0.0000"/>
    <numFmt numFmtId="229" formatCode="0.000%_);\(0.000%\);&quot;–&quot;_)"/>
    <numFmt numFmtId="230" formatCode="0.0\ &quot;Sq. M. p/ Unit&quot;"/>
    <numFmt numFmtId="231" formatCode="&quot;1 Space p/ &quot;0\ &quot;Sq. M.&quot;"/>
    <numFmt numFmtId="232" formatCode="0&quot; bps&quot;"/>
    <numFmt numFmtId="233" formatCode="0.0\x_);\(0.0\x\);&quot;–&quot;_)"/>
    <numFmt numFmtId="234" formatCode="0.00000000000"/>
    <numFmt numFmtId="235" formatCode="0.00000000%"/>
    <numFmt numFmtId="236" formatCode="&quot;$&quot;#,##0.0000&quot; psf&quot;_);\(&quot;$&quot;#,##0.0000&quot; psf&quot;\);\-&quot; psf&quot;_);&quot;- psf&quot;_)"/>
  </numFmts>
  <fonts count="73"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font>
    <font>
      <sz val="10"/>
      <color theme="1"/>
      <name val="Calibri"/>
      <family val="2"/>
      <scheme val="minor"/>
    </font>
    <font>
      <sz val="10"/>
      <name val="Calibri"/>
      <family val="2"/>
      <scheme val="minor"/>
    </font>
    <font>
      <sz val="8"/>
      <name val="Century Gothic"/>
      <family val="2"/>
    </font>
    <font>
      <b/>
      <sz val="8"/>
      <name val="Century Gothic"/>
      <family val="2"/>
    </font>
    <font>
      <sz val="8"/>
      <color rgb="FF0000FF"/>
      <name val="Century Gothic"/>
      <family val="2"/>
    </font>
    <font>
      <b/>
      <sz val="10"/>
      <color theme="1"/>
      <name val="Century Gothic"/>
      <family val="2"/>
    </font>
    <font>
      <sz val="8"/>
      <color theme="1"/>
      <name val="Century Gothic"/>
      <family val="2"/>
    </font>
    <font>
      <b/>
      <sz val="8"/>
      <color theme="1"/>
      <name val="Century Gothic"/>
      <family val="2"/>
    </font>
    <font>
      <i/>
      <sz val="8"/>
      <color theme="1"/>
      <name val="Century Gothic"/>
      <family val="2"/>
    </font>
    <font>
      <sz val="8"/>
      <color rgb="FF3333CC"/>
      <name val="Century Gothic"/>
      <family val="2"/>
    </font>
    <font>
      <b/>
      <i/>
      <sz val="8"/>
      <color theme="1"/>
      <name val="Century Gothic"/>
      <family val="2"/>
    </font>
    <font>
      <sz val="8"/>
      <color rgb="FF008000"/>
      <name val="Century Gothic"/>
      <family val="2"/>
    </font>
    <font>
      <sz val="8"/>
      <color theme="1"/>
      <name val="Calibri"/>
      <family val="2"/>
      <scheme val="minor"/>
    </font>
    <font>
      <sz val="8"/>
      <color rgb="FFFF0000"/>
      <name val="Century Gothic"/>
      <family val="2"/>
    </font>
    <font>
      <sz val="10"/>
      <name val="Arial"/>
      <family val="2"/>
    </font>
    <font>
      <sz val="8"/>
      <color theme="1"/>
      <name val="Arial"/>
      <family val="2"/>
    </font>
    <font>
      <sz val="11"/>
      <color theme="1"/>
      <name val="Times New Roman"/>
      <family val="2"/>
    </font>
    <font>
      <sz val="10"/>
      <name val="Garamond"/>
      <family val="1"/>
    </font>
    <font>
      <sz val="12"/>
      <color theme="1"/>
      <name val="Calibri"/>
      <family val="2"/>
      <scheme val="minor"/>
    </font>
    <font>
      <sz val="10"/>
      <color theme="1"/>
      <name val="Times New Roman"/>
      <family val="2"/>
    </font>
    <font>
      <sz val="11"/>
      <name val="Helv"/>
    </font>
    <font>
      <sz val="8"/>
      <color rgb="FF00B050"/>
      <name val="Century Gothic"/>
      <family val="2"/>
    </font>
    <font>
      <i/>
      <sz val="8"/>
      <name val="Century Gothic"/>
      <family val="2"/>
    </font>
    <font>
      <b/>
      <u/>
      <sz val="8"/>
      <color theme="1"/>
      <name val="Century Gothic"/>
      <family val="2"/>
    </font>
    <font>
      <b/>
      <sz val="8"/>
      <color theme="0"/>
      <name val="Century Gothic"/>
      <family val="2"/>
    </font>
    <font>
      <sz val="8"/>
      <color theme="0"/>
      <name val="Century Gothic"/>
      <family val="2"/>
    </font>
    <font>
      <sz val="11"/>
      <color theme="1"/>
      <name val="Arial"/>
      <family val="2"/>
    </font>
    <font>
      <i/>
      <sz val="10"/>
      <color theme="0" tint="-0.34998626667073579"/>
      <name val="Arial"/>
      <family val="2"/>
    </font>
    <font>
      <b/>
      <sz val="14"/>
      <color theme="1"/>
      <name val="Arial"/>
      <family val="2"/>
    </font>
    <font>
      <sz val="10"/>
      <color theme="1"/>
      <name val="Arial"/>
      <family val="2"/>
    </font>
    <font>
      <b/>
      <sz val="28"/>
      <color theme="0"/>
      <name val="Arial"/>
      <family val="2"/>
    </font>
    <font>
      <sz val="12"/>
      <color theme="0"/>
      <name val="Arial"/>
      <family val="2"/>
    </font>
    <font>
      <b/>
      <sz val="8"/>
      <color theme="0" tint="-0.249977111117893"/>
      <name val="Century Gothic"/>
      <family val="2"/>
    </font>
    <font>
      <sz val="8"/>
      <color theme="0" tint="-0.249977111117893"/>
      <name val="Century Gothic"/>
      <family val="2"/>
    </font>
    <font>
      <b/>
      <sz val="8"/>
      <color theme="0" tint="-0.14999847407452621"/>
      <name val="Century Gothic"/>
      <family val="2"/>
    </font>
    <font>
      <sz val="8"/>
      <color theme="0" tint="-0.14999847407452621"/>
      <name val="Century Gothic"/>
      <family val="2"/>
    </font>
    <font>
      <sz val="8"/>
      <color rgb="FF0070C0"/>
      <name val="Century Gothic"/>
      <family val="2"/>
    </font>
    <font>
      <sz val="8"/>
      <color theme="4" tint="-0.249977111117893"/>
      <name val="Century Gothic"/>
      <family val="2"/>
    </font>
    <font>
      <sz val="8"/>
      <color theme="0" tint="-0.499984740745262"/>
      <name val="Century Gothic"/>
      <family val="2"/>
    </font>
    <font>
      <sz val="8"/>
      <color theme="0" tint="-4.9989318521683403E-2"/>
      <name val="Century Gothic"/>
      <family val="2"/>
    </font>
    <font>
      <b/>
      <sz val="8"/>
      <color rgb="FF008000"/>
      <name val="Century Gothic"/>
      <family val="2"/>
    </font>
    <font>
      <i/>
      <sz val="8"/>
      <color rgb="FF008000"/>
      <name val="Century Gothic"/>
      <family val="2"/>
    </font>
    <font>
      <u/>
      <sz val="8"/>
      <color theme="1"/>
      <name val="Century Gothic"/>
      <family val="2"/>
    </font>
    <font>
      <sz val="7.5"/>
      <color theme="1"/>
      <name val="Century Gothic"/>
      <family val="2"/>
    </font>
    <font>
      <b/>
      <sz val="8"/>
      <color rgb="FF3333CC"/>
      <name val="Century Gothic"/>
      <family val="2"/>
    </font>
    <font>
      <i/>
      <sz val="8"/>
      <color rgb="FF3333CC"/>
      <name val="Century Gothic"/>
      <family val="2"/>
    </font>
    <font>
      <b/>
      <sz val="8"/>
      <color rgb="FF00B050"/>
      <name val="Century Gothic"/>
      <family val="2"/>
    </font>
    <font>
      <b/>
      <u/>
      <sz val="8"/>
      <name val="Century Gothic"/>
      <family val="2"/>
    </font>
    <font>
      <u/>
      <sz val="8"/>
      <name val="Century Gothic"/>
      <family val="2"/>
    </font>
    <font>
      <b/>
      <sz val="20"/>
      <color theme="0"/>
      <name val="Century Gothic"/>
      <family val="2"/>
    </font>
    <font>
      <sz val="12"/>
      <color theme="0"/>
      <name val="Century Gothic"/>
      <family val="2"/>
    </font>
    <font>
      <sz val="11"/>
      <color theme="1"/>
      <name val="Century Gothic"/>
      <family val="2"/>
    </font>
    <font>
      <sz val="8"/>
      <color rgb="FF000000"/>
      <name val="Century Gothic"/>
      <family val="2"/>
    </font>
    <font>
      <b/>
      <sz val="10"/>
      <name val="Century Gothic"/>
      <family val="2"/>
    </font>
    <font>
      <sz val="10"/>
      <color theme="1"/>
      <name val="Century Gothic"/>
      <family val="2"/>
    </font>
    <font>
      <sz val="10"/>
      <name val="Century Gothic"/>
      <family val="2"/>
    </font>
    <font>
      <sz val="10"/>
      <color rgb="FF0000FF"/>
      <name val="Century Gothic"/>
      <family val="2"/>
    </font>
    <font>
      <b/>
      <sz val="7"/>
      <color rgb="FF000000"/>
      <name val="Century Gothic"/>
      <family val="2"/>
    </font>
    <font>
      <b/>
      <sz val="10"/>
      <color theme="0"/>
      <name val="Century Gothic"/>
      <family val="2"/>
    </font>
    <font>
      <b/>
      <sz val="12"/>
      <color theme="1"/>
      <name val="Century Gothic"/>
      <family val="2"/>
    </font>
    <font>
      <i/>
      <sz val="8"/>
      <color rgb="FF009900"/>
      <name val="Century Gothic"/>
      <family val="2"/>
    </font>
    <font>
      <b/>
      <sz val="11"/>
      <color theme="1"/>
      <name val="Century Gothic"/>
      <family val="2"/>
    </font>
    <font>
      <sz val="7.5"/>
      <color theme="4" tint="-0.249977111117893"/>
      <name val="Century Gothic"/>
      <family val="2"/>
    </font>
    <font>
      <sz val="7.5"/>
      <color rgb="FF00B050"/>
      <name val="Century Gothic"/>
      <family val="2"/>
    </font>
    <font>
      <sz val="7.5"/>
      <color rgb="FFFF0000"/>
      <name val="Century Gothic"/>
      <family val="2"/>
    </font>
    <font>
      <b/>
      <sz val="7.5"/>
      <color theme="1"/>
      <name val="Century Gothic"/>
      <family val="2"/>
    </font>
    <font>
      <sz val="8"/>
      <color theme="7" tint="-0.499984740745262"/>
      <name val="Century Gothic"/>
      <family val="2"/>
    </font>
    <font>
      <u/>
      <sz val="11"/>
      <color theme="10"/>
      <name val="Calibri"/>
      <family val="2"/>
      <scheme val="minor"/>
    </font>
    <font>
      <sz val="8"/>
      <color theme="7" tint="-0.249977111117893"/>
      <name val="Century Gothic"/>
      <family val="2"/>
    </font>
  </fonts>
  <fills count="10">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7" tint="0.79998168889431442"/>
        <bgColor indexed="64"/>
      </patternFill>
    </fill>
    <fill>
      <patternFill patternType="solid">
        <fgColor theme="0"/>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theme="4" tint="0.39997558519241921"/>
        <bgColor indexed="64"/>
      </patternFill>
    </fill>
  </fills>
  <borders count="43">
    <border>
      <left/>
      <right/>
      <top/>
      <bottom/>
      <diagonal/>
    </border>
    <border>
      <left/>
      <right style="hair">
        <color auto="1"/>
      </right>
      <top/>
      <bottom/>
      <diagonal/>
    </border>
    <border>
      <left style="thick">
        <color theme="0"/>
      </left>
      <right style="thick">
        <color theme="0"/>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bottom style="double">
        <color theme="0" tint="-0.499984740745262"/>
      </bottom>
      <diagonal/>
    </border>
    <border>
      <left/>
      <right/>
      <top style="double">
        <color theme="0" tint="-0.499984740745262"/>
      </top>
      <bottom style="double">
        <color theme="0" tint="-0.499984740745262"/>
      </bottom>
      <diagonal/>
    </border>
    <border>
      <left style="thin">
        <color theme="0" tint="-0.499984740745262"/>
      </left>
      <right/>
      <top style="double">
        <color theme="0" tint="-0.499984740745262"/>
      </top>
      <bottom style="thin">
        <color theme="0" tint="-0.499984740745262"/>
      </bottom>
      <diagonal/>
    </border>
    <border>
      <left/>
      <right/>
      <top style="double">
        <color theme="0" tint="-0.499984740745262"/>
      </top>
      <bottom style="thin">
        <color theme="0" tint="-0.499984740745262"/>
      </bottom>
      <diagonal/>
    </border>
    <border>
      <left/>
      <right style="thin">
        <color theme="0" tint="-0.499984740745262"/>
      </right>
      <top style="double">
        <color theme="0" tint="-0.499984740745262"/>
      </top>
      <bottom style="thin">
        <color theme="0" tint="-0.499984740745262"/>
      </bottom>
      <diagonal/>
    </border>
    <border>
      <left style="thin">
        <color theme="0" tint="-0.499984740745262"/>
      </left>
      <right style="thin">
        <color theme="0" tint="-0.499984740745262"/>
      </right>
      <top style="double">
        <color theme="0" tint="-0.499984740745262"/>
      </top>
      <bottom style="double">
        <color theme="0" tint="-0.499984740745262"/>
      </bottom>
      <diagonal/>
    </border>
    <border>
      <left style="thin">
        <color theme="0" tint="-0.499984740745262"/>
      </left>
      <right/>
      <top style="double">
        <color theme="0" tint="-0.499984740745262"/>
      </top>
      <bottom style="double">
        <color theme="0" tint="-0.499984740745262"/>
      </bottom>
      <diagonal/>
    </border>
    <border>
      <left style="thin">
        <color theme="0" tint="-0.499984740745262"/>
      </left>
      <right style="thin">
        <color theme="0" tint="-0.499984740745262"/>
      </right>
      <top style="thin">
        <color theme="0" tint="-0.499984740745262"/>
      </top>
      <bottom style="double">
        <color theme="0" tint="-0.499984740745262"/>
      </bottom>
      <diagonal/>
    </border>
    <border>
      <left style="thin">
        <color theme="0" tint="-0.499984740745262"/>
      </left>
      <right/>
      <top style="thin">
        <color theme="0" tint="-0.499984740745262"/>
      </top>
      <bottom style="double">
        <color theme="0" tint="-0.499984740745262"/>
      </bottom>
      <diagonal/>
    </border>
    <border>
      <left style="thin">
        <color theme="0" tint="-0.499984740745262"/>
      </left>
      <right/>
      <top/>
      <bottom style="double">
        <color theme="0" tint="-0.499984740745262"/>
      </bottom>
      <diagonal/>
    </border>
    <border>
      <left/>
      <right style="thin">
        <color theme="0" tint="-0.499984740745262"/>
      </right>
      <top/>
      <bottom style="double">
        <color theme="0" tint="-0.499984740745262"/>
      </bottom>
      <diagonal/>
    </border>
    <border>
      <left/>
      <right/>
      <top style="thin">
        <color theme="0" tint="-0.499984740745262"/>
      </top>
      <bottom style="double">
        <color theme="0" tint="-0.499984740745262"/>
      </bottom>
      <diagonal/>
    </border>
    <border>
      <left/>
      <right style="thin">
        <color theme="0" tint="-0.499984740745262"/>
      </right>
      <top style="thin">
        <color theme="0" tint="-0.499984740745262"/>
      </top>
      <bottom style="double">
        <color theme="0" tint="-0.499984740745262"/>
      </bottom>
      <diagonal/>
    </border>
    <border>
      <left style="thin">
        <color theme="0" tint="-0.499984740745262"/>
      </left>
      <right style="thin">
        <color theme="0" tint="-0.499984740745262"/>
      </right>
      <top/>
      <bottom style="double">
        <color theme="0" tint="-0.499984740745262"/>
      </bottom>
      <diagonal/>
    </border>
    <border>
      <left/>
      <right style="thin">
        <color theme="0" tint="-0.499984740745262"/>
      </right>
      <top style="double">
        <color theme="0" tint="-0.499984740745262"/>
      </top>
      <bottom style="double">
        <color theme="0" tint="-0.499984740745262"/>
      </bottom>
      <diagonal/>
    </border>
    <border>
      <left/>
      <right/>
      <top style="double">
        <color theme="0" tint="-0.499984740745262"/>
      </top>
      <bottom/>
      <diagonal/>
    </border>
    <border>
      <left style="thin">
        <color theme="0" tint="-0.499984740745262"/>
      </left>
      <right style="thin">
        <color theme="0" tint="-0.499984740745262"/>
      </right>
      <top style="double">
        <color theme="0" tint="-0.499984740745262"/>
      </top>
      <bottom style="thin">
        <color theme="0" tint="-0.499984740745262"/>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diagonal/>
    </border>
    <border>
      <left/>
      <right style="thin">
        <color theme="0"/>
      </right>
      <top/>
      <bottom/>
      <diagonal/>
    </border>
    <border>
      <left style="thin">
        <color theme="0"/>
      </left>
      <right/>
      <top/>
      <bottom style="thin">
        <color theme="0"/>
      </bottom>
      <diagonal/>
    </border>
    <border>
      <left/>
      <right/>
      <top/>
      <bottom style="thin">
        <color theme="0"/>
      </bottom>
      <diagonal/>
    </border>
    <border>
      <left/>
      <right style="thin">
        <color theme="0"/>
      </right>
      <top/>
      <bottom style="thin">
        <color theme="0"/>
      </bottom>
      <diagonal/>
    </border>
  </borders>
  <cellStyleXfs count="66">
    <xf numFmtId="0" fontId="0" fillId="0" borderId="0"/>
    <xf numFmtId="0" fontId="3" fillId="0" borderId="0"/>
    <xf numFmtId="0" fontId="1" fillId="0" borderId="0"/>
    <xf numFmtId="0" fontId="1" fillId="0" borderId="0"/>
    <xf numFmtId="172"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9" fillId="0" borderId="0"/>
    <xf numFmtId="0" fontId="18" fillId="0" borderId="0"/>
    <xf numFmtId="0" fontId="20" fillId="0" borderId="0"/>
    <xf numFmtId="0" fontId="21" fillId="0" borderId="0"/>
    <xf numFmtId="9" fontId="18" fillId="0" borderId="0" applyFont="0" applyFill="0" applyBorder="0" applyAlignment="0" applyProtection="0"/>
    <xf numFmtId="0" fontId="1" fillId="0" borderId="0"/>
    <xf numFmtId="0" fontId="18" fillId="0" borderId="0"/>
    <xf numFmtId="171" fontId="18" fillId="0" borderId="0" applyFont="0" applyFill="0" applyBorder="0" applyAlignment="0" applyProtection="0"/>
    <xf numFmtId="171" fontId="21" fillId="0" borderId="0" applyFont="0" applyFill="0" applyBorder="0" applyAlignment="0" applyProtection="0"/>
    <xf numFmtId="9" fontId="22" fillId="0" borderId="0" applyFont="0" applyFill="0" applyBorder="0" applyAlignment="0" applyProtection="0"/>
    <xf numFmtId="171" fontId="22" fillId="0" borderId="0" applyFont="0" applyFill="0" applyBorder="0" applyAlignment="0" applyProtection="0"/>
    <xf numFmtId="0" fontId="22" fillId="0" borderId="0"/>
    <xf numFmtId="9" fontId="18" fillId="0" borderId="0" applyFont="0" applyFill="0" applyBorder="0" applyAlignment="0" applyProtection="0"/>
    <xf numFmtId="172" fontId="18" fillId="0" borderId="0" applyFont="0" applyFill="0" applyBorder="0" applyAlignment="0" applyProtection="0"/>
    <xf numFmtId="0" fontId="1" fillId="0" borderId="0"/>
    <xf numFmtId="0" fontId="23" fillId="0" borderId="0"/>
    <xf numFmtId="9" fontId="1" fillId="0" borderId="0" applyFont="0" applyFill="0" applyBorder="0" applyAlignment="0" applyProtection="0"/>
    <xf numFmtId="0" fontId="1" fillId="0" borderId="0"/>
    <xf numFmtId="197" fontId="1" fillId="0" borderId="0"/>
    <xf numFmtId="0" fontId="3" fillId="0" borderId="0"/>
    <xf numFmtId="0" fontId="1" fillId="0" borderId="0"/>
    <xf numFmtId="0" fontId="18" fillId="0" borderId="0"/>
    <xf numFmtId="0" fontId="1" fillId="0" borderId="0"/>
    <xf numFmtId="0" fontId="18" fillId="0" borderId="0"/>
    <xf numFmtId="0" fontId="18" fillId="0" borderId="0"/>
    <xf numFmtId="167" fontId="1" fillId="0" borderId="0" applyFont="0" applyFill="0" applyBorder="0" applyAlignment="0" applyProtection="0"/>
    <xf numFmtId="0" fontId="22" fillId="0" borderId="0"/>
    <xf numFmtId="172" fontId="22" fillId="0" borderId="0" applyFont="0" applyFill="0" applyBorder="0" applyAlignment="0" applyProtection="0"/>
    <xf numFmtId="172" fontId="18" fillId="0" borderId="0" applyFont="0" applyFill="0" applyBorder="0" applyAlignment="0" applyProtection="0"/>
    <xf numFmtId="9" fontId="18" fillId="0" borderId="0" applyFont="0" applyFill="0" applyBorder="0" applyAlignment="0" applyProtection="0"/>
    <xf numFmtId="3" fontId="18" fillId="0" borderId="0" applyFill="0" applyBorder="0" applyAlignment="0" applyProtection="0"/>
    <xf numFmtId="3" fontId="18" fillId="0" borderId="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0" fontId="18" fillId="0" borderId="0" applyFill="0" applyBorder="0" applyAlignment="0" applyProtection="0"/>
    <xf numFmtId="0" fontId="1" fillId="0" borderId="0"/>
    <xf numFmtId="198" fontId="18" fillId="0" borderId="0"/>
    <xf numFmtId="42" fontId="1"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165" fontId="18" fillId="0" borderId="0" applyFont="0" applyFill="0" applyBorder="0" applyAlignment="0" applyProtection="0"/>
    <xf numFmtId="165" fontId="18" fillId="0" borderId="0" applyFont="0" applyFill="0" applyBorder="0" applyAlignment="0" applyProtection="0"/>
    <xf numFmtId="167" fontId="18" fillId="0" borderId="0" applyFont="0" applyFill="0" applyBorder="0" applyAlignment="0" applyProtection="0"/>
    <xf numFmtId="199" fontId="24" fillId="0" borderId="0" applyFont="0" applyFill="0" applyBorder="0" applyAlignment="0" applyProtection="0"/>
    <xf numFmtId="199" fontId="18" fillId="0" borderId="0" applyFont="0" applyFill="0" applyBorder="0" applyAlignment="0" applyProtection="0"/>
    <xf numFmtId="198" fontId="24" fillId="0" borderId="0"/>
    <xf numFmtId="0" fontId="18" fillId="0" borderId="0"/>
    <xf numFmtId="198" fontId="18" fillId="0" borderId="0"/>
    <xf numFmtId="0" fontId="18" fillId="0" borderId="0"/>
    <xf numFmtId="172" fontId="1" fillId="0" borderId="0" applyFont="0" applyFill="0" applyBorder="0" applyAlignment="0" applyProtection="0"/>
    <xf numFmtId="0" fontId="18" fillId="0" borderId="0"/>
    <xf numFmtId="166" fontId="18" fillId="0" borderId="0" applyFont="0" applyFill="0" applyBorder="0" applyAlignment="0" applyProtection="0"/>
    <xf numFmtId="167" fontId="18" fillId="0" borderId="0" applyFont="0" applyFill="0" applyBorder="0" applyAlignment="0" applyProtection="0"/>
    <xf numFmtId="167" fontId="18" fillId="0" borderId="0" applyFont="0" applyFill="0" applyBorder="0" applyAlignment="0" applyProtection="0"/>
    <xf numFmtId="0" fontId="18" fillId="0" borderId="0"/>
    <xf numFmtId="0" fontId="18" fillId="0" borderId="0"/>
    <xf numFmtId="0" fontId="71" fillId="0" borderId="0" applyNumberFormat="0" applyFill="0" applyBorder="0" applyAlignment="0" applyProtection="0"/>
  </cellStyleXfs>
  <cellXfs count="1260">
    <xf numFmtId="0" fontId="0" fillId="0" borderId="0" xfId="0"/>
    <xf numFmtId="180" fontId="6" fillId="0" borderId="0" xfId="2" applyNumberFormat="1" applyFont="1" applyAlignment="1">
      <alignment vertical="center"/>
    </xf>
    <xf numFmtId="0" fontId="10" fillId="0" borderId="0" xfId="0" applyFont="1"/>
    <xf numFmtId="0" fontId="10" fillId="0" borderId="0" xfId="0" applyFont="1" applyAlignment="1">
      <alignment vertical="center"/>
    </xf>
    <xf numFmtId="186" fontId="10" fillId="0" borderId="0" xfId="0" applyNumberFormat="1" applyFont="1" applyAlignment="1">
      <alignment vertical="center"/>
    </xf>
    <xf numFmtId="0" fontId="11" fillId="0" borderId="0" xfId="0" applyFont="1" applyAlignment="1">
      <alignment vertical="center"/>
    </xf>
    <xf numFmtId="175" fontId="13" fillId="0" borderId="0" xfId="0" applyNumberFormat="1" applyFont="1" applyAlignment="1">
      <alignment vertical="center"/>
    </xf>
    <xf numFmtId="175" fontId="10" fillId="0" borderId="0" xfId="0" applyNumberFormat="1" applyFont="1" applyAlignment="1">
      <alignment vertical="center"/>
    </xf>
    <xf numFmtId="3" fontId="13" fillId="0" borderId="0" xfId="0" applyNumberFormat="1" applyFont="1" applyAlignment="1">
      <alignment vertical="center"/>
    </xf>
    <xf numFmtId="4" fontId="10" fillId="0" borderId="0" xfId="0" applyNumberFormat="1" applyFont="1" applyAlignment="1">
      <alignment horizontal="right" vertical="center"/>
    </xf>
    <xf numFmtId="4" fontId="10" fillId="0" borderId="0" xfId="0" applyNumberFormat="1" applyFont="1" applyAlignment="1">
      <alignment vertical="center"/>
    </xf>
    <xf numFmtId="3" fontId="10" fillId="0" borderId="0" xfId="0" applyNumberFormat="1" applyFont="1" applyAlignment="1">
      <alignment vertical="center"/>
    </xf>
    <xf numFmtId="3" fontId="10" fillId="0" borderId="0" xfId="0" applyNumberFormat="1" applyFont="1" applyAlignment="1">
      <alignment horizontal="right" vertical="center"/>
    </xf>
    <xf numFmtId="0" fontId="7" fillId="0" borderId="0" xfId="1" applyFont="1" applyAlignment="1">
      <alignment horizontal="left" vertical="center"/>
    </xf>
    <xf numFmtId="175" fontId="6" fillId="0" borderId="0" xfId="0" applyNumberFormat="1" applyFont="1" applyAlignment="1">
      <alignment vertical="center"/>
    </xf>
    <xf numFmtId="177" fontId="10" fillId="0" borderId="2" xfId="2" applyNumberFormat="1" applyFont="1" applyBorder="1" applyAlignment="1">
      <alignment horizontal="right" vertical="center"/>
    </xf>
    <xf numFmtId="0" fontId="4" fillId="0" borderId="0" xfId="0" applyFont="1" applyAlignment="1">
      <alignment vertical="center"/>
    </xf>
    <xf numFmtId="0" fontId="2" fillId="0" borderId="0" xfId="0" applyFont="1" applyAlignment="1">
      <alignment vertical="center"/>
    </xf>
    <xf numFmtId="0" fontId="4" fillId="0" borderId="0" xfId="0" applyFont="1" applyAlignment="1">
      <alignment horizontal="center" vertical="center"/>
    </xf>
    <xf numFmtId="0" fontId="5" fillId="0" borderId="0" xfId="0" applyFont="1" applyAlignment="1">
      <alignment vertical="center"/>
    </xf>
    <xf numFmtId="0" fontId="4" fillId="8" borderId="0" xfId="0" applyFont="1" applyFill="1" applyAlignment="1">
      <alignment vertical="center"/>
    </xf>
    <xf numFmtId="0" fontId="4" fillId="8" borderId="0" xfId="0" applyFont="1" applyFill="1" applyAlignment="1">
      <alignment horizontal="center" vertical="center"/>
    </xf>
    <xf numFmtId="0" fontId="5" fillId="8" borderId="0" xfId="0" applyFont="1" applyFill="1" applyAlignment="1">
      <alignment vertical="center"/>
    </xf>
    <xf numFmtId="170" fontId="33" fillId="0" borderId="0" xfId="0" applyNumberFormat="1" applyFont="1" applyAlignment="1">
      <alignment horizontal="center" vertical="center"/>
    </xf>
    <xf numFmtId="170" fontId="33" fillId="9" borderId="0" xfId="0" applyNumberFormat="1" applyFont="1" applyFill="1" applyAlignment="1">
      <alignment horizontal="center" vertical="center"/>
    </xf>
    <xf numFmtId="170" fontId="35" fillId="9" borderId="0" xfId="0" applyNumberFormat="1" applyFont="1" applyFill="1" applyAlignment="1">
      <alignment horizontal="left" vertical="center"/>
    </xf>
    <xf numFmtId="170" fontId="0" fillId="9" borderId="0" xfId="0" applyNumberFormat="1" applyFill="1" applyAlignment="1">
      <alignment horizontal="center" vertical="center"/>
    </xf>
    <xf numFmtId="170" fontId="0" fillId="0" borderId="0" xfId="0" applyNumberFormat="1" applyAlignment="1">
      <alignment horizontal="center" vertical="center"/>
    </xf>
    <xf numFmtId="3" fontId="10" fillId="0" borderId="0" xfId="0" applyNumberFormat="1" applyFont="1" applyAlignment="1">
      <alignment horizontal="center"/>
    </xf>
    <xf numFmtId="3" fontId="10" fillId="0" borderId="8" xfId="0" applyNumberFormat="1" applyFont="1" applyBorder="1" applyAlignment="1">
      <alignment horizontal="center"/>
    </xf>
    <xf numFmtId="3" fontId="11" fillId="0" borderId="0" xfId="0" applyNumberFormat="1" applyFont="1" applyAlignment="1">
      <alignment horizontal="center"/>
    </xf>
    <xf numFmtId="3" fontId="11" fillId="0" borderId="0" xfId="0" applyNumberFormat="1" applyFont="1" applyAlignment="1">
      <alignment vertical="center"/>
    </xf>
    <xf numFmtId="3" fontId="11" fillId="0" borderId="0" xfId="0" applyNumberFormat="1" applyFont="1" applyAlignment="1">
      <alignment horizontal="center" vertical="center"/>
    </xf>
    <xf numFmtId="3" fontId="11" fillId="0" borderId="0" xfId="0" applyNumberFormat="1" applyFont="1"/>
    <xf numFmtId="3" fontId="11" fillId="0" borderId="3" xfId="0" applyNumberFormat="1" applyFont="1" applyBorder="1" applyAlignment="1">
      <alignment horizontal="center" vertical="center"/>
    </xf>
    <xf numFmtId="3" fontId="11" fillId="2" borderId="8" xfId="0" applyNumberFormat="1" applyFont="1" applyFill="1" applyBorder="1" applyAlignment="1">
      <alignment horizontal="center" vertical="center"/>
    </xf>
    <xf numFmtId="3" fontId="36" fillId="0" borderId="0" xfId="0" applyNumberFormat="1" applyFont="1" applyAlignment="1">
      <alignment horizontal="center"/>
    </xf>
    <xf numFmtId="3" fontId="37" fillId="0" borderId="0" xfId="0" applyNumberFormat="1" applyFont="1" applyAlignment="1">
      <alignment horizontal="center"/>
    </xf>
    <xf numFmtId="3" fontId="38" fillId="0" borderId="8" xfId="0" applyNumberFormat="1" applyFont="1" applyBorder="1" applyAlignment="1">
      <alignment horizontal="center"/>
    </xf>
    <xf numFmtId="3" fontId="39" fillId="0" borderId="8" xfId="0" applyNumberFormat="1" applyFont="1" applyBorder="1" applyAlignment="1">
      <alignment horizontal="center"/>
    </xf>
    <xf numFmtId="9" fontId="39" fillId="0" borderId="8" xfId="6" applyFont="1" applyBorder="1" applyAlignment="1">
      <alignment horizontal="center"/>
    </xf>
    <xf numFmtId="3" fontId="39" fillId="0" borderId="8" xfId="0" applyNumberFormat="1" applyFont="1" applyBorder="1" applyAlignment="1">
      <alignment horizontal="left"/>
    </xf>
    <xf numFmtId="3" fontId="39" fillId="0" borderId="0" xfId="0" applyNumberFormat="1" applyFont="1" applyAlignment="1">
      <alignment horizontal="left"/>
    </xf>
    <xf numFmtId="3" fontId="39" fillId="0" borderId="0" xfId="0" applyNumberFormat="1" applyFont="1" applyAlignment="1">
      <alignment horizontal="center"/>
    </xf>
    <xf numFmtId="3" fontId="40" fillId="0" borderId="8" xfId="0" applyNumberFormat="1" applyFont="1" applyBorder="1" applyAlignment="1">
      <alignment horizontal="center"/>
    </xf>
    <xf numFmtId="3" fontId="6" fillId="0" borderId="13" xfId="0" applyNumberFormat="1" applyFont="1" applyBorder="1" applyAlignment="1">
      <alignment horizontal="center"/>
    </xf>
    <xf numFmtId="3" fontId="40" fillId="0" borderId="0" xfId="0" applyNumberFormat="1" applyFont="1" applyAlignment="1">
      <alignment horizontal="center"/>
    </xf>
    <xf numFmtId="9" fontId="10" fillId="0" borderId="0" xfId="6" applyFont="1" applyBorder="1" applyAlignment="1">
      <alignment horizontal="center"/>
    </xf>
    <xf numFmtId="3" fontId="39" fillId="6" borderId="15" xfId="0" applyNumberFormat="1" applyFont="1" applyFill="1" applyBorder="1" applyAlignment="1">
      <alignment horizontal="center"/>
    </xf>
    <xf numFmtId="3" fontId="39" fillId="6" borderId="17" xfId="0" applyNumberFormat="1" applyFont="1" applyFill="1" applyBorder="1" applyAlignment="1">
      <alignment horizontal="center"/>
    </xf>
    <xf numFmtId="9" fontId="10" fillId="0" borderId="8" xfId="6" applyFont="1" applyBorder="1" applyAlignment="1">
      <alignment horizontal="center"/>
    </xf>
    <xf numFmtId="3" fontId="40" fillId="0" borderId="0" xfId="0" applyNumberFormat="1" applyFont="1" applyAlignment="1">
      <alignment horizontal="left"/>
    </xf>
    <xf numFmtId="3" fontId="10" fillId="2" borderId="15" xfId="0" applyNumberFormat="1" applyFont="1" applyFill="1" applyBorder="1" applyAlignment="1">
      <alignment horizontal="center"/>
    </xf>
    <xf numFmtId="3" fontId="10" fillId="2" borderId="8" xfId="0" applyNumberFormat="1" applyFont="1" applyFill="1" applyBorder="1" applyAlignment="1">
      <alignment horizontal="center"/>
    </xf>
    <xf numFmtId="3" fontId="10" fillId="2" borderId="17" xfId="0" applyNumberFormat="1" applyFont="1" applyFill="1" applyBorder="1" applyAlignment="1">
      <alignment horizontal="center"/>
    </xf>
    <xf numFmtId="3" fontId="6" fillId="0" borderId="0" xfId="0" applyNumberFormat="1" applyFont="1" applyAlignment="1">
      <alignment horizontal="center"/>
    </xf>
    <xf numFmtId="3" fontId="10" fillId="0" borderId="0" xfId="0" applyNumberFormat="1" applyFont="1" applyAlignment="1">
      <alignment horizontal="center" vertical="center"/>
    </xf>
    <xf numFmtId="9" fontId="10" fillId="2" borderId="16" xfId="6" applyFont="1" applyFill="1" applyBorder="1" applyAlignment="1">
      <alignment horizontal="center"/>
    </xf>
    <xf numFmtId="3" fontId="11" fillId="0" borderId="0" xfId="0" applyNumberFormat="1" applyFont="1" applyAlignment="1">
      <alignment horizontal="left" vertical="center"/>
    </xf>
    <xf numFmtId="9" fontId="10" fillId="0" borderId="0" xfId="6" applyFont="1" applyAlignment="1">
      <alignment horizontal="center"/>
    </xf>
    <xf numFmtId="175" fontId="11" fillId="0" borderId="0" xfId="0" applyNumberFormat="1" applyFont="1" applyAlignment="1">
      <alignment vertical="center"/>
    </xf>
    <xf numFmtId="4" fontId="11" fillId="0" borderId="0" xfId="0" applyNumberFormat="1" applyFont="1" applyAlignment="1">
      <alignment horizontal="right" vertical="center"/>
    </xf>
    <xf numFmtId="3" fontId="11" fillId="0" borderId="0" xfId="0" applyNumberFormat="1" applyFont="1" applyAlignment="1">
      <alignment horizontal="right" vertical="center"/>
    </xf>
    <xf numFmtId="0" fontId="10" fillId="0" borderId="8" xfId="0" applyFont="1" applyBorder="1" applyAlignment="1">
      <alignment vertical="center"/>
    </xf>
    <xf numFmtId="175" fontId="10" fillId="0" borderId="8" xfId="0" applyNumberFormat="1" applyFont="1" applyBorder="1" applyAlignment="1">
      <alignment vertical="center"/>
    </xf>
    <xf numFmtId="3" fontId="10" fillId="0" borderId="8" xfId="0" applyNumberFormat="1" applyFont="1" applyBorder="1" applyAlignment="1">
      <alignment vertical="center"/>
    </xf>
    <xf numFmtId="0" fontId="10" fillId="0" borderId="0" xfId="0" applyFont="1" applyAlignment="1">
      <alignment horizontal="center" vertical="center"/>
    </xf>
    <xf numFmtId="0" fontId="27" fillId="0" borderId="5" xfId="0" applyFont="1" applyBorder="1" applyAlignment="1">
      <alignment horizontal="center" vertical="center" wrapText="1"/>
    </xf>
    <xf numFmtId="175" fontId="41" fillId="0" borderId="0" xfId="2" applyNumberFormat="1" applyFont="1" applyAlignment="1">
      <alignment horizontal="center" vertical="center"/>
    </xf>
    <xf numFmtId="192" fontId="6" fillId="0" borderId="0" xfId="2" applyNumberFormat="1" applyFont="1" applyAlignment="1">
      <alignment horizontal="center" vertical="center"/>
    </xf>
    <xf numFmtId="175" fontId="6" fillId="0" borderId="0" xfId="2" applyNumberFormat="1" applyFont="1" applyAlignment="1">
      <alignment horizontal="center" vertical="center"/>
    </xf>
    <xf numFmtId="175" fontId="41" fillId="0" borderId="8" xfId="2" applyNumberFormat="1" applyFont="1" applyBorder="1" applyAlignment="1">
      <alignment horizontal="center" vertical="center"/>
    </xf>
    <xf numFmtId="192" fontId="6" fillId="0" borderId="13" xfId="2" applyNumberFormat="1" applyFont="1" applyBorder="1" applyAlignment="1">
      <alignment horizontal="center" vertical="center"/>
    </xf>
    <xf numFmtId="186" fontId="10" fillId="0" borderId="8" xfId="0" applyNumberFormat="1" applyFont="1" applyBorder="1" applyAlignment="1">
      <alignment vertical="center"/>
    </xf>
    <xf numFmtId="175" fontId="11" fillId="0" borderId="0" xfId="0" applyNumberFormat="1" applyFont="1" applyAlignment="1">
      <alignment horizontal="center" vertical="center"/>
    </xf>
    <xf numFmtId="175" fontId="11" fillId="0" borderId="13" xfId="0" applyNumberFormat="1" applyFont="1" applyBorder="1" applyAlignment="1">
      <alignment horizontal="center" vertical="center"/>
    </xf>
    <xf numFmtId="167" fontId="6" fillId="0" borderId="10" xfId="32" applyFont="1" applyFill="1" applyBorder="1" applyAlignment="1">
      <alignment horizontal="center" vertical="center"/>
    </xf>
    <xf numFmtId="167" fontId="6" fillId="0" borderId="11" xfId="32" applyFont="1" applyFill="1" applyBorder="1" applyAlignment="1">
      <alignment horizontal="center" vertical="center"/>
    </xf>
    <xf numFmtId="0" fontId="7" fillId="0" borderId="11" xfId="0" applyFont="1" applyBorder="1" applyAlignment="1">
      <alignment vertical="center"/>
    </xf>
    <xf numFmtId="0" fontId="11" fillId="0" borderId="11" xfId="0" applyFont="1" applyBorder="1" applyAlignment="1">
      <alignment vertical="center"/>
    </xf>
    <xf numFmtId="0" fontId="10" fillId="0" borderId="18" xfId="0" applyFont="1" applyBorder="1" applyAlignment="1">
      <alignment vertical="center"/>
    </xf>
    <xf numFmtId="175" fontId="25" fillId="5" borderId="0" xfId="2" applyNumberFormat="1" applyFont="1" applyFill="1" applyAlignment="1">
      <alignment horizontal="center" vertical="center"/>
    </xf>
    <xf numFmtId="175" fontId="6" fillId="5" borderId="0" xfId="2" applyNumberFormat="1" applyFont="1" applyFill="1" applyAlignment="1">
      <alignment horizontal="center" vertical="center"/>
    </xf>
    <xf numFmtId="0" fontId="16" fillId="0" borderId="0" xfId="0" applyFont="1" applyAlignment="1">
      <alignment horizontal="right" vertical="center"/>
    </xf>
    <xf numFmtId="0" fontId="10" fillId="0" borderId="0" xfId="0" applyFont="1" applyAlignment="1">
      <alignment horizontal="right" vertical="center"/>
    </xf>
    <xf numFmtId="0" fontId="16" fillId="0" borderId="0" xfId="0" applyFont="1" applyAlignment="1">
      <alignment vertical="center"/>
    </xf>
    <xf numFmtId="186" fontId="6" fillId="0" borderId="11" xfId="2" applyNumberFormat="1" applyFont="1" applyBorder="1" applyAlignment="1">
      <alignment horizontal="center" vertical="center"/>
    </xf>
    <xf numFmtId="186" fontId="6" fillId="0" borderId="12" xfId="2" applyNumberFormat="1" applyFont="1" applyBorder="1" applyAlignment="1">
      <alignment horizontal="center" vertical="center"/>
    </xf>
    <xf numFmtId="0" fontId="11" fillId="0" borderId="4" xfId="0" applyFont="1" applyBorder="1" applyAlignment="1">
      <alignment horizontal="left" vertical="center"/>
    </xf>
    <xf numFmtId="0" fontId="27" fillId="0" borderId="6" xfId="0" applyFont="1" applyBorder="1" applyAlignment="1">
      <alignment horizontal="center" vertical="center" wrapText="1"/>
    </xf>
    <xf numFmtId="0" fontId="11" fillId="0" borderId="7" xfId="0" applyFont="1" applyBorder="1" applyAlignment="1">
      <alignment vertical="center"/>
    </xf>
    <xf numFmtId="0" fontId="10" fillId="0" borderId="9" xfId="0" applyFont="1" applyBorder="1" applyAlignment="1">
      <alignment vertical="center"/>
    </xf>
    <xf numFmtId="169" fontId="6" fillId="0" borderId="13" xfId="2" applyNumberFormat="1" applyFont="1" applyBorder="1" applyAlignment="1">
      <alignment horizontal="left" vertical="center" indent="2"/>
    </xf>
    <xf numFmtId="9" fontId="6" fillId="0" borderId="11" xfId="2" applyNumberFormat="1" applyFont="1" applyBorder="1" applyAlignment="1">
      <alignment horizontal="center" vertical="center"/>
    </xf>
    <xf numFmtId="169" fontId="6" fillId="0" borderId="7" xfId="2" applyNumberFormat="1" applyFont="1" applyBorder="1" applyAlignment="1">
      <alignment horizontal="left" vertical="center" indent="2"/>
    </xf>
    <xf numFmtId="9" fontId="6" fillId="0" borderId="12" xfId="2" applyNumberFormat="1" applyFont="1" applyBorder="1" applyAlignment="1">
      <alignment horizontal="center" vertical="center"/>
    </xf>
    <xf numFmtId="0" fontId="11" fillId="0" borderId="13" xfId="0" applyFont="1" applyBorder="1" applyAlignment="1">
      <alignment vertical="center"/>
    </xf>
    <xf numFmtId="9" fontId="7" fillId="0" borderId="11" xfId="0" applyNumberFormat="1" applyFont="1" applyBorder="1" applyAlignment="1">
      <alignment horizontal="center" vertical="center"/>
    </xf>
    <xf numFmtId="9" fontId="11" fillId="0" borderId="14" xfId="0" applyNumberFormat="1" applyFont="1" applyBorder="1" applyAlignment="1">
      <alignment vertical="center"/>
    </xf>
    <xf numFmtId="9" fontId="10" fillId="0" borderId="9" xfId="0" applyNumberFormat="1" applyFont="1" applyBorder="1" applyAlignment="1">
      <alignment vertical="center"/>
    </xf>
    <xf numFmtId="9" fontId="11" fillId="0" borderId="11" xfId="0" applyNumberFormat="1" applyFont="1" applyBorder="1" applyAlignment="1">
      <alignment horizontal="center" vertical="center"/>
    </xf>
    <xf numFmtId="0" fontId="10" fillId="0" borderId="13" xfId="0" applyFont="1" applyBorder="1" applyAlignment="1">
      <alignment vertical="center"/>
    </xf>
    <xf numFmtId="9" fontId="10" fillId="0" borderId="14" xfId="0" applyNumberFormat="1" applyFont="1" applyBorder="1" applyAlignment="1">
      <alignment vertical="center"/>
    </xf>
    <xf numFmtId="169" fontId="6" fillId="0" borderId="4" xfId="2" applyNumberFormat="1" applyFont="1" applyBorder="1" applyAlignment="1">
      <alignment horizontal="left" vertical="center" indent="2"/>
    </xf>
    <xf numFmtId="9" fontId="6" fillId="0" borderId="14" xfId="2" applyNumberFormat="1" applyFont="1" applyBorder="1" applyAlignment="1">
      <alignment horizontal="center" vertical="center"/>
    </xf>
    <xf numFmtId="9" fontId="6" fillId="0" borderId="9" xfId="2" applyNumberFormat="1" applyFont="1" applyBorder="1" applyAlignment="1">
      <alignment horizontal="center" vertical="center"/>
    </xf>
    <xf numFmtId="183" fontId="10" fillId="0" borderId="14" xfId="0" applyNumberFormat="1" applyFont="1" applyBorder="1" applyAlignment="1">
      <alignment vertical="center"/>
    </xf>
    <xf numFmtId="9" fontId="6" fillId="5" borderId="14" xfId="2" applyNumberFormat="1" applyFont="1" applyFill="1" applyBorder="1" applyAlignment="1">
      <alignment horizontal="center" vertical="center"/>
    </xf>
    <xf numFmtId="0" fontId="10" fillId="0" borderId="16" xfId="0" applyFont="1" applyBorder="1" applyAlignment="1">
      <alignment vertical="center"/>
    </xf>
    <xf numFmtId="0" fontId="10" fillId="0" borderId="5" xfId="0" applyFont="1" applyBorder="1" applyAlignment="1">
      <alignment vertical="center"/>
    </xf>
    <xf numFmtId="188" fontId="43" fillId="8" borderId="0" xfId="0" applyNumberFormat="1" applyFont="1" applyFill="1" applyAlignment="1">
      <alignment horizontal="center" vertical="center"/>
    </xf>
    <xf numFmtId="0" fontId="6" fillId="0" borderId="0" xfId="0" applyFont="1" applyAlignment="1">
      <alignment vertical="center"/>
    </xf>
    <xf numFmtId="0" fontId="27" fillId="0" borderId="0" xfId="0" applyFont="1" applyAlignment="1">
      <alignment horizontal="left" vertical="center" indent="1"/>
    </xf>
    <xf numFmtId="0" fontId="10" fillId="0" borderId="0" xfId="0" applyFont="1" applyAlignment="1">
      <alignment horizontal="left" vertical="center" indent="3"/>
    </xf>
    <xf numFmtId="175" fontId="10" fillId="0" borderId="0" xfId="0" applyNumberFormat="1" applyFont="1" applyAlignment="1">
      <alignment horizontal="right" vertical="center"/>
    </xf>
    <xf numFmtId="180" fontId="6" fillId="0" borderId="0" xfId="0" applyNumberFormat="1" applyFont="1" applyAlignment="1">
      <alignment horizontal="right" vertical="center"/>
    </xf>
    <xf numFmtId="0" fontId="10" fillId="0" borderId="8" xfId="0" applyFont="1" applyBorder="1" applyAlignment="1">
      <alignment horizontal="left" vertical="center" indent="3"/>
    </xf>
    <xf numFmtId="0" fontId="11" fillId="0" borderId="0" xfId="0" applyFont="1" applyAlignment="1">
      <alignment horizontal="left" vertical="center" indent="1"/>
    </xf>
    <xf numFmtId="0" fontId="15" fillId="0" borderId="0" xfId="0" applyFont="1" applyAlignment="1">
      <alignment vertical="center"/>
    </xf>
    <xf numFmtId="175" fontId="11" fillId="0" borderId="0" xfId="0" applyNumberFormat="1" applyFont="1" applyAlignment="1">
      <alignment horizontal="right" vertical="center"/>
    </xf>
    <xf numFmtId="180" fontId="7" fillId="0" borderId="0" xfId="0" applyNumberFormat="1" applyFont="1" applyAlignment="1">
      <alignment vertical="center"/>
    </xf>
    <xf numFmtId="0" fontId="10" fillId="5" borderId="0" xfId="0" applyFont="1" applyFill="1" applyAlignment="1">
      <alignment horizontal="left" vertical="center" indent="1"/>
    </xf>
    <xf numFmtId="175" fontId="15" fillId="5" borderId="0" xfId="0" applyNumberFormat="1" applyFont="1" applyFill="1" applyAlignment="1">
      <alignment vertical="center"/>
    </xf>
    <xf numFmtId="0" fontId="15" fillId="5" borderId="0" xfId="0" applyFont="1" applyFill="1" applyAlignment="1">
      <alignment vertical="center"/>
    </xf>
    <xf numFmtId="175" fontId="10" fillId="5" borderId="0" xfId="0" applyNumberFormat="1" applyFont="1" applyFill="1" applyAlignment="1">
      <alignment horizontal="center" vertical="center"/>
    </xf>
    <xf numFmtId="0" fontId="10" fillId="0" borderId="0" xfId="0" applyFont="1" applyAlignment="1">
      <alignment horizontal="left" vertical="center" indent="1"/>
    </xf>
    <xf numFmtId="175" fontId="15" fillId="0" borderId="0" xfId="0" applyNumberFormat="1" applyFont="1" applyAlignment="1">
      <alignment vertical="center"/>
    </xf>
    <xf numFmtId="175" fontId="10" fillId="0" borderId="0" xfId="0" applyNumberFormat="1" applyFont="1" applyAlignment="1">
      <alignment horizontal="center" vertical="center"/>
    </xf>
    <xf numFmtId="180" fontId="7" fillId="0" borderId="0" xfId="0" applyNumberFormat="1" applyFont="1" applyAlignment="1">
      <alignment horizontal="right" vertical="center"/>
    </xf>
    <xf numFmtId="0" fontId="44" fillId="0" borderId="0" xfId="0" applyFont="1" applyAlignment="1">
      <alignment vertical="center"/>
    </xf>
    <xf numFmtId="0" fontId="12" fillId="0" borderId="0" xfId="0" applyFont="1" applyAlignment="1">
      <alignment vertical="center"/>
    </xf>
    <xf numFmtId="0" fontId="12" fillId="0" borderId="0" xfId="0" applyFont="1" applyAlignment="1">
      <alignment horizontal="left" vertical="center" indent="1"/>
    </xf>
    <xf numFmtId="176" fontId="45" fillId="0" borderId="0" xfId="0" applyNumberFormat="1" applyFont="1" applyAlignment="1">
      <alignment vertical="center"/>
    </xf>
    <xf numFmtId="0" fontId="45" fillId="0" borderId="0" xfId="0" applyFont="1" applyAlignment="1">
      <alignment vertical="center"/>
    </xf>
    <xf numFmtId="175" fontId="12" fillId="0" borderId="0" xfId="0" applyNumberFormat="1" applyFont="1" applyAlignment="1">
      <alignment horizontal="center" vertical="center"/>
    </xf>
    <xf numFmtId="180" fontId="26" fillId="0" borderId="0" xfId="0" applyNumberFormat="1" applyFont="1" applyAlignment="1">
      <alignment horizontal="right" vertical="center"/>
    </xf>
    <xf numFmtId="0" fontId="12" fillId="0" borderId="18" xfId="0" applyFont="1" applyBorder="1" applyAlignment="1">
      <alignment horizontal="left" vertical="center" indent="1"/>
    </xf>
    <xf numFmtId="176" fontId="45" fillId="0" borderId="18" xfId="0" applyNumberFormat="1" applyFont="1" applyBorder="1" applyAlignment="1">
      <alignment vertical="center"/>
    </xf>
    <xf numFmtId="0" fontId="45" fillId="0" borderId="18" xfId="0" applyFont="1" applyBorder="1" applyAlignment="1">
      <alignment vertical="center"/>
    </xf>
    <xf numFmtId="175" fontId="12" fillId="0" borderId="18" xfId="0" applyNumberFormat="1" applyFont="1" applyBorder="1" applyAlignment="1">
      <alignment horizontal="center" vertical="center"/>
    </xf>
    <xf numFmtId="0" fontId="11" fillId="0" borderId="18" xfId="0" applyFont="1" applyBorder="1" applyAlignment="1">
      <alignment horizontal="left" vertical="center" indent="1"/>
    </xf>
    <xf numFmtId="0" fontId="42" fillId="0" borderId="0" xfId="0" applyFont="1" applyAlignment="1">
      <alignment horizontal="left" vertical="center" indent="3"/>
    </xf>
    <xf numFmtId="176" fontId="15" fillId="0" borderId="0" xfId="0" applyNumberFormat="1" applyFont="1" applyAlignment="1">
      <alignment vertical="center"/>
    </xf>
    <xf numFmtId="0" fontId="10" fillId="0" borderId="8" xfId="0" applyFont="1" applyBorder="1" applyAlignment="1">
      <alignment horizontal="left" vertical="center" indent="1"/>
    </xf>
    <xf numFmtId="0" fontId="10" fillId="5" borderId="8" xfId="0" applyFont="1" applyFill="1" applyBorder="1" applyAlignment="1">
      <alignment vertical="center"/>
    </xf>
    <xf numFmtId="180" fontId="6" fillId="5" borderId="8" xfId="0" applyNumberFormat="1" applyFont="1" applyFill="1" applyBorder="1" applyAlignment="1">
      <alignment horizontal="right" vertical="center"/>
    </xf>
    <xf numFmtId="0" fontId="7" fillId="0" borderId="0" xfId="0" applyFont="1" applyAlignment="1">
      <alignment vertical="center"/>
    </xf>
    <xf numFmtId="175" fontId="10" fillId="0" borderId="8" xfId="0" applyNumberFormat="1" applyFont="1" applyBorder="1" applyAlignment="1">
      <alignment horizontal="center" vertical="center"/>
    </xf>
    <xf numFmtId="180" fontId="6" fillId="0" borderId="8" xfId="0" applyNumberFormat="1" applyFont="1" applyBorder="1" applyAlignment="1">
      <alignment vertical="center"/>
    </xf>
    <xf numFmtId="0" fontId="10" fillId="0" borderId="0" xfId="0" applyFont="1" applyAlignment="1">
      <alignment horizontal="left" vertical="center" indent="2"/>
    </xf>
    <xf numFmtId="184" fontId="15" fillId="0" borderId="0" xfId="0" applyNumberFormat="1" applyFont="1" applyAlignment="1">
      <alignment horizontal="center" vertical="center"/>
    </xf>
    <xf numFmtId="180" fontId="6" fillId="0" borderId="0" xfId="0" applyNumberFormat="1" applyFont="1" applyAlignment="1">
      <alignment vertical="center"/>
    </xf>
    <xf numFmtId="0" fontId="10" fillId="0" borderId="8" xfId="0" applyFont="1" applyBorder="1" applyAlignment="1">
      <alignment horizontal="left" vertical="center" indent="2"/>
    </xf>
    <xf numFmtId="190" fontId="15" fillId="0" borderId="8" xfId="0" applyNumberFormat="1" applyFont="1" applyBorder="1" applyAlignment="1">
      <alignment vertical="center"/>
    </xf>
    <xf numFmtId="175" fontId="10" fillId="0" borderId="18" xfId="0" applyNumberFormat="1" applyFont="1" applyBorder="1" applyAlignment="1">
      <alignment horizontal="center" vertical="center"/>
    </xf>
    <xf numFmtId="0" fontId="6" fillId="0" borderId="18" xfId="0" applyFont="1" applyBorder="1" applyAlignment="1">
      <alignment vertical="center"/>
    </xf>
    <xf numFmtId="0" fontId="11" fillId="0" borderId="18" xfId="0" applyFont="1" applyBorder="1" applyAlignment="1">
      <alignment vertical="center"/>
    </xf>
    <xf numFmtId="180" fontId="45" fillId="0" borderId="0" xfId="0" applyNumberFormat="1" applyFont="1" applyAlignment="1">
      <alignment vertical="center"/>
    </xf>
    <xf numFmtId="179" fontId="15" fillId="0" borderId="0" xfId="0" applyNumberFormat="1" applyFont="1" applyAlignment="1">
      <alignment vertical="center"/>
    </xf>
    <xf numFmtId="173" fontId="15" fillId="0" borderId="0" xfId="0" applyNumberFormat="1" applyFont="1" applyAlignment="1">
      <alignment vertical="center"/>
    </xf>
    <xf numFmtId="179" fontId="6" fillId="0" borderId="0" xfId="0" applyNumberFormat="1" applyFont="1" applyAlignment="1">
      <alignment vertical="center"/>
    </xf>
    <xf numFmtId="178" fontId="15" fillId="0" borderId="0" xfId="0" applyNumberFormat="1" applyFont="1" applyAlignment="1">
      <alignment vertical="center"/>
    </xf>
    <xf numFmtId="176" fontId="10" fillId="0" borderId="0" xfId="0" applyNumberFormat="1" applyFont="1" applyAlignment="1">
      <alignment vertical="center"/>
    </xf>
    <xf numFmtId="192" fontId="10" fillId="0" borderId="0" xfId="0" applyNumberFormat="1" applyFont="1" applyAlignment="1">
      <alignment vertical="center"/>
    </xf>
    <xf numFmtId="175" fontId="11" fillId="0" borderId="18" xfId="0" applyNumberFormat="1" applyFont="1" applyBorder="1" applyAlignment="1">
      <alignment horizontal="center" vertical="center"/>
    </xf>
    <xf numFmtId="175" fontId="7" fillId="0" borderId="0" xfId="0" applyNumberFormat="1" applyFont="1" applyAlignment="1">
      <alignment vertical="center"/>
    </xf>
    <xf numFmtId="9" fontId="6" fillId="0" borderId="0" xfId="6" applyFont="1" applyAlignment="1">
      <alignment vertical="center"/>
    </xf>
    <xf numFmtId="176" fontId="11" fillId="0" borderId="0" xfId="0" applyNumberFormat="1" applyFont="1" applyAlignment="1">
      <alignment vertical="center"/>
    </xf>
    <xf numFmtId="175" fontId="6" fillId="0" borderId="8" xfId="0" applyNumberFormat="1" applyFont="1" applyBorder="1" applyAlignment="1">
      <alignment vertical="center"/>
    </xf>
    <xf numFmtId="176" fontId="11" fillId="0" borderId="16" xfId="0" applyNumberFormat="1" applyFont="1" applyBorder="1" applyAlignment="1">
      <alignment vertical="center"/>
    </xf>
    <xf numFmtId="175" fontId="11" fillId="0" borderId="16" xfId="0" applyNumberFormat="1" applyFont="1" applyBorder="1" applyAlignment="1">
      <alignment horizontal="center" vertical="center"/>
    </xf>
    <xf numFmtId="175" fontId="7" fillId="0" borderId="16" xfId="0" applyNumberFormat="1" applyFont="1" applyBorder="1" applyAlignment="1">
      <alignment vertical="center"/>
    </xf>
    <xf numFmtId="176" fontId="11" fillId="0" borderId="19" xfId="0" applyNumberFormat="1" applyFont="1" applyBorder="1" applyAlignment="1">
      <alignment vertical="center"/>
    </xf>
    <xf numFmtId="175" fontId="11" fillId="0" borderId="19" xfId="0" applyNumberFormat="1" applyFont="1" applyBorder="1" applyAlignment="1">
      <alignment horizontal="center" vertical="center"/>
    </xf>
    <xf numFmtId="175" fontId="7" fillId="0" borderId="19" xfId="0" applyNumberFormat="1" applyFont="1" applyBorder="1" applyAlignment="1">
      <alignment vertical="center"/>
    </xf>
    <xf numFmtId="175" fontId="10" fillId="0" borderId="5" xfId="0" applyNumberFormat="1" applyFont="1" applyBorder="1" applyAlignment="1">
      <alignment horizontal="center" vertical="center"/>
    </xf>
    <xf numFmtId="0" fontId="6" fillId="0" borderId="5" xfId="0" applyFont="1" applyBorder="1" applyAlignment="1">
      <alignment vertical="center"/>
    </xf>
    <xf numFmtId="0" fontId="46" fillId="0" borderId="0" xfId="0" applyFont="1" applyAlignment="1">
      <alignment horizontal="left" vertical="center" indent="1"/>
    </xf>
    <xf numFmtId="0" fontId="10" fillId="0" borderId="18" xfId="0" applyFont="1" applyBorder="1" applyAlignment="1">
      <alignment horizontal="left" vertical="center" indent="2"/>
    </xf>
    <xf numFmtId="175" fontId="10" fillId="0" borderId="16" xfId="0" applyNumberFormat="1" applyFont="1" applyBorder="1" applyAlignment="1">
      <alignment horizontal="center" vertical="center"/>
    </xf>
    <xf numFmtId="0" fontId="0" fillId="0" borderId="0" xfId="0" applyAlignment="1">
      <alignment vertical="center"/>
    </xf>
    <xf numFmtId="0" fontId="30" fillId="0" borderId="4" xfId="0" applyFont="1" applyBorder="1" applyAlignment="1">
      <alignment vertical="center"/>
    </xf>
    <xf numFmtId="0" fontId="30" fillId="0" borderId="5" xfId="0" applyFont="1" applyBorder="1" applyAlignment="1">
      <alignment vertical="center"/>
    </xf>
    <xf numFmtId="0" fontId="31" fillId="0" borderId="5" xfId="0" applyFont="1" applyBorder="1" applyAlignment="1">
      <alignment horizontal="left" vertical="center"/>
    </xf>
    <xf numFmtId="0" fontId="30" fillId="0" borderId="13" xfId="0" applyFont="1" applyBorder="1" applyAlignment="1">
      <alignment vertical="center"/>
    </xf>
    <xf numFmtId="0" fontId="30" fillId="0" borderId="0" xfId="0" applyFont="1" applyAlignment="1">
      <alignment vertical="center"/>
    </xf>
    <xf numFmtId="0" fontId="32" fillId="0" borderId="0" xfId="0" applyFont="1" applyAlignment="1">
      <alignment horizontal="center" vertical="center"/>
    </xf>
    <xf numFmtId="0" fontId="34" fillId="0" borderId="0" xfId="0" applyFont="1" applyAlignment="1">
      <alignment vertical="center"/>
    </xf>
    <xf numFmtId="0" fontId="30" fillId="0" borderId="13" xfId="0" applyFont="1" applyBorder="1" applyAlignment="1">
      <alignment horizontal="left" vertical="center"/>
    </xf>
    <xf numFmtId="0" fontId="33" fillId="0" borderId="0" xfId="57" applyFont="1" applyAlignment="1">
      <alignment vertical="center"/>
    </xf>
    <xf numFmtId="0" fontId="47" fillId="0" borderId="0" xfId="0" applyFont="1" applyAlignment="1">
      <alignment vertical="top" wrapText="1"/>
    </xf>
    <xf numFmtId="0" fontId="10" fillId="8" borderId="0" xfId="0" applyFont="1" applyFill="1" applyAlignment="1">
      <alignment vertical="center"/>
    </xf>
    <xf numFmtId="0" fontId="11" fillId="0" borderId="19" xfId="0" applyFont="1" applyBorder="1" applyAlignment="1">
      <alignment horizontal="left" vertical="center" indent="1"/>
    </xf>
    <xf numFmtId="0" fontId="11" fillId="8" borderId="0" xfId="0" applyFont="1" applyFill="1" applyAlignment="1">
      <alignment vertical="center"/>
    </xf>
    <xf numFmtId="0" fontId="28" fillId="8" borderId="0" xfId="0" applyFont="1" applyFill="1" applyAlignment="1">
      <alignment vertical="center"/>
    </xf>
    <xf numFmtId="0" fontId="46" fillId="0" borderId="0" xfId="0" applyFont="1" applyAlignment="1">
      <alignment horizontal="left" vertical="center" indent="2"/>
    </xf>
    <xf numFmtId="0" fontId="10" fillId="0" borderId="0" xfId="0" applyFont="1" applyAlignment="1">
      <alignment horizontal="left" vertical="center" indent="4"/>
    </xf>
    <xf numFmtId="0" fontId="10" fillId="0" borderId="8" xfId="0" applyFont="1" applyBorder="1" applyAlignment="1">
      <alignment horizontal="left" vertical="center" indent="4"/>
    </xf>
    <xf numFmtId="0" fontId="42" fillId="0" borderId="0" xfId="0" applyFont="1" applyAlignment="1">
      <alignment horizontal="left" vertical="center" indent="4"/>
    </xf>
    <xf numFmtId="0" fontId="10" fillId="0" borderId="16" xfId="0" applyFont="1" applyBorder="1" applyAlignment="1">
      <alignment horizontal="left" vertical="center" indent="2"/>
    </xf>
    <xf numFmtId="0" fontId="11" fillId="0" borderId="16" xfId="0" applyFont="1" applyBorder="1" applyAlignment="1">
      <alignment horizontal="left" vertical="center" indent="2"/>
    </xf>
    <xf numFmtId="0" fontId="11" fillId="0" borderId="19" xfId="0" applyFont="1" applyBorder="1" applyAlignment="1">
      <alignment horizontal="left" vertical="center" indent="2"/>
    </xf>
    <xf numFmtId="0" fontId="11" fillId="0" borderId="8" xfId="0" applyFont="1" applyBorder="1" applyAlignment="1">
      <alignment horizontal="left" vertical="center" indent="2"/>
    </xf>
    <xf numFmtId="0" fontId="11" fillId="0" borderId="5" xfId="0" applyFont="1" applyBorder="1" applyAlignment="1">
      <alignment horizontal="left" vertical="center" indent="2"/>
    </xf>
    <xf numFmtId="0" fontId="11" fillId="0" borderId="18" xfId="0" applyFont="1" applyBorder="1" applyAlignment="1">
      <alignment horizontal="left" vertical="center" indent="2"/>
    </xf>
    <xf numFmtId="0" fontId="10" fillId="8" borderId="0" xfId="0" applyFont="1" applyFill="1" applyAlignment="1">
      <alignment horizontal="center" vertical="center"/>
    </xf>
    <xf numFmtId="0" fontId="10" fillId="0" borderId="19" xfId="0" applyFont="1" applyBorder="1" applyAlignment="1">
      <alignment vertical="center"/>
    </xf>
    <xf numFmtId="3" fontId="10" fillId="0" borderId="16" xfId="0" applyNumberFormat="1" applyFont="1" applyBorder="1" applyAlignment="1">
      <alignment horizontal="center"/>
    </xf>
    <xf numFmtId="3" fontId="11" fillId="2" borderId="6" xfId="0" applyNumberFormat="1" applyFont="1" applyFill="1" applyBorder="1" applyAlignment="1">
      <alignment horizontal="center" vertical="center"/>
    </xf>
    <xf numFmtId="3" fontId="11" fillId="2" borderId="9" xfId="0" applyNumberFormat="1" applyFont="1" applyFill="1" applyBorder="1" applyAlignment="1">
      <alignment horizontal="center" vertical="center"/>
    </xf>
    <xf numFmtId="192" fontId="41" fillId="0" borderId="0" xfId="2" applyNumberFormat="1" applyFont="1" applyAlignment="1">
      <alignment horizontal="center" vertical="center"/>
    </xf>
    <xf numFmtId="180" fontId="41" fillId="0" borderId="11" xfId="2" applyNumberFormat="1" applyFont="1" applyBorder="1" applyAlignment="1">
      <alignment horizontal="center" vertical="center"/>
    </xf>
    <xf numFmtId="180" fontId="41" fillId="0" borderId="0" xfId="2" applyNumberFormat="1" applyFont="1" applyAlignment="1">
      <alignment horizontal="center" vertical="center"/>
    </xf>
    <xf numFmtId="3" fontId="10" fillId="0" borderId="0" xfId="0" applyNumberFormat="1" applyFont="1"/>
    <xf numFmtId="9" fontId="10" fillId="0" borderId="15" xfId="0" applyNumberFormat="1" applyFont="1" applyBorder="1" applyAlignment="1">
      <alignment horizontal="center"/>
    </xf>
    <xf numFmtId="180" fontId="6" fillId="0" borderId="5" xfId="2" applyNumberFormat="1" applyFont="1" applyBorder="1" applyAlignment="1">
      <alignment horizontal="center" vertical="center"/>
    </xf>
    <xf numFmtId="180" fontId="6" fillId="0" borderId="0" xfId="2" applyNumberFormat="1" applyFont="1" applyAlignment="1">
      <alignment horizontal="center" vertical="center"/>
    </xf>
    <xf numFmtId="180" fontId="6" fillId="0" borderId="8" xfId="2" applyNumberFormat="1" applyFont="1" applyBorder="1" applyAlignment="1">
      <alignment horizontal="center" vertical="center"/>
    </xf>
    <xf numFmtId="180" fontId="41" fillId="0" borderId="8" xfId="2" applyNumberFormat="1" applyFont="1" applyBorder="1" applyAlignment="1">
      <alignment horizontal="center" vertical="center"/>
    </xf>
    <xf numFmtId="9" fontId="10" fillId="0" borderId="5" xfId="0" applyNumberFormat="1" applyFont="1" applyBorder="1" applyAlignment="1">
      <alignment horizontal="center"/>
    </xf>
    <xf numFmtId="9" fontId="10" fillId="0" borderId="8" xfId="0" applyNumberFormat="1" applyFont="1" applyBorder="1" applyAlignment="1">
      <alignment horizontal="center"/>
    </xf>
    <xf numFmtId="181" fontId="25" fillId="0" borderId="0" xfId="0" applyNumberFormat="1" applyFont="1" applyAlignment="1">
      <alignment vertical="center"/>
    </xf>
    <xf numFmtId="180" fontId="25" fillId="0" borderId="0" xfId="0" applyNumberFormat="1" applyFont="1" applyAlignment="1">
      <alignment vertical="center"/>
    </xf>
    <xf numFmtId="176" fontId="6" fillId="0" borderId="0" xfId="0" applyNumberFormat="1" applyFont="1" applyAlignment="1">
      <alignment vertical="center"/>
    </xf>
    <xf numFmtId="182" fontId="6" fillId="0" borderId="0" xfId="6" applyNumberFormat="1" applyFont="1" applyBorder="1" applyAlignment="1">
      <alignment vertical="center"/>
    </xf>
    <xf numFmtId="200" fontId="10" fillId="0" borderId="0" xfId="0" applyNumberFormat="1" applyFont="1" applyAlignment="1">
      <alignment horizontal="right" vertical="center"/>
    </xf>
    <xf numFmtId="200" fontId="17" fillId="0" borderId="0" xfId="0" applyNumberFormat="1" applyFont="1" applyAlignment="1">
      <alignment horizontal="right" vertical="center"/>
    </xf>
    <xf numFmtId="178" fontId="48" fillId="0" borderId="0" xfId="0" applyNumberFormat="1" applyFont="1" applyAlignment="1">
      <alignment vertical="center"/>
    </xf>
    <xf numFmtId="178" fontId="11" fillId="0" borderId="0" xfId="0" applyNumberFormat="1" applyFont="1" applyAlignment="1">
      <alignment vertical="center"/>
    </xf>
    <xf numFmtId="0" fontId="6" fillId="0" borderId="0" xfId="0" applyFont="1" applyAlignment="1">
      <alignment horizontal="right" vertical="center"/>
    </xf>
    <xf numFmtId="0" fontId="10" fillId="0" borderId="0" xfId="0" applyFont="1" applyAlignment="1">
      <alignment horizontal="left" vertical="center"/>
    </xf>
    <xf numFmtId="173" fontId="11" fillId="0" borderId="0" xfId="0" applyNumberFormat="1" applyFont="1" applyAlignment="1">
      <alignment vertical="center"/>
    </xf>
    <xf numFmtId="0" fontId="11" fillId="5" borderId="0" xfId="0" applyFont="1" applyFill="1" applyAlignment="1">
      <alignment vertical="center"/>
    </xf>
    <xf numFmtId="0" fontId="14" fillId="0" borderId="0" xfId="0" applyFont="1" applyAlignment="1">
      <alignment horizontal="right" vertical="center"/>
    </xf>
    <xf numFmtId="185" fontId="26" fillId="0" borderId="0" xfId="0" applyNumberFormat="1" applyFont="1" applyAlignment="1">
      <alignment horizontal="right" vertical="center"/>
    </xf>
    <xf numFmtId="193" fontId="10" fillId="0" borderId="0" xfId="0" applyNumberFormat="1" applyFont="1" applyAlignment="1">
      <alignment vertical="center"/>
    </xf>
    <xf numFmtId="0" fontId="10" fillId="0" borderId="14" xfId="0" applyFont="1" applyBorder="1" applyAlignment="1">
      <alignment vertical="center"/>
    </xf>
    <xf numFmtId="0" fontId="6" fillId="0" borderId="13" xfId="0" applyFont="1" applyBorder="1" applyAlignment="1">
      <alignment horizontal="left" vertical="center"/>
    </xf>
    <xf numFmtId="0" fontId="7" fillId="7" borderId="4" xfId="1" applyFont="1" applyFill="1" applyBorder="1" applyAlignment="1">
      <alignment horizontal="left" vertical="center"/>
    </xf>
    <xf numFmtId="0" fontId="7" fillId="7" borderId="5" xfId="1" applyFont="1" applyFill="1" applyBorder="1" applyAlignment="1">
      <alignment horizontal="left" vertical="center"/>
    </xf>
    <xf numFmtId="0" fontId="7" fillId="7" borderId="6" xfId="1" applyFont="1" applyFill="1" applyBorder="1" applyAlignment="1">
      <alignment horizontal="centerContinuous" vertical="center"/>
    </xf>
    <xf numFmtId="0" fontId="11" fillId="3" borderId="15" xfId="0" applyFont="1" applyFill="1" applyBorder="1" applyAlignment="1">
      <alignment vertical="center"/>
    </xf>
    <xf numFmtId="9" fontId="11" fillId="3" borderId="17" xfId="0" applyNumberFormat="1" applyFont="1" applyFill="1" applyBorder="1" applyAlignment="1">
      <alignment vertical="center"/>
    </xf>
    <xf numFmtId="0" fontId="7" fillId="0" borderId="4" xfId="1" applyFont="1" applyBorder="1" applyAlignment="1">
      <alignment horizontal="left" vertical="center"/>
    </xf>
    <xf numFmtId="0" fontId="7" fillId="0" borderId="5" xfId="1" applyFont="1" applyBorder="1" applyAlignment="1">
      <alignment horizontal="left" vertical="center"/>
    </xf>
    <xf numFmtId="0" fontId="7" fillId="0" borderId="6" xfId="1" applyFont="1" applyBorder="1" applyAlignment="1">
      <alignment horizontal="centerContinuous" vertical="center"/>
    </xf>
    <xf numFmtId="0" fontId="51" fillId="0" borderId="0" xfId="0" applyFont="1" applyAlignment="1">
      <alignment horizontal="right" vertical="center"/>
    </xf>
    <xf numFmtId="0" fontId="51" fillId="0" borderId="14" xfId="0" applyFont="1" applyBorder="1" applyAlignment="1">
      <alignment horizontal="right" vertical="center"/>
    </xf>
    <xf numFmtId="178" fontId="49" fillId="0" borderId="0" xfId="0" applyNumberFormat="1" applyFont="1" applyAlignment="1">
      <alignment horizontal="right" vertical="center"/>
    </xf>
    <xf numFmtId="178" fontId="41" fillId="0" borderId="0" xfId="0" applyNumberFormat="1" applyFont="1" applyAlignment="1">
      <alignment horizontal="right" vertical="center"/>
    </xf>
    <xf numFmtId="174" fontId="6" fillId="0" borderId="0" xfId="0" applyNumberFormat="1" applyFont="1" applyAlignment="1">
      <alignment horizontal="right" vertical="center"/>
    </xf>
    <xf numFmtId="194" fontId="6" fillId="0" borderId="14" xfId="0" applyNumberFormat="1" applyFont="1" applyBorder="1" applyAlignment="1">
      <alignment horizontal="right" vertical="center"/>
    </xf>
    <xf numFmtId="178" fontId="13" fillId="0" borderId="0" xfId="0" applyNumberFormat="1" applyFont="1" applyAlignment="1">
      <alignment horizontal="right" vertical="center"/>
    </xf>
    <xf numFmtId="180" fontId="6" fillId="0" borderId="0" xfId="2" applyNumberFormat="1" applyFont="1" applyAlignment="1">
      <alignment horizontal="right" vertical="center"/>
    </xf>
    <xf numFmtId="0" fontId="10" fillId="0" borderId="13" xfId="0" applyFont="1" applyBorder="1" applyAlignment="1">
      <alignment horizontal="left" vertical="center" indent="1"/>
    </xf>
    <xf numFmtId="0" fontId="10" fillId="0" borderId="13" xfId="0" applyFont="1" applyBorder="1" applyAlignment="1">
      <alignment horizontal="left" vertical="center" indent="2"/>
    </xf>
    <xf numFmtId="178" fontId="6" fillId="0" borderId="0" xfId="0" applyNumberFormat="1" applyFont="1" applyAlignment="1">
      <alignment vertical="center"/>
    </xf>
    <xf numFmtId="185" fontId="6" fillId="5" borderId="3" xfId="0" applyNumberFormat="1" applyFont="1" applyFill="1" applyBorder="1" applyAlignment="1">
      <alignment horizontal="center" vertical="center"/>
    </xf>
    <xf numFmtId="203" fontId="25" fillId="0" borderId="0" xfId="58" applyNumberFormat="1" applyFont="1" applyFill="1" applyBorder="1" applyAlignment="1">
      <alignment horizontal="right" vertical="center"/>
    </xf>
    <xf numFmtId="203" fontId="6" fillId="0" borderId="0" xfId="58" applyNumberFormat="1" applyFont="1" applyFill="1" applyBorder="1" applyAlignment="1">
      <alignment horizontal="right" vertical="center"/>
    </xf>
    <xf numFmtId="0" fontId="12" fillId="0" borderId="13" xfId="0" applyFont="1" applyBorder="1" applyAlignment="1">
      <alignment horizontal="left" vertical="center" indent="1"/>
    </xf>
    <xf numFmtId="184" fontId="26" fillId="0" borderId="14" xfId="0" applyNumberFormat="1" applyFont="1" applyBorder="1" applyAlignment="1">
      <alignment horizontal="right" vertical="center"/>
    </xf>
    <xf numFmtId="0" fontId="7" fillId="7" borderId="15" xfId="1" applyFont="1" applyFill="1" applyBorder="1" applyAlignment="1">
      <alignment horizontal="left" vertical="center"/>
    </xf>
    <xf numFmtId="0" fontId="7" fillId="7" borderId="16" xfId="1" applyFont="1" applyFill="1" applyBorder="1" applyAlignment="1">
      <alignment horizontal="left" vertical="center"/>
    </xf>
    <xf numFmtId="0" fontId="7" fillId="7" borderId="17" xfId="1" applyFont="1" applyFill="1" applyBorder="1" applyAlignment="1">
      <alignment horizontal="centerContinuous" vertical="center"/>
    </xf>
    <xf numFmtId="0" fontId="6" fillId="0" borderId="0" xfId="3" applyFont="1"/>
    <xf numFmtId="203" fontId="6" fillId="0" borderId="14" xfId="58" applyNumberFormat="1" applyFont="1" applyFill="1" applyBorder="1" applyAlignment="1">
      <alignment horizontal="right" vertical="center"/>
    </xf>
    <xf numFmtId="0" fontId="46" fillId="0" borderId="13" xfId="0" applyFont="1" applyBorder="1" applyAlignment="1">
      <alignment vertical="center"/>
    </xf>
    <xf numFmtId="0" fontId="7" fillId="0" borderId="14" xfId="1" applyFont="1" applyBorder="1" applyAlignment="1">
      <alignment horizontal="centerContinuous" vertical="center"/>
    </xf>
    <xf numFmtId="0" fontId="10" fillId="0" borderId="7" xfId="0" applyFont="1" applyBorder="1" applyAlignment="1">
      <alignment horizontal="left" vertical="center" indent="1"/>
    </xf>
    <xf numFmtId="0" fontId="46" fillId="0" borderId="0" xfId="0" applyFont="1" applyAlignment="1">
      <alignment vertical="center"/>
    </xf>
    <xf numFmtId="167" fontId="6" fillId="0" borderId="13" xfId="32" applyFont="1" applyFill="1" applyBorder="1" applyAlignment="1">
      <alignment horizontal="center" vertical="center"/>
    </xf>
    <xf numFmtId="167" fontId="6" fillId="0" borderId="7" xfId="32" applyFont="1" applyFill="1" applyBorder="1" applyAlignment="1">
      <alignment horizontal="center" vertical="center"/>
    </xf>
    <xf numFmtId="0" fontId="10" fillId="0" borderId="4" xfId="0" applyFont="1" applyBorder="1" applyAlignment="1">
      <alignment vertical="center"/>
    </xf>
    <xf numFmtId="0" fontId="10" fillId="0" borderId="6" xfId="0" applyFont="1" applyBorder="1" applyAlignment="1">
      <alignment vertical="center"/>
    </xf>
    <xf numFmtId="185" fontId="25" fillId="0" borderId="2" xfId="2" applyNumberFormat="1" applyFont="1" applyBorder="1" applyAlignment="1">
      <alignment horizontal="right" vertical="center"/>
    </xf>
    <xf numFmtId="188" fontId="43" fillId="0" borderId="0" xfId="0" applyNumberFormat="1" applyFont="1" applyAlignment="1">
      <alignment horizontal="center" vertical="center"/>
    </xf>
    <xf numFmtId="180" fontId="6" fillId="0" borderId="13" xfId="2" applyNumberFormat="1" applyFont="1" applyBorder="1" applyAlignment="1">
      <alignment horizontal="center" vertical="center"/>
    </xf>
    <xf numFmtId="180" fontId="6" fillId="0" borderId="7" xfId="2" applyNumberFormat="1" applyFont="1" applyBorder="1" applyAlignment="1">
      <alignment horizontal="center" vertical="center"/>
    </xf>
    <xf numFmtId="175" fontId="7" fillId="0" borderId="0" xfId="2" applyNumberFormat="1" applyFont="1" applyAlignment="1">
      <alignment horizontal="center" vertical="center"/>
    </xf>
    <xf numFmtId="180" fontId="7" fillId="0" borderId="13" xfId="2" applyNumberFormat="1" applyFont="1" applyBorder="1" applyAlignment="1">
      <alignment horizontal="center" vertical="center"/>
    </xf>
    <xf numFmtId="9" fontId="6" fillId="0" borderId="6" xfId="2" applyNumberFormat="1" applyFont="1" applyBorder="1" applyAlignment="1">
      <alignment horizontal="center" vertical="center"/>
    </xf>
    <xf numFmtId="180" fontId="6" fillId="0" borderId="4" xfId="2" applyNumberFormat="1" applyFont="1" applyBorder="1" applyAlignment="1">
      <alignment horizontal="center" vertical="center"/>
    </xf>
    <xf numFmtId="180" fontId="6" fillId="0" borderId="6" xfId="2" applyNumberFormat="1" applyFont="1" applyBorder="1" applyAlignment="1">
      <alignment horizontal="center" vertical="center"/>
    </xf>
    <xf numFmtId="180" fontId="6" fillId="0" borderId="14" xfId="2" applyNumberFormat="1" applyFont="1" applyBorder="1" applyAlignment="1">
      <alignment horizontal="center" vertical="center"/>
    </xf>
    <xf numFmtId="180" fontId="6" fillId="0" borderId="9" xfId="2" applyNumberFormat="1" applyFont="1" applyBorder="1" applyAlignment="1">
      <alignment horizontal="center" vertical="center"/>
    </xf>
    <xf numFmtId="0" fontId="11" fillId="5" borderId="13" xfId="0" applyFont="1" applyFill="1" applyBorder="1" applyAlignment="1">
      <alignment vertical="center"/>
    </xf>
    <xf numFmtId="4" fontId="11" fillId="5" borderId="0" xfId="0" applyNumberFormat="1" applyFont="1" applyFill="1" applyAlignment="1">
      <alignment horizontal="right" vertical="center"/>
    </xf>
    <xf numFmtId="3" fontId="11" fillId="5" borderId="0" xfId="0" applyNumberFormat="1" applyFont="1" applyFill="1" applyAlignment="1">
      <alignment horizontal="right" vertical="center"/>
    </xf>
    <xf numFmtId="175" fontId="25" fillId="0" borderId="3" xfId="0" applyNumberFormat="1" applyFont="1" applyBorder="1" applyAlignment="1">
      <alignment horizontal="center" vertical="center"/>
    </xf>
    <xf numFmtId="175" fontId="17" fillId="0" borderId="3" xfId="0" applyNumberFormat="1" applyFont="1" applyBorder="1" applyAlignment="1">
      <alignment horizontal="right" vertical="center"/>
    </xf>
    <xf numFmtId="203" fontId="6" fillId="0" borderId="0" xfId="58" applyNumberFormat="1" applyFont="1" applyFill="1" applyBorder="1" applyAlignment="1">
      <alignment horizontal="center" vertical="center"/>
    </xf>
    <xf numFmtId="203" fontId="25" fillId="0" borderId="3" xfId="58" applyNumberFormat="1" applyFont="1" applyFill="1" applyBorder="1" applyAlignment="1">
      <alignment horizontal="center" vertical="center"/>
    </xf>
    <xf numFmtId="180" fontId="6" fillId="0" borderId="0" xfId="0" applyNumberFormat="1" applyFont="1" applyAlignment="1">
      <alignment horizontal="right"/>
    </xf>
    <xf numFmtId="180" fontId="6" fillId="0" borderId="8" xfId="0" applyNumberFormat="1" applyFont="1" applyBorder="1" applyAlignment="1">
      <alignment horizontal="right"/>
    </xf>
    <xf numFmtId="175" fontId="17" fillId="0" borderId="24" xfId="0" applyNumberFormat="1" applyFont="1" applyBorder="1" applyAlignment="1">
      <alignment horizontal="right" vertical="center"/>
    </xf>
    <xf numFmtId="180" fontId="7" fillId="0" borderId="18" xfId="0" applyNumberFormat="1" applyFont="1" applyBorder="1" applyAlignment="1">
      <alignment horizontal="right" vertical="center"/>
    </xf>
    <xf numFmtId="180" fontId="42" fillId="0" borderId="0" xfId="0" applyNumberFormat="1" applyFont="1" applyAlignment="1">
      <alignment horizontal="right" vertical="center"/>
    </xf>
    <xf numFmtId="0" fontId="52" fillId="0" borderId="13" xfId="0" applyFont="1" applyBorder="1" applyAlignment="1">
      <alignment horizontal="left" vertical="center"/>
    </xf>
    <xf numFmtId="185" fontId="25" fillId="5" borderId="0" xfId="0" applyNumberFormat="1" applyFont="1" applyFill="1" applyAlignment="1">
      <alignment horizontal="center" vertical="center"/>
    </xf>
    <xf numFmtId="180" fontId="41" fillId="0" borderId="0" xfId="0" applyNumberFormat="1" applyFont="1" applyAlignment="1">
      <alignment horizontal="right"/>
    </xf>
    <xf numFmtId="175" fontId="25" fillId="0" borderId="10" xfId="0" applyNumberFormat="1" applyFont="1" applyBorder="1" applyAlignment="1">
      <alignment horizontal="center" vertical="center"/>
    </xf>
    <xf numFmtId="175" fontId="25" fillId="0" borderId="12" xfId="0" applyNumberFormat="1" applyFont="1" applyBorder="1" applyAlignment="1">
      <alignment horizontal="center" vertical="center"/>
    </xf>
    <xf numFmtId="0" fontId="11" fillId="0" borderId="0" xfId="0" applyFont="1"/>
    <xf numFmtId="0" fontId="6" fillId="8" borderId="0" xfId="0" applyFont="1" applyFill="1" applyAlignment="1">
      <alignment vertical="center"/>
    </xf>
    <xf numFmtId="170" fontId="10" fillId="0" borderId="0" xfId="0" applyNumberFormat="1" applyFont="1" applyAlignment="1">
      <alignment horizontal="center" vertical="center"/>
    </xf>
    <xf numFmtId="170" fontId="10" fillId="9" borderId="0" xfId="0" applyNumberFormat="1" applyFont="1" applyFill="1" applyAlignment="1">
      <alignment horizontal="center" vertical="center"/>
    </xf>
    <xf numFmtId="170" fontId="29" fillId="9" borderId="0" xfId="0" applyNumberFormat="1" applyFont="1" applyFill="1" applyAlignment="1">
      <alignment horizontal="left" vertical="center"/>
    </xf>
    <xf numFmtId="175" fontId="17" fillId="0" borderId="15" xfId="0" applyNumberFormat="1" applyFont="1" applyBorder="1" applyAlignment="1">
      <alignment horizontal="right" vertical="center"/>
    </xf>
    <xf numFmtId="180" fontId="25" fillId="0" borderId="0" xfId="0" applyNumberFormat="1" applyFont="1" applyAlignment="1">
      <alignment horizontal="right"/>
    </xf>
    <xf numFmtId="175" fontId="25" fillId="0" borderId="23" xfId="0" applyNumberFormat="1" applyFont="1" applyBorder="1" applyAlignment="1">
      <alignment horizontal="center" vertical="center"/>
    </xf>
    <xf numFmtId="9" fontId="6" fillId="0" borderId="10" xfId="2" applyNumberFormat="1" applyFont="1" applyBorder="1" applyAlignment="1">
      <alignment horizontal="center" vertical="center"/>
    </xf>
    <xf numFmtId="175" fontId="17" fillId="0" borderId="12" xfId="0" applyNumberFormat="1" applyFont="1" applyBorder="1" applyAlignment="1">
      <alignment horizontal="right" vertical="center"/>
    </xf>
    <xf numFmtId="0" fontId="7" fillId="9" borderId="0" xfId="0" applyFont="1" applyFill="1" applyAlignment="1">
      <alignment vertical="center"/>
    </xf>
    <xf numFmtId="0" fontId="10" fillId="9" borderId="0" xfId="0" applyFont="1" applyFill="1" applyAlignment="1">
      <alignment vertical="center"/>
    </xf>
    <xf numFmtId="0" fontId="10" fillId="9" borderId="0" xfId="0" applyFont="1" applyFill="1" applyAlignment="1">
      <alignment horizontal="center" vertical="center"/>
    </xf>
    <xf numFmtId="0" fontId="6" fillId="9" borderId="0" xfId="0" applyFont="1" applyFill="1" applyAlignment="1">
      <alignment vertical="center"/>
    </xf>
    <xf numFmtId="192" fontId="25" fillId="0" borderId="3" xfId="0" applyNumberFormat="1" applyFont="1" applyBorder="1" applyAlignment="1">
      <alignment horizontal="center"/>
    </xf>
    <xf numFmtId="0" fontId="27" fillId="0" borderId="0" xfId="0" applyFont="1" applyAlignment="1">
      <alignment horizontal="right" vertical="center"/>
    </xf>
    <xf numFmtId="0" fontId="27" fillId="0" borderId="14" xfId="0" applyFont="1" applyBorder="1" applyAlignment="1">
      <alignment horizontal="right" vertical="center"/>
    </xf>
    <xf numFmtId="205" fontId="6" fillId="0" borderId="0" xfId="0" applyNumberFormat="1" applyFont="1" applyAlignment="1">
      <alignment vertical="center"/>
    </xf>
    <xf numFmtId="205" fontId="6" fillId="0" borderId="8" xfId="0" applyNumberFormat="1" applyFont="1" applyBorder="1" applyAlignment="1">
      <alignment vertical="center"/>
    </xf>
    <xf numFmtId="180" fontId="17" fillId="0" borderId="3" xfId="0" applyNumberFormat="1" applyFont="1" applyBorder="1" applyAlignment="1">
      <alignment horizontal="right"/>
    </xf>
    <xf numFmtId="180" fontId="42" fillId="0" borderId="0" xfId="0" applyNumberFormat="1" applyFont="1" applyAlignment="1">
      <alignment vertical="center"/>
    </xf>
    <xf numFmtId="180" fontId="25" fillId="0" borderId="3" xfId="0" applyNumberFormat="1" applyFont="1" applyBorder="1" applyAlignment="1">
      <alignment horizontal="center"/>
    </xf>
    <xf numFmtId="192" fontId="6" fillId="0" borderId="16" xfId="0" applyNumberFormat="1" applyFont="1" applyBorder="1" applyAlignment="1">
      <alignment vertical="center"/>
    </xf>
    <xf numFmtId="186" fontId="51" fillId="0" borderId="0" xfId="0" applyNumberFormat="1" applyFont="1" applyAlignment="1">
      <alignment horizontal="right" vertical="center"/>
    </xf>
    <xf numFmtId="9" fontId="42" fillId="0" borderId="0" xfId="0" applyNumberFormat="1" applyFont="1" applyAlignment="1">
      <alignment vertical="center"/>
    </xf>
    <xf numFmtId="9" fontId="41" fillId="0" borderId="0" xfId="0" applyNumberFormat="1" applyFont="1" applyAlignment="1">
      <alignment horizontal="center" vertical="center"/>
    </xf>
    <xf numFmtId="0" fontId="11" fillId="0" borderId="0" xfId="0" applyFont="1" applyAlignment="1">
      <alignment horizontal="left" vertical="center" indent="2"/>
    </xf>
    <xf numFmtId="192" fontId="6" fillId="0" borderId="0" xfId="0" applyNumberFormat="1" applyFont="1" applyAlignment="1">
      <alignment vertical="center"/>
    </xf>
    <xf numFmtId="0" fontId="41" fillId="4" borderId="3" xfId="0" applyFont="1" applyFill="1" applyBorder="1" applyAlignment="1">
      <alignment horizontal="right" vertical="center"/>
    </xf>
    <xf numFmtId="179" fontId="15" fillId="0" borderId="16" xfId="0" applyNumberFormat="1" applyFont="1" applyBorder="1" applyAlignment="1">
      <alignment vertical="center"/>
    </xf>
    <xf numFmtId="173" fontId="15" fillId="0" borderId="16" xfId="0" applyNumberFormat="1" applyFont="1" applyBorder="1" applyAlignment="1">
      <alignment vertical="center"/>
    </xf>
    <xf numFmtId="196" fontId="8" fillId="0" borderId="0" xfId="0" applyNumberFormat="1" applyFont="1" applyAlignment="1">
      <alignment vertical="center"/>
    </xf>
    <xf numFmtId="173" fontId="25" fillId="0" borderId="3" xfId="0" applyNumberFormat="1" applyFont="1" applyBorder="1" applyAlignment="1">
      <alignment horizontal="center" vertical="center"/>
    </xf>
    <xf numFmtId="175" fontId="6" fillId="0" borderId="18" xfId="0" applyNumberFormat="1" applyFont="1" applyBorder="1" applyAlignment="1">
      <alignment vertical="center"/>
    </xf>
    <xf numFmtId="183" fontId="10" fillId="0" borderId="14" xfId="0" applyNumberFormat="1" applyFont="1" applyBorder="1" applyAlignment="1">
      <alignment horizontal="right" vertical="center"/>
    </xf>
    <xf numFmtId="0" fontId="10" fillId="0" borderId="11" xfId="0" applyFont="1" applyBorder="1" applyAlignment="1">
      <alignment vertical="center"/>
    </xf>
    <xf numFmtId="0" fontId="7" fillId="6" borderId="0" xfId="0" applyFont="1" applyFill="1" applyAlignment="1">
      <alignment vertical="center"/>
    </xf>
    <xf numFmtId="0" fontId="7" fillId="6" borderId="0" xfId="0" applyFont="1" applyFill="1" applyAlignment="1">
      <alignment horizontal="left" vertical="center" indent="1"/>
    </xf>
    <xf numFmtId="204" fontId="7" fillId="3" borderId="16" xfId="0" applyNumberFormat="1" applyFont="1" applyFill="1" applyBorder="1" applyAlignment="1">
      <alignment vertical="center"/>
    </xf>
    <xf numFmtId="205" fontId="7" fillId="3" borderId="8" xfId="0" applyNumberFormat="1" applyFont="1" applyFill="1" applyBorder="1" applyAlignment="1">
      <alignment vertical="center"/>
    </xf>
    <xf numFmtId="180" fontId="7" fillId="0" borderId="19" xfId="0" applyNumberFormat="1" applyFont="1" applyBorder="1" applyAlignment="1">
      <alignment vertical="center"/>
    </xf>
    <xf numFmtId="0" fontId="53" fillId="8" borderId="0" xfId="0" applyFont="1" applyFill="1" applyAlignment="1">
      <alignment horizontal="left" vertical="center" indent="1"/>
    </xf>
    <xf numFmtId="0" fontId="54" fillId="8" borderId="0" xfId="0" applyFont="1" applyFill="1" applyAlignment="1">
      <alignment horizontal="left" vertical="center" indent="3"/>
    </xf>
    <xf numFmtId="10" fontId="25" fillId="0" borderId="3" xfId="0" applyNumberFormat="1" applyFont="1" applyBorder="1" applyAlignment="1">
      <alignment horizontal="center" vertical="center"/>
    </xf>
    <xf numFmtId="10" fontId="25" fillId="0" borderId="25" xfId="0" applyNumberFormat="1" applyFont="1" applyBorder="1" applyAlignment="1">
      <alignment horizontal="center" vertical="center"/>
    </xf>
    <xf numFmtId="180" fontId="6" fillId="0" borderId="18" xfId="0" applyNumberFormat="1" applyFont="1" applyBorder="1" applyAlignment="1">
      <alignment vertical="center"/>
    </xf>
    <xf numFmtId="175" fontId="17" fillId="0" borderId="26" xfId="0" applyNumberFormat="1" applyFont="1" applyBorder="1" applyAlignment="1">
      <alignment horizontal="right" vertical="center"/>
    </xf>
    <xf numFmtId="180" fontId="7" fillId="0" borderId="18" xfId="0" applyNumberFormat="1" applyFont="1" applyBorder="1" applyAlignment="1">
      <alignment vertical="center"/>
    </xf>
    <xf numFmtId="175" fontId="17" fillId="0" borderId="27" xfId="0" applyNumberFormat="1" applyFont="1" applyBorder="1" applyAlignment="1">
      <alignment horizontal="right" vertical="center"/>
    </xf>
    <xf numFmtId="0" fontId="7" fillId="0" borderId="13" xfId="1" applyFont="1" applyBorder="1" applyAlignment="1">
      <alignment horizontal="left" vertical="center"/>
    </xf>
    <xf numFmtId="3" fontId="6" fillId="0" borderId="14" xfId="0" applyNumberFormat="1" applyFont="1" applyBorder="1" applyAlignment="1">
      <alignment horizontal="right" vertical="center"/>
    </xf>
    <xf numFmtId="9" fontId="10" fillId="0" borderId="0" xfId="0" applyNumberFormat="1" applyFont="1" applyAlignment="1">
      <alignment horizontal="center" vertical="center"/>
    </xf>
    <xf numFmtId="0" fontId="27" fillId="0" borderId="13" xfId="0" applyFont="1" applyBorder="1" applyAlignment="1">
      <alignment vertical="center"/>
    </xf>
    <xf numFmtId="180" fontId="25" fillId="0" borderId="8" xfId="0" applyNumberFormat="1" applyFont="1" applyBorder="1" applyAlignment="1">
      <alignment vertical="center"/>
    </xf>
    <xf numFmtId="0" fontId="11" fillId="0" borderId="13" xfId="0" applyFont="1" applyBorder="1" applyAlignment="1">
      <alignment horizontal="left" vertical="center"/>
    </xf>
    <xf numFmtId="4" fontId="40" fillId="0" borderId="0" xfId="0" applyNumberFormat="1" applyFont="1" applyAlignment="1">
      <alignment horizontal="center"/>
    </xf>
    <xf numFmtId="192" fontId="6" fillId="2" borderId="16" xfId="2" applyNumberFormat="1" applyFont="1" applyFill="1" applyBorder="1" applyAlignment="1">
      <alignment horizontal="center" vertical="center"/>
    </xf>
    <xf numFmtId="3" fontId="11" fillId="2" borderId="3" xfId="0" applyNumberFormat="1" applyFont="1" applyFill="1" applyBorder="1" applyAlignment="1">
      <alignment horizontal="center" vertical="center"/>
    </xf>
    <xf numFmtId="180" fontId="6" fillId="2" borderId="16" xfId="2" applyNumberFormat="1" applyFont="1" applyFill="1" applyBorder="1" applyAlignment="1">
      <alignment horizontal="center" vertical="center"/>
    </xf>
    <xf numFmtId="9" fontId="10" fillId="0" borderId="16" xfId="0" applyNumberFormat="1" applyFont="1" applyBorder="1" applyAlignment="1">
      <alignment horizontal="center"/>
    </xf>
    <xf numFmtId="9" fontId="10" fillId="0" borderId="0" xfId="0" applyNumberFormat="1" applyFont="1" applyAlignment="1">
      <alignment horizontal="center"/>
    </xf>
    <xf numFmtId="185" fontId="41" fillId="0" borderId="0" xfId="2" applyNumberFormat="1" applyFont="1" applyAlignment="1">
      <alignment horizontal="center" vertical="center"/>
    </xf>
    <xf numFmtId="178" fontId="7" fillId="0" borderId="0" xfId="0" applyNumberFormat="1" applyFont="1" applyAlignment="1">
      <alignment vertical="center"/>
    </xf>
    <xf numFmtId="9" fontId="41" fillId="4" borderId="3" xfId="0" applyNumberFormat="1" applyFont="1" applyFill="1" applyBorder="1" applyAlignment="1">
      <alignment vertical="center"/>
    </xf>
    <xf numFmtId="3" fontId="41" fillId="4" borderId="3" xfId="0" applyNumberFormat="1" applyFont="1" applyFill="1" applyBorder="1" applyAlignment="1">
      <alignment vertical="center"/>
    </xf>
    <xf numFmtId="180" fontId="6" fillId="0" borderId="16" xfId="2" applyNumberFormat="1" applyFont="1" applyBorder="1" applyAlignment="1">
      <alignment horizontal="center" vertical="center"/>
    </xf>
    <xf numFmtId="180" fontId="6" fillId="0" borderId="17" xfId="2" applyNumberFormat="1" applyFont="1" applyBorder="1" applyAlignment="1">
      <alignment horizontal="center" vertical="center"/>
    </xf>
    <xf numFmtId="9" fontId="6" fillId="0" borderId="16" xfId="2" applyNumberFormat="1" applyFont="1" applyBorder="1" applyAlignment="1">
      <alignment horizontal="center" vertical="center"/>
    </xf>
    <xf numFmtId="3" fontId="10" fillId="0" borderId="18" xfId="0" applyNumberFormat="1" applyFont="1" applyBorder="1" applyAlignment="1">
      <alignment horizontal="center"/>
    </xf>
    <xf numFmtId="3" fontId="11" fillId="0" borderId="0" xfId="0" applyNumberFormat="1" applyFont="1" applyAlignment="1">
      <alignment horizontal="left"/>
    </xf>
    <xf numFmtId="180" fontId="6" fillId="0" borderId="18" xfId="2" applyNumberFormat="1" applyFont="1" applyBorder="1" applyAlignment="1">
      <alignment horizontal="center" vertical="center"/>
    </xf>
    <xf numFmtId="3" fontId="27" fillId="0" borderId="0" xfId="0" applyNumberFormat="1" applyFont="1" applyAlignment="1">
      <alignment horizontal="left"/>
    </xf>
    <xf numFmtId="201" fontId="11" fillId="0" borderId="8" xfId="0" applyNumberFormat="1" applyFont="1" applyBorder="1" applyAlignment="1">
      <alignment horizontal="left" indent="3"/>
    </xf>
    <xf numFmtId="201" fontId="10" fillId="0" borderId="0" xfId="0" applyNumberFormat="1" applyFont="1" applyAlignment="1">
      <alignment horizontal="left" indent="4"/>
    </xf>
    <xf numFmtId="201" fontId="10" fillId="0" borderId="8" xfId="0" applyNumberFormat="1" applyFont="1" applyBorder="1" applyAlignment="1">
      <alignment horizontal="left" indent="4"/>
    </xf>
    <xf numFmtId="201" fontId="11" fillId="0" borderId="8" xfId="0" applyNumberFormat="1" applyFont="1" applyBorder="1" applyAlignment="1">
      <alignment horizontal="left" indent="2"/>
    </xf>
    <xf numFmtId="201" fontId="10" fillId="0" borderId="0" xfId="0" applyNumberFormat="1" applyFont="1" applyAlignment="1">
      <alignment horizontal="left" indent="3"/>
    </xf>
    <xf numFmtId="201" fontId="10" fillId="0" borderId="8" xfId="0" applyNumberFormat="1" applyFont="1" applyBorder="1" applyAlignment="1">
      <alignment horizontal="left" indent="3"/>
    </xf>
    <xf numFmtId="201" fontId="10" fillId="0" borderId="16" xfId="0" applyNumberFormat="1" applyFont="1" applyBorder="1" applyAlignment="1">
      <alignment horizontal="left" indent="3"/>
    </xf>
    <xf numFmtId="9" fontId="10" fillId="0" borderId="18" xfId="0" applyNumberFormat="1" applyFont="1" applyBorder="1" applyAlignment="1">
      <alignment horizontal="center"/>
    </xf>
    <xf numFmtId="200" fontId="10" fillId="0" borderId="8" xfId="0" applyNumberFormat="1" applyFont="1" applyBorder="1" applyAlignment="1">
      <alignment horizontal="right" vertical="center"/>
    </xf>
    <xf numFmtId="200" fontId="17" fillId="0" borderId="8" xfId="0" applyNumberFormat="1" applyFont="1" applyBorder="1" applyAlignment="1">
      <alignment horizontal="right" vertical="center"/>
    </xf>
    <xf numFmtId="178" fontId="48" fillId="0" borderId="8" xfId="0" applyNumberFormat="1" applyFont="1" applyBorder="1" applyAlignment="1">
      <alignment vertical="center"/>
    </xf>
    <xf numFmtId="178" fontId="11" fillId="0" borderId="8" xfId="0" applyNumberFormat="1" applyFont="1" applyBorder="1" applyAlignment="1">
      <alignment vertical="center"/>
    </xf>
    <xf numFmtId="3" fontId="11" fillId="0" borderId="13" xfId="0" applyNumberFormat="1" applyFont="1" applyBorder="1" applyAlignment="1">
      <alignment horizontal="center"/>
    </xf>
    <xf numFmtId="9" fontId="25" fillId="0" borderId="18" xfId="0" applyNumberFormat="1" applyFont="1" applyBorder="1" applyAlignment="1">
      <alignment horizontal="center"/>
    </xf>
    <xf numFmtId="180" fontId="6" fillId="0" borderId="27" xfId="2" applyNumberFormat="1" applyFont="1" applyBorder="1" applyAlignment="1">
      <alignment horizontal="center" vertical="center"/>
    </xf>
    <xf numFmtId="180" fontId="25" fillId="0" borderId="13" xfId="2" applyNumberFormat="1" applyFont="1" applyBorder="1" applyAlignment="1">
      <alignment horizontal="center" vertical="center"/>
    </xf>
    <xf numFmtId="0" fontId="10" fillId="0" borderId="13" xfId="0" applyFont="1" applyBorder="1"/>
    <xf numFmtId="0" fontId="6" fillId="0" borderId="13" xfId="0" applyFont="1" applyBorder="1" applyAlignment="1">
      <alignment horizontal="left" vertical="center" indent="1"/>
    </xf>
    <xf numFmtId="0" fontId="41" fillId="0" borderId="14" xfId="1" applyFont="1" applyBorder="1" applyAlignment="1">
      <alignment horizontal="right" vertical="center"/>
    </xf>
    <xf numFmtId="9" fontId="41" fillId="4" borderId="3" xfId="1" applyNumberFormat="1" applyFont="1" applyFill="1" applyBorder="1" applyAlignment="1">
      <alignment horizontal="right" vertical="center"/>
    </xf>
    <xf numFmtId="184" fontId="26" fillId="0" borderId="0" xfId="0" applyNumberFormat="1" applyFont="1" applyAlignment="1">
      <alignment vertical="center"/>
    </xf>
    <xf numFmtId="192" fontId="45" fillId="0" borderId="0" xfId="0" applyNumberFormat="1" applyFont="1" applyAlignment="1">
      <alignment horizontal="right" vertical="center"/>
    </xf>
    <xf numFmtId="175" fontId="41" fillId="4" borderId="3" xfId="0" applyNumberFormat="1" applyFont="1" applyFill="1" applyBorder="1" applyAlignment="1">
      <alignment vertical="center"/>
    </xf>
    <xf numFmtId="203" fontId="25" fillId="0" borderId="14" xfId="0" applyNumberFormat="1" applyFont="1" applyBorder="1" applyAlignment="1">
      <alignment vertical="center"/>
    </xf>
    <xf numFmtId="177" fontId="6" fillId="0" borderId="0" xfId="0" applyNumberFormat="1" applyFont="1" applyAlignment="1">
      <alignment horizontal="right" vertical="center"/>
    </xf>
    <xf numFmtId="180" fontId="6" fillId="0" borderId="15" xfId="2" applyNumberFormat="1" applyFont="1" applyBorder="1" applyAlignment="1">
      <alignment horizontal="center" vertical="center"/>
    </xf>
    <xf numFmtId="9" fontId="6" fillId="0" borderId="5" xfId="2" applyNumberFormat="1" applyFont="1" applyBorder="1" applyAlignment="1">
      <alignment horizontal="center" vertical="center"/>
    </xf>
    <xf numFmtId="9" fontId="10" fillId="0" borderId="0" xfId="0" applyNumberFormat="1" applyFont="1"/>
    <xf numFmtId="0" fontId="11" fillId="0" borderId="0" xfId="0" applyFont="1" applyAlignment="1">
      <alignment horizontal="center"/>
    </xf>
    <xf numFmtId="180" fontId="25" fillId="0" borderId="3" xfId="2" applyNumberFormat="1" applyFont="1" applyBorder="1" applyAlignment="1">
      <alignment horizontal="center" vertical="center"/>
    </xf>
    <xf numFmtId="0" fontId="10" fillId="0" borderId="0" xfId="0" applyFont="1" applyAlignment="1">
      <alignment horizontal="left"/>
    </xf>
    <xf numFmtId="0" fontId="7" fillId="0" borderId="4" xfId="1" applyFont="1" applyBorder="1" applyAlignment="1">
      <alignment vertical="center"/>
    </xf>
    <xf numFmtId="0" fontId="7" fillId="0" borderId="5" xfId="1" applyFont="1" applyBorder="1" applyAlignment="1">
      <alignment vertical="center"/>
    </xf>
    <xf numFmtId="0" fontId="10" fillId="0" borderId="5" xfId="0" applyFont="1" applyBorder="1"/>
    <xf numFmtId="0" fontId="10" fillId="0" borderId="6" xfId="0" applyFont="1" applyBorder="1"/>
    <xf numFmtId="0" fontId="55" fillId="0" borderId="0" xfId="0" applyFont="1"/>
    <xf numFmtId="0" fontId="10" fillId="0" borderId="14" xfId="0" applyFont="1" applyBorder="1"/>
    <xf numFmtId="0" fontId="10" fillId="0" borderId="8" xfId="0" applyFont="1" applyBorder="1" applyAlignment="1">
      <alignment horizontal="left"/>
    </xf>
    <xf numFmtId="0" fontId="10" fillId="0" borderId="8" xfId="0" applyFont="1" applyBorder="1"/>
    <xf numFmtId="0" fontId="55" fillId="0" borderId="8" xfId="0" applyFont="1" applyBorder="1"/>
    <xf numFmtId="0" fontId="0" fillId="0" borderId="8" xfId="0" applyBorder="1"/>
    <xf numFmtId="0" fontId="10" fillId="0" borderId="4" xfId="0" applyFont="1" applyBorder="1"/>
    <xf numFmtId="0" fontId="10" fillId="0" borderId="15" xfId="0" applyFont="1" applyBorder="1"/>
    <xf numFmtId="0" fontId="10" fillId="0" borderId="16" xfId="0" applyFont="1" applyBorder="1"/>
    <xf numFmtId="0" fontId="10" fillId="0" borderId="17" xfId="0" applyFont="1" applyBorder="1"/>
    <xf numFmtId="0" fontId="28" fillId="8" borderId="15" xfId="1" applyFont="1" applyFill="1" applyBorder="1" applyAlignment="1">
      <alignment vertical="center"/>
    </xf>
    <xf numFmtId="0" fontId="28" fillId="8" borderId="3" xfId="1" applyFont="1" applyFill="1" applyBorder="1" applyAlignment="1">
      <alignment vertical="center"/>
    </xf>
    <xf numFmtId="0" fontId="28" fillId="8" borderId="17" xfId="1" applyFont="1" applyFill="1" applyBorder="1" applyAlignment="1">
      <alignment horizontal="left" vertical="center"/>
    </xf>
    <xf numFmtId="0" fontId="28" fillId="8" borderId="16" xfId="1" applyFont="1" applyFill="1" applyBorder="1" applyAlignment="1">
      <alignment vertical="center"/>
    </xf>
    <xf numFmtId="0" fontId="28" fillId="8" borderId="17" xfId="1" applyFont="1" applyFill="1" applyBorder="1" applyAlignment="1">
      <alignment vertical="center"/>
    </xf>
    <xf numFmtId="0" fontId="7" fillId="6" borderId="15" xfId="1" applyFont="1" applyFill="1" applyBorder="1" applyAlignment="1">
      <alignment vertical="center"/>
    </xf>
    <xf numFmtId="0" fontId="7" fillId="6" borderId="16" xfId="1" applyFont="1" applyFill="1" applyBorder="1" applyAlignment="1">
      <alignment vertical="center"/>
    </xf>
    <xf numFmtId="175" fontId="7" fillId="6" borderId="16" xfId="1" applyNumberFormat="1" applyFont="1" applyFill="1" applyBorder="1" applyAlignment="1">
      <alignment horizontal="center" vertical="center"/>
    </xf>
    <xf numFmtId="9" fontId="7" fillId="6" borderId="17" xfId="1" applyNumberFormat="1" applyFont="1" applyFill="1" applyBorder="1" applyAlignment="1">
      <alignment horizontal="center" vertical="center"/>
    </xf>
    <xf numFmtId="0" fontId="7" fillId="6" borderId="4" xfId="1" applyFont="1" applyFill="1" applyBorder="1" applyAlignment="1">
      <alignment vertical="center"/>
    </xf>
    <xf numFmtId="0" fontId="7" fillId="6" borderId="5" xfId="1" applyFont="1" applyFill="1" applyBorder="1" applyAlignment="1">
      <alignment vertical="center"/>
    </xf>
    <xf numFmtId="175" fontId="7" fillId="6" borderId="16" xfId="1" applyNumberFormat="1" applyFont="1" applyFill="1" applyBorder="1" applyAlignment="1">
      <alignment horizontal="right" vertical="center"/>
    </xf>
    <xf numFmtId="175" fontId="7" fillId="6" borderId="17" xfId="1" applyNumberFormat="1" applyFont="1" applyFill="1" applyBorder="1" applyAlignment="1">
      <alignment horizontal="right" vertical="center"/>
    </xf>
    <xf numFmtId="0" fontId="10" fillId="0" borderId="13" xfId="0" applyFont="1" applyBorder="1" applyAlignment="1">
      <alignment horizontal="left" indent="1"/>
    </xf>
    <xf numFmtId="0" fontId="10" fillId="0" borderId="7" xfId="0" applyFont="1" applyBorder="1"/>
    <xf numFmtId="203" fontId="6" fillId="0" borderId="3" xfId="0" applyNumberFormat="1" applyFont="1" applyBorder="1" applyAlignment="1">
      <alignment horizontal="center" vertical="center"/>
    </xf>
    <xf numFmtId="0" fontId="10" fillId="0" borderId="12" xfId="0" applyFont="1" applyBorder="1" applyAlignment="1">
      <alignment vertical="center"/>
    </xf>
    <xf numFmtId="203" fontId="25" fillId="0" borderId="0" xfId="0" applyNumberFormat="1" applyFont="1" applyAlignment="1">
      <alignment horizontal="center" vertical="center"/>
    </xf>
    <xf numFmtId="0" fontId="10" fillId="0" borderId="10" xfId="0" applyFont="1" applyBorder="1" applyAlignment="1">
      <alignment vertical="center"/>
    </xf>
    <xf numFmtId="9" fontId="41" fillId="4" borderId="3" xfId="0" applyNumberFormat="1" applyFont="1" applyFill="1" applyBorder="1" applyAlignment="1">
      <alignment horizontal="right" vertical="center"/>
    </xf>
    <xf numFmtId="206" fontId="41" fillId="4" borderId="3" xfId="0" applyNumberFormat="1" applyFont="1" applyFill="1" applyBorder="1" applyAlignment="1">
      <alignment horizontal="right" vertical="center"/>
    </xf>
    <xf numFmtId="203" fontId="6" fillId="0" borderId="3" xfId="58" applyNumberFormat="1" applyFont="1" applyFill="1" applyBorder="1" applyAlignment="1">
      <alignment horizontal="center" vertical="center"/>
    </xf>
    <xf numFmtId="0" fontId="51" fillId="0" borderId="13" xfId="1" applyFont="1" applyBorder="1" applyAlignment="1">
      <alignment horizontal="left" vertical="center"/>
    </xf>
    <xf numFmtId="0" fontId="10" fillId="0" borderId="3" xfId="0" applyFont="1" applyBorder="1" applyAlignment="1">
      <alignment vertical="center"/>
    </xf>
    <xf numFmtId="0" fontId="51" fillId="0" borderId="13" xfId="0" applyFont="1" applyBorder="1" applyAlignment="1">
      <alignment horizontal="left" vertical="center"/>
    </xf>
    <xf numFmtId="0" fontId="11" fillId="3" borderId="16" xfId="0" applyFont="1" applyFill="1" applyBorder="1" applyAlignment="1">
      <alignment vertical="center"/>
    </xf>
    <xf numFmtId="0" fontId="11" fillId="3" borderId="17" xfId="0" applyFont="1" applyFill="1" applyBorder="1" applyAlignment="1">
      <alignment vertical="center"/>
    </xf>
    <xf numFmtId="3" fontId="50" fillId="3" borderId="16" xfId="0" applyNumberFormat="1" applyFont="1" applyFill="1" applyBorder="1" applyAlignment="1">
      <alignment vertical="center"/>
    </xf>
    <xf numFmtId="181" fontId="10" fillId="0" borderId="0" xfId="0" applyNumberFormat="1" applyFont="1" applyAlignment="1">
      <alignment vertical="center"/>
    </xf>
    <xf numFmtId="187" fontId="6" fillId="0" borderId="3" xfId="0" applyNumberFormat="1" applyFont="1" applyBorder="1" applyAlignment="1">
      <alignment horizontal="center" vertical="center"/>
    </xf>
    <xf numFmtId="175" fontId="6" fillId="0" borderId="3" xfId="0" applyNumberFormat="1" applyFont="1" applyBorder="1" applyAlignment="1">
      <alignment horizontal="center" vertical="center"/>
    </xf>
    <xf numFmtId="201" fontId="41" fillId="4" borderId="3" xfId="0" applyNumberFormat="1" applyFont="1" applyFill="1" applyBorder="1" applyAlignment="1">
      <alignment vertical="center"/>
    </xf>
    <xf numFmtId="195" fontId="25" fillId="0" borderId="3" xfId="0" applyNumberFormat="1" applyFont="1" applyBorder="1" applyAlignment="1">
      <alignment horizontal="center"/>
    </xf>
    <xf numFmtId="9" fontId="41" fillId="0" borderId="14" xfId="0" applyNumberFormat="1" applyFont="1" applyBorder="1" applyAlignment="1">
      <alignment horizontal="right" vertical="center"/>
    </xf>
    <xf numFmtId="182" fontId="41" fillId="4" borderId="3" xfId="0" applyNumberFormat="1" applyFont="1" applyFill="1" applyBorder="1" applyAlignment="1">
      <alignment vertical="center"/>
    </xf>
    <xf numFmtId="0" fontId="6" fillId="0" borderId="7" xfId="0" applyFont="1" applyBorder="1" applyAlignment="1">
      <alignment horizontal="left" vertical="center" indent="1"/>
    </xf>
    <xf numFmtId="175" fontId="17" fillId="0" borderId="10" xfId="0" applyNumberFormat="1" applyFont="1" applyBorder="1" applyAlignment="1">
      <alignment horizontal="right" vertical="center"/>
    </xf>
    <xf numFmtId="173" fontId="25" fillId="0" borderId="12" xfId="0" applyNumberFormat="1" applyFont="1" applyBorder="1" applyAlignment="1">
      <alignment horizontal="center" vertical="center"/>
    </xf>
    <xf numFmtId="0" fontId="27" fillId="0" borderId="0" xfId="0" applyFont="1"/>
    <xf numFmtId="180" fontId="56" fillId="0" borderId="0" xfId="2" applyNumberFormat="1" applyFont="1" applyAlignment="1">
      <alignment horizontal="right" vertical="center"/>
    </xf>
    <xf numFmtId="180" fontId="8" fillId="0" borderId="0" xfId="0" applyNumberFormat="1" applyFont="1"/>
    <xf numFmtId="180" fontId="10" fillId="0" borderId="0" xfId="0" applyNumberFormat="1" applyFont="1"/>
    <xf numFmtId="174" fontId="15" fillId="0" borderId="0" xfId="0" applyNumberFormat="1" applyFont="1"/>
    <xf numFmtId="0" fontId="10" fillId="0" borderId="0" xfId="0" applyFont="1" applyAlignment="1">
      <alignment horizontal="left" indent="1"/>
    </xf>
    <xf numFmtId="167" fontId="10" fillId="0" borderId="0" xfId="32" applyFont="1" applyBorder="1"/>
    <xf numFmtId="180" fontId="15" fillId="0" borderId="0" xfId="0" applyNumberFormat="1" applyFont="1"/>
    <xf numFmtId="173" fontId="15" fillId="0" borderId="0" xfId="0" applyNumberFormat="1" applyFont="1"/>
    <xf numFmtId="0" fontId="12" fillId="0" borderId="0" xfId="0" applyFont="1" applyAlignment="1">
      <alignment horizontal="left"/>
    </xf>
    <xf numFmtId="178" fontId="15" fillId="0" borderId="0" xfId="0" applyNumberFormat="1" applyFont="1"/>
    <xf numFmtId="0" fontId="11" fillId="0" borderId="0" xfId="0" applyFont="1" applyAlignment="1">
      <alignment horizontal="right"/>
    </xf>
    <xf numFmtId="3" fontId="46" fillId="0" borderId="4" xfId="0" applyNumberFormat="1" applyFont="1" applyBorder="1" applyAlignment="1">
      <alignment horizontal="left" indent="1"/>
    </xf>
    <xf numFmtId="3" fontId="10" fillId="0" borderId="13" xfId="0" applyNumberFormat="1" applyFont="1" applyBorder="1" applyAlignment="1">
      <alignment horizontal="left" indent="2"/>
    </xf>
    <xf numFmtId="3" fontId="46" fillId="0" borderId="13" xfId="0" applyNumberFormat="1" applyFont="1" applyBorder="1" applyAlignment="1">
      <alignment horizontal="left" indent="1"/>
    </xf>
    <xf numFmtId="3" fontId="10" fillId="0" borderId="27" xfId="0" applyNumberFormat="1" applyFont="1" applyBorder="1" applyAlignment="1">
      <alignment horizontal="left" indent="2"/>
    </xf>
    <xf numFmtId="3" fontId="11" fillId="0" borderId="15" xfId="0" applyNumberFormat="1" applyFont="1" applyBorder="1" applyAlignment="1">
      <alignment horizontal="left"/>
    </xf>
    <xf numFmtId="3" fontId="11" fillId="0" borderId="16" xfId="0" applyNumberFormat="1" applyFont="1" applyBorder="1" applyAlignment="1">
      <alignment horizontal="center"/>
    </xf>
    <xf numFmtId="3" fontId="11" fillId="0" borderId="15" xfId="0" applyNumberFormat="1" applyFont="1" applyBorder="1" applyAlignment="1">
      <alignment horizontal="center"/>
    </xf>
    <xf numFmtId="0" fontId="11" fillId="0" borderId="15" xfId="0" applyFont="1" applyBorder="1" applyAlignment="1">
      <alignment horizontal="center"/>
    </xf>
    <xf numFmtId="0" fontId="11" fillId="0" borderId="16" xfId="0" applyFont="1" applyBorder="1" applyAlignment="1">
      <alignment horizontal="center"/>
    </xf>
    <xf numFmtId="0" fontId="11" fillId="0" borderId="17" xfId="0" applyFont="1" applyBorder="1" applyAlignment="1">
      <alignment horizontal="center"/>
    </xf>
    <xf numFmtId="3" fontId="10" fillId="0" borderId="7" xfId="0" applyNumberFormat="1" applyFont="1" applyBorder="1" applyAlignment="1">
      <alignment horizontal="left" indent="1"/>
    </xf>
    <xf numFmtId="3" fontId="11" fillId="0" borderId="7" xfId="0" applyNumberFormat="1" applyFont="1" applyBorder="1" applyAlignment="1">
      <alignment horizontal="left"/>
    </xf>
    <xf numFmtId="3" fontId="10" fillId="0" borderId="4" xfId="0" applyNumberFormat="1" applyFont="1" applyBorder="1" applyAlignment="1">
      <alignment horizontal="left" indent="2"/>
    </xf>
    <xf numFmtId="3" fontId="10" fillId="0" borderId="5" xfId="0" applyNumberFormat="1" applyFont="1" applyBorder="1" applyAlignment="1">
      <alignment horizontal="center"/>
    </xf>
    <xf numFmtId="9" fontId="6" fillId="0" borderId="28" xfId="2" applyNumberFormat="1" applyFont="1" applyBorder="1" applyAlignment="1">
      <alignment horizontal="center" vertical="center"/>
    </xf>
    <xf numFmtId="3" fontId="11" fillId="0" borderId="17" xfId="0" applyNumberFormat="1" applyFont="1" applyBorder="1" applyAlignment="1">
      <alignment horizontal="center"/>
    </xf>
    <xf numFmtId="170" fontId="29" fillId="0" borderId="0" xfId="0" applyNumberFormat="1" applyFont="1" applyAlignment="1">
      <alignment horizontal="left" vertical="center"/>
    </xf>
    <xf numFmtId="180" fontId="11" fillId="0" borderId="0" xfId="0" applyNumberFormat="1" applyFont="1"/>
    <xf numFmtId="0" fontId="28" fillId="8" borderId="4" xfId="1" applyFont="1" applyFill="1" applyBorder="1" applyAlignment="1">
      <alignment vertical="center"/>
    </xf>
    <xf numFmtId="0" fontId="28" fillId="8" borderId="5" xfId="1" applyFont="1" applyFill="1" applyBorder="1" applyAlignment="1">
      <alignment vertical="center"/>
    </xf>
    <xf numFmtId="9" fontId="6" fillId="0" borderId="0" xfId="6" applyFont="1" applyFill="1" applyBorder="1" applyAlignment="1">
      <alignment vertical="center"/>
    </xf>
    <xf numFmtId="192" fontId="56" fillId="0" borderId="0" xfId="2" applyNumberFormat="1" applyFont="1" applyAlignment="1">
      <alignment horizontal="right" vertical="center"/>
    </xf>
    <xf numFmtId="0" fontId="27" fillId="0" borderId="13" xfId="0" applyFont="1" applyBorder="1"/>
    <xf numFmtId="169" fontId="6" fillId="0" borderId="13" xfId="2" applyNumberFormat="1" applyFont="1" applyBorder="1" applyAlignment="1">
      <alignment vertical="center"/>
    </xf>
    <xf numFmtId="192" fontId="56" fillId="0" borderId="14" xfId="2" applyNumberFormat="1" applyFont="1" applyBorder="1" applyAlignment="1">
      <alignment horizontal="right" vertical="center"/>
    </xf>
    <xf numFmtId="209" fontId="10" fillId="0" borderId="14" xfId="0" applyNumberFormat="1" applyFont="1" applyBorder="1"/>
    <xf numFmtId="0" fontId="27" fillId="0" borderId="0" xfId="0" applyFont="1" applyAlignment="1">
      <alignment horizontal="right"/>
    </xf>
    <xf numFmtId="0" fontId="7" fillId="6" borderId="7" xfId="1" applyFont="1" applyFill="1" applyBorder="1" applyAlignment="1">
      <alignment vertical="center"/>
    </xf>
    <xf numFmtId="0" fontId="7" fillId="6" borderId="8" xfId="1" applyFont="1" applyFill="1" applyBorder="1" applyAlignment="1">
      <alignment vertical="center"/>
    </xf>
    <xf numFmtId="175" fontId="7" fillId="6" borderId="8" xfId="1" applyNumberFormat="1" applyFont="1" applyFill="1" applyBorder="1" applyAlignment="1">
      <alignment horizontal="right" vertical="center"/>
    </xf>
    <xf numFmtId="0" fontId="10" fillId="0" borderId="26" xfId="0" applyFont="1" applyBorder="1"/>
    <xf numFmtId="0" fontId="10" fillId="0" borderId="29" xfId="0" applyFont="1" applyBorder="1"/>
    <xf numFmtId="180" fontId="10" fillId="0" borderId="29" xfId="0" applyNumberFormat="1" applyFont="1" applyBorder="1"/>
    <xf numFmtId="209" fontId="10" fillId="0" borderId="30" xfId="0" applyNumberFormat="1" applyFont="1" applyBorder="1"/>
    <xf numFmtId="0" fontId="28" fillId="0" borderId="0" xfId="1" applyFont="1" applyAlignment="1">
      <alignment vertical="center"/>
    </xf>
    <xf numFmtId="0" fontId="11" fillId="0" borderId="0" xfId="0" applyFont="1" applyAlignment="1">
      <alignment horizontal="left" indent="1"/>
    </xf>
    <xf numFmtId="0" fontId="11" fillId="0" borderId="13" xfId="0" applyFont="1" applyBorder="1"/>
    <xf numFmtId="0" fontId="11" fillId="0" borderId="13" xfId="0" applyFont="1" applyBorder="1" applyAlignment="1">
      <alignment horizontal="left" indent="1"/>
    </xf>
    <xf numFmtId="0" fontId="28" fillId="0" borderId="4" xfId="1" applyFont="1" applyBorder="1" applyAlignment="1">
      <alignment vertical="center"/>
    </xf>
    <xf numFmtId="0" fontId="28" fillId="0" borderId="5" xfId="1" applyFont="1" applyBorder="1" applyAlignment="1">
      <alignment vertical="center"/>
    </xf>
    <xf numFmtId="0" fontId="28" fillId="0" borderId="6" xfId="1" applyFont="1" applyBorder="1" applyAlignment="1">
      <alignment vertical="center"/>
    </xf>
    <xf numFmtId="9" fontId="7" fillId="6" borderId="16" xfId="1" applyNumberFormat="1" applyFont="1" applyFill="1" applyBorder="1" applyAlignment="1">
      <alignment vertical="center"/>
    </xf>
    <xf numFmtId="0" fontId="28" fillId="0" borderId="13" xfId="1" applyFont="1" applyBorder="1" applyAlignment="1">
      <alignment vertical="center"/>
    </xf>
    <xf numFmtId="0" fontId="28" fillId="8" borderId="6" xfId="1" applyFont="1" applyFill="1" applyBorder="1" applyAlignment="1">
      <alignment vertical="center"/>
    </xf>
    <xf numFmtId="0" fontId="27" fillId="0" borderId="14" xfId="0" applyFont="1" applyBorder="1" applyAlignment="1">
      <alignment horizontal="right"/>
    </xf>
    <xf numFmtId="0" fontId="11" fillId="0" borderId="14" xfId="0" applyFont="1" applyBorder="1" applyAlignment="1">
      <alignment horizontal="right"/>
    </xf>
    <xf numFmtId="180" fontId="25" fillId="0" borderId="5" xfId="2" applyNumberFormat="1" applyFont="1" applyBorder="1" applyAlignment="1">
      <alignment horizontal="center" vertical="center"/>
    </xf>
    <xf numFmtId="9" fontId="7" fillId="6" borderId="5" xfId="1" applyNumberFormat="1" applyFont="1" applyFill="1" applyBorder="1" applyAlignment="1">
      <alignment vertical="center"/>
    </xf>
    <xf numFmtId="175" fontId="7" fillId="6" borderId="5" xfId="1" applyNumberFormat="1" applyFont="1" applyFill="1" applyBorder="1" applyAlignment="1">
      <alignment horizontal="right" vertical="center"/>
    </xf>
    <xf numFmtId="175" fontId="7" fillId="6" borderId="6" xfId="1" applyNumberFormat="1" applyFont="1" applyFill="1" applyBorder="1" applyAlignment="1">
      <alignment horizontal="right" vertical="center"/>
    </xf>
    <xf numFmtId="0" fontId="42" fillId="0" borderId="4" xfId="0" applyFont="1" applyBorder="1" applyAlignment="1">
      <alignment horizontal="left" indent="1"/>
    </xf>
    <xf numFmtId="9" fontId="41" fillId="0" borderId="6" xfId="6" applyFont="1" applyFill="1" applyBorder="1"/>
    <xf numFmtId="0" fontId="12" fillId="0" borderId="13" xfId="0" applyFont="1" applyBorder="1" applyAlignment="1">
      <alignment horizontal="left" indent="1"/>
    </xf>
    <xf numFmtId="9" fontId="13" fillId="0" borderId="14" xfId="6" applyFont="1" applyFill="1" applyBorder="1"/>
    <xf numFmtId="180" fontId="11" fillId="0" borderId="14" xfId="0" applyNumberFormat="1" applyFont="1" applyBorder="1"/>
    <xf numFmtId="173" fontId="10" fillId="0" borderId="14" xfId="0" applyNumberFormat="1" applyFont="1" applyBorder="1"/>
    <xf numFmtId="187" fontId="10" fillId="0" borderId="14" xfId="0" applyNumberFormat="1" applyFont="1" applyBorder="1"/>
    <xf numFmtId="180" fontId="10" fillId="0" borderId="14" xfId="0" applyNumberFormat="1" applyFont="1" applyBorder="1"/>
    <xf numFmtId="180" fontId="6" fillId="0" borderId="14" xfId="0" applyNumberFormat="1" applyFont="1" applyBorder="1"/>
    <xf numFmtId="167" fontId="10" fillId="0" borderId="14" xfId="32" applyFont="1" applyBorder="1"/>
    <xf numFmtId="0" fontId="42" fillId="0" borderId="13" xfId="0" applyFont="1" applyBorder="1" applyAlignment="1">
      <alignment horizontal="left" indent="1"/>
    </xf>
    <xf numFmtId="195" fontId="41" fillId="0" borderId="14" xfId="0" applyNumberFormat="1" applyFont="1" applyBorder="1"/>
    <xf numFmtId="180" fontId="25" fillId="0" borderId="14" xfId="0" applyNumberFormat="1" applyFont="1" applyBorder="1"/>
    <xf numFmtId="0" fontId="10" fillId="0" borderId="13" xfId="0" applyFont="1" applyBorder="1" applyAlignment="1">
      <alignment horizontal="left" indent="2"/>
    </xf>
    <xf numFmtId="0" fontId="46" fillId="0" borderId="13" xfId="0" applyFont="1" applyBorder="1" applyAlignment="1">
      <alignment horizontal="left" indent="1"/>
    </xf>
    <xf numFmtId="180" fontId="25" fillId="0" borderId="0" xfId="0" applyNumberFormat="1" applyFont="1"/>
    <xf numFmtId="204" fontId="6" fillId="0" borderId="0" xfId="0" applyNumberFormat="1" applyFont="1" applyAlignment="1">
      <alignment vertical="center"/>
    </xf>
    <xf numFmtId="180" fontId="25" fillId="0" borderId="8" xfId="0" applyNumberFormat="1" applyFont="1" applyBorder="1"/>
    <xf numFmtId="0" fontId="10" fillId="0" borderId="0" xfId="0" applyFont="1" applyAlignment="1">
      <alignment horizontal="right"/>
    </xf>
    <xf numFmtId="180" fontId="41" fillId="0" borderId="14" xfId="0" applyNumberFormat="1" applyFont="1" applyBorder="1"/>
    <xf numFmtId="0" fontId="12" fillId="0" borderId="4" xfId="0" applyFont="1" applyBorder="1" applyAlignment="1">
      <alignment horizontal="left" indent="1"/>
    </xf>
    <xf numFmtId="3" fontId="25" fillId="0" borderId="9" xfId="0" applyNumberFormat="1" applyFont="1" applyBorder="1"/>
    <xf numFmtId="3" fontId="25" fillId="0" borderId="14" xfId="0" applyNumberFormat="1" applyFont="1" applyBorder="1"/>
    <xf numFmtId="0" fontId="7" fillId="0" borderId="13" xfId="1" applyFont="1" applyBorder="1" applyAlignment="1">
      <alignment vertical="center"/>
    </xf>
    <xf numFmtId="0" fontId="7" fillId="0" borderId="0" xfId="1" applyFont="1" applyAlignment="1">
      <alignment vertical="center"/>
    </xf>
    <xf numFmtId="9" fontId="7" fillId="0" borderId="0" xfId="1" applyNumberFormat="1" applyFont="1" applyAlignment="1">
      <alignment vertical="center"/>
    </xf>
    <xf numFmtId="175" fontId="7" fillId="0" borderId="0" xfId="1" applyNumberFormat="1" applyFont="1" applyAlignment="1">
      <alignment horizontal="right" vertical="center"/>
    </xf>
    <xf numFmtId="175" fontId="7" fillId="0" borderId="6" xfId="1" applyNumberFormat="1" applyFont="1" applyBorder="1" applyAlignment="1">
      <alignment horizontal="right" vertical="center"/>
    </xf>
    <xf numFmtId="212" fontId="10" fillId="0" borderId="14" xfId="32" applyNumberFormat="1" applyFont="1" applyBorder="1"/>
    <xf numFmtId="167" fontId="10" fillId="0" borderId="0" xfId="32" applyFont="1" applyBorder="1" applyAlignment="1">
      <alignment horizontal="right"/>
    </xf>
    <xf numFmtId="9" fontId="25" fillId="0" borderId="14" xfId="6" applyFont="1" applyFill="1" applyBorder="1"/>
    <xf numFmtId="213" fontId="10" fillId="0" borderId="0" xfId="32" applyNumberFormat="1" applyFont="1" applyBorder="1"/>
    <xf numFmtId="182" fontId="10" fillId="0" borderId="0" xfId="32" applyNumberFormat="1" applyFont="1" applyBorder="1"/>
    <xf numFmtId="180" fontId="41" fillId="4" borderId="3" xfId="0" applyNumberFormat="1" applyFont="1" applyFill="1" applyBorder="1"/>
    <xf numFmtId="195" fontId="41" fillId="4" borderId="3" xfId="0" applyNumberFormat="1" applyFont="1" applyFill="1" applyBorder="1"/>
    <xf numFmtId="187" fontId="7" fillId="6" borderId="17" xfId="1" applyNumberFormat="1" applyFont="1" applyFill="1" applyBorder="1" applyAlignment="1">
      <alignment horizontal="right" vertical="center"/>
    </xf>
    <xf numFmtId="0" fontId="46" fillId="0" borderId="13" xfId="0" applyFont="1" applyBorder="1"/>
    <xf numFmtId="0" fontId="10" fillId="0" borderId="7" xfId="0" applyFont="1" applyBorder="1" applyAlignment="1">
      <alignment horizontal="left" indent="1"/>
    </xf>
    <xf numFmtId="183" fontId="10" fillId="0" borderId="14" xfId="0" applyNumberFormat="1" applyFont="1" applyBorder="1"/>
    <xf numFmtId="183" fontId="10" fillId="0" borderId="9" xfId="0" applyNumberFormat="1" applyFont="1" applyBorder="1"/>
    <xf numFmtId="9" fontId="41" fillId="0" borderId="0" xfId="0" applyNumberFormat="1" applyFont="1"/>
    <xf numFmtId="186" fontId="41" fillId="4" borderId="3" xfId="0" applyNumberFormat="1" applyFont="1" applyFill="1" applyBorder="1"/>
    <xf numFmtId="210" fontId="41" fillId="4" borderId="3" xfId="0" applyNumberFormat="1" applyFont="1" applyFill="1" applyBorder="1"/>
    <xf numFmtId="9" fontId="41" fillId="4" borderId="3" xfId="0" applyNumberFormat="1" applyFont="1" applyFill="1" applyBorder="1"/>
    <xf numFmtId="201" fontId="41" fillId="4" borderId="3" xfId="0" applyNumberFormat="1" applyFont="1" applyFill="1" applyBorder="1"/>
    <xf numFmtId="214" fontId="41" fillId="4" borderId="3" xfId="0" applyNumberFormat="1" applyFont="1" applyFill="1" applyBorder="1"/>
    <xf numFmtId="180" fontId="41" fillId="4" borderId="3" xfId="2" applyNumberFormat="1" applyFont="1" applyFill="1" applyBorder="1" applyAlignment="1">
      <alignment horizontal="right" vertical="center"/>
    </xf>
    <xf numFmtId="211" fontId="41" fillId="4" borderId="3" xfId="0" applyNumberFormat="1" applyFont="1" applyFill="1" applyBorder="1"/>
    <xf numFmtId="180" fontId="6" fillId="4" borderId="3" xfId="2" applyNumberFormat="1" applyFont="1" applyFill="1" applyBorder="1" applyAlignment="1">
      <alignment horizontal="right" vertical="center"/>
    </xf>
    <xf numFmtId="191" fontId="7" fillId="6" borderId="16" xfId="1" applyNumberFormat="1" applyFont="1" applyFill="1" applyBorder="1" applyAlignment="1">
      <alignment horizontal="right" vertical="center"/>
    </xf>
    <xf numFmtId="191" fontId="7" fillId="6" borderId="17" xfId="1" applyNumberFormat="1" applyFont="1" applyFill="1" applyBorder="1" applyAlignment="1">
      <alignment horizontal="right" vertical="center"/>
    </xf>
    <xf numFmtId="191" fontId="7" fillId="6" borderId="8" xfId="1" applyNumberFormat="1" applyFont="1" applyFill="1" applyBorder="1" applyAlignment="1">
      <alignment horizontal="right" vertical="center"/>
    </xf>
    <xf numFmtId="191" fontId="7" fillId="6" borderId="9" xfId="1" applyNumberFormat="1" applyFont="1" applyFill="1" applyBorder="1" applyAlignment="1">
      <alignment horizontal="right" vertical="center"/>
    </xf>
    <xf numFmtId="183" fontId="10" fillId="0" borderId="0" xfId="0" applyNumberFormat="1" applyFont="1"/>
    <xf numFmtId="0" fontId="27" fillId="2" borderId="4" xfId="0" applyFont="1" applyFill="1" applyBorder="1" applyAlignment="1">
      <alignment horizontal="left" vertical="center" indent="1"/>
    </xf>
    <xf numFmtId="0" fontId="10" fillId="2" borderId="0" xfId="0" applyFont="1" applyFill="1" applyAlignment="1">
      <alignment vertical="center"/>
    </xf>
    <xf numFmtId="0" fontId="27" fillId="2" borderId="0" xfId="0" applyFont="1" applyFill="1" applyAlignment="1">
      <alignment horizontal="right" vertical="center"/>
    </xf>
    <xf numFmtId="0" fontId="10" fillId="2" borderId="13" xfId="0" applyFont="1" applyFill="1" applyBorder="1" applyAlignment="1">
      <alignment horizontal="left" vertical="center" indent="2"/>
    </xf>
    <xf numFmtId="173" fontId="10" fillId="2" borderId="0" xfId="0" applyNumberFormat="1" applyFont="1" applyFill="1" applyAlignment="1">
      <alignment vertical="center"/>
    </xf>
    <xf numFmtId="175" fontId="10" fillId="2" borderId="0" xfId="0" applyNumberFormat="1" applyFont="1" applyFill="1" applyAlignment="1">
      <alignment horizontal="center" vertical="center"/>
    </xf>
    <xf numFmtId="181" fontId="10" fillId="2" borderId="0" xfId="0" applyNumberFormat="1" applyFont="1" applyFill="1" applyAlignment="1">
      <alignment vertical="center"/>
    </xf>
    <xf numFmtId="181" fontId="10" fillId="2" borderId="1" xfId="0" applyNumberFormat="1" applyFont="1" applyFill="1" applyBorder="1" applyAlignment="1">
      <alignment horizontal="center"/>
    </xf>
    <xf numFmtId="175" fontId="10" fillId="2" borderId="0" xfId="0" applyNumberFormat="1" applyFont="1" applyFill="1" applyAlignment="1">
      <alignment vertical="center"/>
    </xf>
    <xf numFmtId="175" fontId="10" fillId="2" borderId="14" xfId="0" applyNumberFormat="1" applyFont="1" applyFill="1" applyBorder="1" applyAlignment="1">
      <alignment horizontal="center" vertical="center"/>
    </xf>
    <xf numFmtId="0" fontId="10" fillId="2" borderId="7" xfId="0" applyFont="1" applyFill="1" applyBorder="1" applyAlignment="1">
      <alignment horizontal="left" vertical="center" indent="2"/>
    </xf>
    <xf numFmtId="175" fontId="10" fillId="2" borderId="8" xfId="0" applyNumberFormat="1" applyFont="1" applyFill="1" applyBorder="1" applyAlignment="1">
      <alignment vertical="center"/>
    </xf>
    <xf numFmtId="0" fontId="10" fillId="2" borderId="8" xfId="0" applyFont="1" applyFill="1" applyBorder="1" applyAlignment="1">
      <alignment vertical="center"/>
    </xf>
    <xf numFmtId="175" fontId="10" fillId="2" borderId="8" xfId="0" applyNumberFormat="1" applyFont="1" applyFill="1" applyBorder="1" applyAlignment="1">
      <alignment horizontal="center" vertical="center"/>
    </xf>
    <xf numFmtId="175" fontId="10" fillId="2" borderId="9" xfId="0" applyNumberFormat="1" applyFont="1" applyFill="1" applyBorder="1" applyAlignment="1">
      <alignment horizontal="center" vertical="center"/>
    </xf>
    <xf numFmtId="10" fontId="10" fillId="2" borderId="14" xfId="0" applyNumberFormat="1" applyFont="1" applyFill="1" applyBorder="1" applyAlignment="1">
      <alignment horizontal="center" vertical="center"/>
    </xf>
    <xf numFmtId="175" fontId="6" fillId="0" borderId="0" xfId="0" applyNumberFormat="1" applyFont="1" applyAlignment="1">
      <alignment horizontal="center" vertical="center"/>
    </xf>
    <xf numFmtId="167" fontId="6" fillId="0" borderId="12" xfId="32" applyFont="1" applyFill="1" applyBorder="1" applyAlignment="1">
      <alignment horizontal="center" vertical="center"/>
    </xf>
    <xf numFmtId="4" fontId="25" fillId="0" borderId="3" xfId="1" applyNumberFormat="1" applyFont="1" applyBorder="1" applyAlignment="1">
      <alignment horizontal="center" vertical="center"/>
    </xf>
    <xf numFmtId="9" fontId="6" fillId="0" borderId="3" xfId="1" applyNumberFormat="1" applyFont="1" applyBorder="1" applyAlignment="1">
      <alignment horizontal="center" vertical="center"/>
    </xf>
    <xf numFmtId="9" fontId="25" fillId="0" borderId="3" xfId="2" applyNumberFormat="1" applyFont="1" applyBorder="1" applyAlignment="1">
      <alignment horizontal="center" vertical="center"/>
    </xf>
    <xf numFmtId="0" fontId="58" fillId="0" borderId="0" xfId="0" applyFont="1" applyAlignment="1">
      <alignment vertical="center"/>
    </xf>
    <xf numFmtId="178" fontId="59" fillId="0" borderId="0" xfId="0" applyNumberFormat="1" applyFont="1" applyAlignment="1">
      <alignment vertical="center"/>
    </xf>
    <xf numFmtId="173" fontId="9" fillId="0" borderId="0" xfId="0" applyNumberFormat="1" applyFont="1" applyAlignment="1">
      <alignment vertical="center"/>
    </xf>
    <xf numFmtId="178" fontId="57" fillId="0" borderId="0" xfId="0" applyNumberFormat="1" applyFont="1" applyAlignment="1">
      <alignment vertical="center"/>
    </xf>
    <xf numFmtId="0" fontId="58" fillId="0" borderId="13" xfId="0" applyFont="1" applyBorder="1" applyAlignment="1">
      <alignment vertical="center"/>
    </xf>
    <xf numFmtId="0" fontId="58" fillId="0" borderId="14" xfId="0" applyFont="1" applyBorder="1" applyAlignment="1">
      <alignment vertical="center"/>
    </xf>
    <xf numFmtId="0" fontId="57" fillId="7" borderId="5" xfId="1" applyFont="1" applyFill="1" applyBorder="1" applyAlignment="1">
      <alignment horizontal="left" vertical="center"/>
    </xf>
    <xf numFmtId="0" fontId="57" fillId="7" borderId="6" xfId="1" applyFont="1" applyFill="1" applyBorder="1" applyAlignment="1">
      <alignment horizontal="centerContinuous" vertical="center"/>
    </xf>
    <xf numFmtId="0" fontId="57" fillId="0" borderId="5" xfId="1" applyFont="1" applyBorder="1" applyAlignment="1">
      <alignment horizontal="left" vertical="center"/>
    </xf>
    <xf numFmtId="0" fontId="57" fillId="0" borderId="6" xfId="1" applyFont="1" applyBorder="1" applyAlignment="1">
      <alignment horizontal="centerContinuous" vertical="center"/>
    </xf>
    <xf numFmtId="0" fontId="57" fillId="0" borderId="0" xfId="1" applyFont="1" applyAlignment="1">
      <alignment horizontal="left" vertical="center"/>
    </xf>
    <xf numFmtId="0" fontId="57" fillId="0" borderId="14" xfId="1" applyFont="1" applyBorder="1" applyAlignment="1">
      <alignment horizontal="centerContinuous" vertical="center"/>
    </xf>
    <xf numFmtId="208" fontId="41" fillId="4" borderId="3" xfId="0" applyNumberFormat="1" applyFont="1" applyFill="1" applyBorder="1" applyAlignment="1">
      <alignment horizontal="right" vertical="center"/>
    </xf>
    <xf numFmtId="3" fontId="10" fillId="0" borderId="0" xfId="0" applyNumberFormat="1" applyFont="1" applyAlignment="1">
      <alignment horizontal="left" indent="2"/>
    </xf>
    <xf numFmtId="0" fontId="40" fillId="0" borderId="14" xfId="0" applyFont="1" applyBorder="1" applyAlignment="1">
      <alignment horizontal="center"/>
    </xf>
    <xf numFmtId="2" fontId="41" fillId="4" borderId="3" xfId="1" applyNumberFormat="1" applyFont="1" applyFill="1" applyBorder="1" applyAlignment="1">
      <alignment horizontal="right" vertical="center"/>
    </xf>
    <xf numFmtId="180" fontId="6" fillId="0" borderId="20" xfId="2" applyNumberFormat="1" applyFont="1" applyBorder="1" applyAlignment="1">
      <alignment horizontal="center" vertical="center"/>
    </xf>
    <xf numFmtId="184" fontId="58" fillId="0" borderId="0" xfId="0" applyNumberFormat="1" applyFont="1" applyAlignment="1">
      <alignment vertical="center"/>
    </xf>
    <xf numFmtId="173" fontId="60" fillId="0" borderId="0" xfId="0" applyNumberFormat="1" applyFont="1" applyAlignment="1">
      <alignment vertical="center"/>
    </xf>
    <xf numFmtId="174" fontId="58" fillId="0" borderId="14" xfId="0" applyNumberFormat="1" applyFont="1" applyBorder="1" applyAlignment="1">
      <alignment vertical="center"/>
    </xf>
    <xf numFmtId="215" fontId="60" fillId="0" borderId="0" xfId="0" applyNumberFormat="1" applyFont="1" applyAlignment="1">
      <alignment vertical="center"/>
    </xf>
    <xf numFmtId="173" fontId="58" fillId="0" borderId="0" xfId="0" applyNumberFormat="1" applyFont="1" applyAlignment="1">
      <alignment vertical="center"/>
    </xf>
    <xf numFmtId="0" fontId="6" fillId="0" borderId="0" xfId="0" applyFont="1" applyAlignment="1">
      <alignment horizontal="left" vertical="center"/>
    </xf>
    <xf numFmtId="173" fontId="60" fillId="0" borderId="14" xfId="0" applyNumberFormat="1" applyFont="1" applyBorder="1" applyAlignment="1">
      <alignment vertical="center"/>
    </xf>
    <xf numFmtId="173" fontId="59" fillId="0" borderId="0" xfId="0" applyNumberFormat="1" applyFont="1" applyAlignment="1">
      <alignment vertical="center"/>
    </xf>
    <xf numFmtId="182" fontId="41" fillId="0" borderId="14" xfId="0" applyNumberFormat="1" applyFont="1" applyBorder="1" applyAlignment="1">
      <alignment vertical="center"/>
    </xf>
    <xf numFmtId="208" fontId="25" fillId="0" borderId="3" xfId="0" applyNumberFormat="1" applyFont="1" applyBorder="1" applyAlignment="1">
      <alignment horizontal="center" vertical="center"/>
    </xf>
    <xf numFmtId="180" fontId="25" fillId="0" borderId="0" xfId="0" applyNumberFormat="1" applyFont="1" applyAlignment="1">
      <alignment horizontal="center"/>
    </xf>
    <xf numFmtId="9" fontId="25" fillId="0" borderId="3" xfId="0" applyNumberFormat="1" applyFont="1" applyBorder="1" applyAlignment="1">
      <alignment horizontal="center" vertical="center"/>
    </xf>
    <xf numFmtId="9" fontId="10" fillId="0" borderId="14" xfId="0" applyNumberFormat="1" applyFont="1" applyBorder="1" applyAlignment="1">
      <alignment horizontal="center"/>
    </xf>
    <xf numFmtId="9" fontId="25" fillId="0" borderId="6" xfId="0" applyNumberFormat="1" applyFont="1" applyBorder="1"/>
    <xf numFmtId="180" fontId="6" fillId="0" borderId="21" xfId="2" applyNumberFormat="1" applyFont="1" applyBorder="1" applyAlignment="1">
      <alignment horizontal="center" vertical="center"/>
    </xf>
    <xf numFmtId="180" fontId="6" fillId="0" borderId="22" xfId="2" applyNumberFormat="1" applyFont="1" applyBorder="1" applyAlignment="1">
      <alignment horizontal="center" vertical="center"/>
    </xf>
    <xf numFmtId="0" fontId="10" fillId="0" borderId="0" xfId="0" applyFont="1" applyAlignment="1">
      <alignment horizontal="center"/>
    </xf>
    <xf numFmtId="201" fontId="10" fillId="0" borderId="0" xfId="0" applyNumberFormat="1" applyFont="1" applyAlignment="1">
      <alignment horizontal="center"/>
    </xf>
    <xf numFmtId="180" fontId="25" fillId="0" borderId="0" xfId="2" applyNumberFormat="1" applyFont="1" applyAlignment="1">
      <alignment horizontal="center" vertical="center"/>
    </xf>
    <xf numFmtId="3" fontId="41" fillId="0" borderId="0" xfId="0" applyNumberFormat="1" applyFont="1" applyAlignment="1">
      <alignment horizontal="center"/>
    </xf>
    <xf numFmtId="195" fontId="6" fillId="0" borderId="0" xfId="2" applyNumberFormat="1" applyFont="1" applyAlignment="1">
      <alignment horizontal="center" vertical="center"/>
    </xf>
    <xf numFmtId="195" fontId="6" fillId="0" borderId="8" xfId="2" applyNumberFormat="1" applyFont="1" applyBorder="1" applyAlignment="1">
      <alignment horizontal="center" vertical="center"/>
    </xf>
    <xf numFmtId="195" fontId="7" fillId="0" borderId="0" xfId="2" applyNumberFormat="1" applyFont="1" applyAlignment="1">
      <alignment horizontal="center" vertical="center"/>
    </xf>
    <xf numFmtId="195" fontId="6" fillId="0" borderId="5" xfId="2" applyNumberFormat="1" applyFont="1" applyBorder="1" applyAlignment="1">
      <alignment horizontal="center" vertical="center"/>
    </xf>
    <xf numFmtId="195" fontId="11" fillId="0" borderId="0" xfId="0" applyNumberFormat="1" applyFont="1" applyAlignment="1">
      <alignment horizontal="center" vertical="center"/>
    </xf>
    <xf numFmtId="187" fontId="11" fillId="0" borderId="0" xfId="0" applyNumberFormat="1" applyFont="1" applyAlignment="1">
      <alignment horizontal="center" vertical="center"/>
    </xf>
    <xf numFmtId="195" fontId="6" fillId="0" borderId="9" xfId="2" applyNumberFormat="1" applyFont="1" applyBorder="1" applyAlignment="1">
      <alignment horizontal="center" vertical="center"/>
    </xf>
    <xf numFmtId="195" fontId="6" fillId="0" borderId="6" xfId="2" applyNumberFormat="1" applyFont="1" applyBorder="1" applyAlignment="1">
      <alignment horizontal="center" vertical="center"/>
    </xf>
    <xf numFmtId="180" fontId="7" fillId="0" borderId="0" xfId="2" applyNumberFormat="1" applyFont="1" applyAlignment="1">
      <alignment horizontal="center" vertical="center"/>
    </xf>
    <xf numFmtId="0" fontId="27" fillId="0" borderId="13" xfId="0" applyFont="1" applyBorder="1" applyAlignment="1">
      <alignment horizontal="left" vertical="center"/>
    </xf>
    <xf numFmtId="195" fontId="56" fillId="0" borderId="0" xfId="2" applyNumberFormat="1" applyFont="1" applyAlignment="1">
      <alignment horizontal="right" vertical="center"/>
    </xf>
    <xf numFmtId="9" fontId="41" fillId="0" borderId="3" xfId="1" applyNumberFormat="1" applyFont="1" applyBorder="1" applyAlignment="1">
      <alignment horizontal="center" vertical="center"/>
    </xf>
    <xf numFmtId="192" fontId="6" fillId="0" borderId="14" xfId="0" applyNumberFormat="1" applyFont="1" applyBorder="1"/>
    <xf numFmtId="0" fontId="42" fillId="0" borderId="18" xfId="0" applyFont="1" applyBorder="1" applyAlignment="1">
      <alignment horizontal="left" vertical="center" indent="4"/>
    </xf>
    <xf numFmtId="175" fontId="17" fillId="0" borderId="23" xfId="0" applyNumberFormat="1" applyFont="1" applyBorder="1" applyAlignment="1">
      <alignment horizontal="right" vertical="center"/>
    </xf>
    <xf numFmtId="175" fontId="17" fillId="0" borderId="31" xfId="0" applyNumberFormat="1" applyFont="1" applyBorder="1" applyAlignment="1">
      <alignment horizontal="right" vertical="center"/>
    </xf>
    <xf numFmtId="180" fontId="6" fillId="0" borderId="3" xfId="0" applyNumberFormat="1" applyFont="1" applyBorder="1" applyAlignment="1">
      <alignment horizontal="center" vertical="center"/>
    </xf>
    <xf numFmtId="186" fontId="25" fillId="0" borderId="0" xfId="0" applyNumberFormat="1" applyFont="1" applyAlignment="1">
      <alignment vertical="center"/>
    </xf>
    <xf numFmtId="10" fontId="6" fillId="0" borderId="3" xfId="0" applyNumberFormat="1" applyFont="1" applyBorder="1" applyAlignment="1">
      <alignment horizontal="center" vertical="center"/>
    </xf>
    <xf numFmtId="10" fontId="25" fillId="0" borderId="0" xfId="0" applyNumberFormat="1" applyFont="1" applyAlignment="1">
      <alignment horizontal="center" vertical="center"/>
    </xf>
    <xf numFmtId="10" fontId="6" fillId="0" borderId="0" xfId="0" applyNumberFormat="1" applyFont="1" applyAlignment="1">
      <alignment horizontal="center" vertical="center"/>
    </xf>
    <xf numFmtId="3" fontId="25" fillId="0" borderId="0" xfId="0" applyNumberFormat="1" applyFont="1" applyAlignment="1">
      <alignment horizontal="center" vertical="center"/>
    </xf>
    <xf numFmtId="218" fontId="25" fillId="0" borderId="0" xfId="0" applyNumberFormat="1" applyFont="1" applyAlignment="1">
      <alignment vertical="center"/>
    </xf>
    <xf numFmtId="180" fontId="10" fillId="0" borderId="0" xfId="0" applyNumberFormat="1" applyFont="1" applyAlignment="1">
      <alignment vertical="center"/>
    </xf>
    <xf numFmtId="173" fontId="10" fillId="0" borderId="0" xfId="0" applyNumberFormat="1" applyFont="1" applyAlignment="1">
      <alignment vertical="center"/>
    </xf>
    <xf numFmtId="180" fontId="11" fillId="5" borderId="0" xfId="0" applyNumberFormat="1" applyFont="1" applyFill="1" applyAlignment="1">
      <alignment vertical="center"/>
    </xf>
    <xf numFmtId="173" fontId="11" fillId="5" borderId="0" xfId="0" applyNumberFormat="1" applyFont="1" applyFill="1" applyAlignment="1">
      <alignment vertical="center"/>
    </xf>
    <xf numFmtId="195" fontId="10" fillId="0" borderId="14" xfId="0" applyNumberFormat="1" applyFont="1" applyBorder="1" applyAlignment="1">
      <alignment vertical="center"/>
    </xf>
    <xf numFmtId="180" fontId="7" fillId="5" borderId="14" xfId="0" applyNumberFormat="1" applyFont="1" applyFill="1" applyBorder="1" applyAlignment="1">
      <alignment vertical="center"/>
    </xf>
    <xf numFmtId="180" fontId="6" fillId="0" borderId="14" xfId="0" applyNumberFormat="1" applyFont="1" applyBorder="1" applyAlignment="1">
      <alignment vertical="center"/>
    </xf>
    <xf numFmtId="180" fontId="11" fillId="3" borderId="16" xfId="0" applyNumberFormat="1" applyFont="1" applyFill="1" applyBorder="1" applyAlignment="1">
      <alignment vertical="center"/>
    </xf>
    <xf numFmtId="183" fontId="11" fillId="3" borderId="16" xfId="0" applyNumberFormat="1" applyFont="1" applyFill="1" applyBorder="1" applyAlignment="1">
      <alignment vertical="center"/>
    </xf>
    <xf numFmtId="183" fontId="10" fillId="0" borderId="0" xfId="0" applyNumberFormat="1" applyFont="1" applyAlignment="1">
      <alignment vertical="center"/>
    </xf>
    <xf numFmtId="183" fontId="10" fillId="0" borderId="8" xfId="0" applyNumberFormat="1" applyFont="1" applyBorder="1" applyAlignment="1">
      <alignment vertical="center"/>
    </xf>
    <xf numFmtId="180" fontId="6" fillId="0" borderId="9" xfId="0" applyNumberFormat="1" applyFont="1" applyBorder="1" applyAlignment="1">
      <alignment vertical="center"/>
    </xf>
    <xf numFmtId="180" fontId="7" fillId="3" borderId="17" xfId="0" applyNumberFormat="1" applyFont="1" applyFill="1" applyBorder="1" applyAlignment="1">
      <alignment vertical="center"/>
    </xf>
    <xf numFmtId="183" fontId="11" fillId="3" borderId="8" xfId="0" applyNumberFormat="1" applyFont="1" applyFill="1" applyBorder="1" applyAlignment="1">
      <alignment vertical="center"/>
    </xf>
    <xf numFmtId="186" fontId="25" fillId="0" borderId="14" xfId="0" applyNumberFormat="1" applyFont="1" applyBorder="1" applyAlignment="1">
      <alignment vertical="center"/>
    </xf>
    <xf numFmtId="181" fontId="25" fillId="0" borderId="14" xfId="0" applyNumberFormat="1" applyFont="1" applyBorder="1" applyAlignment="1">
      <alignment vertical="center"/>
    </xf>
    <xf numFmtId="180" fontId="25" fillId="0" borderId="14" xfId="0" applyNumberFormat="1" applyFont="1" applyBorder="1" applyAlignment="1">
      <alignment vertical="center"/>
    </xf>
    <xf numFmtId="182" fontId="6" fillId="0" borderId="14" xfId="6" applyNumberFormat="1" applyFont="1" applyBorder="1" applyAlignment="1">
      <alignment vertical="center"/>
    </xf>
    <xf numFmtId="0" fontId="28" fillId="8" borderId="0" xfId="0" applyFont="1" applyFill="1" applyAlignment="1">
      <alignment horizontal="center" vertical="center"/>
    </xf>
    <xf numFmtId="10" fontId="28" fillId="8" borderId="0" xfId="0" applyNumberFormat="1" applyFont="1" applyFill="1" applyAlignment="1">
      <alignment horizontal="center" vertical="center"/>
    </xf>
    <xf numFmtId="0" fontId="17" fillId="0" borderId="0" xfId="0" applyFont="1" applyAlignment="1">
      <alignment horizontal="center" vertical="center"/>
    </xf>
    <xf numFmtId="176" fontId="6" fillId="0" borderId="0" xfId="0" applyNumberFormat="1" applyFont="1" applyAlignment="1">
      <alignment horizontal="right" vertical="center"/>
    </xf>
    <xf numFmtId="175" fontId="6" fillId="0" borderId="0" xfId="0" applyNumberFormat="1" applyFont="1" applyAlignment="1">
      <alignment horizontal="right" vertical="center"/>
    </xf>
    <xf numFmtId="187" fontId="13" fillId="0" borderId="0" xfId="0" applyNumberFormat="1" applyFont="1" applyAlignment="1">
      <alignment horizontal="right" vertical="center"/>
    </xf>
    <xf numFmtId="219" fontId="15" fillId="0" borderId="0" xfId="0" applyNumberFormat="1" applyFont="1" applyAlignment="1">
      <alignment vertical="center"/>
    </xf>
    <xf numFmtId="168" fontId="10" fillId="0" borderId="0" xfId="0" applyNumberFormat="1" applyFont="1" applyAlignment="1">
      <alignment vertical="center"/>
    </xf>
    <xf numFmtId="220" fontId="7" fillId="0" borderId="0" xfId="0" applyNumberFormat="1" applyFont="1" applyAlignment="1">
      <alignment vertical="center"/>
    </xf>
    <xf numFmtId="176" fontId="8" fillId="0" borderId="0" xfId="0" applyNumberFormat="1" applyFont="1" applyAlignment="1">
      <alignment vertical="center"/>
    </xf>
    <xf numFmtId="0" fontId="11" fillId="3" borderId="15" xfId="0" applyFont="1" applyFill="1" applyBorder="1" applyAlignment="1">
      <alignment horizontal="left" vertical="center" indent="2"/>
    </xf>
    <xf numFmtId="176" fontId="11" fillId="3" borderId="16" xfId="0" applyNumberFormat="1" applyFont="1" applyFill="1" applyBorder="1" applyAlignment="1">
      <alignment vertical="center"/>
    </xf>
    <xf numFmtId="0" fontId="11" fillId="0" borderId="0" xfId="0" applyFont="1" applyAlignment="1">
      <alignment horizontal="center" vertical="center"/>
    </xf>
    <xf numFmtId="0" fontId="10" fillId="0" borderId="4" xfId="0" applyFont="1" applyBorder="1" applyAlignment="1">
      <alignment horizontal="left" vertical="center" indent="2"/>
    </xf>
    <xf numFmtId="176" fontId="10" fillId="0" borderId="5" xfId="0" applyNumberFormat="1" applyFont="1" applyBorder="1" applyAlignment="1">
      <alignment vertical="center"/>
    </xf>
    <xf numFmtId="180" fontId="10" fillId="0" borderId="5" xfId="0" applyNumberFormat="1" applyFont="1" applyBorder="1" applyAlignment="1">
      <alignment vertical="center"/>
    </xf>
    <xf numFmtId="0" fontId="42" fillId="0" borderId="13" xfId="0" applyFont="1" applyBorder="1" applyAlignment="1">
      <alignment horizontal="left" vertical="center" indent="2"/>
    </xf>
    <xf numFmtId="0" fontId="27" fillId="0" borderId="0" xfId="0" applyFont="1" applyAlignment="1">
      <alignment horizontal="center" vertical="center"/>
    </xf>
    <xf numFmtId="0" fontId="27" fillId="0" borderId="14" xfId="0" applyFont="1" applyBorder="1" applyAlignment="1">
      <alignment horizontal="center" vertical="center"/>
    </xf>
    <xf numFmtId="180" fontId="10" fillId="0" borderId="0" xfId="0" applyNumberFormat="1" applyFont="1" applyAlignment="1">
      <alignment horizontal="center" vertical="center"/>
    </xf>
    <xf numFmtId="180" fontId="10" fillId="0" borderId="8" xfId="0" applyNumberFormat="1" applyFont="1" applyBorder="1" applyAlignment="1">
      <alignment horizontal="center" vertical="center"/>
    </xf>
    <xf numFmtId="180" fontId="11" fillId="3" borderId="16" xfId="0" applyNumberFormat="1" applyFont="1" applyFill="1" applyBorder="1" applyAlignment="1">
      <alignment horizontal="center" vertical="center"/>
    </xf>
    <xf numFmtId="180" fontId="25" fillId="0" borderId="0" xfId="0" applyNumberFormat="1" applyFont="1" applyAlignment="1">
      <alignment horizontal="center" vertical="center"/>
    </xf>
    <xf numFmtId="192" fontId="10" fillId="0" borderId="0" xfId="0" applyNumberFormat="1" applyFont="1" applyAlignment="1">
      <alignment horizontal="center" vertical="center"/>
    </xf>
    <xf numFmtId="192" fontId="10" fillId="0" borderId="8" xfId="0" applyNumberFormat="1" applyFont="1" applyBorder="1" applyAlignment="1">
      <alignment horizontal="center" vertical="center"/>
    </xf>
    <xf numFmtId="192" fontId="11" fillId="3" borderId="16" xfId="0" applyNumberFormat="1" applyFont="1" applyFill="1" applyBorder="1" applyAlignment="1">
      <alignment horizontal="center" vertical="center"/>
    </xf>
    <xf numFmtId="180" fontId="25" fillId="0" borderId="8" xfId="0" applyNumberFormat="1" applyFont="1" applyBorder="1" applyAlignment="1">
      <alignment horizontal="center" vertical="center"/>
    </xf>
    <xf numFmtId="180" fontId="6" fillId="0" borderId="0" xfId="0" applyNumberFormat="1" applyFont="1" applyAlignment="1">
      <alignment horizontal="center" vertical="center"/>
    </xf>
    <xf numFmtId="9" fontId="6" fillId="0" borderId="3" xfId="0" applyNumberFormat="1" applyFont="1" applyBorder="1" applyAlignment="1">
      <alignment horizontal="center" vertical="center"/>
    </xf>
    <xf numFmtId="191" fontId="6" fillId="0" borderId="0" xfId="0" applyNumberFormat="1" applyFont="1" applyAlignment="1">
      <alignment vertical="center"/>
    </xf>
    <xf numFmtId="223" fontId="7" fillId="6" borderId="0" xfId="0" applyNumberFormat="1" applyFont="1" applyFill="1" applyAlignment="1">
      <alignment vertical="center"/>
    </xf>
    <xf numFmtId="195" fontId="6" fillId="0" borderId="16" xfId="0" applyNumberFormat="1" applyFont="1" applyBorder="1" applyAlignment="1">
      <alignment vertical="center"/>
    </xf>
    <xf numFmtId="195" fontId="6" fillId="0" borderId="14" xfId="2" applyNumberFormat="1" applyFont="1" applyBorder="1" applyAlignment="1">
      <alignment horizontal="center" vertical="center"/>
    </xf>
    <xf numFmtId="9" fontId="10" fillId="0" borderId="0" xfId="0" applyNumberFormat="1" applyFont="1" applyAlignment="1">
      <alignment vertical="center"/>
    </xf>
    <xf numFmtId="169" fontId="6" fillId="0" borderId="7" xfId="2" applyNumberFormat="1" applyFont="1" applyBorder="1" applyAlignment="1">
      <alignment horizontal="left" vertical="center"/>
    </xf>
    <xf numFmtId="3" fontId="11" fillId="5" borderId="0" xfId="0" applyNumberFormat="1" applyFont="1" applyFill="1" applyAlignment="1">
      <alignment vertical="center"/>
    </xf>
    <xf numFmtId="183" fontId="11" fillId="5" borderId="0" xfId="0" applyNumberFormat="1" applyFont="1" applyFill="1" applyAlignment="1">
      <alignment vertical="center"/>
    </xf>
    <xf numFmtId="175" fontId="11" fillId="5" borderId="0" xfId="0" applyNumberFormat="1" applyFont="1" applyFill="1" applyAlignment="1">
      <alignment vertical="center"/>
    </xf>
    <xf numFmtId="180" fontId="11" fillId="3" borderId="8" xfId="0" applyNumberFormat="1" applyFont="1" applyFill="1" applyBorder="1" applyAlignment="1">
      <alignment vertical="center"/>
    </xf>
    <xf numFmtId="180" fontId="7" fillId="3" borderId="9" xfId="0" applyNumberFormat="1" applyFont="1" applyFill="1" applyBorder="1" applyAlignment="1">
      <alignment vertical="center"/>
    </xf>
    <xf numFmtId="175" fontId="42" fillId="0" borderId="0" xfId="0" applyNumberFormat="1" applyFont="1" applyAlignment="1">
      <alignment vertical="center"/>
    </xf>
    <xf numFmtId="203" fontId="28" fillId="8" borderId="0" xfId="58" applyNumberFormat="1" applyFont="1" applyFill="1" applyBorder="1" applyAlignment="1">
      <alignment horizontal="right" vertical="center"/>
    </xf>
    <xf numFmtId="203" fontId="50" fillId="8" borderId="0" xfId="58" applyNumberFormat="1" applyFont="1" applyFill="1" applyBorder="1" applyAlignment="1">
      <alignment horizontal="right" vertical="center"/>
    </xf>
    <xf numFmtId="0" fontId="29" fillId="8" borderId="0" xfId="58" applyNumberFormat="1" applyFont="1" applyFill="1" applyBorder="1" applyAlignment="1">
      <alignment horizontal="right" vertical="center"/>
    </xf>
    <xf numFmtId="189" fontId="43" fillId="8" borderId="0" xfId="0" applyNumberFormat="1" applyFont="1" applyFill="1" applyAlignment="1">
      <alignment horizontal="right" vertical="center"/>
    </xf>
    <xf numFmtId="188" fontId="43" fillId="8" borderId="0" xfId="0" applyNumberFormat="1" applyFont="1" applyFill="1" applyAlignment="1">
      <alignment horizontal="right" vertical="center"/>
    </xf>
    <xf numFmtId="3" fontId="25" fillId="0" borderId="0" xfId="0" applyNumberFormat="1" applyFont="1" applyAlignment="1">
      <alignment horizontal="right" vertical="center"/>
    </xf>
    <xf numFmtId="0" fontId="42" fillId="0" borderId="0" xfId="0" applyFont="1" applyAlignment="1">
      <alignment horizontal="left" vertical="center" indent="2"/>
    </xf>
    <xf numFmtId="3" fontId="10" fillId="0" borderId="0" xfId="0" applyNumberFormat="1" applyFont="1" applyAlignment="1">
      <alignment horizontal="left" indent="1"/>
    </xf>
    <xf numFmtId="180" fontId="6" fillId="0" borderId="18" xfId="0" applyNumberFormat="1" applyFont="1" applyBorder="1" applyAlignment="1">
      <alignment horizontal="right" vertical="center"/>
    </xf>
    <xf numFmtId="180" fontId="6" fillId="0" borderId="14" xfId="0" applyNumberFormat="1" applyFont="1" applyBorder="1" applyAlignment="1">
      <alignment horizontal="center" vertical="center"/>
    </xf>
    <xf numFmtId="10" fontId="15" fillId="0" borderId="0" xfId="0" applyNumberFormat="1" applyFont="1" applyAlignment="1">
      <alignment vertical="center"/>
    </xf>
    <xf numFmtId="4" fontId="6" fillId="0" borderId="18" xfId="0" applyNumberFormat="1" applyFont="1" applyBorder="1" applyAlignment="1">
      <alignment vertical="center"/>
    </xf>
    <xf numFmtId="10" fontId="41" fillId="0" borderId="0" xfId="0" applyNumberFormat="1" applyFont="1" applyAlignment="1">
      <alignment horizontal="right" vertical="center"/>
    </xf>
    <xf numFmtId="0" fontId="10" fillId="0" borderId="28" xfId="0" applyFont="1" applyBorder="1" applyAlignment="1">
      <alignment vertical="center"/>
    </xf>
    <xf numFmtId="175" fontId="6" fillId="0" borderId="18" xfId="0" applyNumberFormat="1" applyFont="1" applyBorder="1" applyAlignment="1">
      <alignment horizontal="right" vertical="center"/>
    </xf>
    <xf numFmtId="175" fontId="6" fillId="0" borderId="19" xfId="0" applyNumberFormat="1" applyFont="1" applyBorder="1" applyAlignment="1">
      <alignment horizontal="right" vertical="center"/>
    </xf>
    <xf numFmtId="180" fontId="6" fillId="0" borderId="14" xfId="0" applyNumberFormat="1" applyFont="1" applyBorder="1" applyAlignment="1">
      <alignment horizontal="right"/>
    </xf>
    <xf numFmtId="180" fontId="6" fillId="0" borderId="28" xfId="2" applyNumberFormat="1" applyFont="1" applyBorder="1" applyAlignment="1">
      <alignment horizontal="center" vertical="center"/>
    </xf>
    <xf numFmtId="169" fontId="6" fillId="0" borderId="4" xfId="2" applyNumberFormat="1" applyFont="1" applyBorder="1" applyAlignment="1">
      <alignment horizontal="center" vertical="center"/>
    </xf>
    <xf numFmtId="10" fontId="57" fillId="0" borderId="14" xfId="1" applyNumberFormat="1" applyFont="1" applyBorder="1" applyAlignment="1">
      <alignment horizontal="centerContinuous" vertical="center"/>
    </xf>
    <xf numFmtId="224" fontId="10" fillId="0" borderId="13" xfId="0" applyNumberFormat="1" applyFont="1" applyBorder="1" applyAlignment="1">
      <alignment horizontal="left" vertical="center" indent="1"/>
    </xf>
    <xf numFmtId="203" fontId="25" fillId="0" borderId="0" xfId="0" applyNumberFormat="1" applyFont="1" applyAlignment="1">
      <alignment vertical="center"/>
    </xf>
    <xf numFmtId="9" fontId="6" fillId="0" borderId="0" xfId="0" applyNumberFormat="1" applyFont="1" applyAlignment="1">
      <alignment vertical="center"/>
    </xf>
    <xf numFmtId="3" fontId="6" fillId="0" borderId="0" xfId="0" applyNumberFormat="1" applyFont="1" applyAlignment="1">
      <alignment vertical="center"/>
    </xf>
    <xf numFmtId="0" fontId="0" fillId="0" borderId="5" xfId="0" applyBorder="1"/>
    <xf numFmtId="0" fontId="27" fillId="0" borderId="0" xfId="0" applyFont="1" applyAlignment="1">
      <alignment horizontal="center" vertical="center" wrapText="1"/>
    </xf>
    <xf numFmtId="0" fontId="27" fillId="0" borderId="14" xfId="0" applyFont="1" applyBorder="1" applyAlignment="1">
      <alignment horizontal="center" vertical="center" wrapText="1"/>
    </xf>
    <xf numFmtId="9" fontId="6" fillId="0" borderId="14" xfId="0" applyNumberFormat="1" applyFont="1" applyBorder="1" applyAlignment="1">
      <alignment horizontal="center"/>
    </xf>
    <xf numFmtId="207" fontId="13" fillId="0" borderId="0" xfId="0" applyNumberFormat="1" applyFont="1" applyAlignment="1">
      <alignment vertical="center"/>
    </xf>
    <xf numFmtId="180" fontId="25" fillId="0" borderId="8" xfId="2" applyNumberFormat="1" applyFont="1" applyBorder="1" applyAlignment="1">
      <alignment horizontal="center" vertical="center"/>
    </xf>
    <xf numFmtId="9" fontId="6" fillId="0" borderId="9" xfId="0" applyNumberFormat="1" applyFont="1" applyBorder="1" applyAlignment="1">
      <alignment horizontal="center"/>
    </xf>
    <xf numFmtId="0" fontId="10" fillId="0" borderId="8" xfId="0" applyFont="1" applyBorder="1" applyAlignment="1">
      <alignment horizontal="left" indent="1"/>
    </xf>
    <xf numFmtId="0" fontId="0" fillId="0" borderId="5" xfId="0" applyBorder="1" applyAlignment="1">
      <alignment vertical="center"/>
    </xf>
    <xf numFmtId="0" fontId="55" fillId="0" borderId="0" xfId="0" applyFont="1" applyAlignment="1">
      <alignment vertical="center"/>
    </xf>
    <xf numFmtId="0" fontId="10" fillId="0" borderId="27" xfId="0" applyFont="1" applyBorder="1" applyAlignment="1">
      <alignment horizontal="left" vertical="center" indent="1"/>
    </xf>
    <xf numFmtId="0" fontId="10" fillId="0" borderId="18" xfId="0" applyFont="1" applyBorder="1" applyAlignment="1">
      <alignment horizontal="left" vertical="center"/>
    </xf>
    <xf numFmtId="0" fontId="55" fillId="0" borderId="18" xfId="0" applyFont="1" applyBorder="1" applyAlignment="1">
      <alignment vertical="center"/>
    </xf>
    <xf numFmtId="0" fontId="0" fillId="0" borderId="18" xfId="0" applyBorder="1" applyAlignment="1">
      <alignment vertical="center"/>
    </xf>
    <xf numFmtId="0" fontId="11" fillId="0" borderId="27" xfId="0" applyFont="1" applyBorder="1" applyAlignment="1">
      <alignment vertical="center"/>
    </xf>
    <xf numFmtId="180" fontId="7" fillId="0" borderId="19" xfId="2" applyNumberFormat="1" applyFont="1" applyBorder="1" applyAlignment="1">
      <alignment horizontal="center" vertical="center"/>
    </xf>
    <xf numFmtId="180" fontId="7" fillId="0" borderId="32" xfId="2" applyNumberFormat="1" applyFont="1" applyBorder="1" applyAlignment="1">
      <alignment horizontal="center" vertical="center"/>
    </xf>
    <xf numFmtId="0" fontId="10" fillId="0" borderId="27" xfId="0" applyFont="1" applyBorder="1" applyAlignment="1">
      <alignment horizontal="left" vertical="center"/>
    </xf>
    <xf numFmtId="180" fontId="7" fillId="0" borderId="18" xfId="2" applyNumberFormat="1" applyFont="1" applyBorder="1" applyAlignment="1">
      <alignment horizontal="center" vertical="center"/>
    </xf>
    <xf numFmtId="180" fontId="7" fillId="0" borderId="28" xfId="2" applyNumberFormat="1" applyFont="1" applyBorder="1" applyAlignment="1">
      <alignment horizontal="center" vertical="center"/>
    </xf>
    <xf numFmtId="1" fontId="25" fillId="0" borderId="0" xfId="0" applyNumberFormat="1" applyFont="1" applyAlignment="1">
      <alignment vertical="center"/>
    </xf>
    <xf numFmtId="0" fontId="10" fillId="0" borderId="7" xfId="0" applyFont="1" applyBorder="1" applyAlignment="1">
      <alignment horizontal="left" vertical="center" indent="2"/>
    </xf>
    <xf numFmtId="176" fontId="10" fillId="0" borderId="8" xfId="0" applyNumberFormat="1" applyFont="1" applyBorder="1" applyAlignment="1">
      <alignment vertical="center"/>
    </xf>
    <xf numFmtId="0" fontId="11" fillId="3" borderId="7" xfId="0" applyFont="1" applyFill="1" applyBorder="1" applyAlignment="1">
      <alignment horizontal="left" vertical="center" indent="2"/>
    </xf>
    <xf numFmtId="0" fontId="11" fillId="3" borderId="8" xfId="0" applyFont="1" applyFill="1" applyBorder="1" applyAlignment="1">
      <alignment vertical="center"/>
    </xf>
    <xf numFmtId="173" fontId="11" fillId="3" borderId="8" xfId="0" applyNumberFormat="1" applyFont="1" applyFill="1" applyBorder="1" applyAlignment="1">
      <alignment vertical="center"/>
    </xf>
    <xf numFmtId="176" fontId="11" fillId="3" borderId="8" xfId="0" applyNumberFormat="1" applyFont="1" applyFill="1" applyBorder="1" applyAlignment="1">
      <alignment vertical="center"/>
    </xf>
    <xf numFmtId="220" fontId="7" fillId="3" borderId="8" xfId="0" applyNumberFormat="1" applyFont="1" applyFill="1" applyBorder="1" applyAlignment="1">
      <alignment vertical="center"/>
    </xf>
    <xf numFmtId="9" fontId="42" fillId="0" borderId="0" xfId="0" applyNumberFormat="1" applyFont="1" applyAlignment="1">
      <alignment horizontal="center" vertical="center"/>
    </xf>
    <xf numFmtId="9" fontId="42" fillId="0" borderId="5" xfId="0" applyNumberFormat="1" applyFont="1" applyBorder="1" applyAlignment="1">
      <alignment horizontal="center" vertical="center"/>
    </xf>
    <xf numFmtId="225" fontId="10" fillId="0" borderId="13" xfId="0" applyNumberFormat="1" applyFont="1" applyBorder="1" applyAlignment="1">
      <alignment horizontal="left" indent="2"/>
    </xf>
    <xf numFmtId="195" fontId="6" fillId="0" borderId="13" xfId="2" applyNumberFormat="1" applyFont="1" applyBorder="1" applyAlignment="1">
      <alignment horizontal="center" vertical="center"/>
    </xf>
    <xf numFmtId="195" fontId="6" fillId="0" borderId="27" xfId="2" applyNumberFormat="1" applyFont="1" applyBorder="1" applyAlignment="1">
      <alignment horizontal="center" vertical="center"/>
    </xf>
    <xf numFmtId="195" fontId="6" fillId="0" borderId="7" xfId="2" applyNumberFormat="1" applyFont="1" applyBorder="1" applyAlignment="1">
      <alignment horizontal="center" vertical="center"/>
    </xf>
    <xf numFmtId="0" fontId="10" fillId="0" borderId="13" xfId="0" applyFont="1" applyBorder="1" applyAlignment="1">
      <alignment horizontal="center"/>
    </xf>
    <xf numFmtId="0" fontId="10" fillId="0" borderId="6" xfId="0" applyFont="1" applyBorder="1" applyAlignment="1">
      <alignment horizontal="center"/>
    </xf>
    <xf numFmtId="195" fontId="25" fillId="0" borderId="13" xfId="2" applyNumberFormat="1" applyFont="1" applyBorder="1" applyAlignment="1">
      <alignment horizontal="center" vertical="center"/>
    </xf>
    <xf numFmtId="195" fontId="10" fillId="0" borderId="13" xfId="0" applyNumberFormat="1" applyFont="1" applyBorder="1" applyAlignment="1">
      <alignment horizontal="center"/>
    </xf>
    <xf numFmtId="180" fontId="10" fillId="0" borderId="13" xfId="0" applyNumberFormat="1" applyFont="1" applyBorder="1" applyAlignment="1">
      <alignment horizontal="center"/>
    </xf>
    <xf numFmtId="180" fontId="10" fillId="0" borderId="0" xfId="0" applyNumberFormat="1" applyFont="1" applyAlignment="1">
      <alignment horizontal="center"/>
    </xf>
    <xf numFmtId="180" fontId="10" fillId="0" borderId="14" xfId="0" applyNumberFormat="1" applyFont="1" applyBorder="1" applyAlignment="1">
      <alignment horizontal="center"/>
    </xf>
    <xf numFmtId="195" fontId="6" fillId="0" borderId="18" xfId="2" applyNumberFormat="1" applyFont="1" applyBorder="1" applyAlignment="1">
      <alignment horizontal="center" vertical="center"/>
    </xf>
    <xf numFmtId="192" fontId="25" fillId="0" borderId="13" xfId="2" applyNumberFormat="1" applyFont="1" applyBorder="1" applyAlignment="1">
      <alignment horizontal="center" vertical="center"/>
    </xf>
    <xf numFmtId="0" fontId="11" fillId="3" borderId="4" xfId="0" applyFont="1" applyFill="1" applyBorder="1" applyAlignment="1">
      <alignment horizontal="left" vertical="center" indent="2"/>
    </xf>
    <xf numFmtId="0" fontId="11" fillId="3" borderId="5" xfId="0" applyFont="1" applyFill="1" applyBorder="1" applyAlignment="1">
      <alignment vertical="center"/>
    </xf>
    <xf numFmtId="173" fontId="11" fillId="3" borderId="5" xfId="0" applyNumberFormat="1" applyFont="1" applyFill="1" applyBorder="1" applyAlignment="1">
      <alignment vertical="center"/>
    </xf>
    <xf numFmtId="176" fontId="11" fillId="3" borderId="5" xfId="0" applyNumberFormat="1" applyFont="1" applyFill="1" applyBorder="1" applyAlignment="1">
      <alignment vertical="center"/>
    </xf>
    <xf numFmtId="220" fontId="7" fillId="3" borderId="5" xfId="0" applyNumberFormat="1" applyFont="1" applyFill="1" applyBorder="1" applyAlignment="1">
      <alignment vertical="center"/>
    </xf>
    <xf numFmtId="221" fontId="7" fillId="3" borderId="6" xfId="0" applyNumberFormat="1" applyFont="1" applyFill="1" applyBorder="1" applyAlignment="1">
      <alignment vertical="center"/>
    </xf>
    <xf numFmtId="221" fontId="7" fillId="3" borderId="9" xfId="0" applyNumberFormat="1" applyFont="1" applyFill="1" applyBorder="1" applyAlignment="1">
      <alignment vertical="center"/>
    </xf>
    <xf numFmtId="187" fontId="7" fillId="0" borderId="0" xfId="0" applyNumberFormat="1" applyFont="1" applyAlignment="1">
      <alignment vertical="center"/>
    </xf>
    <xf numFmtId="180" fontId="11" fillId="0" borderId="0" xfId="0" applyNumberFormat="1" applyFont="1" applyAlignment="1">
      <alignment horizontal="center" vertical="center"/>
    </xf>
    <xf numFmtId="192" fontId="11" fillId="0" borderId="0" xfId="0" applyNumberFormat="1" applyFont="1" applyAlignment="1">
      <alignment horizontal="center" vertical="center"/>
    </xf>
    <xf numFmtId="187" fontId="10" fillId="0" borderId="0" xfId="0" applyNumberFormat="1" applyFont="1" applyAlignment="1">
      <alignment vertical="center"/>
    </xf>
    <xf numFmtId="0" fontId="11" fillId="0" borderId="0" xfId="0" applyFont="1" applyAlignment="1">
      <alignment horizontal="left" vertical="center"/>
    </xf>
    <xf numFmtId="217" fontId="41" fillId="4" borderId="3" xfId="0" applyNumberFormat="1" applyFont="1" applyFill="1" applyBorder="1" applyAlignment="1">
      <alignment horizontal="right" vertical="center"/>
    </xf>
    <xf numFmtId="4" fontId="10" fillId="0" borderId="0" xfId="0" applyNumberFormat="1" applyFont="1" applyAlignment="1">
      <alignment horizontal="center"/>
    </xf>
    <xf numFmtId="4" fontId="10" fillId="0" borderId="0" xfId="0" applyNumberFormat="1" applyFont="1"/>
    <xf numFmtId="195" fontId="41" fillId="0" borderId="11" xfId="2" applyNumberFormat="1" applyFont="1" applyBorder="1" applyAlignment="1">
      <alignment horizontal="center" vertical="center"/>
    </xf>
    <xf numFmtId="10" fontId="10" fillId="0" borderId="8" xfId="0" applyNumberFormat="1" applyFont="1" applyBorder="1" applyAlignment="1">
      <alignment vertical="center"/>
    </xf>
    <xf numFmtId="201" fontId="6" fillId="0" borderId="3" xfId="0" applyNumberFormat="1" applyFont="1" applyBorder="1" applyAlignment="1">
      <alignment horizontal="center" vertical="center"/>
    </xf>
    <xf numFmtId="218" fontId="25" fillId="0" borderId="3" xfId="0" applyNumberFormat="1" applyFont="1" applyBorder="1" applyAlignment="1">
      <alignment horizontal="center" vertical="center"/>
    </xf>
    <xf numFmtId="10" fontId="11" fillId="3" borderId="5" xfId="6" applyNumberFormat="1" applyFont="1" applyFill="1" applyBorder="1" applyAlignment="1">
      <alignment horizontal="center" vertical="center"/>
    </xf>
    <xf numFmtId="10" fontId="11" fillId="3" borderId="8" xfId="6" applyNumberFormat="1" applyFont="1" applyFill="1" applyBorder="1" applyAlignment="1">
      <alignment horizontal="center" vertical="center"/>
    </xf>
    <xf numFmtId="3" fontId="61" fillId="0" borderId="0" xfId="0" applyNumberFormat="1" applyFont="1" applyAlignment="1">
      <alignment horizontal="center" wrapText="1" readingOrder="1"/>
    </xf>
    <xf numFmtId="0" fontId="61" fillId="0" borderId="0" xfId="0" applyFont="1" applyAlignment="1">
      <alignment horizontal="center" wrapText="1" readingOrder="1"/>
    </xf>
    <xf numFmtId="9" fontId="41" fillId="0" borderId="0" xfId="1" applyNumberFormat="1" applyFont="1" applyAlignment="1">
      <alignment horizontal="center" vertical="center"/>
    </xf>
    <xf numFmtId="0" fontId="51" fillId="0" borderId="0" xfId="1" applyFont="1" applyAlignment="1">
      <alignment horizontal="center" vertical="center"/>
    </xf>
    <xf numFmtId="0" fontId="51" fillId="0" borderId="14" xfId="1" applyFont="1" applyBorder="1" applyAlignment="1">
      <alignment horizontal="center" vertical="center"/>
    </xf>
    <xf numFmtId="192" fontId="10" fillId="0" borderId="14" xfId="0" applyNumberFormat="1" applyFont="1" applyBorder="1" applyAlignment="1">
      <alignment horizontal="center" vertical="center"/>
    </xf>
    <xf numFmtId="186" fontId="11" fillId="0" borderId="0" xfId="0" applyNumberFormat="1" applyFont="1" applyAlignment="1">
      <alignment horizontal="center" vertical="center"/>
    </xf>
    <xf numFmtId="0" fontId="11" fillId="0" borderId="13" xfId="0" applyFont="1" applyBorder="1" applyAlignment="1">
      <alignment horizontal="left" vertical="center" indent="1"/>
    </xf>
    <xf numFmtId="0" fontId="51" fillId="0" borderId="0" xfId="1" applyFont="1" applyAlignment="1">
      <alignment vertical="center"/>
    </xf>
    <xf numFmtId="203" fontId="10" fillId="0" borderId="0" xfId="0" applyNumberFormat="1" applyFont="1" applyAlignment="1">
      <alignment horizontal="center" vertical="center"/>
    </xf>
    <xf numFmtId="180" fontId="41" fillId="0" borderId="0" xfId="0" applyNumberFormat="1" applyFont="1" applyAlignment="1">
      <alignment horizontal="center" vertical="center"/>
    </xf>
    <xf numFmtId="187" fontId="13" fillId="0" borderId="8" xfId="0" applyNumberFormat="1" applyFont="1" applyBorder="1" applyAlignment="1">
      <alignment horizontal="right" vertical="center"/>
    </xf>
    <xf numFmtId="180" fontId="6" fillId="0" borderId="9" xfId="0" applyNumberFormat="1" applyFont="1" applyBorder="1" applyAlignment="1">
      <alignment horizontal="center" vertical="center"/>
    </xf>
    <xf numFmtId="182" fontId="42" fillId="0" borderId="5" xfId="0" applyNumberFormat="1" applyFont="1" applyBorder="1" applyAlignment="1">
      <alignment horizontal="center" vertical="center"/>
    </xf>
    <xf numFmtId="10" fontId="55" fillId="0" borderId="0" xfId="0" applyNumberFormat="1" applyFont="1"/>
    <xf numFmtId="4" fontId="11" fillId="0" borderId="14" xfId="0" applyNumberFormat="1" applyFont="1" applyBorder="1"/>
    <xf numFmtId="4" fontId="25" fillId="0" borderId="14" xfId="0" applyNumberFormat="1" applyFont="1" applyBorder="1" applyAlignment="1">
      <alignment vertical="center"/>
    </xf>
    <xf numFmtId="180" fontId="25" fillId="0" borderId="18" xfId="0" applyNumberFormat="1" applyFont="1" applyBorder="1" applyAlignment="1">
      <alignment horizontal="right"/>
    </xf>
    <xf numFmtId="10" fontId="6" fillId="0" borderId="0" xfId="0" applyNumberFormat="1" applyFont="1" applyAlignment="1">
      <alignment horizontal="right"/>
    </xf>
    <xf numFmtId="192" fontId="41" fillId="0" borderId="8" xfId="2" applyNumberFormat="1" applyFont="1" applyBorder="1" applyAlignment="1">
      <alignment horizontal="center" vertical="center"/>
    </xf>
    <xf numFmtId="3" fontId="10" fillId="2" borderId="7" xfId="0" applyNumberFormat="1" applyFont="1" applyFill="1" applyBorder="1" applyAlignment="1">
      <alignment horizontal="center"/>
    </xf>
    <xf numFmtId="3" fontId="10" fillId="2" borderId="9" xfId="0" applyNumberFormat="1" applyFont="1" applyFill="1" applyBorder="1" applyAlignment="1">
      <alignment horizontal="center"/>
    </xf>
    <xf numFmtId="180" fontId="41" fillId="0" borderId="12" xfId="2" applyNumberFormat="1" applyFont="1" applyBorder="1" applyAlignment="1">
      <alignment horizontal="center" vertical="center"/>
    </xf>
    <xf numFmtId="192" fontId="6" fillId="0" borderId="21" xfId="2" applyNumberFormat="1" applyFont="1" applyBorder="1" applyAlignment="1">
      <alignment horizontal="center" vertical="center"/>
    </xf>
    <xf numFmtId="0" fontId="6" fillId="0" borderId="0" xfId="0" applyFont="1" applyAlignment="1">
      <alignment horizontal="center"/>
    </xf>
    <xf numFmtId="0" fontId="7" fillId="0" borderId="0" xfId="1" applyFont="1" applyAlignment="1">
      <alignment horizontal="center" vertical="center"/>
    </xf>
    <xf numFmtId="0" fontId="46" fillId="0" borderId="13" xfId="0" applyFont="1" applyBorder="1" applyAlignment="1">
      <alignment horizontal="left" vertical="center" indent="1"/>
    </xf>
    <xf numFmtId="10" fontId="7" fillId="0" borderId="0" xfId="1" applyNumberFormat="1" applyFont="1" applyAlignment="1">
      <alignment horizontal="center" vertical="center"/>
    </xf>
    <xf numFmtId="0" fontId="7" fillId="0" borderId="14" xfId="1" applyFont="1" applyBorder="1" applyAlignment="1">
      <alignment horizontal="center" vertical="center"/>
    </xf>
    <xf numFmtId="14" fontId="7" fillId="0" borderId="0" xfId="0" applyNumberFormat="1" applyFont="1" applyAlignment="1">
      <alignment vertical="center"/>
    </xf>
    <xf numFmtId="9" fontId="7" fillId="0" borderId="0" xfId="0" applyNumberFormat="1" applyFont="1" applyAlignment="1">
      <alignment vertical="center"/>
    </xf>
    <xf numFmtId="10" fontId="7" fillId="0" borderId="0" xfId="0" applyNumberFormat="1" applyFont="1" applyAlignment="1">
      <alignment vertical="center"/>
    </xf>
    <xf numFmtId="226" fontId="7" fillId="0" borderId="0" xfId="0" applyNumberFormat="1" applyFont="1" applyAlignment="1">
      <alignment vertical="center"/>
    </xf>
    <xf numFmtId="4" fontId="7" fillId="0" borderId="0" xfId="0" applyNumberFormat="1" applyFont="1" applyAlignment="1">
      <alignment vertical="center"/>
    </xf>
    <xf numFmtId="9" fontId="41" fillId="0" borderId="5" xfId="1" applyNumberFormat="1" applyFont="1" applyBorder="1" applyAlignment="1">
      <alignment horizontal="center" vertical="center"/>
    </xf>
    <xf numFmtId="0" fontId="10" fillId="0" borderId="20" xfId="0" applyFont="1" applyBorder="1"/>
    <xf numFmtId="0" fontId="10" fillId="0" borderId="21" xfId="0" applyFont="1" applyBorder="1"/>
    <xf numFmtId="0" fontId="10" fillId="0" borderId="21" xfId="0" applyFont="1" applyBorder="1" applyAlignment="1">
      <alignment horizontal="center"/>
    </xf>
    <xf numFmtId="192" fontId="6" fillId="0" borderId="20" xfId="2" applyNumberFormat="1" applyFont="1" applyBorder="1" applyAlignment="1">
      <alignment horizontal="center" vertical="center"/>
    </xf>
    <xf numFmtId="0" fontId="6" fillId="0" borderId="13" xfId="0" applyFont="1" applyBorder="1" applyAlignment="1">
      <alignment horizontal="left" vertical="center" indent="2"/>
    </xf>
    <xf numFmtId="2" fontId="41" fillId="0" borderId="3" xfId="1" applyNumberFormat="1" applyFont="1" applyBorder="1" applyAlignment="1">
      <alignment horizontal="right" vertical="center"/>
    </xf>
    <xf numFmtId="192" fontId="25" fillId="0" borderId="8" xfId="0" applyNumberFormat="1" applyFont="1" applyBorder="1" applyAlignment="1">
      <alignment horizontal="center"/>
    </xf>
    <xf numFmtId="182" fontId="5" fillId="0" borderId="0" xfId="0" applyNumberFormat="1" applyFont="1" applyAlignment="1">
      <alignment vertical="center"/>
    </xf>
    <xf numFmtId="4" fontId="7" fillId="0" borderId="14" xfId="1" applyNumberFormat="1" applyFont="1" applyBorder="1" applyAlignment="1">
      <alignment horizontal="centerContinuous" vertical="center"/>
    </xf>
    <xf numFmtId="10" fontId="41" fillId="0" borderId="9" xfId="1" applyNumberFormat="1" applyFont="1" applyBorder="1" applyAlignment="1">
      <alignment horizontal="right" vertical="center"/>
    </xf>
    <xf numFmtId="186" fontId="10" fillId="0" borderId="14" xfId="0" applyNumberFormat="1" applyFont="1" applyBorder="1" applyAlignment="1">
      <alignment vertical="center"/>
    </xf>
    <xf numFmtId="186" fontId="10" fillId="0" borderId="14" xfId="0" applyNumberFormat="1" applyFont="1" applyBorder="1" applyAlignment="1">
      <alignment horizontal="right" vertical="center"/>
    </xf>
    <xf numFmtId="189" fontId="50" fillId="8" borderId="0" xfId="0" applyNumberFormat="1" applyFont="1" applyFill="1" applyAlignment="1">
      <alignment horizontal="right" vertical="center"/>
    </xf>
    <xf numFmtId="10" fontId="40" fillId="0" borderId="8" xfId="0" applyNumberFormat="1" applyFont="1" applyBorder="1" applyAlignment="1">
      <alignment horizontal="center"/>
    </xf>
    <xf numFmtId="3" fontId="11" fillId="9" borderId="15" xfId="0" applyNumberFormat="1" applyFont="1" applyFill="1" applyBorder="1"/>
    <xf numFmtId="3" fontId="11" fillId="9" borderId="16" xfId="0" applyNumberFormat="1" applyFont="1" applyFill="1" applyBorder="1"/>
    <xf numFmtId="3" fontId="11" fillId="9" borderId="17" xfId="0" applyNumberFormat="1" applyFont="1" applyFill="1" applyBorder="1"/>
    <xf numFmtId="0" fontId="52" fillId="0" borderId="13" xfId="0" applyFont="1" applyBorder="1" applyAlignment="1">
      <alignment horizontal="left" vertical="center" indent="1"/>
    </xf>
    <xf numFmtId="0" fontId="6" fillId="0" borderId="13" xfId="0" applyFont="1" applyBorder="1" applyAlignment="1">
      <alignment horizontal="left" vertical="center" indent="3"/>
    </xf>
    <xf numFmtId="10" fontId="10" fillId="0" borderId="0" xfId="0" applyNumberFormat="1" applyFont="1" applyAlignment="1">
      <alignment vertical="center"/>
    </xf>
    <xf numFmtId="12" fontId="10" fillId="0" borderId="0" xfId="0" applyNumberFormat="1" applyFont="1" applyAlignment="1">
      <alignment vertical="center"/>
    </xf>
    <xf numFmtId="0" fontId="10" fillId="0" borderId="0" xfId="0" applyFont="1" applyAlignment="1">
      <alignment horizontal="left" vertical="center" indent="5"/>
    </xf>
    <xf numFmtId="9" fontId="26" fillId="0" borderId="14" xfId="6" applyFont="1" applyBorder="1" applyAlignment="1">
      <alignment horizontal="right" vertical="center"/>
    </xf>
    <xf numFmtId="182" fontId="62" fillId="8" borderId="0" xfId="6" applyNumberFormat="1" applyFont="1" applyFill="1" applyBorder="1" applyAlignment="1">
      <alignment vertical="center"/>
    </xf>
    <xf numFmtId="182" fontId="63" fillId="5" borderId="0" xfId="6" applyNumberFormat="1" applyFont="1" applyFill="1" applyBorder="1" applyAlignment="1">
      <alignment horizontal="left" vertical="center"/>
    </xf>
    <xf numFmtId="3" fontId="64" fillId="0" borderId="0" xfId="0" applyNumberFormat="1" applyFont="1" applyAlignment="1">
      <alignment vertical="center"/>
    </xf>
    <xf numFmtId="186" fontId="10" fillId="0" borderId="9" xfId="0" applyNumberFormat="1" applyFont="1" applyBorder="1" applyAlignment="1">
      <alignment vertical="center"/>
    </xf>
    <xf numFmtId="186" fontId="10" fillId="0" borderId="6" xfId="0" applyNumberFormat="1" applyFont="1" applyBorder="1" applyAlignment="1">
      <alignment vertical="center"/>
    </xf>
    <xf numFmtId="0" fontId="10" fillId="2" borderId="5" xfId="0" applyFont="1" applyFill="1" applyBorder="1" applyAlignment="1">
      <alignment vertical="center"/>
    </xf>
    <xf numFmtId="0" fontId="27" fillId="2" borderId="5" xfId="0" applyFont="1" applyFill="1" applyBorder="1" applyAlignment="1">
      <alignment horizontal="right" vertical="center"/>
    </xf>
    <xf numFmtId="0" fontId="27" fillId="2" borderId="6" xfId="0" applyFont="1" applyFill="1" applyBorder="1" applyAlignment="1">
      <alignment horizontal="right" vertical="center"/>
    </xf>
    <xf numFmtId="181" fontId="10" fillId="2" borderId="14" xfId="0" applyNumberFormat="1" applyFont="1" applyFill="1" applyBorder="1" applyAlignment="1">
      <alignment horizontal="center"/>
    </xf>
    <xf numFmtId="186" fontId="7" fillId="0" borderId="6" xfId="1" applyNumberFormat="1" applyFont="1" applyBorder="1" applyAlignment="1">
      <alignment horizontal="centerContinuous" vertical="center"/>
    </xf>
    <xf numFmtId="0" fontId="40" fillId="0" borderId="9" xfId="0" applyFont="1" applyBorder="1" applyAlignment="1">
      <alignment horizontal="center"/>
    </xf>
    <xf numFmtId="192" fontId="6" fillId="0" borderId="7" xfId="2" applyNumberFormat="1" applyFont="1" applyBorder="1" applyAlignment="1">
      <alignment horizontal="center" vertical="center"/>
    </xf>
    <xf numFmtId="195" fontId="6" fillId="0" borderId="17" xfId="2" applyNumberFormat="1" applyFont="1" applyBorder="1" applyAlignment="1">
      <alignment horizontal="center" vertical="center"/>
    </xf>
    <xf numFmtId="195" fontId="6" fillId="0" borderId="20" xfId="2" applyNumberFormat="1" applyFont="1" applyBorder="1" applyAlignment="1">
      <alignment horizontal="center" vertical="center"/>
    </xf>
    <xf numFmtId="9" fontId="41" fillId="0" borderId="3" xfId="0" applyNumberFormat="1" applyFont="1" applyBorder="1" applyAlignment="1">
      <alignment horizontal="center" vertical="center"/>
    </xf>
    <xf numFmtId="214" fontId="10" fillId="0" borderId="0" xfId="0" applyNumberFormat="1" applyFont="1" applyAlignment="1">
      <alignment horizontal="center"/>
    </xf>
    <xf numFmtId="228" fontId="10" fillId="0" borderId="0" xfId="0" applyNumberFormat="1" applyFont="1" applyAlignment="1">
      <alignment horizontal="center"/>
    </xf>
    <xf numFmtId="214" fontId="10" fillId="0" borderId="0" xfId="0" applyNumberFormat="1" applyFont="1"/>
    <xf numFmtId="195" fontId="6" fillId="0" borderId="14" xfId="0" applyNumberFormat="1" applyFont="1" applyBorder="1" applyAlignment="1">
      <alignment vertical="center"/>
    </xf>
    <xf numFmtId="195" fontId="7" fillId="3" borderId="17" xfId="0" applyNumberFormat="1" applyFont="1" applyFill="1" applyBorder="1" applyAlignment="1">
      <alignment vertical="center"/>
    </xf>
    <xf numFmtId="10" fontId="65" fillId="0" borderId="0" xfId="0" applyNumberFormat="1" applyFont="1"/>
    <xf numFmtId="182" fontId="10" fillId="0" borderId="0" xfId="0" applyNumberFormat="1" applyFont="1" applyAlignment="1">
      <alignment vertical="center"/>
    </xf>
    <xf numFmtId="2" fontId="10" fillId="0" borderId="0" xfId="0" applyNumberFormat="1" applyFont="1" applyAlignment="1">
      <alignment vertical="center"/>
    </xf>
    <xf numFmtId="182" fontId="41" fillId="0" borderId="15" xfId="0" applyNumberFormat="1" applyFont="1" applyBorder="1" applyAlignment="1">
      <alignment horizontal="center" vertical="center"/>
    </xf>
    <xf numFmtId="182" fontId="6" fillId="0" borderId="3" xfId="0" applyNumberFormat="1" applyFont="1" applyBorder="1" applyAlignment="1">
      <alignment horizontal="center" vertical="center"/>
    </xf>
    <xf numFmtId="0" fontId="4" fillId="0" borderId="8" xfId="0" applyFont="1" applyBorder="1" applyAlignment="1">
      <alignment vertical="center"/>
    </xf>
    <xf numFmtId="0" fontId="4" fillId="0" borderId="8" xfId="0" applyFont="1" applyBorder="1" applyAlignment="1">
      <alignment horizontal="center" vertical="center"/>
    </xf>
    <xf numFmtId="0" fontId="5" fillId="0" borderId="8" xfId="0" applyFont="1" applyBorder="1" applyAlignment="1">
      <alignment vertical="center"/>
    </xf>
    <xf numFmtId="0" fontId="10" fillId="0" borderId="5" xfId="0" applyFont="1" applyBorder="1" applyAlignment="1">
      <alignment horizontal="left" vertical="center" indent="3"/>
    </xf>
    <xf numFmtId="0" fontId="10" fillId="0" borderId="6" xfId="0" applyFont="1" applyBorder="1" applyAlignment="1">
      <alignment horizontal="left" vertical="center" indent="3"/>
    </xf>
    <xf numFmtId="0" fontId="10" fillId="0" borderId="9" xfId="0" applyFont="1" applyBorder="1" applyAlignment="1">
      <alignment horizontal="left" vertical="center" indent="3"/>
    </xf>
    <xf numFmtId="0" fontId="10" fillId="0" borderId="19" xfId="0" applyFont="1" applyBorder="1" applyAlignment="1">
      <alignment horizontal="left" vertical="center" indent="2"/>
    </xf>
    <xf numFmtId="182" fontId="6" fillId="0" borderId="7" xfId="0" applyNumberFormat="1" applyFont="1" applyBorder="1" applyAlignment="1">
      <alignment horizontal="center" vertical="center"/>
    </xf>
    <xf numFmtId="0" fontId="4" fillId="0" borderId="18" xfId="0" applyFont="1" applyBorder="1" applyAlignment="1">
      <alignment vertical="center"/>
    </xf>
    <xf numFmtId="0" fontId="4" fillId="0" borderId="18" xfId="0" applyFont="1" applyBorder="1" applyAlignment="1">
      <alignment horizontal="center" vertical="center"/>
    </xf>
    <xf numFmtId="0" fontId="5" fillId="0" borderId="18" xfId="0" applyFont="1" applyBorder="1" applyAlignment="1">
      <alignment vertical="center"/>
    </xf>
    <xf numFmtId="175" fontId="17" fillId="0" borderId="0" xfId="0" applyNumberFormat="1" applyFont="1" applyAlignment="1">
      <alignment horizontal="right" vertical="center"/>
    </xf>
    <xf numFmtId="185" fontId="25" fillId="0" borderId="0" xfId="2" applyNumberFormat="1" applyFont="1" applyAlignment="1">
      <alignment horizontal="center" vertical="center"/>
    </xf>
    <xf numFmtId="183" fontId="11" fillId="0" borderId="0" xfId="0" applyNumberFormat="1" applyFont="1" applyAlignment="1">
      <alignment vertical="center"/>
    </xf>
    <xf numFmtId="180" fontId="7" fillId="0" borderId="14" xfId="0" applyNumberFormat="1" applyFont="1" applyBorder="1" applyAlignment="1">
      <alignment vertical="center"/>
    </xf>
    <xf numFmtId="180" fontId="41" fillId="0" borderId="7" xfId="2" applyNumberFormat="1" applyFont="1" applyBorder="1" applyAlignment="1">
      <alignment horizontal="center" vertical="center"/>
    </xf>
    <xf numFmtId="175" fontId="6" fillId="0" borderId="14" xfId="0" applyNumberFormat="1" applyFont="1" applyBorder="1" applyAlignment="1">
      <alignment horizontal="center" vertical="center"/>
    </xf>
    <xf numFmtId="0" fontId="11" fillId="3" borderId="15" xfId="0" applyFont="1" applyFill="1" applyBorder="1" applyAlignment="1">
      <alignment horizontal="left" vertical="center" indent="1"/>
    </xf>
    <xf numFmtId="0" fontId="11" fillId="3" borderId="7" xfId="0" applyFont="1" applyFill="1" applyBorder="1" applyAlignment="1">
      <alignment horizontal="left" vertical="center" indent="1"/>
    </xf>
    <xf numFmtId="192" fontId="25" fillId="0" borderId="0" xfId="0" applyNumberFormat="1" applyFont="1" applyAlignment="1">
      <alignment horizontal="center"/>
    </xf>
    <xf numFmtId="175" fontId="10" fillId="0" borderId="19" xfId="0" applyNumberFormat="1" applyFont="1" applyBorder="1" applyAlignment="1">
      <alignment horizontal="center" vertical="center"/>
    </xf>
    <xf numFmtId="180" fontId="7" fillId="9" borderId="0" xfId="0" applyNumberFormat="1" applyFont="1" applyFill="1" applyAlignment="1">
      <alignment vertical="center"/>
    </xf>
    <xf numFmtId="3" fontId="40" fillId="0" borderId="7" xfId="0" applyNumberFormat="1" applyFont="1" applyBorder="1" applyAlignment="1">
      <alignment horizontal="center"/>
    </xf>
    <xf numFmtId="9" fontId="6" fillId="0" borderId="8" xfId="6" applyFont="1" applyBorder="1" applyAlignment="1">
      <alignment horizontal="center"/>
    </xf>
    <xf numFmtId="3" fontId="10" fillId="0" borderId="9" xfId="0" applyNumberFormat="1" applyFont="1" applyBorder="1" applyAlignment="1">
      <alignment horizontal="center"/>
    </xf>
    <xf numFmtId="3" fontId="39" fillId="0" borderId="7" xfId="0" applyNumberFormat="1" applyFont="1" applyBorder="1" applyAlignment="1">
      <alignment horizontal="center"/>
    </xf>
    <xf numFmtId="195" fontId="41" fillId="0" borderId="12" xfId="2" applyNumberFormat="1" applyFont="1" applyBorder="1" applyAlignment="1">
      <alignment horizontal="center" vertical="center"/>
    </xf>
    <xf numFmtId="0" fontId="42" fillId="0" borderId="33" xfId="0" applyFont="1" applyBorder="1" applyAlignment="1">
      <alignment horizontal="left" vertical="center" indent="3"/>
    </xf>
    <xf numFmtId="175" fontId="42" fillId="0" borderId="33" xfId="0" applyNumberFormat="1" applyFont="1" applyBorder="1" applyAlignment="1">
      <alignment vertical="center"/>
    </xf>
    <xf numFmtId="175" fontId="17" fillId="0" borderId="34" xfId="0" applyNumberFormat="1" applyFont="1" applyBorder="1" applyAlignment="1">
      <alignment horizontal="right" vertical="center"/>
    </xf>
    <xf numFmtId="222" fontId="25" fillId="0" borderId="0" xfId="0" applyNumberFormat="1" applyFont="1" applyAlignment="1">
      <alignment horizontal="center" vertical="center"/>
    </xf>
    <xf numFmtId="180" fontId="25" fillId="0" borderId="10" xfId="0" applyNumberFormat="1" applyFont="1" applyBorder="1" applyAlignment="1">
      <alignment horizontal="center"/>
    </xf>
    <xf numFmtId="180" fontId="25" fillId="0" borderId="16" xfId="0" applyNumberFormat="1" applyFont="1" applyBorder="1" applyAlignment="1">
      <alignment horizontal="center"/>
    </xf>
    <xf numFmtId="175" fontId="6" fillId="0" borderId="16" xfId="0" applyNumberFormat="1" applyFont="1" applyBorder="1" applyAlignment="1">
      <alignment vertical="center"/>
    </xf>
    <xf numFmtId="0" fontId="10" fillId="0" borderId="22" xfId="0" applyFont="1" applyBorder="1"/>
    <xf numFmtId="182" fontId="42" fillId="0" borderId="0" xfId="0" applyNumberFormat="1" applyFont="1" applyAlignment="1">
      <alignment vertical="center"/>
    </xf>
    <xf numFmtId="182" fontId="7" fillId="0" borderId="0" xfId="0" applyNumberFormat="1" applyFont="1" applyAlignment="1">
      <alignment vertical="center"/>
    </xf>
    <xf numFmtId="9" fontId="41" fillId="0" borderId="0" xfId="0" applyNumberFormat="1" applyFont="1" applyAlignment="1">
      <alignment vertical="center"/>
    </xf>
    <xf numFmtId="182" fontId="25" fillId="0" borderId="3" xfId="0" applyNumberFormat="1" applyFont="1" applyBorder="1" applyAlignment="1">
      <alignment horizontal="center"/>
    </xf>
    <xf numFmtId="0" fontId="68" fillId="0" borderId="0" xfId="0" applyFont="1" applyAlignment="1">
      <alignment horizontal="center" vertical="center" wrapText="1"/>
    </xf>
    <xf numFmtId="0" fontId="47" fillId="0" borderId="0" xfId="0" applyFont="1" applyAlignment="1">
      <alignment horizontal="center" vertical="center" wrapText="1"/>
    </xf>
    <xf numFmtId="0" fontId="66" fillId="0" borderId="0" xfId="0" quotePrefix="1" applyFont="1" applyAlignment="1">
      <alignment vertical="center" wrapText="1"/>
    </xf>
    <xf numFmtId="0" fontId="67" fillId="0" borderId="0" xfId="0" quotePrefix="1" applyFont="1" applyAlignment="1">
      <alignment vertical="center" wrapText="1"/>
    </xf>
    <xf numFmtId="229" fontId="41" fillId="4" borderId="3" xfId="0" applyNumberFormat="1" applyFont="1" applyFill="1" applyBorder="1"/>
    <xf numFmtId="0" fontId="46" fillId="0" borderId="13" xfId="0" applyFont="1" applyBorder="1" applyAlignment="1">
      <alignment horizontal="left" indent="2"/>
    </xf>
    <xf numFmtId="9" fontId="6" fillId="0" borderId="14" xfId="0" applyNumberFormat="1" applyFont="1" applyBorder="1"/>
    <xf numFmtId="0" fontId="10" fillId="0" borderId="13" xfId="0" applyFont="1" applyBorder="1" applyAlignment="1">
      <alignment horizontal="left" indent="3"/>
    </xf>
    <xf numFmtId="183" fontId="41" fillId="4" borderId="3" xfId="0" applyNumberFormat="1" applyFont="1" applyFill="1" applyBorder="1"/>
    <xf numFmtId="9" fontId="6" fillId="0" borderId="6" xfId="0" applyNumberFormat="1" applyFont="1" applyBorder="1"/>
    <xf numFmtId="3" fontId="41" fillId="0" borderId="3" xfId="0" applyNumberFormat="1" applyFont="1" applyBorder="1" applyAlignment="1">
      <alignment horizontal="center"/>
    </xf>
    <xf numFmtId="3" fontId="10" fillId="0" borderId="3" xfId="0" applyNumberFormat="1" applyFont="1" applyBorder="1" applyAlignment="1">
      <alignment horizontal="center"/>
    </xf>
    <xf numFmtId="0" fontId="10" fillId="0" borderId="7" xfId="0" applyFont="1" applyBorder="1" applyAlignment="1">
      <alignment horizontal="left" indent="3"/>
    </xf>
    <xf numFmtId="0" fontId="7" fillId="3" borderId="15" xfId="1" applyFont="1" applyFill="1" applyBorder="1" applyAlignment="1">
      <alignment horizontal="left" vertical="center" indent="2"/>
    </xf>
    <xf numFmtId="0" fontId="7" fillId="3" borderId="16" xfId="1" applyFont="1" applyFill="1" applyBorder="1" applyAlignment="1">
      <alignment vertical="center"/>
    </xf>
    <xf numFmtId="4" fontId="7" fillId="3" borderId="16" xfId="1" applyNumberFormat="1" applyFont="1" applyFill="1" applyBorder="1" applyAlignment="1">
      <alignment vertical="center"/>
    </xf>
    <xf numFmtId="175" fontId="7" fillId="3" borderId="16" xfId="1" applyNumberFormat="1" applyFont="1" applyFill="1" applyBorder="1" applyAlignment="1">
      <alignment horizontal="right" vertical="center"/>
    </xf>
    <xf numFmtId="187" fontId="7" fillId="3" borderId="17" xfId="1" applyNumberFormat="1" applyFont="1" applyFill="1" applyBorder="1" applyAlignment="1">
      <alignment horizontal="right" vertical="center"/>
    </xf>
    <xf numFmtId="195" fontId="10" fillId="0" borderId="14" xfId="0" applyNumberFormat="1" applyFont="1" applyBorder="1" applyAlignment="1">
      <alignment horizontal="center" vertical="center"/>
    </xf>
    <xf numFmtId="195" fontId="10" fillId="0" borderId="9" xfId="0" applyNumberFormat="1" applyFont="1" applyBorder="1" applyAlignment="1">
      <alignment horizontal="center" vertical="center"/>
    </xf>
    <xf numFmtId="195" fontId="11" fillId="3" borderId="17" xfId="0" applyNumberFormat="1" applyFont="1" applyFill="1" applyBorder="1" applyAlignment="1">
      <alignment horizontal="center" vertical="center"/>
    </xf>
    <xf numFmtId="195" fontId="10" fillId="0" borderId="6" xfId="0" applyNumberFormat="1" applyFont="1" applyBorder="1" applyAlignment="1">
      <alignment vertical="center"/>
    </xf>
    <xf numFmtId="195" fontId="6" fillId="0" borderId="6" xfId="0" applyNumberFormat="1" applyFont="1" applyBorder="1" applyAlignment="1">
      <alignment vertical="center"/>
    </xf>
    <xf numFmtId="195" fontId="42" fillId="0" borderId="6" xfId="0" applyNumberFormat="1" applyFont="1" applyBorder="1" applyAlignment="1">
      <alignment horizontal="center" vertical="center"/>
    </xf>
    <xf numFmtId="195" fontId="7" fillId="0" borderId="14" xfId="0" applyNumberFormat="1" applyFont="1" applyBorder="1" applyAlignment="1">
      <alignment vertical="center"/>
    </xf>
    <xf numFmtId="195" fontId="10" fillId="0" borderId="14" xfId="0" applyNumberFormat="1" applyFont="1" applyBorder="1" applyAlignment="1">
      <alignment horizontal="right" vertical="center"/>
    </xf>
    <xf numFmtId="192" fontId="10" fillId="0" borderId="5" xfId="0" applyNumberFormat="1" applyFont="1" applyBorder="1" applyAlignment="1">
      <alignment vertical="center"/>
    </xf>
    <xf numFmtId="192" fontId="6" fillId="0" borderId="5" xfId="0" applyNumberFormat="1" applyFont="1" applyBorder="1" applyAlignment="1">
      <alignment vertical="center"/>
    </xf>
    <xf numFmtId="192" fontId="42" fillId="0" borderId="5" xfId="0" applyNumberFormat="1" applyFont="1" applyBorder="1" applyAlignment="1">
      <alignment horizontal="center" vertical="center"/>
    </xf>
    <xf numFmtId="192" fontId="7" fillId="0" borderId="0" xfId="0" applyNumberFormat="1" applyFont="1" applyAlignment="1">
      <alignment vertical="center"/>
    </xf>
    <xf numFmtId="192" fontId="10" fillId="0" borderId="0" xfId="0" applyNumberFormat="1" applyFont="1" applyAlignment="1">
      <alignment horizontal="right" vertical="center"/>
    </xf>
    <xf numFmtId="182" fontId="42" fillId="0" borderId="0" xfId="0" applyNumberFormat="1" applyFont="1" applyAlignment="1">
      <alignment horizontal="center" vertical="center"/>
    </xf>
    <xf numFmtId="192" fontId="42" fillId="0" borderId="0" xfId="0" applyNumberFormat="1" applyFont="1" applyAlignment="1">
      <alignment horizontal="center" vertical="center"/>
    </xf>
    <xf numFmtId="195" fontId="42" fillId="0" borderId="14" xfId="0" applyNumberFormat="1" applyFont="1" applyBorder="1" applyAlignment="1">
      <alignment horizontal="center" vertical="center"/>
    </xf>
    <xf numFmtId="180" fontId="11" fillId="3" borderId="8" xfId="0" applyNumberFormat="1" applyFont="1" applyFill="1" applyBorder="1" applyAlignment="1">
      <alignment horizontal="center" vertical="center"/>
    </xf>
    <xf numFmtId="192" fontId="11" fillId="3" borderId="8" xfId="0" applyNumberFormat="1" applyFont="1" applyFill="1" applyBorder="1" applyAlignment="1">
      <alignment horizontal="center" vertical="center"/>
    </xf>
    <xf numFmtId="195" fontId="11" fillId="3" borderId="9" xfId="0" applyNumberFormat="1" applyFont="1" applyFill="1" applyBorder="1" applyAlignment="1">
      <alignment horizontal="center" vertical="center"/>
    </xf>
    <xf numFmtId="183" fontId="25" fillId="0" borderId="14" xfId="0" applyNumberFormat="1" applyFont="1" applyBorder="1" applyAlignment="1">
      <alignment horizontal="right" vertical="center"/>
    </xf>
    <xf numFmtId="3" fontId="10" fillId="2" borderId="3" xfId="0" applyNumberFormat="1" applyFont="1" applyFill="1" applyBorder="1" applyAlignment="1">
      <alignment horizontal="center"/>
    </xf>
    <xf numFmtId="192" fontId="6" fillId="2" borderId="17" xfId="2" applyNumberFormat="1" applyFont="1" applyFill="1" applyBorder="1" applyAlignment="1">
      <alignment horizontal="center" vertical="center"/>
    </xf>
    <xf numFmtId="0" fontId="11" fillId="0" borderId="8" xfId="0" applyFont="1" applyBorder="1" applyAlignment="1">
      <alignment vertical="center"/>
    </xf>
    <xf numFmtId="186" fontId="41" fillId="4" borderId="3" xfId="0" applyNumberFormat="1" applyFont="1" applyFill="1" applyBorder="1" applyAlignment="1">
      <alignment vertical="center"/>
    </xf>
    <xf numFmtId="192" fontId="40" fillId="0" borderId="0" xfId="0" applyNumberFormat="1" applyFont="1" applyAlignment="1">
      <alignment horizontal="center"/>
    </xf>
    <xf numFmtId="192" fontId="40" fillId="0" borderId="9" xfId="0" applyNumberFormat="1" applyFont="1" applyBorder="1" applyAlignment="1">
      <alignment horizontal="center"/>
    </xf>
    <xf numFmtId="180" fontId="10" fillId="2" borderId="10" xfId="0" applyNumberFormat="1" applyFont="1" applyFill="1" applyBorder="1" applyAlignment="1">
      <alignment horizontal="center" vertical="center"/>
    </xf>
    <xf numFmtId="180" fontId="10" fillId="2" borderId="11" xfId="0" applyNumberFormat="1" applyFont="1" applyFill="1" applyBorder="1" applyAlignment="1">
      <alignment horizontal="center" vertical="center"/>
    </xf>
    <xf numFmtId="180" fontId="10" fillId="2" borderId="12" xfId="0" applyNumberFormat="1" applyFont="1" applyFill="1" applyBorder="1" applyAlignment="1">
      <alignment horizontal="center" vertical="center"/>
    </xf>
    <xf numFmtId="180" fontId="10" fillId="2" borderId="3" xfId="0" applyNumberFormat="1" applyFont="1" applyFill="1" applyBorder="1" applyAlignment="1">
      <alignment horizontal="center"/>
    </xf>
    <xf numFmtId="180" fontId="10" fillId="2" borderId="16" xfId="0" applyNumberFormat="1" applyFont="1" applyFill="1" applyBorder="1" applyAlignment="1">
      <alignment horizontal="center"/>
    </xf>
    <xf numFmtId="180" fontId="40" fillId="0" borderId="0" xfId="0" applyNumberFormat="1" applyFont="1" applyAlignment="1">
      <alignment horizontal="center"/>
    </xf>
    <xf numFmtId="10" fontId="10" fillId="0" borderId="0" xfId="0" applyNumberFormat="1" applyFont="1"/>
    <xf numFmtId="10" fontId="10" fillId="0" borderId="0" xfId="0" applyNumberFormat="1" applyFont="1" applyAlignment="1">
      <alignment horizontal="center"/>
    </xf>
    <xf numFmtId="192" fontId="41" fillId="0" borderId="13" xfId="2" applyNumberFormat="1" applyFont="1" applyBorder="1" applyAlignment="1">
      <alignment horizontal="center" vertical="center"/>
    </xf>
    <xf numFmtId="192" fontId="41" fillId="0" borderId="4" xfId="2" applyNumberFormat="1" applyFont="1" applyBorder="1" applyAlignment="1">
      <alignment horizontal="center" vertical="center"/>
    </xf>
    <xf numFmtId="4" fontId="10" fillId="0" borderId="14" xfId="0" applyNumberFormat="1" applyFont="1" applyBorder="1" applyAlignment="1">
      <alignment vertical="center"/>
    </xf>
    <xf numFmtId="180" fontId="6" fillId="2" borderId="15" xfId="2" applyNumberFormat="1" applyFont="1" applyFill="1" applyBorder="1" applyAlignment="1">
      <alignment horizontal="center" vertical="center"/>
    </xf>
    <xf numFmtId="195" fontId="10" fillId="0" borderId="0" xfId="0" applyNumberFormat="1" applyFont="1" applyAlignment="1">
      <alignment horizontal="center"/>
    </xf>
    <xf numFmtId="4" fontId="10" fillId="0" borderId="14" xfId="0" applyNumberFormat="1" applyFont="1" applyBorder="1" applyAlignment="1">
      <alignment horizontal="right" vertical="center"/>
    </xf>
    <xf numFmtId="192" fontId="41" fillId="0" borderId="7" xfId="2" applyNumberFormat="1" applyFont="1" applyBorder="1" applyAlignment="1">
      <alignment horizontal="center" vertical="center"/>
    </xf>
    <xf numFmtId="192" fontId="41" fillId="0" borderId="9" xfId="2" applyNumberFormat="1" applyFont="1" applyBorder="1" applyAlignment="1">
      <alignment horizontal="center" vertical="center"/>
    </xf>
    <xf numFmtId="192" fontId="40" fillId="0" borderId="8" xfId="0" applyNumberFormat="1" applyFont="1" applyBorder="1" applyAlignment="1">
      <alignment horizontal="center"/>
    </xf>
    <xf numFmtId="180" fontId="10" fillId="2" borderId="7" xfId="0" applyNumberFormat="1" applyFont="1" applyFill="1" applyBorder="1" applyAlignment="1">
      <alignment horizontal="center" vertical="center"/>
    </xf>
    <xf numFmtId="3" fontId="40" fillId="0" borderId="13" xfId="0" applyNumberFormat="1" applyFont="1" applyBorder="1" applyAlignment="1">
      <alignment horizontal="center"/>
    </xf>
    <xf numFmtId="180" fontId="10" fillId="2" borderId="13" xfId="0" applyNumberFormat="1" applyFont="1" applyFill="1" applyBorder="1" applyAlignment="1">
      <alignment horizontal="center" vertical="center"/>
    </xf>
    <xf numFmtId="180" fontId="41" fillId="0" borderId="13" xfId="2" applyNumberFormat="1" applyFont="1" applyBorder="1" applyAlignment="1">
      <alignment horizontal="center" vertical="center"/>
    </xf>
    <xf numFmtId="9" fontId="6" fillId="0" borderId="0" xfId="6" applyFont="1" applyBorder="1" applyAlignment="1">
      <alignment horizontal="center"/>
    </xf>
    <xf numFmtId="9" fontId="6" fillId="0" borderId="8" xfId="2" applyNumberFormat="1" applyFont="1" applyBorder="1" applyAlignment="1">
      <alignment horizontal="center" vertical="center"/>
    </xf>
    <xf numFmtId="3" fontId="6" fillId="0" borderId="7" xfId="0" applyNumberFormat="1" applyFont="1" applyBorder="1" applyAlignment="1">
      <alignment horizontal="center"/>
    </xf>
    <xf numFmtId="164" fontId="10" fillId="0" borderId="0" xfId="0" applyNumberFormat="1" applyFont="1" applyAlignment="1">
      <alignment vertical="center"/>
    </xf>
    <xf numFmtId="202" fontId="6" fillId="0" borderId="0" xfId="0" applyNumberFormat="1" applyFont="1" applyAlignment="1">
      <alignment horizontal="center" vertical="center"/>
    </xf>
    <xf numFmtId="9" fontId="6" fillId="4" borderId="3" xfId="0" applyNumberFormat="1" applyFont="1" applyFill="1" applyBorder="1" applyAlignment="1">
      <alignment horizontal="right" vertical="center"/>
    </xf>
    <xf numFmtId="231" fontId="6" fillId="0" borderId="8" xfId="0" applyNumberFormat="1" applyFont="1" applyBorder="1" applyAlignment="1">
      <alignment vertical="center"/>
    </xf>
    <xf numFmtId="0" fontId="7" fillId="0" borderId="8" xfId="1" applyFont="1" applyBorder="1" applyAlignment="1">
      <alignment horizontal="left" vertical="center"/>
    </xf>
    <xf numFmtId="227" fontId="11" fillId="0" borderId="0" xfId="0" applyNumberFormat="1" applyFont="1" applyAlignment="1">
      <alignment horizontal="center" vertical="center"/>
    </xf>
    <xf numFmtId="175" fontId="41" fillId="0" borderId="10" xfId="2" applyNumberFormat="1" applyFont="1" applyBorder="1" applyAlignment="1">
      <alignment horizontal="center" vertical="center"/>
    </xf>
    <xf numFmtId="175" fontId="41" fillId="0" borderId="11" xfId="2" applyNumberFormat="1" applyFont="1" applyBorder="1" applyAlignment="1">
      <alignment horizontal="center" vertical="center"/>
    </xf>
    <xf numFmtId="175" fontId="41" fillId="0" borderId="12" xfId="2" applyNumberFormat="1" applyFont="1" applyBorder="1" applyAlignment="1">
      <alignment horizontal="center" vertical="center"/>
    </xf>
    <xf numFmtId="187" fontId="6" fillId="0" borderId="13" xfId="2" applyNumberFormat="1" applyFont="1" applyBorder="1" applyAlignment="1">
      <alignment horizontal="center" vertical="center"/>
    </xf>
    <xf numFmtId="175" fontId="41" fillId="0" borderId="5" xfId="2" applyNumberFormat="1" applyFont="1" applyBorder="1" applyAlignment="1">
      <alignment horizontal="center" vertical="center"/>
    </xf>
    <xf numFmtId="9" fontId="6" fillId="0" borderId="10" xfId="58" applyNumberFormat="1" applyFont="1" applyFill="1" applyBorder="1" applyAlignment="1">
      <alignment horizontal="center" vertical="center"/>
    </xf>
    <xf numFmtId="9" fontId="6" fillId="0" borderId="11" xfId="58" applyNumberFormat="1" applyFont="1" applyFill="1" applyBorder="1" applyAlignment="1">
      <alignment horizontal="center" vertical="center"/>
    </xf>
    <xf numFmtId="9" fontId="6" fillId="0" borderId="12" xfId="58" applyNumberFormat="1" applyFont="1" applyFill="1" applyBorder="1" applyAlignment="1">
      <alignment horizontal="center" vertical="center"/>
    </xf>
    <xf numFmtId="9" fontId="6" fillId="0" borderId="4" xfId="58" applyNumberFormat="1" applyFont="1" applyFill="1" applyBorder="1" applyAlignment="1">
      <alignment horizontal="center" vertical="center"/>
    </xf>
    <xf numFmtId="9" fontId="6" fillId="0" borderId="7" xfId="58" applyNumberFormat="1" applyFont="1" applyFill="1" applyBorder="1" applyAlignment="1">
      <alignment horizontal="center" vertical="center"/>
    </xf>
    <xf numFmtId="9" fontId="11" fillId="0" borderId="13" xfId="0" applyNumberFormat="1" applyFont="1" applyBorder="1" applyAlignment="1">
      <alignment horizontal="center" vertical="center"/>
    </xf>
    <xf numFmtId="9" fontId="7" fillId="6" borderId="16" xfId="1" applyNumberFormat="1" applyFont="1" applyFill="1" applyBorder="1" applyAlignment="1">
      <alignment horizontal="center" vertical="center"/>
    </xf>
    <xf numFmtId="9" fontId="6" fillId="0" borderId="0" xfId="2" applyNumberFormat="1" applyFont="1" applyAlignment="1">
      <alignment horizontal="center" vertical="center"/>
    </xf>
    <xf numFmtId="180" fontId="41" fillId="0" borderId="0" xfId="0" applyNumberFormat="1" applyFont="1"/>
    <xf numFmtId="180" fontId="41" fillId="0" borderId="8" xfId="0" applyNumberFormat="1" applyFont="1" applyBorder="1" applyAlignment="1">
      <alignment horizontal="right"/>
    </xf>
    <xf numFmtId="0" fontId="10" fillId="0" borderId="8" xfId="0" applyFont="1" applyBorder="1" applyAlignment="1">
      <alignment horizontal="center" vertical="center"/>
    </xf>
    <xf numFmtId="0" fontId="15" fillId="0" borderId="8" xfId="0" applyFont="1" applyBorder="1" applyAlignment="1">
      <alignment vertical="center"/>
    </xf>
    <xf numFmtId="0" fontId="15" fillId="5" borderId="11" xfId="0" applyFont="1" applyFill="1" applyBorder="1" applyAlignment="1">
      <alignment vertical="center"/>
    </xf>
    <xf numFmtId="0" fontId="15" fillId="5" borderId="12" xfId="0" applyFont="1" applyFill="1" applyBorder="1" applyAlignment="1">
      <alignment vertical="center"/>
    </xf>
    <xf numFmtId="180" fontId="10" fillId="0" borderId="8" xfId="0" applyNumberFormat="1" applyFont="1" applyBorder="1" applyAlignment="1">
      <alignment vertical="center"/>
    </xf>
    <xf numFmtId="180" fontId="41" fillId="0" borderId="10" xfId="0" applyNumberFormat="1" applyFont="1" applyBorder="1" applyAlignment="1">
      <alignment horizontal="center" vertical="center"/>
    </xf>
    <xf numFmtId="175" fontId="41" fillId="0" borderId="0" xfId="0" applyNumberFormat="1" applyFont="1" applyAlignment="1">
      <alignment vertical="center"/>
    </xf>
    <xf numFmtId="180" fontId="6" fillId="0" borderId="13" xfId="0" applyNumberFormat="1" applyFont="1" applyBorder="1" applyAlignment="1">
      <alignment horizontal="right"/>
    </xf>
    <xf numFmtId="175" fontId="17" fillId="0" borderId="4" xfId="0" applyNumberFormat="1" applyFont="1" applyBorder="1" applyAlignment="1">
      <alignment horizontal="right" vertical="center"/>
    </xf>
    <xf numFmtId="182" fontId="25" fillId="0" borderId="14" xfId="6" applyNumberFormat="1" applyFont="1" applyFill="1" applyBorder="1" applyAlignment="1">
      <alignment horizontal="right" vertical="center"/>
    </xf>
    <xf numFmtId="180" fontId="25" fillId="0" borderId="14" xfId="0" applyNumberFormat="1" applyFont="1" applyBorder="1" applyAlignment="1">
      <alignment horizontal="right" vertical="center"/>
    </xf>
    <xf numFmtId="180" fontId="6" fillId="0" borderId="14" xfId="0" applyNumberFormat="1" applyFont="1" applyBorder="1" applyAlignment="1">
      <alignment horizontal="right" vertical="center"/>
    </xf>
    <xf numFmtId="222" fontId="25" fillId="0" borderId="14" xfId="0" applyNumberFormat="1" applyFont="1" applyBorder="1" applyAlignment="1">
      <alignment horizontal="right" vertical="center"/>
    </xf>
    <xf numFmtId="0" fontId="50" fillId="0" borderId="8" xfId="1" applyFont="1" applyBorder="1" applyAlignment="1">
      <alignment horizontal="left" vertical="center"/>
    </xf>
    <xf numFmtId="0" fontId="52" fillId="0" borderId="13" xfId="0" applyFont="1" applyBorder="1" applyAlignment="1">
      <alignment horizontal="left" vertical="center" indent="2"/>
    </xf>
    <xf numFmtId="0" fontId="6" fillId="0" borderId="13" xfId="0" applyFont="1" applyBorder="1" applyAlignment="1">
      <alignment horizontal="left" vertical="center" indent="4"/>
    </xf>
    <xf numFmtId="0" fontId="6" fillId="0" borderId="7" xfId="0" applyFont="1" applyBorder="1" applyAlignment="1">
      <alignment horizontal="left" vertical="center" indent="2"/>
    </xf>
    <xf numFmtId="217" fontId="41" fillId="0" borderId="14" xfId="0" applyNumberFormat="1" applyFont="1" applyBorder="1" applyAlignment="1">
      <alignment horizontal="right" vertical="center"/>
    </xf>
    <xf numFmtId="217" fontId="41" fillId="0" borderId="9" xfId="0" applyNumberFormat="1" applyFont="1" applyBorder="1" applyAlignment="1">
      <alignment horizontal="right" vertical="center"/>
    </xf>
    <xf numFmtId="217" fontId="6" fillId="0" borderId="14" xfId="0" applyNumberFormat="1" applyFont="1" applyBorder="1" applyAlignment="1">
      <alignment horizontal="right" vertical="center"/>
    </xf>
    <xf numFmtId="0" fontId="28" fillId="8" borderId="35" xfId="0" applyFont="1" applyFill="1" applyBorder="1" applyAlignment="1">
      <alignment horizontal="center" vertical="center"/>
    </xf>
    <xf numFmtId="0" fontId="28" fillId="8" borderId="36" xfId="64" applyFont="1" applyFill="1" applyBorder="1"/>
    <xf numFmtId="10" fontId="28" fillId="8" borderId="38" xfId="0" applyNumberFormat="1" applyFont="1" applyFill="1" applyBorder="1" applyAlignment="1">
      <alignment horizontal="center" vertical="center"/>
    </xf>
    <xf numFmtId="0" fontId="28" fillId="8" borderId="0" xfId="3" applyFont="1" applyFill="1"/>
    <xf numFmtId="0" fontId="28" fillId="8" borderId="40" xfId="3" applyFont="1" applyFill="1" applyBorder="1"/>
    <xf numFmtId="0" fontId="28" fillId="8" borderId="41" xfId="3" applyFont="1" applyFill="1" applyBorder="1"/>
    <xf numFmtId="0" fontId="6" fillId="0" borderId="14" xfId="3" applyFont="1" applyBorder="1"/>
    <xf numFmtId="0" fontId="51" fillId="0" borderId="0" xfId="3" applyFont="1" applyAlignment="1">
      <alignment horizontal="center"/>
    </xf>
    <xf numFmtId="0" fontId="51" fillId="0" borderId="14" xfId="3" applyFont="1" applyBorder="1" applyAlignment="1">
      <alignment horizontal="center"/>
    </xf>
    <xf numFmtId="0" fontId="51" fillId="0" borderId="0" xfId="3" applyFont="1" applyAlignment="1">
      <alignment horizontal="left" indent="1"/>
    </xf>
    <xf numFmtId="0" fontId="6" fillId="0" borderId="0" xfId="3" applyFont="1" applyAlignment="1">
      <alignment horizontal="left" indent="2"/>
    </xf>
    <xf numFmtId="186" fontId="41" fillId="0" borderId="0" xfId="0" applyNumberFormat="1" applyFont="1" applyAlignment="1">
      <alignment horizontal="center" vertical="center"/>
    </xf>
    <xf numFmtId="173" fontId="41" fillId="0" borderId="0" xfId="0" applyNumberFormat="1" applyFont="1" applyAlignment="1">
      <alignment horizontal="center" vertical="center"/>
    </xf>
    <xf numFmtId="232" fontId="41" fillId="0" borderId="0" xfId="0" applyNumberFormat="1" applyFont="1" applyAlignment="1">
      <alignment horizontal="center" vertical="center"/>
    </xf>
    <xf numFmtId="232" fontId="6" fillId="0" borderId="0" xfId="0" applyNumberFormat="1" applyFont="1" applyAlignment="1">
      <alignment horizontal="center" vertical="center"/>
    </xf>
    <xf numFmtId="186" fontId="41" fillId="0" borderId="13" xfId="0" applyNumberFormat="1" applyFont="1" applyBorder="1" applyAlignment="1">
      <alignment horizontal="center" vertical="center"/>
    </xf>
    <xf numFmtId="232" fontId="6" fillId="0" borderId="14" xfId="0" applyNumberFormat="1" applyFont="1" applyBorder="1" applyAlignment="1">
      <alignment horizontal="center" vertical="center"/>
    </xf>
    <xf numFmtId="181" fontId="41" fillId="0" borderId="0" xfId="0" applyNumberFormat="1" applyFont="1" applyAlignment="1">
      <alignment horizontal="center" vertical="center"/>
    </xf>
    <xf numFmtId="233" fontId="41" fillId="0" borderId="0" xfId="0" applyNumberFormat="1" applyFont="1" applyAlignment="1">
      <alignment horizontal="center" vertical="center"/>
    </xf>
    <xf numFmtId="233" fontId="6" fillId="0" borderId="0" xfId="0" applyNumberFormat="1" applyFont="1" applyAlignment="1">
      <alignment horizontal="center" vertical="center"/>
    </xf>
    <xf numFmtId="181" fontId="41" fillId="0" borderId="13" xfId="0" applyNumberFormat="1" applyFont="1" applyBorder="1" applyAlignment="1">
      <alignment horizontal="center" vertical="center"/>
    </xf>
    <xf numFmtId="233" fontId="6" fillId="0" borderId="14" xfId="0" applyNumberFormat="1" applyFont="1" applyBorder="1" applyAlignment="1">
      <alignment horizontal="center" vertical="center"/>
    </xf>
    <xf numFmtId="181" fontId="6" fillId="0" borderId="0" xfId="0" applyNumberFormat="1" applyFont="1" applyAlignment="1">
      <alignment horizontal="center" vertical="center"/>
    </xf>
    <xf numFmtId="180" fontId="41" fillId="0" borderId="13" xfId="0" applyNumberFormat="1" applyFont="1" applyBorder="1" applyAlignment="1">
      <alignment horizontal="center" vertical="center"/>
    </xf>
    <xf numFmtId="182" fontId="6" fillId="0" borderId="0" xfId="0" applyNumberFormat="1" applyFont="1" applyAlignment="1">
      <alignment horizontal="center" vertical="center"/>
    </xf>
    <xf numFmtId="182" fontId="41" fillId="0" borderId="0" xfId="0" applyNumberFormat="1" applyFont="1" applyAlignment="1">
      <alignment horizontal="center" vertical="center"/>
    </xf>
    <xf numFmtId="186" fontId="6" fillId="0" borderId="0" xfId="0" applyNumberFormat="1" applyFont="1" applyAlignment="1">
      <alignment horizontal="center" vertical="center"/>
    </xf>
    <xf numFmtId="182" fontId="41" fillId="0" borderId="13" xfId="0" applyNumberFormat="1" applyFont="1" applyBorder="1" applyAlignment="1">
      <alignment horizontal="center" vertical="center"/>
    </xf>
    <xf numFmtId="173" fontId="6" fillId="0" borderId="0" xfId="0" applyNumberFormat="1" applyFont="1" applyAlignment="1">
      <alignment horizontal="center" vertical="center"/>
    </xf>
    <xf numFmtId="186" fontId="6" fillId="0" borderId="14" xfId="0" applyNumberFormat="1" applyFont="1" applyBorder="1" applyAlignment="1">
      <alignment horizontal="center" vertical="center"/>
    </xf>
    <xf numFmtId="0" fontId="6" fillId="0" borderId="0" xfId="3" applyFont="1" applyAlignment="1">
      <alignment horizontal="left" indent="1"/>
    </xf>
    <xf numFmtId="0" fontId="41" fillId="0" borderId="0" xfId="3" applyFont="1"/>
    <xf numFmtId="180" fontId="6" fillId="0" borderId="18" xfId="0" applyNumberFormat="1" applyFont="1" applyBorder="1" applyAlignment="1">
      <alignment horizontal="right"/>
    </xf>
    <xf numFmtId="9" fontId="25" fillId="0" borderId="14" xfId="0" applyNumberFormat="1" applyFont="1" applyBorder="1" applyAlignment="1">
      <alignment horizontal="right" vertical="center"/>
    </xf>
    <xf numFmtId="0" fontId="46" fillId="0" borderId="13" xfId="0" applyFont="1" applyBorder="1" applyAlignment="1">
      <alignment horizontal="left" vertical="center" indent="2"/>
    </xf>
    <xf numFmtId="0" fontId="10" fillId="0" borderId="13" xfId="0" applyFont="1" applyBorder="1" applyAlignment="1">
      <alignment horizontal="left" vertical="center" indent="3"/>
    </xf>
    <xf numFmtId="3" fontId="25" fillId="0" borderId="14" xfId="0" applyNumberFormat="1" applyFont="1" applyBorder="1" applyAlignment="1">
      <alignment horizontal="right" vertical="center"/>
    </xf>
    <xf numFmtId="175" fontId="6" fillId="0" borderId="13" xfId="2" applyNumberFormat="1" applyFont="1" applyBorder="1" applyAlignment="1">
      <alignment horizontal="center" vertical="center"/>
    </xf>
    <xf numFmtId="10" fontId="6" fillId="0" borderId="13" xfId="2" applyNumberFormat="1" applyFont="1" applyBorder="1" applyAlignment="1">
      <alignment horizontal="center" vertical="center"/>
    </xf>
    <xf numFmtId="182" fontId="6" fillId="0" borderId="13" xfId="2" applyNumberFormat="1" applyFont="1" applyBorder="1" applyAlignment="1">
      <alignment horizontal="center" vertical="center"/>
    </xf>
    <xf numFmtId="191" fontId="6" fillId="0" borderId="13" xfId="2" applyNumberFormat="1" applyFont="1" applyBorder="1" applyAlignment="1">
      <alignment horizontal="center" vertical="center"/>
    </xf>
    <xf numFmtId="175" fontId="6" fillId="0" borderId="7" xfId="2" applyNumberFormat="1" applyFont="1" applyBorder="1" applyAlignment="1">
      <alignment horizontal="center" vertical="center"/>
    </xf>
    <xf numFmtId="186" fontId="6" fillId="0" borderId="13" xfId="2" applyNumberFormat="1" applyFont="1" applyBorder="1" applyAlignment="1">
      <alignment horizontal="center" vertical="center"/>
    </xf>
    <xf numFmtId="187" fontId="6" fillId="0" borderId="0" xfId="2" applyNumberFormat="1" applyFont="1" applyAlignment="1">
      <alignment horizontal="center" vertical="center"/>
    </xf>
    <xf numFmtId="173" fontId="6" fillId="0" borderId="0" xfId="2" applyNumberFormat="1" applyFont="1" applyAlignment="1">
      <alignment horizontal="center" vertical="center"/>
    </xf>
    <xf numFmtId="173" fontId="6" fillId="0" borderId="8" xfId="2" applyNumberFormat="1" applyFont="1" applyBorder="1" applyAlignment="1">
      <alignment horizontal="center" vertical="center"/>
    </xf>
    <xf numFmtId="175" fontId="6" fillId="0" borderId="4" xfId="2" applyNumberFormat="1" applyFont="1" applyBorder="1" applyAlignment="1">
      <alignment horizontal="center" vertical="center"/>
    </xf>
    <xf numFmtId="9" fontId="6" fillId="0" borderId="7" xfId="2" applyNumberFormat="1" applyFont="1" applyBorder="1" applyAlignment="1">
      <alignment horizontal="center" vertical="center"/>
    </xf>
    <xf numFmtId="175" fontId="7" fillId="6" borderId="8" xfId="1" applyNumberFormat="1" applyFont="1" applyFill="1" applyBorder="1" applyAlignment="1">
      <alignment horizontal="center" vertical="center"/>
    </xf>
    <xf numFmtId="1" fontId="25" fillId="0" borderId="14" xfId="0" applyNumberFormat="1" applyFont="1" applyBorder="1" applyAlignment="1">
      <alignment horizontal="right" vertical="center"/>
    </xf>
    <xf numFmtId="204" fontId="41" fillId="0" borderId="0" xfId="0" applyNumberFormat="1" applyFont="1" applyAlignment="1">
      <alignment vertical="center"/>
    </xf>
    <xf numFmtId="0" fontId="52" fillId="0" borderId="13" xfId="1" applyFont="1" applyBorder="1" applyAlignment="1">
      <alignment horizontal="left" vertical="center" indent="1"/>
    </xf>
    <xf numFmtId="203" fontId="25" fillId="0" borderId="18" xfId="58" applyNumberFormat="1" applyFont="1" applyFill="1" applyBorder="1" applyAlignment="1">
      <alignment horizontal="center" vertical="center"/>
    </xf>
    <xf numFmtId="173" fontId="25" fillId="0" borderId="0" xfId="0" applyNumberFormat="1" applyFont="1" applyAlignment="1">
      <alignment horizontal="center" vertical="center"/>
    </xf>
    <xf numFmtId="0" fontId="11" fillId="0" borderId="0" xfId="0" applyFont="1" applyAlignment="1">
      <alignment horizontal="left" vertical="center" indent="3"/>
    </xf>
    <xf numFmtId="187" fontId="6" fillId="0" borderId="0" xfId="0" applyNumberFormat="1" applyFont="1" applyAlignment="1">
      <alignment horizontal="center" vertical="center"/>
    </xf>
    <xf numFmtId="0" fontId="46" fillId="0" borderId="0" xfId="0" applyFont="1" applyAlignment="1">
      <alignment horizontal="center" vertical="center"/>
    </xf>
    <xf numFmtId="0" fontId="46" fillId="0" borderId="14" xfId="0" applyFont="1" applyBorder="1" applyAlignment="1">
      <alignment horizontal="center" vertical="center"/>
    </xf>
    <xf numFmtId="3" fontId="41" fillId="0" borderId="0" xfId="0" applyNumberFormat="1" applyFont="1" applyAlignment="1">
      <alignment horizontal="right" vertical="center"/>
    </xf>
    <xf numFmtId="203" fontId="25" fillId="0" borderId="0" xfId="58" applyNumberFormat="1" applyFont="1" applyFill="1" applyBorder="1" applyAlignment="1">
      <alignment horizontal="center" vertical="center"/>
    </xf>
    <xf numFmtId="182" fontId="6" fillId="0" borderId="0" xfId="6" applyNumberFormat="1" applyFont="1" applyFill="1" applyBorder="1" applyAlignment="1">
      <alignment vertical="center"/>
    </xf>
    <xf numFmtId="180" fontId="41" fillId="0" borderId="0" xfId="0" applyNumberFormat="1" applyFont="1" applyAlignment="1">
      <alignment vertical="center"/>
    </xf>
    <xf numFmtId="182" fontId="41" fillId="0" borderId="3" xfId="0" applyNumberFormat="1" applyFont="1" applyBorder="1" applyAlignment="1">
      <alignment horizontal="center" vertical="center"/>
    </xf>
    <xf numFmtId="0" fontId="41" fillId="0" borderId="0" xfId="0" applyFont="1" applyAlignment="1">
      <alignment vertical="center"/>
    </xf>
    <xf numFmtId="234" fontId="41" fillId="0" borderId="0" xfId="0" applyNumberFormat="1" applyFont="1" applyAlignment="1">
      <alignment vertical="center"/>
    </xf>
    <xf numFmtId="235" fontId="5" fillId="0" borderId="0" xfId="0" applyNumberFormat="1" applyFont="1" applyAlignment="1">
      <alignment vertical="center"/>
    </xf>
    <xf numFmtId="175" fontId="41" fillId="0" borderId="8" xfId="0" applyNumberFormat="1" applyFont="1" applyBorder="1" applyAlignment="1">
      <alignment vertical="center"/>
    </xf>
    <xf numFmtId="175" fontId="5" fillId="0" borderId="0" xfId="0" applyNumberFormat="1" applyFont="1" applyAlignment="1">
      <alignment vertical="center"/>
    </xf>
    <xf numFmtId="0" fontId="4" fillId="0" borderId="19" xfId="0" applyFont="1" applyBorder="1" applyAlignment="1">
      <alignment vertical="center"/>
    </xf>
    <xf numFmtId="0" fontId="4" fillId="0" borderId="19" xfId="0" applyFont="1" applyBorder="1" applyAlignment="1">
      <alignment horizontal="center" vertical="center"/>
    </xf>
    <xf numFmtId="228" fontId="4" fillId="0" borderId="0" xfId="0" applyNumberFormat="1" applyFont="1" applyAlignment="1">
      <alignment horizontal="center" vertical="center"/>
    </xf>
    <xf numFmtId="185" fontId="25" fillId="0" borderId="18" xfId="2" applyNumberFormat="1" applyFont="1" applyBorder="1" applyAlignment="1">
      <alignment horizontal="center" vertical="center"/>
    </xf>
    <xf numFmtId="228" fontId="4" fillId="0" borderId="18" xfId="0" applyNumberFormat="1" applyFont="1" applyBorder="1" applyAlignment="1">
      <alignment horizontal="center" vertical="center"/>
    </xf>
    <xf numFmtId="175" fontId="17" fillId="0" borderId="25" xfId="0" applyNumberFormat="1" applyFont="1" applyBorder="1" applyAlignment="1">
      <alignment horizontal="right" vertical="center"/>
    </xf>
    <xf numFmtId="0" fontId="4" fillId="0" borderId="33" xfId="0" applyFont="1" applyBorder="1" applyAlignment="1">
      <alignment vertical="center"/>
    </xf>
    <xf numFmtId="228" fontId="4" fillId="0" borderId="33" xfId="0" applyNumberFormat="1" applyFont="1" applyBorder="1" applyAlignment="1">
      <alignment horizontal="center" vertical="center"/>
    </xf>
    <xf numFmtId="175" fontId="6" fillId="0" borderId="33" xfId="0" applyNumberFormat="1" applyFont="1" applyBorder="1" applyAlignment="1">
      <alignment vertical="center"/>
    </xf>
    <xf numFmtId="0" fontId="42" fillId="0" borderId="18" xfId="0" applyFont="1" applyBorder="1" applyAlignment="1">
      <alignment horizontal="left" vertical="center" indent="3"/>
    </xf>
    <xf numFmtId="175" fontId="17" fillId="0" borderId="18" xfId="0" applyNumberFormat="1" applyFont="1" applyBorder="1" applyAlignment="1">
      <alignment horizontal="right" vertical="center"/>
    </xf>
    <xf numFmtId="0" fontId="4" fillId="2" borderId="0" xfId="0" applyFont="1" applyFill="1" applyAlignment="1">
      <alignment vertical="center"/>
    </xf>
    <xf numFmtId="9" fontId="17" fillId="0" borderId="0" xfId="0" applyNumberFormat="1" applyFont="1" applyAlignment="1">
      <alignment horizontal="right" vertical="center"/>
    </xf>
    <xf numFmtId="175" fontId="17" fillId="0" borderId="19" xfId="0" applyNumberFormat="1" applyFont="1" applyBorder="1" applyAlignment="1">
      <alignment vertical="center"/>
    </xf>
    <xf numFmtId="182" fontId="6" fillId="0" borderId="8" xfId="6" applyNumberFormat="1" applyFont="1" applyBorder="1" applyAlignment="1">
      <alignment vertical="center"/>
    </xf>
    <xf numFmtId="182" fontId="6" fillId="0" borderId="9" xfId="6" applyNumberFormat="1" applyFont="1" applyBorder="1" applyAlignment="1">
      <alignment vertical="center"/>
    </xf>
    <xf numFmtId="186" fontId="10" fillId="0" borderId="11" xfId="0" applyNumberFormat="1" applyFont="1" applyBorder="1" applyAlignment="1">
      <alignment vertical="center"/>
    </xf>
    <xf numFmtId="180" fontId="7" fillId="0" borderId="5" xfId="0" applyNumberFormat="1" applyFont="1" applyBorder="1" applyAlignment="1">
      <alignment vertical="center"/>
    </xf>
    <xf numFmtId="192" fontId="6" fillId="0" borderId="0" xfId="0" applyNumberFormat="1" applyFont="1" applyAlignment="1">
      <alignment horizontal="right" vertical="center"/>
    </xf>
    <xf numFmtId="0" fontId="45" fillId="0" borderId="8" xfId="0" applyFont="1" applyBorder="1" applyAlignment="1">
      <alignment vertical="center"/>
    </xf>
    <xf numFmtId="175" fontId="12" fillId="0" borderId="8" xfId="0" applyNumberFormat="1" applyFont="1" applyBorder="1" applyAlignment="1">
      <alignment horizontal="center" vertical="center"/>
    </xf>
    <xf numFmtId="180" fontId="41" fillId="0" borderId="7" xfId="0" applyNumberFormat="1" applyFont="1" applyBorder="1" applyAlignment="1">
      <alignment vertical="center"/>
    </xf>
    <xf numFmtId="180" fontId="41" fillId="0" borderId="8" xfId="0" applyNumberFormat="1" applyFont="1" applyBorder="1" applyAlignment="1">
      <alignment vertical="center"/>
    </xf>
    <xf numFmtId="180" fontId="41" fillId="4" borderId="0" xfId="0" applyNumberFormat="1" applyFont="1" applyFill="1" applyAlignment="1">
      <alignment horizontal="right"/>
    </xf>
    <xf numFmtId="180" fontId="41" fillId="4" borderId="8" xfId="0" applyNumberFormat="1" applyFont="1" applyFill="1" applyBorder="1" applyAlignment="1">
      <alignment horizontal="right"/>
    </xf>
    <xf numFmtId="175" fontId="41" fillId="0" borderId="3" xfId="0" applyNumberFormat="1" applyFont="1" applyBorder="1" applyAlignment="1">
      <alignment horizontal="center" vertical="center"/>
    </xf>
    <xf numFmtId="180" fontId="6" fillId="4" borderId="8" xfId="0" applyNumberFormat="1" applyFont="1" applyFill="1" applyBorder="1" applyAlignment="1">
      <alignment horizontal="right"/>
    </xf>
    <xf numFmtId="4" fontId="6" fillId="0" borderId="0" xfId="0" applyNumberFormat="1" applyFont="1" applyAlignment="1">
      <alignment vertical="center"/>
    </xf>
    <xf numFmtId="175" fontId="41" fillId="0" borderId="7" xfId="0" applyNumberFormat="1" applyFont="1" applyBorder="1" applyAlignment="1">
      <alignment vertical="center"/>
    </xf>
    <xf numFmtId="3" fontId="6" fillId="0" borderId="18" xfId="0" applyNumberFormat="1" applyFont="1" applyBorder="1" applyAlignment="1">
      <alignment vertical="center"/>
    </xf>
    <xf numFmtId="180" fontId="41" fillId="0" borderId="13" xfId="0" applyNumberFormat="1" applyFont="1" applyBorder="1" applyAlignment="1">
      <alignment vertical="center"/>
    </xf>
    <xf numFmtId="0" fontId="27" fillId="2" borderId="5" xfId="0" applyFont="1" applyFill="1" applyBorder="1" applyAlignment="1">
      <alignment horizontal="left" vertical="center" indent="1"/>
    </xf>
    <xf numFmtId="0" fontId="10" fillId="2" borderId="0" xfId="0" applyFont="1" applyFill="1" applyAlignment="1">
      <alignment horizontal="left" vertical="center" indent="2"/>
    </xf>
    <xf numFmtId="0" fontId="10" fillId="2" borderId="8" xfId="0" applyFont="1" applyFill="1" applyBorder="1" applyAlignment="1">
      <alignment horizontal="left" vertical="center" indent="2"/>
    </xf>
    <xf numFmtId="175" fontId="25" fillId="0" borderId="0" xfId="0" applyNumberFormat="1" applyFont="1" applyAlignment="1">
      <alignment horizontal="center" vertical="center"/>
    </xf>
    <xf numFmtId="192" fontId="70" fillId="0" borderId="16" xfId="0" applyNumberFormat="1" applyFont="1" applyBorder="1" applyAlignment="1">
      <alignment vertical="center"/>
    </xf>
    <xf numFmtId="195" fontId="70" fillId="0" borderId="16" xfId="0" applyNumberFormat="1" applyFont="1" applyBorder="1" applyAlignment="1">
      <alignment vertical="center"/>
    </xf>
    <xf numFmtId="191" fontId="42" fillId="0" borderId="0" xfId="0" applyNumberFormat="1" applyFont="1" applyAlignment="1">
      <alignment vertical="center"/>
    </xf>
    <xf numFmtId="187" fontId="6" fillId="0" borderId="0" xfId="0" applyNumberFormat="1" applyFont="1" applyAlignment="1">
      <alignment vertical="center"/>
    </xf>
    <xf numFmtId="3" fontId="25" fillId="0" borderId="0" xfId="0" applyNumberFormat="1" applyFont="1" applyAlignment="1">
      <alignment vertical="center"/>
    </xf>
    <xf numFmtId="3" fontId="41" fillId="0" borderId="0" xfId="0" applyNumberFormat="1" applyFont="1" applyAlignment="1">
      <alignment vertical="center"/>
    </xf>
    <xf numFmtId="0" fontId="71" fillId="0" borderId="0" xfId="65" applyBorder="1" applyAlignment="1">
      <alignment vertical="center"/>
    </xf>
    <xf numFmtId="10" fontId="6" fillId="0" borderId="0" xfId="0" applyNumberFormat="1" applyFont="1" applyAlignment="1">
      <alignment vertical="center"/>
    </xf>
    <xf numFmtId="192" fontId="72" fillId="0" borderId="16" xfId="0" applyNumberFormat="1" applyFont="1" applyBorder="1" applyAlignment="1">
      <alignment vertical="center"/>
    </xf>
    <xf numFmtId="195" fontId="72" fillId="0" borderId="16" xfId="0" applyNumberFormat="1" applyFont="1" applyBorder="1" applyAlignment="1">
      <alignment vertical="center"/>
    </xf>
    <xf numFmtId="192" fontId="72" fillId="0" borderId="0" xfId="0" applyNumberFormat="1" applyFont="1" applyAlignment="1">
      <alignment vertical="center"/>
    </xf>
    <xf numFmtId="9" fontId="72" fillId="0" borderId="0" xfId="0" applyNumberFormat="1" applyFont="1" applyAlignment="1">
      <alignment vertical="center"/>
    </xf>
    <xf numFmtId="191" fontId="6" fillId="0" borderId="14" xfId="0" applyNumberFormat="1" applyFont="1" applyBorder="1" applyAlignment="1">
      <alignment horizontal="center" vertical="center"/>
    </xf>
    <xf numFmtId="0" fontId="7" fillId="0" borderId="0" xfId="1" applyFont="1" applyAlignment="1">
      <alignment horizontal="right" vertical="center"/>
    </xf>
    <xf numFmtId="191" fontId="25" fillId="0" borderId="14" xfId="0" applyNumberFormat="1" applyFont="1" applyBorder="1" applyAlignment="1">
      <alignment horizontal="right" vertical="center"/>
    </xf>
    <xf numFmtId="182" fontId="6" fillId="0" borderId="0" xfId="0" applyNumberFormat="1" applyFont="1" applyAlignment="1">
      <alignment horizontal="right" vertical="center"/>
    </xf>
    <xf numFmtId="191" fontId="6" fillId="0" borderId="14" xfId="0" applyNumberFormat="1" applyFont="1" applyBorder="1" applyAlignment="1">
      <alignment horizontal="right" vertical="center"/>
    </xf>
    <xf numFmtId="182" fontId="72" fillId="0" borderId="14" xfId="6" applyNumberFormat="1" applyFont="1" applyFill="1" applyBorder="1" applyAlignment="1">
      <alignment horizontal="right" vertical="center"/>
    </xf>
    <xf numFmtId="9" fontId="25" fillId="0" borderId="0" xfId="0" applyNumberFormat="1" applyFont="1" applyAlignment="1">
      <alignment horizontal="center"/>
    </xf>
    <xf numFmtId="9" fontId="72" fillId="0" borderId="14" xfId="0" applyNumberFormat="1" applyFont="1" applyBorder="1" applyAlignment="1">
      <alignment horizontal="right" vertical="center"/>
    </xf>
    <xf numFmtId="9" fontId="72" fillId="0" borderId="9" xfId="0" applyNumberFormat="1" applyFont="1" applyBorder="1" applyAlignment="1">
      <alignment horizontal="right" vertical="center"/>
    </xf>
    <xf numFmtId="175" fontId="72" fillId="0" borderId="14" xfId="0" applyNumberFormat="1" applyFont="1" applyBorder="1" applyAlignment="1">
      <alignment vertical="center"/>
    </xf>
    <xf numFmtId="208" fontId="6" fillId="0" borderId="3" xfId="0" applyNumberFormat="1" applyFont="1" applyBorder="1" applyAlignment="1">
      <alignment horizontal="right" vertical="center"/>
    </xf>
    <xf numFmtId="203" fontId="25" fillId="0" borderId="3" xfId="0" applyNumberFormat="1" applyFont="1" applyBorder="1" applyAlignment="1">
      <alignment horizontal="right" vertical="center"/>
    </xf>
    <xf numFmtId="206" fontId="41" fillId="0" borderId="14" xfId="1" applyNumberFormat="1" applyFont="1" applyBorder="1" applyAlignment="1">
      <alignment horizontal="right" vertical="center"/>
    </xf>
    <xf numFmtId="180" fontId="25" fillId="0" borderId="0" xfId="0" applyNumberFormat="1" applyFont="1" applyAlignment="1">
      <alignment horizontal="right" vertical="center"/>
    </xf>
    <xf numFmtId="192" fontId="41" fillId="0" borderId="0" xfId="0" applyNumberFormat="1" applyFont="1" applyAlignment="1">
      <alignment vertical="center"/>
    </xf>
    <xf numFmtId="0" fontId="6" fillId="0" borderId="0" xfId="0" applyFont="1" applyAlignment="1">
      <alignment horizontal="center" vertical="center"/>
    </xf>
    <xf numFmtId="3" fontId="72" fillId="0" borderId="14" xfId="0" applyNumberFormat="1" applyFont="1" applyBorder="1" applyAlignment="1">
      <alignment vertical="center"/>
    </xf>
    <xf numFmtId="206" fontId="72" fillId="0" borderId="14" xfId="1" applyNumberFormat="1" applyFont="1" applyBorder="1" applyAlignment="1">
      <alignment horizontal="right" vertical="center"/>
    </xf>
    <xf numFmtId="1" fontId="72" fillId="0" borderId="9" xfId="1" applyNumberFormat="1" applyFont="1" applyBorder="1" applyAlignment="1">
      <alignment horizontal="right" vertical="center"/>
    </xf>
    <xf numFmtId="203" fontId="41" fillId="4" borderId="3" xfId="0" applyNumberFormat="1" applyFont="1" applyFill="1" applyBorder="1" applyAlignment="1">
      <alignment horizontal="center" vertical="center"/>
    </xf>
    <xf numFmtId="9" fontId="72" fillId="0" borderId="14" xfId="0" applyNumberFormat="1" applyFont="1" applyBorder="1" applyAlignment="1">
      <alignment vertical="center"/>
    </xf>
    <xf numFmtId="208" fontId="72" fillId="0" borderId="14" xfId="0" applyNumberFormat="1" applyFont="1" applyBorder="1" applyAlignment="1">
      <alignment horizontal="right" vertical="center"/>
    </xf>
    <xf numFmtId="203" fontId="41" fillId="0" borderId="14" xfId="58" applyNumberFormat="1" applyFont="1" applyFill="1" applyBorder="1" applyAlignment="1">
      <alignment vertical="center"/>
    </xf>
    <xf numFmtId="185" fontId="25" fillId="5" borderId="14" xfId="0" applyNumberFormat="1" applyFont="1" applyFill="1" applyBorder="1" applyAlignment="1">
      <alignment vertical="center"/>
    </xf>
    <xf numFmtId="201" fontId="6" fillId="0" borderId="14" xfId="0" applyNumberFormat="1" applyFont="1" applyBorder="1" applyAlignment="1">
      <alignment horizontal="right" vertical="center"/>
    </xf>
    <xf numFmtId="3" fontId="41" fillId="0" borderId="14" xfId="0" applyNumberFormat="1" applyFont="1" applyBorder="1" applyAlignment="1">
      <alignment horizontal="right" vertical="center"/>
    </xf>
    <xf numFmtId="182" fontId="41" fillId="0" borderId="14" xfId="0" applyNumberFormat="1" applyFont="1" applyBorder="1" applyAlignment="1">
      <alignment horizontal="right" vertical="center"/>
    </xf>
    <xf numFmtId="4" fontId="41" fillId="0" borderId="9" xfId="0" applyNumberFormat="1" applyFont="1" applyBorder="1" applyAlignment="1">
      <alignment horizontal="right" vertical="center"/>
    </xf>
    <xf numFmtId="0" fontId="10" fillId="0" borderId="7" xfId="0" applyFont="1" applyBorder="1" applyAlignment="1">
      <alignment horizontal="left" vertical="center" indent="3"/>
    </xf>
    <xf numFmtId="10" fontId="25" fillId="0" borderId="9" xfId="0" applyNumberFormat="1" applyFont="1" applyBorder="1" applyAlignment="1">
      <alignment horizontal="right" vertical="center"/>
    </xf>
    <xf numFmtId="4" fontId="6" fillId="0" borderId="0" xfId="0" applyNumberFormat="1" applyFont="1" applyAlignment="1">
      <alignment horizontal="right" vertical="center"/>
    </xf>
    <xf numFmtId="175" fontId="6" fillId="0" borderId="5" xfId="0" applyNumberFormat="1" applyFont="1" applyBorder="1" applyAlignment="1">
      <alignment vertical="center"/>
    </xf>
    <xf numFmtId="192" fontId="6" fillId="0" borderId="3" xfId="0" applyNumberFormat="1" applyFont="1" applyBorder="1" applyAlignment="1">
      <alignment horizontal="center"/>
    </xf>
    <xf numFmtId="236" fontId="6" fillId="0" borderId="0" xfId="0" applyNumberFormat="1" applyFont="1" applyAlignment="1">
      <alignment vertical="center"/>
    </xf>
    <xf numFmtId="203" fontId="41" fillId="4" borderId="3" xfId="58" applyNumberFormat="1" applyFont="1" applyFill="1" applyBorder="1" applyAlignment="1">
      <alignment horizontal="center" vertical="center"/>
    </xf>
    <xf numFmtId="10" fontId="41" fillId="0" borderId="3" xfId="0" applyNumberFormat="1" applyFont="1" applyBorder="1" applyAlignment="1">
      <alignment horizontal="center" vertical="center"/>
    </xf>
    <xf numFmtId="10" fontId="25" fillId="0" borderId="14" xfId="0" applyNumberFormat="1" applyFont="1" applyBorder="1" applyAlignment="1">
      <alignment horizontal="center" vertical="center"/>
    </xf>
    <xf numFmtId="192" fontId="42" fillId="0" borderId="5" xfId="0" applyNumberFormat="1" applyFont="1" applyBorder="1" applyAlignment="1">
      <alignment vertical="center"/>
    </xf>
    <xf numFmtId="10" fontId="6" fillId="0" borderId="14" xfId="0" applyNumberFormat="1" applyFont="1" applyBorder="1" applyAlignment="1">
      <alignment horizontal="center" vertical="center"/>
    </xf>
    <xf numFmtId="182" fontId="72" fillId="0" borderId="14" xfId="0" applyNumberFormat="1" applyFont="1" applyBorder="1" applyAlignment="1">
      <alignment horizontal="right" vertical="center"/>
    </xf>
    <xf numFmtId="173" fontId="25" fillId="0" borderId="7" xfId="0" applyNumberFormat="1" applyFont="1" applyBorder="1" applyAlignment="1">
      <alignment horizontal="center" vertical="center"/>
    </xf>
    <xf numFmtId="182" fontId="25" fillId="0" borderId="10" xfId="0" applyNumberFormat="1" applyFont="1" applyBorder="1" applyAlignment="1">
      <alignment horizontal="center"/>
    </xf>
    <xf numFmtId="182" fontId="10" fillId="0" borderId="3" xfId="0" applyNumberFormat="1" applyFont="1" applyBorder="1" applyAlignment="1">
      <alignment horizontal="center" vertical="center"/>
    </xf>
    <xf numFmtId="203" fontId="41" fillId="0" borderId="14" xfId="0" applyNumberFormat="1" applyFont="1" applyBorder="1" applyAlignment="1">
      <alignment horizontal="center" vertical="center"/>
    </xf>
    <xf numFmtId="175" fontId="41" fillId="4" borderId="0" xfId="0" applyNumberFormat="1" applyFont="1" applyFill="1" applyAlignment="1">
      <alignment vertical="center"/>
    </xf>
    <xf numFmtId="0" fontId="67" fillId="0" borderId="0" xfId="0" quotePrefix="1" applyFont="1" applyAlignment="1">
      <alignment horizontal="center" vertical="center" wrapText="1"/>
    </xf>
    <xf numFmtId="0" fontId="68" fillId="0" borderId="0" xfId="0" quotePrefix="1" applyFont="1" applyAlignment="1">
      <alignment horizontal="center" vertical="center" wrapText="1"/>
    </xf>
    <xf numFmtId="0" fontId="47" fillId="0" borderId="0" xfId="0" quotePrefix="1" applyFont="1" applyAlignment="1">
      <alignment horizontal="center" vertical="center" wrapText="1"/>
    </xf>
    <xf numFmtId="0" fontId="47" fillId="0" borderId="0" xfId="0" applyFont="1" applyAlignment="1">
      <alignment horizontal="center" vertical="top" wrapText="1"/>
    </xf>
    <xf numFmtId="0" fontId="66" fillId="0" borderId="0" xfId="0" quotePrefix="1" applyFont="1" applyAlignment="1">
      <alignment horizontal="center" vertical="center" wrapText="1"/>
    </xf>
    <xf numFmtId="0" fontId="7" fillId="7" borderId="16" xfId="1" applyFont="1" applyFill="1" applyBorder="1" applyAlignment="1">
      <alignment horizontal="center" vertical="center"/>
    </xf>
    <xf numFmtId="0" fontId="7" fillId="7" borderId="17" xfId="1" applyFont="1" applyFill="1" applyBorder="1" applyAlignment="1">
      <alignment horizontal="center" vertical="center"/>
    </xf>
    <xf numFmtId="0" fontId="51" fillId="0" borderId="0" xfId="1" applyFont="1" applyAlignment="1">
      <alignment horizontal="center" vertical="center"/>
    </xf>
    <xf numFmtId="0" fontId="51" fillId="0" borderId="14" xfId="1" applyFont="1" applyBorder="1" applyAlignment="1">
      <alignment horizontal="center" vertical="center"/>
    </xf>
    <xf numFmtId="0" fontId="28" fillId="8" borderId="15" xfId="1" applyFont="1" applyFill="1" applyBorder="1" applyAlignment="1">
      <alignment horizontal="center" vertical="center"/>
    </xf>
    <xf numFmtId="0" fontId="28" fillId="8" borderId="16" xfId="1" applyFont="1" applyFill="1" applyBorder="1" applyAlignment="1">
      <alignment horizontal="center" vertical="center"/>
    </xf>
    <xf numFmtId="0" fontId="28" fillId="8" borderId="17" xfId="1" applyFont="1" applyFill="1" applyBorder="1" applyAlignment="1">
      <alignment horizontal="center" vertical="center"/>
    </xf>
    <xf numFmtId="0" fontId="11" fillId="0" borderId="13" xfId="0" applyFont="1" applyBorder="1" applyAlignment="1">
      <alignment horizontal="left" vertical="center"/>
    </xf>
    <xf numFmtId="0" fontId="11" fillId="0" borderId="7" xfId="0" applyFont="1" applyBorder="1" applyAlignment="1">
      <alignment horizontal="left" vertical="center"/>
    </xf>
    <xf numFmtId="0" fontId="27" fillId="0" borderId="10" xfId="0" applyFont="1" applyBorder="1" applyAlignment="1">
      <alignment horizontal="center" vertical="center" wrapText="1"/>
    </xf>
    <xf numFmtId="0" fontId="27" fillId="0" borderId="12" xfId="0" applyFont="1" applyBorder="1" applyAlignment="1">
      <alignment horizontal="center" vertical="center" wrapText="1"/>
    </xf>
    <xf numFmtId="0" fontId="27" fillId="0" borderId="5" xfId="0" applyFont="1" applyBorder="1" applyAlignment="1">
      <alignment horizontal="center" vertical="center" wrapText="1"/>
    </xf>
    <xf numFmtId="0" fontId="27" fillId="0" borderId="8" xfId="0" applyFont="1" applyBorder="1" applyAlignment="1">
      <alignment horizontal="center" vertical="center" wrapText="1"/>
    </xf>
    <xf numFmtId="0" fontId="27" fillId="0" borderId="6" xfId="0" applyFont="1" applyBorder="1" applyAlignment="1">
      <alignment horizontal="center" vertical="center" wrapText="1"/>
    </xf>
    <xf numFmtId="0" fontId="27" fillId="0" borderId="9" xfId="0" applyFont="1" applyBorder="1" applyAlignment="1">
      <alignment horizontal="center" vertical="center" wrapText="1"/>
    </xf>
    <xf numFmtId="0" fontId="27" fillId="0" borderId="4" xfId="0" applyFont="1" applyBorder="1" applyAlignment="1">
      <alignment horizontal="center" vertical="center" wrapText="1"/>
    </xf>
    <xf numFmtId="0" fontId="27" fillId="0" borderId="7" xfId="0" applyFont="1" applyBorder="1" applyAlignment="1">
      <alignment horizontal="center" vertical="center" wrapText="1"/>
    </xf>
    <xf numFmtId="3" fontId="11" fillId="0" borderId="0" xfId="0" applyNumberFormat="1" applyFont="1" applyAlignment="1">
      <alignment horizontal="center"/>
    </xf>
    <xf numFmtId="3" fontId="11" fillId="0" borderId="8" xfId="0" applyNumberFormat="1" applyFont="1" applyBorder="1" applyAlignment="1">
      <alignment horizontal="center"/>
    </xf>
    <xf numFmtId="201" fontId="11" fillId="2" borderId="10" xfId="0" applyNumberFormat="1" applyFont="1" applyFill="1" applyBorder="1" applyAlignment="1">
      <alignment horizontal="center" vertical="center"/>
    </xf>
    <xf numFmtId="201" fontId="11" fillId="2" borderId="11" xfId="0" applyNumberFormat="1" applyFont="1" applyFill="1" applyBorder="1" applyAlignment="1">
      <alignment horizontal="center" vertical="center"/>
    </xf>
    <xf numFmtId="201" fontId="11" fillId="2" borderId="12" xfId="0" applyNumberFormat="1" applyFont="1" applyFill="1" applyBorder="1" applyAlignment="1">
      <alignment horizontal="center" vertical="center"/>
    </xf>
    <xf numFmtId="3" fontId="11" fillId="2" borderId="5" xfId="0" applyNumberFormat="1" applyFont="1" applyFill="1" applyBorder="1" applyAlignment="1">
      <alignment horizontal="center" vertical="center" wrapText="1"/>
    </xf>
    <xf numFmtId="3" fontId="11" fillId="2" borderId="8" xfId="0" applyNumberFormat="1" applyFont="1" applyFill="1" applyBorder="1" applyAlignment="1">
      <alignment horizontal="center" vertical="center" wrapText="1"/>
    </xf>
    <xf numFmtId="216" fontId="6" fillId="2" borderId="16" xfId="0" applyNumberFormat="1" applyFont="1" applyFill="1" applyBorder="1" applyAlignment="1">
      <alignment horizontal="center"/>
    </xf>
    <xf numFmtId="230" fontId="6" fillId="2" borderId="16" xfId="0" applyNumberFormat="1" applyFont="1" applyFill="1" applyBorder="1" applyAlignment="1">
      <alignment horizontal="center"/>
    </xf>
    <xf numFmtId="3" fontId="11" fillId="9" borderId="15" xfId="0" applyNumberFormat="1" applyFont="1" applyFill="1" applyBorder="1" applyAlignment="1">
      <alignment horizontal="center" vertical="center"/>
    </xf>
    <xf numFmtId="3" fontId="11" fillId="9" borderId="16" xfId="0" applyNumberFormat="1" applyFont="1" applyFill="1" applyBorder="1" applyAlignment="1">
      <alignment horizontal="center" vertical="center"/>
    </xf>
    <xf numFmtId="3" fontId="11" fillId="9" borderId="17" xfId="0" applyNumberFormat="1" applyFont="1" applyFill="1" applyBorder="1" applyAlignment="1">
      <alignment horizontal="center" vertical="center"/>
    </xf>
    <xf numFmtId="3" fontId="11" fillId="2" borderId="6" xfId="0" applyNumberFormat="1" applyFont="1" applyFill="1" applyBorder="1" applyAlignment="1">
      <alignment horizontal="center" vertical="center"/>
    </xf>
    <xf numFmtId="3" fontId="11" fillId="2" borderId="9" xfId="0" applyNumberFormat="1" applyFont="1" applyFill="1" applyBorder="1" applyAlignment="1">
      <alignment horizontal="center" vertical="center"/>
    </xf>
    <xf numFmtId="3" fontId="11" fillId="2" borderId="4" xfId="0" applyNumberFormat="1" applyFont="1" applyFill="1" applyBorder="1" applyAlignment="1">
      <alignment horizontal="center" vertical="center"/>
    </xf>
    <xf numFmtId="3" fontId="11" fillId="2" borderId="5" xfId="0" applyNumberFormat="1" applyFont="1" applyFill="1" applyBorder="1" applyAlignment="1">
      <alignment horizontal="center" vertical="center"/>
    </xf>
    <xf numFmtId="3" fontId="11" fillId="0" borderId="15" xfId="0" applyNumberFormat="1" applyFont="1" applyBorder="1" applyAlignment="1">
      <alignment horizontal="center" vertical="center"/>
    </xf>
    <xf numFmtId="3" fontId="11" fillId="0" borderId="16" xfId="0" applyNumberFormat="1" applyFont="1" applyBorder="1" applyAlignment="1">
      <alignment horizontal="center" vertical="center"/>
    </xf>
    <xf numFmtId="180" fontId="6" fillId="0" borderId="10" xfId="2" applyNumberFormat="1" applyFont="1" applyBorder="1" applyAlignment="1">
      <alignment horizontal="center" vertical="center"/>
    </xf>
    <xf numFmtId="180" fontId="6" fillId="0" borderId="11" xfId="2" applyNumberFormat="1" applyFont="1" applyBorder="1" applyAlignment="1">
      <alignment horizontal="center" vertical="center"/>
    </xf>
    <xf numFmtId="180" fontId="6" fillId="0" borderId="12" xfId="2" applyNumberFormat="1" applyFont="1" applyBorder="1" applyAlignment="1">
      <alignment horizontal="center" vertical="center"/>
    </xf>
    <xf numFmtId="3" fontId="11" fillId="2" borderId="4" xfId="0" applyNumberFormat="1" applyFont="1" applyFill="1" applyBorder="1" applyAlignment="1">
      <alignment horizontal="center" vertical="center" wrapText="1"/>
    </xf>
    <xf numFmtId="3" fontId="11" fillId="2" borderId="7" xfId="0" applyNumberFormat="1" applyFont="1" applyFill="1" applyBorder="1" applyAlignment="1">
      <alignment horizontal="center" vertical="center" wrapText="1"/>
    </xf>
    <xf numFmtId="3" fontId="11" fillId="2" borderId="10" xfId="0" applyNumberFormat="1" applyFont="1" applyFill="1" applyBorder="1" applyAlignment="1">
      <alignment horizontal="center" vertical="center" wrapText="1"/>
    </xf>
    <xf numFmtId="3" fontId="11" fillId="2" borderId="12" xfId="0" applyNumberFormat="1" applyFont="1" applyFill="1" applyBorder="1" applyAlignment="1">
      <alignment horizontal="center" vertical="center" wrapText="1"/>
    </xf>
    <xf numFmtId="3" fontId="11" fillId="2" borderId="8" xfId="0" applyNumberFormat="1" applyFont="1" applyFill="1" applyBorder="1" applyAlignment="1">
      <alignment horizontal="center" vertical="center"/>
    </xf>
    <xf numFmtId="203" fontId="28" fillId="8" borderId="35" xfId="58" applyNumberFormat="1" applyFont="1" applyFill="1" applyBorder="1" applyAlignment="1">
      <alignment horizontal="center" vertical="center"/>
    </xf>
    <xf numFmtId="203" fontId="28" fillId="8" borderId="36" xfId="58" applyNumberFormat="1" applyFont="1" applyFill="1" applyBorder="1" applyAlignment="1">
      <alignment horizontal="center" vertical="center"/>
    </xf>
    <xf numFmtId="203" fontId="28" fillId="8" borderId="37" xfId="58" applyNumberFormat="1" applyFont="1" applyFill="1" applyBorder="1" applyAlignment="1">
      <alignment horizontal="center" vertical="center"/>
    </xf>
    <xf numFmtId="203" fontId="28" fillId="8" borderId="38" xfId="58" applyNumberFormat="1" applyFont="1" applyFill="1" applyBorder="1" applyAlignment="1">
      <alignment horizontal="center" vertical="center"/>
    </xf>
    <xf numFmtId="203" fontId="28" fillId="8" borderId="0" xfId="58" applyNumberFormat="1" applyFont="1" applyFill="1" applyBorder="1" applyAlignment="1">
      <alignment horizontal="center" vertical="center"/>
    </xf>
    <xf numFmtId="203" fontId="28" fillId="8" borderId="39" xfId="58" applyNumberFormat="1" applyFont="1" applyFill="1" applyBorder="1" applyAlignment="1">
      <alignment horizontal="center" vertical="center"/>
    </xf>
    <xf numFmtId="189" fontId="43" fillId="8" borderId="38" xfId="0" applyNumberFormat="1" applyFont="1" applyFill="1" applyBorder="1" applyAlignment="1">
      <alignment horizontal="center" vertical="center"/>
    </xf>
    <xf numFmtId="189" fontId="43" fillId="8" borderId="0" xfId="0" applyNumberFormat="1" applyFont="1" applyFill="1" applyAlignment="1">
      <alignment horizontal="center" vertical="center"/>
    </xf>
    <xf numFmtId="189" fontId="43" fillId="8" borderId="39" xfId="0" applyNumberFormat="1" applyFont="1" applyFill="1" applyBorder="1" applyAlignment="1">
      <alignment horizontal="center" vertical="center"/>
    </xf>
    <xf numFmtId="188" fontId="43" fillId="8" borderId="40" xfId="0" applyNumberFormat="1" applyFont="1" applyFill="1" applyBorder="1" applyAlignment="1">
      <alignment horizontal="center" vertical="center"/>
    </xf>
    <xf numFmtId="188" fontId="43" fillId="8" borderId="41" xfId="0" applyNumberFormat="1" applyFont="1" applyFill="1" applyBorder="1" applyAlignment="1">
      <alignment horizontal="center" vertical="center"/>
    </xf>
    <xf numFmtId="188" fontId="43" fillId="8" borderId="42" xfId="0" applyNumberFormat="1" applyFont="1" applyFill="1" applyBorder="1" applyAlignment="1">
      <alignment horizontal="center" vertical="center"/>
    </xf>
    <xf numFmtId="0" fontId="28" fillId="8" borderId="35" xfId="64" applyFont="1" applyFill="1" applyBorder="1" applyAlignment="1">
      <alignment horizontal="center" vertical="center" wrapText="1"/>
    </xf>
    <xf numFmtId="0" fontId="28" fillId="8" borderId="36" xfId="64" applyFont="1" applyFill="1" applyBorder="1" applyAlignment="1">
      <alignment horizontal="center" vertical="center" wrapText="1"/>
    </xf>
    <xf numFmtId="0" fontId="28" fillId="8" borderId="38" xfId="64" applyFont="1" applyFill="1" applyBorder="1" applyAlignment="1">
      <alignment horizontal="center" vertical="center" wrapText="1"/>
    </xf>
    <xf numFmtId="0" fontId="28" fillId="8" borderId="0" xfId="64" applyFont="1" applyFill="1" applyAlignment="1">
      <alignment horizontal="center" vertical="center" wrapText="1"/>
    </xf>
    <xf numFmtId="0" fontId="28" fillId="8" borderId="40" xfId="64" applyFont="1" applyFill="1" applyBorder="1" applyAlignment="1">
      <alignment horizontal="center" vertical="center" wrapText="1"/>
    </xf>
    <xf numFmtId="0" fontId="28" fillId="8" borderId="41" xfId="64" applyFont="1" applyFill="1" applyBorder="1" applyAlignment="1">
      <alignment horizontal="center" vertical="center" wrapText="1"/>
    </xf>
    <xf numFmtId="9" fontId="41" fillId="0" borderId="0" xfId="0" applyNumberFormat="1" applyFont="1" applyFill="1" applyAlignment="1">
      <alignment vertical="center"/>
    </xf>
  </cellXfs>
  <cellStyles count="66">
    <cellStyle name="40% - Énfasis4 8 4 2" xfId="55" xr:uid="{00000000-0005-0000-0000-000000000000}"/>
    <cellStyle name="AFE 2" xfId="30" xr:uid="{00000000-0005-0000-0000-000001000000}"/>
    <cellStyle name="Comma 12" xfId="4" xr:uid="{00000000-0005-0000-0000-000002000000}"/>
    <cellStyle name="Comma 2" xfId="34" xr:uid="{00000000-0005-0000-0000-000003000000}"/>
    <cellStyle name="Comma 3 2 2" xfId="20" xr:uid="{00000000-0005-0000-0000-000004000000}"/>
    <cellStyle name="Currency 2" xfId="60" xr:uid="{00000000-0005-0000-0000-000005000000}"/>
    <cellStyle name="Currency 2 4" xfId="14" xr:uid="{00000000-0005-0000-0000-000006000000}"/>
    <cellStyle name="Currency 4 2" xfId="15" xr:uid="{00000000-0005-0000-0000-000007000000}"/>
    <cellStyle name="Currency 6 2" xfId="17" xr:uid="{00000000-0005-0000-0000-000008000000}"/>
    <cellStyle name="Estilo 1" xfId="54" xr:uid="{00000000-0005-0000-0000-000009000000}"/>
    <cellStyle name="Euro" xfId="53" xr:uid="{00000000-0005-0000-0000-00000A000000}"/>
    <cellStyle name="Euro 2" xfId="52" xr:uid="{00000000-0005-0000-0000-00000B000000}"/>
    <cellStyle name="Hipervínculo" xfId="65" builtinId="8"/>
    <cellStyle name="Millares" xfId="32" builtinId="3"/>
    <cellStyle name="Millares [0] 2" xfId="49" xr:uid="{00000000-0005-0000-0000-00000E000000}"/>
    <cellStyle name="Millares [0] 3" xfId="50" xr:uid="{00000000-0005-0000-0000-00000F000000}"/>
    <cellStyle name="Millares 10" xfId="58" xr:uid="{00000000-0005-0000-0000-000010000000}"/>
    <cellStyle name="Millares 2" xfId="48" xr:uid="{00000000-0005-0000-0000-000011000000}"/>
    <cellStyle name="Millares 3" xfId="47" xr:uid="{00000000-0005-0000-0000-000012000000}"/>
    <cellStyle name="Millares 4" xfId="51" xr:uid="{00000000-0005-0000-0000-000013000000}"/>
    <cellStyle name="Millares 5" xfId="61" xr:uid="{00000000-0005-0000-0000-000014000000}"/>
    <cellStyle name="Millares 6" xfId="35" xr:uid="{00000000-0005-0000-0000-000015000000}"/>
    <cellStyle name="Millares 7" xfId="62" xr:uid="{00000000-0005-0000-0000-000016000000}"/>
    <cellStyle name="Moneda [0] 2" xfId="46" xr:uid="{00000000-0005-0000-0000-000017000000}"/>
    <cellStyle name="Normal" xfId="0" builtinId="0"/>
    <cellStyle name="Normal - Style1 2" xfId="13" xr:uid="{00000000-0005-0000-0000-000019000000}"/>
    <cellStyle name="Normal 10 13" xfId="25" xr:uid="{00000000-0005-0000-0000-00001A000000}"/>
    <cellStyle name="Normal 10 2" xfId="24" xr:uid="{00000000-0005-0000-0000-00001B000000}"/>
    <cellStyle name="Normal 10 3" xfId="2" xr:uid="{00000000-0005-0000-0000-00001C000000}"/>
    <cellStyle name="Normal 11 2" xfId="57" xr:uid="{00000000-0005-0000-0000-00001D000000}"/>
    <cellStyle name="Normal 2" xfId="22" xr:uid="{00000000-0005-0000-0000-00001E000000}"/>
    <cellStyle name="Normal 2 2" xfId="45" xr:uid="{00000000-0005-0000-0000-00001F000000}"/>
    <cellStyle name="Normal 2 2 2" xfId="21" xr:uid="{00000000-0005-0000-0000-000020000000}"/>
    <cellStyle name="Normal 2 2 2 2 2" xfId="8" xr:uid="{00000000-0005-0000-0000-000021000000}"/>
    <cellStyle name="Normal 2 4 2 3" xfId="9" xr:uid="{00000000-0005-0000-0000-000022000000}"/>
    <cellStyle name="Normal 22" xfId="27" xr:uid="{00000000-0005-0000-0000-000023000000}"/>
    <cellStyle name="Normal 3" xfId="7" xr:uid="{00000000-0005-0000-0000-000024000000}"/>
    <cellStyle name="Normal 3 2" xfId="44" xr:uid="{00000000-0005-0000-0000-000025000000}"/>
    <cellStyle name="Normal 3 3" xfId="33" xr:uid="{00000000-0005-0000-0000-000026000000}"/>
    <cellStyle name="Normal 4" xfId="26" xr:uid="{00000000-0005-0000-0000-000027000000}"/>
    <cellStyle name="Normal 4 2" xfId="56" xr:uid="{00000000-0005-0000-0000-000028000000}"/>
    <cellStyle name="Normal 4 2 2 3" xfId="10" xr:uid="{00000000-0005-0000-0000-000029000000}"/>
    <cellStyle name="Normal 4 3" xfId="29" xr:uid="{00000000-0005-0000-0000-00002A000000}"/>
    <cellStyle name="Normal 5" xfId="1" xr:uid="{00000000-0005-0000-0000-00002B000000}"/>
    <cellStyle name="Normal 5 2" xfId="28" xr:uid="{00000000-0005-0000-0000-00002C000000}"/>
    <cellStyle name="Normal 6" xfId="59" xr:uid="{00000000-0005-0000-0000-00002D000000}"/>
    <cellStyle name="Normal 60 2" xfId="12" xr:uid="{00000000-0005-0000-0000-00002E000000}"/>
    <cellStyle name="Normal 7" xfId="63" xr:uid="{00000000-0005-0000-0000-00002F000000}"/>
    <cellStyle name="Normal 76 10" xfId="31" xr:uid="{00000000-0005-0000-0000-000030000000}"/>
    <cellStyle name="Normal 78" xfId="3" xr:uid="{00000000-0005-0000-0000-000031000000}"/>
    <cellStyle name="Normal 8 2 2" xfId="18" xr:uid="{00000000-0005-0000-0000-000032000000}"/>
    <cellStyle name="Normal_Staten Island - The Wellington Court Apartments v15" xfId="64" xr:uid="{F66ABF99-3064-4FF3-B91B-7CF6705E634A}"/>
    <cellStyle name="Percent 10 3" xfId="5" xr:uid="{00000000-0005-0000-0000-000034000000}"/>
    <cellStyle name="Percent 2 2 2" xfId="11" xr:uid="{00000000-0005-0000-0000-000035000000}"/>
    <cellStyle name="Percent 3" xfId="23" xr:uid="{00000000-0005-0000-0000-000036000000}"/>
    <cellStyle name="Percent 3 2 2" xfId="19" xr:uid="{00000000-0005-0000-0000-000037000000}"/>
    <cellStyle name="Percent 7 2" xfId="16" xr:uid="{00000000-0005-0000-0000-000038000000}"/>
    <cellStyle name="Porcentaje" xfId="6" builtinId="5"/>
    <cellStyle name="Porcentaje 2" xfId="43" xr:uid="{00000000-0005-0000-0000-00003A000000}"/>
    <cellStyle name="Porcentaje 3" xfId="36" xr:uid="{00000000-0005-0000-0000-00003B000000}"/>
    <cellStyle name="Porcentual 2" xfId="41" xr:uid="{00000000-0005-0000-0000-00003C000000}"/>
    <cellStyle name="Porcentual 3" xfId="40" xr:uid="{00000000-0005-0000-0000-00003D000000}"/>
    <cellStyle name="Porcentual 3 2" xfId="39" xr:uid="{00000000-0005-0000-0000-00003E000000}"/>
    <cellStyle name="Porcentual 4" xfId="42" xr:uid="{00000000-0005-0000-0000-00003F000000}"/>
    <cellStyle name="Punto0" xfId="38" xr:uid="{00000000-0005-0000-0000-000040000000}"/>
    <cellStyle name="Punto0 2" xfId="37" xr:uid="{00000000-0005-0000-0000-000041000000}"/>
  </cellStyles>
  <dxfs count="44">
    <dxf>
      <font>
        <color rgb="FFC00000"/>
      </font>
    </dxf>
    <dxf>
      <font>
        <color rgb="FFC00000"/>
      </font>
    </dxf>
    <dxf>
      <font>
        <color rgb="FFC00000"/>
      </font>
    </dxf>
    <dxf>
      <font>
        <color rgb="FFC00000"/>
      </font>
    </dxf>
    <dxf>
      <font>
        <color rgb="FFC00000"/>
      </font>
    </dxf>
    <dxf>
      <font>
        <color rgb="FFC00000"/>
      </font>
    </dxf>
    <dxf>
      <font>
        <color rgb="FFC00000"/>
      </font>
    </dxf>
    <dxf>
      <font>
        <color rgb="FF00B050"/>
      </font>
      <fill>
        <patternFill patternType="none">
          <bgColor auto="1"/>
        </patternFill>
      </fill>
    </dxf>
    <dxf>
      <font>
        <color rgb="FFC00000"/>
      </font>
    </dxf>
    <dxf>
      <fill>
        <patternFill>
          <bgColor theme="7"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s>
  <tableStyles count="0" defaultTableStyle="TableStyleMedium2" defaultPivotStyle="PivotStyleLight16"/>
  <colors>
    <mruColors>
      <color rgb="FF008EAC"/>
      <color rgb="FF009900"/>
      <color rgb="FF3333FF"/>
      <color rgb="FF0070C0"/>
      <color rgb="FF008EB0"/>
      <color rgb="FF6DC0FF"/>
      <color rgb="FFBD70C0"/>
      <color rgb="FF0088AC"/>
      <color rgb="FF663300"/>
      <color rgb="FF00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17.xml"/><Relationship Id="rId21" Type="http://schemas.openxmlformats.org/officeDocument/2006/relationships/externalLink" Target="externalLinks/externalLink12.xml"/><Relationship Id="rId42" Type="http://schemas.openxmlformats.org/officeDocument/2006/relationships/externalLink" Target="externalLinks/externalLink33.xml"/><Relationship Id="rId47" Type="http://schemas.openxmlformats.org/officeDocument/2006/relationships/externalLink" Target="externalLinks/externalLink38.xml"/><Relationship Id="rId63" Type="http://schemas.openxmlformats.org/officeDocument/2006/relationships/externalLink" Target="externalLinks/externalLink54.xml"/><Relationship Id="rId68" Type="http://schemas.openxmlformats.org/officeDocument/2006/relationships/externalLink" Target="externalLinks/externalLink59.xml"/><Relationship Id="rId84" Type="http://schemas.openxmlformats.org/officeDocument/2006/relationships/externalLink" Target="externalLinks/externalLink75.xml"/><Relationship Id="rId89" Type="http://schemas.openxmlformats.org/officeDocument/2006/relationships/externalLink" Target="externalLinks/externalLink80.xml"/><Relationship Id="rId16" Type="http://schemas.openxmlformats.org/officeDocument/2006/relationships/externalLink" Target="externalLinks/externalLink7.xml"/><Relationship Id="rId11" Type="http://schemas.openxmlformats.org/officeDocument/2006/relationships/externalLink" Target="externalLinks/externalLink2.xml"/><Relationship Id="rId32" Type="http://schemas.openxmlformats.org/officeDocument/2006/relationships/externalLink" Target="externalLinks/externalLink23.xml"/><Relationship Id="rId37" Type="http://schemas.openxmlformats.org/officeDocument/2006/relationships/externalLink" Target="externalLinks/externalLink28.xml"/><Relationship Id="rId53" Type="http://schemas.openxmlformats.org/officeDocument/2006/relationships/externalLink" Target="externalLinks/externalLink44.xml"/><Relationship Id="rId58" Type="http://schemas.openxmlformats.org/officeDocument/2006/relationships/externalLink" Target="externalLinks/externalLink49.xml"/><Relationship Id="rId74" Type="http://schemas.openxmlformats.org/officeDocument/2006/relationships/externalLink" Target="externalLinks/externalLink65.xml"/><Relationship Id="rId79" Type="http://schemas.openxmlformats.org/officeDocument/2006/relationships/externalLink" Target="externalLinks/externalLink70.xml"/><Relationship Id="rId5" Type="http://schemas.openxmlformats.org/officeDocument/2006/relationships/worksheet" Target="worksheets/sheet5.xml"/><Relationship Id="rId90" Type="http://schemas.openxmlformats.org/officeDocument/2006/relationships/externalLink" Target="externalLinks/externalLink81.xml"/><Relationship Id="rId22" Type="http://schemas.openxmlformats.org/officeDocument/2006/relationships/externalLink" Target="externalLinks/externalLink13.xml"/><Relationship Id="rId27" Type="http://schemas.openxmlformats.org/officeDocument/2006/relationships/externalLink" Target="externalLinks/externalLink18.xml"/><Relationship Id="rId43" Type="http://schemas.openxmlformats.org/officeDocument/2006/relationships/externalLink" Target="externalLinks/externalLink34.xml"/><Relationship Id="rId48" Type="http://schemas.openxmlformats.org/officeDocument/2006/relationships/externalLink" Target="externalLinks/externalLink39.xml"/><Relationship Id="rId64" Type="http://schemas.openxmlformats.org/officeDocument/2006/relationships/externalLink" Target="externalLinks/externalLink55.xml"/><Relationship Id="rId69" Type="http://schemas.openxmlformats.org/officeDocument/2006/relationships/externalLink" Target="externalLinks/externalLink60.xml"/><Relationship Id="rId8" Type="http://schemas.openxmlformats.org/officeDocument/2006/relationships/worksheet" Target="worksheets/sheet8.xml"/><Relationship Id="rId51" Type="http://schemas.openxmlformats.org/officeDocument/2006/relationships/externalLink" Target="externalLinks/externalLink42.xml"/><Relationship Id="rId72" Type="http://schemas.openxmlformats.org/officeDocument/2006/relationships/externalLink" Target="externalLinks/externalLink63.xml"/><Relationship Id="rId80" Type="http://schemas.openxmlformats.org/officeDocument/2006/relationships/externalLink" Target="externalLinks/externalLink71.xml"/><Relationship Id="rId85" Type="http://schemas.openxmlformats.org/officeDocument/2006/relationships/externalLink" Target="externalLinks/externalLink76.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externalLink" Target="externalLinks/externalLink3.xml"/><Relationship Id="rId17" Type="http://schemas.openxmlformats.org/officeDocument/2006/relationships/externalLink" Target="externalLinks/externalLink8.xml"/><Relationship Id="rId25" Type="http://schemas.openxmlformats.org/officeDocument/2006/relationships/externalLink" Target="externalLinks/externalLink16.xml"/><Relationship Id="rId33" Type="http://schemas.openxmlformats.org/officeDocument/2006/relationships/externalLink" Target="externalLinks/externalLink24.xml"/><Relationship Id="rId38" Type="http://schemas.openxmlformats.org/officeDocument/2006/relationships/externalLink" Target="externalLinks/externalLink29.xml"/><Relationship Id="rId46" Type="http://schemas.openxmlformats.org/officeDocument/2006/relationships/externalLink" Target="externalLinks/externalLink37.xml"/><Relationship Id="rId59" Type="http://schemas.openxmlformats.org/officeDocument/2006/relationships/externalLink" Target="externalLinks/externalLink50.xml"/><Relationship Id="rId67" Type="http://schemas.openxmlformats.org/officeDocument/2006/relationships/externalLink" Target="externalLinks/externalLink58.xml"/><Relationship Id="rId20" Type="http://schemas.openxmlformats.org/officeDocument/2006/relationships/externalLink" Target="externalLinks/externalLink11.xml"/><Relationship Id="rId41" Type="http://schemas.openxmlformats.org/officeDocument/2006/relationships/externalLink" Target="externalLinks/externalLink32.xml"/><Relationship Id="rId54" Type="http://schemas.openxmlformats.org/officeDocument/2006/relationships/externalLink" Target="externalLinks/externalLink45.xml"/><Relationship Id="rId62" Type="http://schemas.openxmlformats.org/officeDocument/2006/relationships/externalLink" Target="externalLinks/externalLink53.xml"/><Relationship Id="rId70" Type="http://schemas.openxmlformats.org/officeDocument/2006/relationships/externalLink" Target="externalLinks/externalLink61.xml"/><Relationship Id="rId75" Type="http://schemas.openxmlformats.org/officeDocument/2006/relationships/externalLink" Target="externalLinks/externalLink66.xml"/><Relationship Id="rId83" Type="http://schemas.openxmlformats.org/officeDocument/2006/relationships/externalLink" Target="externalLinks/externalLink74.xml"/><Relationship Id="rId88" Type="http://schemas.openxmlformats.org/officeDocument/2006/relationships/externalLink" Target="externalLinks/externalLink79.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6.xml"/><Relationship Id="rId23" Type="http://schemas.openxmlformats.org/officeDocument/2006/relationships/externalLink" Target="externalLinks/externalLink14.xml"/><Relationship Id="rId28" Type="http://schemas.openxmlformats.org/officeDocument/2006/relationships/externalLink" Target="externalLinks/externalLink19.xml"/><Relationship Id="rId36" Type="http://schemas.openxmlformats.org/officeDocument/2006/relationships/externalLink" Target="externalLinks/externalLink27.xml"/><Relationship Id="rId49" Type="http://schemas.openxmlformats.org/officeDocument/2006/relationships/externalLink" Target="externalLinks/externalLink40.xml"/><Relationship Id="rId57" Type="http://schemas.openxmlformats.org/officeDocument/2006/relationships/externalLink" Target="externalLinks/externalLink48.xml"/><Relationship Id="rId10" Type="http://schemas.openxmlformats.org/officeDocument/2006/relationships/externalLink" Target="externalLinks/externalLink1.xml"/><Relationship Id="rId31" Type="http://schemas.openxmlformats.org/officeDocument/2006/relationships/externalLink" Target="externalLinks/externalLink22.xml"/><Relationship Id="rId44" Type="http://schemas.openxmlformats.org/officeDocument/2006/relationships/externalLink" Target="externalLinks/externalLink35.xml"/><Relationship Id="rId52" Type="http://schemas.openxmlformats.org/officeDocument/2006/relationships/externalLink" Target="externalLinks/externalLink43.xml"/><Relationship Id="rId60" Type="http://schemas.openxmlformats.org/officeDocument/2006/relationships/externalLink" Target="externalLinks/externalLink51.xml"/><Relationship Id="rId65" Type="http://schemas.openxmlformats.org/officeDocument/2006/relationships/externalLink" Target="externalLinks/externalLink56.xml"/><Relationship Id="rId73" Type="http://schemas.openxmlformats.org/officeDocument/2006/relationships/externalLink" Target="externalLinks/externalLink64.xml"/><Relationship Id="rId78" Type="http://schemas.openxmlformats.org/officeDocument/2006/relationships/externalLink" Target="externalLinks/externalLink69.xml"/><Relationship Id="rId81" Type="http://schemas.openxmlformats.org/officeDocument/2006/relationships/externalLink" Target="externalLinks/externalLink72.xml"/><Relationship Id="rId86" Type="http://schemas.openxmlformats.org/officeDocument/2006/relationships/externalLink" Target="externalLinks/externalLink77.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externalLink" Target="externalLinks/externalLink4.xml"/><Relationship Id="rId18" Type="http://schemas.openxmlformats.org/officeDocument/2006/relationships/externalLink" Target="externalLinks/externalLink9.xml"/><Relationship Id="rId39" Type="http://schemas.openxmlformats.org/officeDocument/2006/relationships/externalLink" Target="externalLinks/externalLink30.xml"/><Relationship Id="rId34" Type="http://schemas.openxmlformats.org/officeDocument/2006/relationships/externalLink" Target="externalLinks/externalLink25.xml"/><Relationship Id="rId50" Type="http://schemas.openxmlformats.org/officeDocument/2006/relationships/externalLink" Target="externalLinks/externalLink41.xml"/><Relationship Id="rId55" Type="http://schemas.openxmlformats.org/officeDocument/2006/relationships/externalLink" Target="externalLinks/externalLink46.xml"/><Relationship Id="rId76" Type="http://schemas.openxmlformats.org/officeDocument/2006/relationships/externalLink" Target="externalLinks/externalLink67.xml"/><Relationship Id="rId7" Type="http://schemas.openxmlformats.org/officeDocument/2006/relationships/worksheet" Target="worksheets/sheet7.xml"/><Relationship Id="rId71" Type="http://schemas.openxmlformats.org/officeDocument/2006/relationships/externalLink" Target="externalLinks/externalLink62.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externalLink" Target="externalLinks/externalLink20.xml"/><Relationship Id="rId24" Type="http://schemas.openxmlformats.org/officeDocument/2006/relationships/externalLink" Target="externalLinks/externalLink15.xml"/><Relationship Id="rId40" Type="http://schemas.openxmlformats.org/officeDocument/2006/relationships/externalLink" Target="externalLinks/externalLink31.xml"/><Relationship Id="rId45" Type="http://schemas.openxmlformats.org/officeDocument/2006/relationships/externalLink" Target="externalLinks/externalLink36.xml"/><Relationship Id="rId66" Type="http://schemas.openxmlformats.org/officeDocument/2006/relationships/externalLink" Target="externalLinks/externalLink57.xml"/><Relationship Id="rId87" Type="http://schemas.openxmlformats.org/officeDocument/2006/relationships/externalLink" Target="externalLinks/externalLink78.xml"/><Relationship Id="rId61" Type="http://schemas.openxmlformats.org/officeDocument/2006/relationships/externalLink" Target="externalLinks/externalLink52.xml"/><Relationship Id="rId82" Type="http://schemas.openxmlformats.org/officeDocument/2006/relationships/externalLink" Target="externalLinks/externalLink73.xml"/><Relationship Id="rId19" Type="http://schemas.openxmlformats.org/officeDocument/2006/relationships/externalLink" Target="externalLinks/externalLink10.xml"/><Relationship Id="rId14" Type="http://schemas.openxmlformats.org/officeDocument/2006/relationships/externalLink" Target="externalLinks/externalLink5.xml"/><Relationship Id="rId30" Type="http://schemas.openxmlformats.org/officeDocument/2006/relationships/externalLink" Target="externalLinks/externalLink21.xml"/><Relationship Id="rId35" Type="http://schemas.openxmlformats.org/officeDocument/2006/relationships/externalLink" Target="externalLinks/externalLink26.xml"/><Relationship Id="rId56" Type="http://schemas.openxmlformats.org/officeDocument/2006/relationships/externalLink" Target="externalLinks/externalLink47.xml"/><Relationship Id="rId77" Type="http://schemas.openxmlformats.org/officeDocument/2006/relationships/externalLink" Target="externalLinks/externalLink6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1</xdr:col>
      <xdr:colOff>9525</xdr:colOff>
      <xdr:row>1</xdr:row>
      <xdr:rowOff>19050</xdr:rowOff>
    </xdr:from>
    <xdr:to>
      <xdr:col>10</xdr:col>
      <xdr:colOff>704851</xdr:colOff>
      <xdr:row>35</xdr:row>
      <xdr:rowOff>179417</xdr:rowOff>
    </xdr:to>
    <xdr:pic>
      <xdr:nvPicPr>
        <xdr:cNvPr id="6" name="Imagen 5" descr="Marquee at Block 37 | Apartments in Chicago, IL">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4775" y="104775"/>
          <a:ext cx="6486526" cy="7466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74842</xdr:colOff>
      <xdr:row>1</xdr:row>
      <xdr:rowOff>167648</xdr:rowOff>
    </xdr:from>
    <xdr:to>
      <xdr:col>9</xdr:col>
      <xdr:colOff>246530</xdr:colOff>
      <xdr:row>11</xdr:row>
      <xdr:rowOff>123826</xdr:rowOff>
    </xdr:to>
    <xdr:sp macro="" textlink="">
      <xdr:nvSpPr>
        <xdr:cNvPr id="4" name="6 Rectángulo" descr="17694dda-00ca-4dce-be5a-51c255493cdc">
          <a:extLst>
            <a:ext uri="{FF2B5EF4-FFF2-40B4-BE49-F238E27FC236}">
              <a16:creationId xmlns:a16="http://schemas.microsoft.com/office/drawing/2014/main" id="{00000000-0008-0000-0000-000004000000}"/>
            </a:ext>
          </a:extLst>
        </xdr:cNvPr>
        <xdr:cNvSpPr/>
      </xdr:nvSpPr>
      <xdr:spPr>
        <a:xfrm>
          <a:off x="254136" y="257295"/>
          <a:ext cx="5191923" cy="2197355"/>
        </a:xfrm>
        <a:prstGeom prst="rect">
          <a:avLst/>
        </a:prstGeom>
        <a:solidFill>
          <a:srgbClr val="0070C0">
            <a:alpha val="45000"/>
          </a:srgbClr>
        </a:solidFill>
        <a:ln w="25400" cap="flat" cmpd="sng" algn="ctr">
          <a:noFill/>
          <a:prstDash val="solid"/>
        </a:ln>
        <a:effectLst/>
      </xdr:spPr>
      <xdr:txBody>
        <a:bodyPr wrap="square" rtlCol="0" anchor="ctr"/>
        <a:lstStyle>
          <a:defPPr>
            <a:defRPr lang="es-C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US" sz="1800" b="0" i="0" u="none" strike="noStrike" kern="0" cap="none" spc="0" normalizeH="0" baseline="0">
            <a:ln>
              <a:noFill/>
            </a:ln>
            <a:solidFill>
              <a:prstClr val="white"/>
            </a:solidFill>
            <a:effectLst/>
            <a:uLnTx/>
            <a:uFillTx/>
            <a:latin typeface="Calibri"/>
            <a:ea typeface="+mn-ea"/>
            <a:cs typeface="+mn-cs"/>
          </a:endParaRPr>
        </a:p>
      </xdr:txBody>
    </xdr:sp>
    <xdr:clientData/>
  </xdr:twoCellAnchor>
  <xdr:twoCellAnchor editAs="oneCell">
    <xdr:from>
      <xdr:col>2</xdr:col>
      <xdr:colOff>266914</xdr:colOff>
      <xdr:row>2</xdr:row>
      <xdr:rowOff>162667</xdr:rowOff>
    </xdr:from>
    <xdr:to>
      <xdr:col>4</xdr:col>
      <xdr:colOff>641222</xdr:colOff>
      <xdr:row>5</xdr:row>
      <xdr:rowOff>31541</xdr:rowOff>
    </xdr:to>
    <xdr:pic>
      <xdr:nvPicPr>
        <xdr:cNvPr id="5"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email">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438364" y="467467"/>
          <a:ext cx="1803058" cy="526099"/>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27</xdr:col>
      <xdr:colOff>7739</xdr:colOff>
      <xdr:row>27</xdr:row>
      <xdr:rowOff>33619</xdr:rowOff>
    </xdr:from>
    <xdr:to>
      <xdr:col>28</xdr:col>
      <xdr:colOff>287621</xdr:colOff>
      <xdr:row>30</xdr:row>
      <xdr:rowOff>1382</xdr:rowOff>
    </xdr:to>
    <xdr:pic>
      <xdr:nvPicPr>
        <xdr:cNvPr id="5" name="4 Imagen" descr="Image result for tree">
          <a:extLst>
            <a:ext uri="{FF2B5EF4-FFF2-40B4-BE49-F238E27FC236}">
              <a16:creationId xmlns:a16="http://schemas.microsoft.com/office/drawing/2014/main" id="{00000000-0008-0000-0D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107915" y="5042648"/>
          <a:ext cx="597457" cy="472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18945</xdr:colOff>
      <xdr:row>27</xdr:row>
      <xdr:rowOff>33619</xdr:rowOff>
    </xdr:from>
    <xdr:to>
      <xdr:col>22</xdr:col>
      <xdr:colOff>302637</xdr:colOff>
      <xdr:row>30</xdr:row>
      <xdr:rowOff>1382</xdr:rowOff>
    </xdr:to>
    <xdr:pic>
      <xdr:nvPicPr>
        <xdr:cNvPr id="3" name="4 Imagen" descr="Image result for tree">
          <a:extLst>
            <a:ext uri="{FF2B5EF4-FFF2-40B4-BE49-F238E27FC236}">
              <a16:creationId xmlns:a16="http://schemas.microsoft.com/office/drawing/2014/main" id="{00000000-0008-0000-0D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415827" y="5042648"/>
          <a:ext cx="597457" cy="472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IM-FS-01\Inv\Development%20&amp;%20Acquisitions\Projects\Caribbean\Puerto%20Rico\Westin%20Rio%20Mar\Feasibility\03-2006%20Update\FiMo%20Westin%20Rio%20Mar%203-2006%20Update%20revised%20per%20GD%203-21-06v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IM-FS-01\Inv\SHARED\1999\BUDGET\NED\492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CYLLA\data\Commerc\Alex%20Foster\201%20Pearl%20Street\201%20Pearl%20-%2009.13.06_FORWARD(equity)_Sensitivity.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K:\FINANZAS\Presupuesto%20Financiero\LEAND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lathrop.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ETOS\Gerencia%20Desarrollo%20Negocios\Data%20Antigua%20D\Nuevo%20A&#241;o%20_2004\Antproyecto_2005\Demanda2005_Infantas_final_VF\Informe%20Final_Infantas\Set_Infantas_Caudivilla20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gocoserv03/N/WINDOWS/TEMP/MATRI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ETOS\Gerencia%20Desarrollo%20Negocios\Documentos\Trabajos\EXPEDIENTES\MEDICIONES\Transmisi&#243;n\MAXDEM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cgc0106\Ricardo%20Jaramillo\RJM\AA%20OROZ%2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Ladata\ladata\laport\HAZ03\Hazard_Retail.xls"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97131.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9720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CIM-FS-01\Inv\Users\dannylee01\Downloads\Users\dannylee01\Library\Caches\TemporaryItems\Outlook%20Temp\G\K\WINDOWS\Temporary%20Internet%20Files\OLKB353\office%20space%20beechwood"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9B92857A\Rna-Zurich%20Hyatt.xls"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RANDOM%201997"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IM-FS-01\Inv\Investment_Development\DOCUME~1\pankaj\LOCALS~1\Temp\HVS\Consulting\Jobs\2001050185%20-%20Park%20Hyatt%20Zurich\Report\Rna-Zurich%20Hyat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IM-FS-01\Inv\_Acquisitions\_New%20Deals\NYC%20-%20450%20W%2033rd%20St\February%202011\D.%20Model\EXCEL\EW%20Files\Central%20Resources\Graphs%20and%20Analyses\Market%20Tracking%20Database%202007.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corpfile1\personal\WPDATA\JEFFK\Lehman\Offering%20Memo\TRCLP%20MEMO\CURRENT%20TRCLP%20MEMO\Occupancy.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SCYLLA\data\SHARED\1999\BUDGET\NED\4924.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E:\SHARED\1999\BUDGET\NED\4924.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ETOS\Gerencia%20Desarrollo%20Negocios\Nuevo%20A&#241;o%20_2003\Antepy._2004\D.Chavarr&#237;a_2004\Set_Infantas_Naranjal2003.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E:\SHARED\1999\BUDGET\NED\4823.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CIM-FS-01\Inv\SHARED\1999\BUDGET\NED\4823.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SCYLLA\data\SHARED\1999\BUDGET\NED\4823.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C:\Creative%20Content%20Business%20Unit\NYNY_LasVegas\Current\NYNY%20creation%20rev1%2032%20FINAL.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C:\REFinInv\Finance\10th%20edition\Chapters\Chapter%2019%20templates\cm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C:\REFinInv\Finance\10th%20edition\Chapters\Chapter%2019%20templates\IO-P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S:\REFinInv\Ex20_8.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A:\CIR598.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5D63113E\Berkshire%20Place_HFF%20Anaylsis.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0A7E9E93\Book2.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Mmcfile\spr\1active\PROJECTS\STOWE\stowhotel.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K:\UPA%202006\0306\2003Salida.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CIM-FS-01\Inv\Investment_Development\Creative%20Content%20Business%20Unit\NYNY_LasVegas\Current\NYNY%20creation%20rev1%2032%20FINAL.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falconegroup.egnyte.com/Users/jcarr/AppData/Local/Microsoft/Windows/Temporary%20Internet%20Files/Content.Outlook/UTWF2R3P/SkyPower%20Tranche%20C%20(15%20FITs)%20-%202011%2008%2011.xlsm"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IndexServices\Melinda\Global%20Index%20Review\US%20Indices.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IndexServices\Melinda\Global%20Index%20Review\Index%20Review%204%20(US%20Indices).xls"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205;ndices.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S:\Carpetas\CCLA_Chile%20&amp;%20Per&#250;\Chile\Pipeline\2019\Bilbao%20FDI\Modelo%20_FDI%20(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C:\Users\nsantoni\Downloads\IRR_F3AA%20-%20Miami%20World%20Center_15Q4_v4.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Users/rmeneses/Desktop/Modelo%20_Chilevisi&#243;n_Junio%2019'.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S:\CIM%20Investments%20-%20FUND%20III\Miami%20Worldcenter\01b.%20Garage\Model\MWC%20Garage%20-%20Model%20v23%20exit%204q2020%20v3.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S:\Users\nsantoni\AppData\Local\Microsoft\Windows\Temporary%20Internet%20Files\Content.Outlook\6TFYF2CI\Santa%20Monica%20Westgate%20-%20Model%20-%2007%2002%202015.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Royola\c\TESORERI\POSICION\ORIGI\P99.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pulelfu\Gerencia%20Desarrollo%20Negocios\Users\Matias\Google%20Drive\Saesa\Guacolda%20Transmission%2020131207%20vAK%205.xlsm"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My%20Documents\excel\DOCS\VILLAMON\VILLASCASHDIS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A:\My%20Documents\excel\DOCS\VILLAMON\VmthmCASHDIST.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C:\Users\nsantoni\Downloads\Consolidated%20Compass%20Models.xlsx"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CIM-FS-01\Inv\Users\nsantoni\Downloads\Consolidated%20Compass%20Models.xlsx"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PERFIL\raul.meneses\Downloads\Clasificado%20servidumbres%20(contable).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cimfs\inv\CIM%20Investments%20-%20FUND%20III\Miami%20Worldcenter\09.%20MWC%20High%20Street%20Retail%20Mall\Model\All%20Retail\MWC%20Retail%20%20Garage%20(02%2015%202016)%20v5.xlsx"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S:\Carpetas\CCLA_Chile%20&amp;%20Per&#250;\Chile\En%20Ejecuci&#243;n\Compass%20Desarrollo%20&amp;%20Rentas%20III\Chilevisi&#243;n\Modelo\Modelo%20_Chilevisi&#243;n_15_7_19.xlsx"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Ladata\ladata\laport\HAZ03\Hazard_Retail"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W:\Documents%20and%20Settings\jrainford\Local%20Settings\Temporary%20Internet%20Files\Content.Outlook\5YXSSHB3\Midtown%20Miami%20Investment%20Analysis_v23%20(Debt%20Acquisition%20Scenario).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S:\CIM%20Investments%20-%20FUND%20VIII\Santa%20Monica%20Westgate\02.%20Model\working\Santa%20Monica%20Westgate%20-%20Invesment%20Model%20-v11.xlsx"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S:\Users\OryadneMote\ShareFile\Mis%20archivos%20y%20carpetas\Compass%20RE%20Fund%20I\Fund%20Projects\Condesa%20Sur\Financial%20Models\N:\ACCTNG\annual05\Yr-end05.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C:\Users\rmeneses\Desktop\Modelo%20_Chilevisi&#243;n_Junio%2019'.xlsx"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D:\PERFIL\raul.meneses\Desktop\Ra&#250;l%20Meneses\Eagle\Model%20Eagle%2011112015%201302%20con%20cambios%20ultima%20hora.xlsm"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Unidades%20compartidas/CCLA%20Chile/Pipeline/Mall%20Plaza/Plaza%20Norte/Modelo/2020/FModel_Plaza%20Norte%20Base%20Case.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DF161979\737%20Park%20-%202011.08.11%20-%20Market%20Underwriting.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CIM-FS-01\Inv\EXCEL\derf98\2000\VOC\JUL98.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S:\CIM%20Investments%20-%20FUND%20VIII\Santa%20Monica%20Westgate\02.%20Model\working\Santa%20Monica%20Westgate%20-%20Invesment%20Model%20-v19.xlsx"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S:\Users\nsantoni\Documents\Helpful\Waterfalls\Watchtower%20Portfolio%20Model%20-%202016-01-08%20v12_CIM_v111.xlsx"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CIM-FS-01\Inv\Users\wjohnston\AppData\Local\Microsoft\Windows\Temporary%20Internet%20Files\Content.Outlook\MHTB5NE4\Argus%20Output%20v3.xlsx"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M:\Budget%20-%202004\225%20Budget.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S:\CIM%20Investments%20-%20FUND%20III\Miami%20Worldcenter%20Block%20G%20Apartments\Model\MWC%20Block%20G%20-%20Coinvest%20OCTOBER%20vF2.xlsx"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https://exchange.parking.com/Documents%20and%20Settings/larry/My%20Documents/excel%20files/PB100_Y2000.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Alex-ntfp-01\sdata\Archive\Apartments\1stQtr2001\DELTA\OLDSERV\EXCEL\98206-1\YrEnd98\End98\NARL.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S:\CIM%20Investments%20-%20FUND%20III\Miami%20Worldcenter\11.%20MWC%20Block%20G%20Single%20Tower\Model\MWC%20Block%20G%20(Single%20Tower%20with%209%20Lvl%20Garage)%20v26%20(50%25LTC)%20(udo%20sens)%20vF.xlsx"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3E8057EC\Block%20G%20Model%20simplifiedv39.xlsx"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S:\Carpetas%20compartidas\CCLA_Chile%20Per&#250;\Chile\Ejecuci&#243;n\RE%20Chile\Pipeline\Chilevisi&#243;n\Copia%20de%20Modelo%20_Chilevisi&#243;n_Finals_618_2.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CIM-FS-01\Inv\_Acquisitions\_New%20Deals\NYC%20-%20450%20W%2033rd%20St\February%202011\D.%20Model\EXCEL\SHARED\SP\INCOME\ACCOUNTI\INTEREST.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CIM-FS-01\Inv\Users\dannylee01\Downloads\Users\dkl\Downloads\HotComps2000"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SCYLLA\data\Commerc\Alex%20Foster\2%20Gold%20Street\2%20Gold%20Model%20Current_02.01.06.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F:\Budgets\444\07BUDGT.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C:\Users\rdelamaza\AppData\Local\Microsoft\Windows\INetCache\Content.Outlook\AUXMFVI1\Modelo%20_Irarrazaval_v1.xlsx"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Users/rdelamaza/AppData/Local/Microsoft/Windows/INetCache/Content.Outlook/AUXMFVI1/Modelo%20_Irarrazaval_v1.xlsx"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pulelfu\Gerencia%20Desarrollo%20Negocios\Documents%20and%20Settings\mmena\Configuraci&#243;n%20local\Archivos%20temporales%20de%20Internet\OLKF\UF.xls" TargetMode="External"/></Relationships>
</file>

<file path=xl/externalLinks/_rels/externalLink79.xml.rels><?xml version="1.0" encoding="UTF-8" standalone="yes"?>
<Relationships xmlns="http://schemas.openxmlformats.org/package/2006/relationships"><Relationship Id="rId1" Type="http://schemas.microsoft.com/office/2006/relationships/xlExternalLinkPath/xlPathMissing" Target="cscve.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MWC-FS\Staff%20Work%20Files\Steve\Miami%20Worldcenter\Land\Model\Scenarios\Base%20Case\GGI%20Miami%20Worldcenter%20Financial%20Analysis%20-%20%20BASE.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FE794A2D\1998%20US%20Tax%20Backup-%20Co%201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Facilities"/>
      <sheetName val="Profile"/>
      <sheetName val="Occ&amp;Rate"/>
      <sheetName val="PF Start"/>
      <sheetName val="HOTComps"/>
      <sheetName val="Rio Mar 2006 Forecast"/>
      <sheetName val="Ratios"/>
      <sheetName val="PF Input"/>
      <sheetName val="10-Year"/>
      <sheetName val="5-Year"/>
      <sheetName val="10-Year $US"/>
      <sheetName val="Capital Input"/>
      <sheetName val="Calculations"/>
      <sheetName val="Sensitivities"/>
      <sheetName val="Spa"/>
      <sheetName val="Transaction Metric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BUDGET"/>
      <sheetName val="1998 REFORECAST"/>
      <sheetName val="VARIANCE ANALYSIS"/>
      <sheetName val="PSF"/>
      <sheetName val="4 YEAR NOI"/>
      <sheetName val="CAPITAL EXPENDITURES"/>
      <sheetName val="CAM DEP'N_AMORTIZATION_2000"/>
      <sheetName val="CAM DEP'N_AMORTIZATION"/>
      <sheetName val="DEFERRED EXPENSES"/>
      <sheetName val="MINIMUM &amp; OVERAGE RENT"/>
      <sheetName val="SPECIALTY LEASING INCOME"/>
      <sheetName val="CAM INCOME"/>
      <sheetName val="REAL ESTATE TAX INCOME"/>
      <sheetName val="UTILITY INCOME"/>
      <sheetName val="INTEREST-OTHER INCOME"/>
      <sheetName val="4001 PAYROLL"/>
      <sheetName val="4002 PAYROLL TAXES"/>
      <sheetName val="4004 BENEFITS"/>
      <sheetName val="4005 REIMBURSEMENTS"/>
      <sheetName val="4008 CLEANING"/>
      <sheetName val="4010 TRAVEL"/>
      <sheetName val="4012 CONTRACTED SERVICES"/>
      <sheetName val="4013 MATERIALS &amp; SUPPLIES"/>
      <sheetName val="4014 REPAIRS &amp; MAINTENANCE"/>
      <sheetName val="4015 EQUIPMENT RENTAL"/>
      <sheetName val="4016 UTILITIES - ELECTRIC"/>
      <sheetName val="4017 UTILITIES - GAS &amp; OIL"/>
      <sheetName val="4018 UTILITIES- WATER &amp; SEWER"/>
      <sheetName val="4019 DUES"/>
      <sheetName val="4020 SUBSCRIPTIONS"/>
      <sheetName val="4021 OFFICE EXPENSES"/>
      <sheetName val="4022 COPIER EXPENSE"/>
      <sheetName val="4023 TELEPHONE"/>
      <sheetName val="4024 GIFT &amp; HOLIDAY"/>
      <sheetName val="4025 PARKING LOT REPAIR"/>
      <sheetName val="4026 ROAD REPAIR"/>
      <sheetName val="4027 ROOF REPAIR"/>
      <sheetName val="4030 SALES PROMOTION"/>
      <sheetName val="4031 SPECIALTY LEASING EXPENSE"/>
      <sheetName val="4034 EDUCATION"/>
      <sheetName val="4040 MANAGEMENT FEE"/>
      <sheetName val="4041 SNOW REMOVAL"/>
      <sheetName val="4042 MANAGEMENT FEE"/>
      <sheetName val="4043 PARKING LOT RENTAL"/>
      <sheetName val="4044 ACCOUNTING AND AUDITING"/>
      <sheetName val="4045 PROF SERVICES - LEGAL"/>
      <sheetName val="4046 PROF SERVICES - OTHER"/>
      <sheetName val="4047 INSURANCE"/>
      <sheetName val="4049 MARKETING CONTRIBUTIONS"/>
      <sheetName val="4050 BAD DEBTS"/>
      <sheetName val="4070 CHARITABLE CONTRIBUTIONS"/>
      <sheetName val="4071 REAL ESTATE TAXES"/>
      <sheetName val="4072 INTEREST EXPENSE"/>
      <sheetName val="4073 DEPRECIATION"/>
      <sheetName val="4074 AMORTIZATION"/>
      <sheetName val="PROMO INTERCOMPANY"/>
      <sheetName val="SQUARE FOOTAGE"/>
      <sheetName val="PAYROLL"/>
      <sheetName val="BENEFITS"/>
      <sheetName val="UTILITIES"/>
      <sheetName val="AP ALLOC"/>
      <sheetName val="PROOF PAGE"/>
      <sheetName val="Interf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pldt"/>
      <sheetName val="Summary"/>
      <sheetName val="Assumptions"/>
      <sheetName val="SQFT SUMMARY"/>
      <sheetName val="Lease Up"/>
      <sheetName val="TOTAL SF_12.19.05"/>
      <sheetName val="Sale and IRR"/>
      <sheetName val="PROJECT COSTS"/>
      <sheetName val="LIHTC"/>
      <sheetName val="Bond Sizing"/>
      <sheetName val="Bond Sizing 2"/>
      <sheetName val="Financing"/>
      <sheetName val="Const Loan Int. Calc"/>
      <sheetName val="Draw Schedule"/>
      <sheetName val="Condensed Draw Schedule"/>
      <sheetName val="Oper Pro Forma"/>
      <sheetName val="Presentation CF"/>
      <sheetName val="RE TAX - 421a"/>
      <sheetName val="Opex Comparison"/>
      <sheetName val="Timeline"/>
      <sheetName val="Lender Assumptions"/>
      <sheetName val="Bank Assumpt. (OLD)"/>
      <sheetName val="Project Budget detail"/>
      <sheetName val="Project Budget Lender"/>
      <sheetName val="Project Budget Lender detail"/>
      <sheetName val="Simple Summary Sheet"/>
      <sheetName val="Qualified Costs"/>
      <sheetName val="Cash Flow"/>
      <sheetName val="RE Tax"/>
      <sheetName val="JV Terms"/>
      <sheetName val="Equity Analysis - 10% return"/>
      <sheetName val="JV Returns"/>
      <sheetName val="After-Tax JV Returns"/>
      <sheetName val="Neg Arb NO AFFORDABILITY"/>
    </sheetNames>
    <sheetDataSet>
      <sheetData sheetId="0" refreshError="1"/>
      <sheetData sheetId="1" refreshError="1"/>
      <sheetData sheetId="2" refreshError="1"/>
      <sheetData sheetId="3" refreshError="1">
        <row r="77">
          <cell r="D77">
            <v>50.88</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2000"/>
      <sheetName val="P2000 (Friendly) (con PPP)"/>
      <sheetName val="Explicaciones"/>
      <sheetName val="Caja"/>
      <sheetName val="Caja SIN RENOVAR OFF SHORE"/>
      <sheetName val="Caja sin off shore con acciones"/>
      <sheetName val="Base de Codigos"/>
      <sheetName val="Carga de SIE2000A"/>
      <sheetName val="BW"/>
      <sheetName val="EERR"/>
      <sheetName val="BW NIC"/>
      <sheetName val="IFRS"/>
      <sheetName val="Revisión"/>
      <sheetName val="codigos ct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nt Roll-Lathrop"/>
      <sheetName val="Proforma-Lathrop"/>
      <sheetName val="loan proposal-Lathrop"/>
      <sheetName val="vacant sf"/>
    </sheetNames>
    <sheetDataSet>
      <sheetData sheetId="0" refreshError="1"/>
      <sheetData sheetId="1" refreshError="1"/>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t._actual."/>
      <sheetName val="Alt._a_proy."/>
      <sheetName val="Alt._b_proy. "/>
      <sheetName val="Esq.1"/>
      <sheetName val="Esq.2"/>
      <sheetName val="Valorización"/>
      <sheetName val="Max_D._2002"/>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s_graphs"/>
      <sheetName val="Summary"/>
      <sheetName val="IRR_Calculation"/>
    </sheetNames>
    <sheetDataSet>
      <sheetData sheetId="0" refreshError="1">
        <row r="12">
          <cell r="A12" t="str">
            <v>Yr 1</v>
          </cell>
          <cell r="K12">
            <v>20655114</v>
          </cell>
        </row>
        <row r="13">
          <cell r="K13">
            <v>22214927</v>
          </cell>
        </row>
        <row r="14">
          <cell r="K14">
            <v>21780529</v>
          </cell>
        </row>
        <row r="15">
          <cell r="K15">
            <v>22507380</v>
          </cell>
        </row>
        <row r="16">
          <cell r="K16">
            <v>23010856</v>
          </cell>
        </row>
        <row r="17">
          <cell r="K17">
            <v>22812833</v>
          </cell>
        </row>
        <row r="18">
          <cell r="K18">
            <v>22455706</v>
          </cell>
        </row>
        <row r="19">
          <cell r="K19">
            <v>29178784</v>
          </cell>
        </row>
        <row r="20">
          <cell r="K20">
            <v>30122886</v>
          </cell>
        </row>
        <row r="21">
          <cell r="K21">
            <v>26727473</v>
          </cell>
        </row>
        <row r="22">
          <cell r="K22">
            <v>31917730</v>
          </cell>
        </row>
      </sheetData>
      <sheetData sheetId="1" refreshError="1"/>
      <sheetData sheetId="2"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XDEM2002"/>
      <sheetName val="Gráfico1"/>
      <sheetName val="Gráfico2"/>
      <sheetName val="Gráfico3"/>
      <sheetName val="Gráfico4"/>
      <sheetName val="MAX2001_2002"/>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Estados Fin. Detallados "/>
      <sheetName val="Estados Financieros Estándards"/>
      <sheetName val="A"/>
      <sheetName val="Gráficos"/>
      <sheetName val="Current"/>
      <sheetName val="Cuentas Por Cobrar"/>
    </sheetNames>
    <sheetDataSet>
      <sheetData sheetId="0" refreshError="1"/>
      <sheetData sheetId="1" refreshError="1"/>
      <sheetData sheetId="2" refreshError="1"/>
      <sheetData sheetId="3" refreshError="1">
        <row r="4">
          <cell r="A4" t="str">
            <v>MONEDA NACIONAL  ($MM)</v>
          </cell>
        </row>
        <row r="6">
          <cell r="C6">
            <v>1996</v>
          </cell>
        </row>
        <row r="9">
          <cell r="C9">
            <v>0.21641163611905179</v>
          </cell>
        </row>
        <row r="10">
          <cell r="C10">
            <v>0.251</v>
          </cell>
        </row>
        <row r="11">
          <cell r="C11">
            <v>0.17899999999999999</v>
          </cell>
        </row>
        <row r="12">
          <cell r="C12">
            <v>0.03</v>
          </cell>
        </row>
        <row r="13">
          <cell r="C13">
            <v>-3.9E-2</v>
          </cell>
        </row>
        <row r="14">
          <cell r="C14" t="e">
            <v>#N/A</v>
          </cell>
        </row>
        <row r="16">
          <cell r="C16">
            <v>831.3</v>
          </cell>
        </row>
        <row r="17">
          <cell r="C17">
            <v>415.65</v>
          </cell>
        </row>
        <row r="18">
          <cell r="C18">
            <v>105.61</v>
          </cell>
        </row>
        <row r="20">
          <cell r="C20">
            <v>0.06</v>
          </cell>
        </row>
        <row r="21">
          <cell r="C21">
            <v>0.23200000000000001</v>
          </cell>
        </row>
        <row r="22">
          <cell r="C22">
            <v>0.27</v>
          </cell>
        </row>
        <row r="23">
          <cell r="C23">
            <v>1.1637931034482758</v>
          </cell>
        </row>
        <row r="24">
          <cell r="C24">
            <v>4.4999999999999998E-2</v>
          </cell>
        </row>
        <row r="25">
          <cell r="C25">
            <v>0.08</v>
          </cell>
        </row>
        <row r="26">
          <cell r="C26">
            <v>0.04</v>
          </cell>
        </row>
        <row r="27">
          <cell r="C27">
            <v>0.32</v>
          </cell>
        </row>
        <row r="28">
          <cell r="C28" t="e">
            <v>#N/A</v>
          </cell>
        </row>
        <row r="29">
          <cell r="C29" t="e">
            <v>#N/A</v>
          </cell>
        </row>
        <row r="30">
          <cell r="C30">
            <v>0</v>
          </cell>
        </row>
        <row r="31">
          <cell r="C31">
            <v>12</v>
          </cell>
        </row>
        <row r="33">
          <cell r="C33">
            <v>1996</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sheetName val="Price Yield"/>
      <sheetName val="Argus"/>
      <sheetName val="In-place"/>
      <sheetName val="Annual Report"/>
      <sheetName val="Gross Sales"/>
      <sheetName val="Annual Report (2)"/>
      <sheetName val="Occu Cost"/>
      <sheetName val="Rent"/>
      <sheetName val="Monthly Calc"/>
      <sheetName val="Annual Calc"/>
      <sheetName val="PASTE_IN_PLACE_RENT"/>
      <sheetName val="PRESENTATION_CF"/>
      <sheetName val="HISTORICAL EXHIBIT"/>
      <sheetName val="BUDGET "/>
      <sheetName val="PASTE_InPlaceRent"/>
      <sheetName val="Superseded"/>
      <sheetName val="Lease Exp Retail"/>
      <sheetName val="Rent Roll"/>
      <sheetName val="Projected CF Data"/>
      <sheetName val="Sheet1"/>
      <sheetName val="Cash_Flow"/>
      <sheetName val="Capital Stack"/>
      <sheetName val="Entities"/>
      <sheetName val="Assumption Inputs"/>
      <sheetName val="Acct Rec"/>
      <sheetName val="ENG 2"/>
      <sheetName val="WATER RATES"/>
      <sheetName val="Cash_Flow1"/>
      <sheetName val="Price_Yield"/>
      <sheetName val="Annual_Report"/>
      <sheetName val="Gross_Sales"/>
      <sheetName val="Annual_Report_(2)"/>
      <sheetName val="Occu_Cost"/>
      <sheetName val="Monthly_Calc"/>
      <sheetName val="Annual_Calc"/>
      <sheetName val="HISTORICAL_EXHIBIT"/>
      <sheetName val="BUDGET_"/>
      <sheetName val="Lease_Exp_Retail"/>
      <sheetName val="Rent_Roll"/>
      <sheetName val="Projected_CF_Data"/>
      <sheetName val="Capital_Stack"/>
      <sheetName val="Assumption_Inputs"/>
      <sheetName val="Acct_Rec"/>
      <sheetName val="ENG_2"/>
      <sheetName val="WATER_RATES"/>
      <sheetName val="Data"/>
      <sheetName val="DIAMOND"/>
      <sheetName val="Data Inputs"/>
      <sheetName val="Leverage Analysis"/>
      <sheetName val="Entity List"/>
      <sheetName val="ID"/>
      <sheetName val="Lists"/>
      <sheetName val="From Company"/>
      <sheetName val="AE Reference Sheet"/>
      <sheetName val="Rollover"/>
      <sheetName val="Assumptions"/>
      <sheetName val="Reference tab"/>
      <sheetName val="Data_Inputs"/>
      <sheetName val=""/>
      <sheetName val="UW Model Account Groupings"/>
      <sheetName val="Drop Down List"/>
      <sheetName val="4917 Adams"/>
      <sheetName val="CAFs"/>
      <sheetName val="Pending INVs"/>
      <sheetName val="Stacking Plan Report (2)"/>
      <sheetName val="Data Sheet (Actual)"/>
      <sheetName val="APF Monthly Sales Graph"/>
      <sheetName val="1997 APF Weekly Sales Graph"/>
      <sheetName val="Weekly Sales (Act)"/>
      <sheetName val="Hazard_Retail"/>
      <sheetName val="GL Accounts - Major Expense"/>
      <sheetName val="Fixed Rate and Fusion Details"/>
      <sheetName val="MORE ASSUMP"/>
      <sheetName val="Assump"/>
      <sheetName val="Dropdowns"/>
      <sheetName val="refs"/>
      <sheetName val="Ins"/>
      <sheetName val="Pendry West Hollywood"/>
      <sheetName val="Cover Sheet"/>
      <sheetName val="Summary"/>
      <sheetName val="Input 2"/>
      <sheetName val="Print"/>
      <sheetName val="Cash_Flow2"/>
      <sheetName val="Price_Yield1"/>
      <sheetName val="Annual_Report1"/>
      <sheetName val="Gross_Sales1"/>
      <sheetName val="Annual_Report_(2)1"/>
      <sheetName val="Occu_Cost1"/>
      <sheetName val="Monthly_Calc1"/>
      <sheetName val="Annual_Calc1"/>
      <sheetName val="HISTORICAL_EXHIBIT1"/>
      <sheetName val="BUDGET_1"/>
      <sheetName val="Lease_Exp_Retail1"/>
      <sheetName val="Rent_Roll1"/>
      <sheetName val="Projected_CF_Data1"/>
      <sheetName val="Capital_Stack1"/>
      <sheetName val="Assumption_Inputs1"/>
      <sheetName val="Acct_Rec1"/>
      <sheetName val="ENG_21"/>
      <sheetName val="WATER_RATES1"/>
      <sheetName val="Reference_tab"/>
      <sheetName val="From_Company"/>
      <sheetName val="AE_Reference_Sheet"/>
      <sheetName val="Entity_List"/>
      <sheetName val="Leverage_Analysis"/>
      <sheetName val="9_Value Matrix"/>
      <sheetName val="10_Vacancy Detail"/>
      <sheetName val="2_Assumptions"/>
      <sheetName val="4_Cash Flow"/>
      <sheetName val="18_ALease-up Schedule"/>
      <sheetName val="Data_Inputs1"/>
      <sheetName val="UW_Model_Account_Groupings"/>
      <sheetName val="Drop_Down_List"/>
      <sheetName val="Stacking_Plan_Report_(2)"/>
      <sheetName val="GL_Accounts_-_Major_Expense"/>
      <sheetName val="Data_Sheet_(Actual)"/>
      <sheetName val="APF_Monthly_Sales_Graph"/>
      <sheetName val="1997_APF_Weekly_Sales_Graph"/>
      <sheetName val="Weekly_Sales_(Act)"/>
      <sheetName val="Fixed_Rate_and_Fusion_Details"/>
      <sheetName val="MORE_ASSUMP"/>
      <sheetName val="Lists and Dropdowns"/>
      <sheetName val="Data Validation"/>
      <sheetName val="Cash_Flow3"/>
      <sheetName val="Price_Yield2"/>
      <sheetName val="Annual_Report2"/>
      <sheetName val="Gross_Sales2"/>
      <sheetName val="Annual_Report_(2)2"/>
      <sheetName val="Occu_Cost2"/>
      <sheetName val="Monthly_Calc2"/>
      <sheetName val="Annual_Calc2"/>
      <sheetName val="HISTORICAL_EXHIBIT2"/>
      <sheetName val="BUDGET_2"/>
      <sheetName val="Lease_Exp_Retail2"/>
      <sheetName val="Rent_Roll2"/>
      <sheetName val="Projected_CF_Data2"/>
      <sheetName val="Capital_Stack2"/>
      <sheetName val="Assumption_Inputs2"/>
      <sheetName val="Acct_Rec2"/>
      <sheetName val="ENG_22"/>
      <sheetName val="WATER_RATES2"/>
      <sheetName val="From_Company1"/>
      <sheetName val="AE_Reference_Sheet1"/>
      <sheetName val="Entity_List1"/>
      <sheetName val="Leverage_Analysis1"/>
      <sheetName val="Reference_tab1"/>
      <sheetName val="Demand"/>
      <sheetName val="Occ"/>
      <sheetName val="Les Cèdres"/>
      <sheetName val="apports"/>
      <sheetName val="Debt"/>
      <sheetName val="US Market Projections"/>
      <sheetName val="1 Month USD LIBOR Forward Curve"/>
      <sheetName val="3 Month USD LIBOR Forward Curve"/>
      <sheetName val="Daily SOFR Forward Curve"/>
      <sheetName val="Fed Projections"/>
      <sheetName val="Invite List"/>
      <sheetName val="12"/>
      <sheetName val="11"/>
      <sheetName val="2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sheetData sheetId="155"/>
      <sheetData sheetId="156"/>
      <sheetData sheetId="157"/>
      <sheetData sheetId="158" refreshError="1"/>
      <sheetData sheetId="159" refreshError="1"/>
      <sheetData sheetId="16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Name val="C-A"/>
      <sheetName val="C-B"/>
      <sheetName val="C-C"/>
      <sheetName val="E-A"/>
      <sheetName val="E-B (R)"/>
      <sheetName val="E-A2"/>
      <sheetName val="E-C (R)(L)"/>
      <sheetName val="E-F"/>
      <sheetName val="E-G"/>
      <sheetName val="E-H"/>
      <sheetName val="E-I"/>
      <sheetName val="E-J"/>
      <sheetName val="F-A(L)"/>
      <sheetName val="SCC(L)"/>
      <sheetName val="IS1-IIOc9603(L)"/>
      <sheetName val="isphotos1-2"/>
      <sheetName val="isphotos3-4"/>
      <sheetName val="isphotos5-6"/>
      <sheetName val="isphotos7-8"/>
      <sheetName val="isphotos9-10(L)"/>
      <sheetName val="IS2-IIoc9604(L)"/>
      <sheetName val="IS3-IIOc9701(L)"/>
      <sheetName val="IS4-IIOc9702(L)"/>
      <sheetName val="IS5-IIOc9703(L)"/>
      <sheetName val="IS6-IIOc9704(L)"/>
      <sheetName val="IS7-IIOc9705(L)"/>
      <sheetName val="IS8-IIOc9706(L)"/>
      <sheetName val="IS9-IIOc9707(L)"/>
      <sheetName val="IS10-IIOc9708(L)"/>
      <sheetName val="exp recov"/>
      <sheetName val="ebw"/>
      <sheetName val="ecw"/>
      <sheetName val="e-C steps"/>
      <sheetName val="IS-jan97; MASTER-allof oc"/>
      <sheetName val="isq3-4 1996; all of OC"/>
      <sheetName val="isq1-3 1996; all of oc"/>
      <sheetName val="IS-Jan97; Area 7"/>
      <sheetName val="IS1(L)"/>
      <sheetName val="IS2(L)"/>
      <sheetName val="IS3(L)"/>
      <sheetName val="IS4(L)"/>
      <sheetName val="IS5(L)"/>
      <sheetName val="IS6(L)"/>
      <sheetName val="IS7(L)"/>
      <sheetName val="IS8(L)"/>
      <sheetName val="IS9(L)"/>
      <sheetName val="IS10(L)"/>
      <sheetName val="I_x0013_2(L)"/>
      <sheetName val="C_C"/>
      <sheetName val="Proforma-Lathrop"/>
      <sheetName val="IS4(L©"/>
      <sheetName val="IS1°(L)"/>
      <sheetName val="ASSUMPTIONS"/>
      <sheetName val="Property Taxes"/>
      <sheetName val="Rent Comp Summary"/>
      <sheetName val="RC summary"/>
      <sheetName val="RENTCOMP"/>
      <sheetName val="RC Unit %"/>
      <sheetName val="Unit Mix with Rents"/>
      <sheetName val="rent comp detail sheets"/>
      <sheetName val="rent comp comparison sheet"/>
      <sheetName val="LandSaleData"/>
      <sheetName val="LandSales"/>
      <sheetName val="LandAdjustments"/>
      <sheetName val="CostApproach "/>
      <sheetName val="Insurable Value"/>
      <sheetName val="ImpSaleData"/>
      <sheetName val="ImprovedSales"/>
      <sheetName val="ImprovedAdjustments"/>
      <sheetName val="EGIM_OAR"/>
      <sheetName val="Historicals"/>
      <sheetName val="Expense Comps Long"/>
      <sheetName val="Expense Comps Short"/>
      <sheetName val="Expense Discussion"/>
      <sheetName val="Proforma and Cap"/>
      <sheetName val="Garden Apts Investor Survey"/>
      <sheetName val="DCF"/>
      <sheetName val="Mkt Health"/>
      <sheetName val="Addendum"/>
      <sheetName val="Employment"/>
      <sheetName val="Presentation"/>
      <sheetName val="ChOa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
      <sheetName val="C-B"/>
      <sheetName val="C-C"/>
      <sheetName val="C-D"/>
      <sheetName val="C-E"/>
      <sheetName val="D-A"/>
      <sheetName val="E-A"/>
      <sheetName val="E-B &amp; E-C"/>
      <sheetName val="E-D"/>
      <sheetName val="E-G"/>
      <sheetName val="E-F"/>
      <sheetName val="E-H"/>
      <sheetName val="DCF (2)"/>
      <sheetName val="DCF"/>
      <sheetName val="E-J"/>
      <sheetName val="F-A"/>
      <sheetName val="IS1"/>
      <sheetName val="IS2"/>
      <sheetName val="IS3"/>
      <sheetName val="IS4"/>
      <sheetName val="IS5"/>
      <sheetName val="RC1"/>
      <sheetName val="RC2"/>
      <sheetName val="RC3"/>
      <sheetName val="RC4"/>
      <sheetName val="RC5"/>
      <sheetName val="RC6"/>
      <sheetName val="RC7"/>
      <sheetName val="RC8"/>
      <sheetName val="land"/>
      <sheetName val="unusedC-F"/>
      <sheetName val="97202compsinc.land.multifam"/>
      <sheetName val="comps.inc.IS.data"/>
      <sheetName val="97202MRR"/>
      <sheetName val="unusedE-E"/>
      <sheetName val="unused stab.Y"/>
      <sheetName val="Unused-RC"/>
      <sheetName val="unusedE-C1"/>
      <sheetName val="Unused-RC (2)"/>
      <sheetName val="D-C"/>
      <sheetName val="E-C1"/>
      <sheetName val="E-E"/>
      <sheetName val="97062FB"/>
      <sheetName val="F-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ffice Space"/>
      <sheetName val="Model Room"/>
    </sheetNames>
    <sheetDataSet>
      <sheetData sheetId="0">
        <row r="3">
          <cell r="H3">
            <v>37196</v>
          </cell>
        </row>
        <row r="9">
          <cell r="O9">
            <v>36923</v>
          </cell>
          <cell r="P9">
            <v>36951</v>
          </cell>
          <cell r="Q9">
            <v>36982</v>
          </cell>
          <cell r="R9">
            <v>37012</v>
          </cell>
          <cell r="S9">
            <v>37043</v>
          </cell>
          <cell r="T9">
            <v>36739</v>
          </cell>
          <cell r="U9">
            <v>36770</v>
          </cell>
          <cell r="V9">
            <v>36800</v>
          </cell>
          <cell r="W9">
            <v>36831</v>
          </cell>
          <cell r="X9">
            <v>36861</v>
          </cell>
          <cell r="Y9">
            <v>36892</v>
          </cell>
          <cell r="Z9">
            <v>36923</v>
          </cell>
          <cell r="AA9">
            <v>36951</v>
          </cell>
        </row>
      </sheetData>
      <sheetData sheetId="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mand"/>
      <sheetName val="Occ"/>
      <sheetName val="Summ"/>
      <sheetName val="Supply"/>
      <sheetName val="ADR"/>
      <sheetName val="Ref"/>
    </sheetNames>
    <sheetDataSet>
      <sheetData sheetId="0">
        <row r="21">
          <cell r="E21" t="str">
            <v>Meeting &amp; Conference</v>
          </cell>
        </row>
      </sheetData>
      <sheetData sheetId="1"/>
      <sheetData sheetId="2">
        <row r="21">
          <cell r="E21" t="str">
            <v>Meeting &amp; Conference</v>
          </cell>
        </row>
      </sheetData>
      <sheetData sheetId="3"/>
      <sheetData sheetId="4"/>
      <sheetData sheetId="5"/>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NDOM 1997"/>
    </sheetNames>
    <sheetDataSet>
      <sheetData sheetId="0">
        <row r="3">
          <cell r="B3">
            <v>35433</v>
          </cell>
          <cell r="C3">
            <v>35440</v>
          </cell>
          <cell r="D3">
            <v>35447</v>
          </cell>
          <cell r="E3">
            <v>35454</v>
          </cell>
          <cell r="F3">
            <v>35461</v>
          </cell>
          <cell r="G3">
            <v>35468</v>
          </cell>
          <cell r="H3">
            <v>35475</v>
          </cell>
          <cell r="I3">
            <v>35482</v>
          </cell>
          <cell r="J3">
            <v>35489</v>
          </cell>
          <cell r="K3">
            <v>35496</v>
          </cell>
          <cell r="L3">
            <v>35503</v>
          </cell>
          <cell r="M3">
            <v>35510</v>
          </cell>
          <cell r="N3">
            <v>35517</v>
          </cell>
          <cell r="O3">
            <v>35524</v>
          </cell>
          <cell r="P3">
            <v>35531</v>
          </cell>
          <cell r="Q3">
            <v>35538</v>
          </cell>
          <cell r="R3">
            <v>35545</v>
          </cell>
          <cell r="S3">
            <v>35552</v>
          </cell>
          <cell r="T3">
            <v>35559</v>
          </cell>
          <cell r="U3">
            <v>35566</v>
          </cell>
          <cell r="V3">
            <v>35573</v>
          </cell>
          <cell r="W3">
            <v>35580</v>
          </cell>
          <cell r="X3">
            <v>35587</v>
          </cell>
          <cell r="Y3">
            <v>35594</v>
          </cell>
          <cell r="Z3">
            <v>35601</v>
          </cell>
          <cell r="AA3">
            <v>35608</v>
          </cell>
          <cell r="AB3">
            <v>35615</v>
          </cell>
          <cell r="AC3">
            <v>35622</v>
          </cell>
          <cell r="AD3">
            <v>35629</v>
          </cell>
          <cell r="AE3">
            <v>35636</v>
          </cell>
          <cell r="AF3">
            <v>35643</v>
          </cell>
          <cell r="AG3">
            <v>35650</v>
          </cell>
          <cell r="AH3">
            <v>35657</v>
          </cell>
          <cell r="AI3">
            <v>35664</v>
          </cell>
          <cell r="AJ3">
            <v>35671</v>
          </cell>
          <cell r="AK3">
            <v>35678</v>
          </cell>
          <cell r="AL3">
            <v>35685</v>
          </cell>
          <cell r="AM3">
            <v>35692</v>
          </cell>
          <cell r="AN3">
            <v>35699</v>
          </cell>
          <cell r="AO3">
            <v>35706</v>
          </cell>
          <cell r="AP3">
            <v>35713</v>
          </cell>
          <cell r="AQ3">
            <v>35720</v>
          </cell>
          <cell r="AR3">
            <v>35727</v>
          </cell>
          <cell r="AS3">
            <v>35734</v>
          </cell>
          <cell r="AT3">
            <v>35741</v>
          </cell>
          <cell r="AU3">
            <v>35748</v>
          </cell>
          <cell r="AV3">
            <v>35755</v>
          </cell>
          <cell r="AW3">
            <v>35762</v>
          </cell>
          <cell r="AX3">
            <v>35769</v>
          </cell>
          <cell r="AY3">
            <v>35776</v>
          </cell>
          <cell r="AZ3">
            <v>35783</v>
          </cell>
          <cell r="BA3">
            <v>35790</v>
          </cell>
        </row>
        <row r="5">
          <cell r="B5">
            <v>426</v>
          </cell>
          <cell r="C5">
            <v>435</v>
          </cell>
          <cell r="D5">
            <v>436</v>
          </cell>
          <cell r="E5">
            <v>439</v>
          </cell>
          <cell r="F5">
            <v>444</v>
          </cell>
          <cell r="G5">
            <v>441</v>
          </cell>
          <cell r="H5">
            <v>442</v>
          </cell>
          <cell r="I5">
            <v>446</v>
          </cell>
          <cell r="J5">
            <v>445</v>
          </cell>
          <cell r="K5">
            <v>436</v>
          </cell>
          <cell r="L5">
            <v>433</v>
          </cell>
          <cell r="M5">
            <v>431</v>
          </cell>
          <cell r="N5">
            <v>432</v>
          </cell>
          <cell r="O5">
            <v>441</v>
          </cell>
          <cell r="P5">
            <v>455</v>
          </cell>
          <cell r="Q5">
            <v>465</v>
          </cell>
          <cell r="R5">
            <v>463</v>
          </cell>
          <cell r="S5">
            <v>461</v>
          </cell>
          <cell r="T5">
            <v>454</v>
          </cell>
          <cell r="U5">
            <v>450</v>
          </cell>
          <cell r="V5">
            <v>440</v>
          </cell>
          <cell r="W5">
            <v>430</v>
          </cell>
          <cell r="X5">
            <v>424</v>
          </cell>
          <cell r="Y5">
            <v>422</v>
          </cell>
          <cell r="Z5">
            <v>429</v>
          </cell>
          <cell r="AA5">
            <v>434</v>
          </cell>
          <cell r="AB5">
            <v>433</v>
          </cell>
          <cell r="AC5">
            <v>431</v>
          </cell>
          <cell r="AD5">
            <v>430</v>
          </cell>
          <cell r="AE5">
            <v>428</v>
          </cell>
          <cell r="AF5">
            <v>423</v>
          </cell>
          <cell r="AG5">
            <v>422</v>
          </cell>
          <cell r="AH5">
            <v>417</v>
          </cell>
          <cell r="AI5">
            <v>408</v>
          </cell>
          <cell r="AJ5">
            <v>404</v>
          </cell>
          <cell r="AK5">
            <v>403</v>
          </cell>
          <cell r="AL5">
            <v>398</v>
          </cell>
          <cell r="AM5">
            <v>391</v>
          </cell>
          <cell r="AN5">
            <v>381</v>
          </cell>
          <cell r="AO5">
            <v>370</v>
          </cell>
          <cell r="AP5">
            <v>372</v>
          </cell>
          <cell r="AQ5">
            <v>378</v>
          </cell>
          <cell r="AR5">
            <v>386</v>
          </cell>
          <cell r="AS5">
            <v>384</v>
          </cell>
          <cell r="AT5">
            <v>380</v>
          </cell>
        </row>
        <row r="58">
          <cell r="B58">
            <v>321</v>
          </cell>
          <cell r="C58">
            <v>321</v>
          </cell>
          <cell r="D58">
            <v>321</v>
          </cell>
          <cell r="E58">
            <v>322</v>
          </cell>
          <cell r="F58">
            <v>322</v>
          </cell>
          <cell r="G58">
            <v>327</v>
          </cell>
          <cell r="H58">
            <v>329</v>
          </cell>
          <cell r="I58">
            <v>326</v>
          </cell>
          <cell r="J58">
            <v>321</v>
          </cell>
          <cell r="K58">
            <v>316</v>
          </cell>
          <cell r="L58">
            <v>320</v>
          </cell>
          <cell r="M58">
            <v>320</v>
          </cell>
          <cell r="N58">
            <v>318</v>
          </cell>
          <cell r="O58">
            <v>313</v>
          </cell>
          <cell r="P58">
            <v>316</v>
          </cell>
          <cell r="Q58">
            <v>321</v>
          </cell>
          <cell r="R58">
            <v>329</v>
          </cell>
          <cell r="S58">
            <v>339</v>
          </cell>
          <cell r="T58">
            <v>344</v>
          </cell>
          <cell r="U58">
            <v>343</v>
          </cell>
          <cell r="V58">
            <v>335</v>
          </cell>
          <cell r="W58">
            <v>326</v>
          </cell>
          <cell r="X58">
            <v>324</v>
          </cell>
          <cell r="Y58">
            <v>322</v>
          </cell>
          <cell r="Z58">
            <v>312</v>
          </cell>
          <cell r="AA58">
            <v>307</v>
          </cell>
          <cell r="AB58">
            <v>305</v>
          </cell>
          <cell r="AC58">
            <v>315</v>
          </cell>
          <cell r="AD58">
            <v>316</v>
          </cell>
          <cell r="AE58">
            <v>309</v>
          </cell>
          <cell r="AF58">
            <v>311</v>
          </cell>
          <cell r="AG58">
            <v>320</v>
          </cell>
          <cell r="AH58">
            <v>336</v>
          </cell>
          <cell r="AI58">
            <v>347</v>
          </cell>
          <cell r="AJ58">
            <v>353</v>
          </cell>
          <cell r="AK58">
            <v>359</v>
          </cell>
          <cell r="AL58">
            <v>360</v>
          </cell>
          <cell r="AM58">
            <v>356</v>
          </cell>
          <cell r="AN58">
            <v>343</v>
          </cell>
          <cell r="AO58">
            <v>329</v>
          </cell>
          <cell r="AP58">
            <v>323</v>
          </cell>
          <cell r="AQ58">
            <v>323</v>
          </cell>
          <cell r="AR58">
            <v>321</v>
          </cell>
          <cell r="AS58">
            <v>318</v>
          </cell>
          <cell r="AT58">
            <v>320</v>
          </cell>
          <cell r="AU58">
            <v>320</v>
          </cell>
          <cell r="AV58">
            <v>316</v>
          </cell>
          <cell r="AW58">
            <v>314</v>
          </cell>
          <cell r="AX58">
            <v>314</v>
          </cell>
          <cell r="AY58">
            <v>310</v>
          </cell>
          <cell r="AZ58">
            <v>307</v>
          </cell>
          <cell r="BA58">
            <v>306</v>
          </cell>
        </row>
      </sheetData>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Supply"/>
      <sheetName val="Demand"/>
      <sheetName val="Occ"/>
      <sheetName val="ADR"/>
      <sheetName val="Ref"/>
    </sheetNames>
    <sheetDataSet>
      <sheetData sheetId="0">
        <row r="21">
          <cell r="E21" t="str">
            <v>Meeting &amp; Conference</v>
          </cell>
        </row>
      </sheetData>
      <sheetData sheetId="1"/>
      <sheetData sheetId="2">
        <row r="21">
          <cell r="E21" t="str">
            <v>Meeting &amp; Conference</v>
          </cell>
        </row>
      </sheetData>
      <sheetData sheetId="3"/>
      <sheetData sheetId="4"/>
      <sheetData sheetId="5"/>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il and Gas Graph"/>
      <sheetName val="NG Storage Graph"/>
      <sheetName val="Zone J LMP Graph"/>
      <sheetName val="Gas vs. Zone J  Graph"/>
      <sheetName val="Crude - #2 Oil - NG Cost Graph"/>
      <sheetName val="Water Graph"/>
      <sheetName val="MO FUEL DATA"/>
      <sheetName val="DAILY FUEL DATA"/>
      <sheetName val="WATER RATES"/>
      <sheetName val="CDD Monthly"/>
      <sheetName val="CDD 2Q Daily"/>
      <sheetName val="CDD 3Q Daily"/>
      <sheetName val="COOLING DATA"/>
      <sheetName val="DAILY LMP AVG"/>
      <sheetName val="HOURLY LMP"/>
      <sheetName val="Daily Gas Data"/>
      <sheetName val="Zone J LBM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iration"/>
      <sheetName val="Occupancy"/>
      <sheetName val="SFbyGEO"/>
      <sheetName val="CBDAssets"/>
      <sheetName val="Biz Plan I"/>
      <sheetName val="Biz Plan II"/>
      <sheetName val="MRI Expire Table"/>
      <sheetName val="D"/>
      <sheetName val="Occupany Input"/>
      <sheetName val="Occupancy Core"/>
      <sheetName val="Exp 4Assets"/>
      <sheetName val="Exp Fund"/>
      <sheetName val="Exp"/>
      <sheetName val="Exp (Argus)"/>
      <sheetName val="SubMkt"/>
      <sheetName val="Market Occupancy"/>
      <sheetName val="MRIExp10_30"/>
      <sheetName val="ExpTable_3_02"/>
      <sheetName val="@TASK114_404_1"/>
      <sheetName val="@TASK114_966"/>
      <sheetName val="@TASK114_578"/>
      <sheetName val="Data Table"/>
      <sheetName val="MRI Expire Table_Jan02"/>
    </sheetNames>
    <sheetDataSet>
      <sheetData sheetId="0" refreshError="1">
        <row r="3">
          <cell r="A3" t="str">
            <v>PERCENT OCCUPIED AND LEASED BY PROPERTY</v>
          </cell>
        </row>
        <row r="5">
          <cell r="X5">
            <v>2001</v>
          </cell>
          <cell r="Y5">
            <v>2002</v>
          </cell>
          <cell r="Z5">
            <v>2003</v>
          </cell>
          <cell r="AA5">
            <v>2004</v>
          </cell>
          <cell r="AB5">
            <v>2005</v>
          </cell>
          <cell r="AC5">
            <v>2006</v>
          </cell>
          <cell r="AD5">
            <v>2007</v>
          </cell>
          <cell r="AE5">
            <v>2008</v>
          </cell>
          <cell r="AF5">
            <v>2009</v>
          </cell>
          <cell r="AG5" t="str">
            <v>2010+</v>
          </cell>
        </row>
        <row r="22">
          <cell r="X22">
            <v>308.44199999999995</v>
          </cell>
          <cell r="Y22">
            <v>423.27499999999998</v>
          </cell>
          <cell r="Z22">
            <v>492.07299999999998</v>
          </cell>
          <cell r="AA22">
            <v>904.995</v>
          </cell>
          <cell r="AB22">
            <v>1205.0570000000002</v>
          </cell>
          <cell r="AC22">
            <v>390.13799999999998</v>
          </cell>
          <cell r="AD22">
            <v>214.047</v>
          </cell>
          <cell r="AE22">
            <v>547.93100000000004</v>
          </cell>
          <cell r="AF22">
            <v>290.77100000000002</v>
          </cell>
          <cell r="AG22">
            <v>1057.079</v>
          </cell>
        </row>
        <row r="139">
          <cell r="B139" t="str">
            <v>Philadelphia *</v>
          </cell>
          <cell r="C139">
            <v>3717893</v>
          </cell>
          <cell r="E139" t="str">
            <v>Philadelphia *</v>
          </cell>
          <cell r="F139" t="e">
            <v>#REF!</v>
          </cell>
        </row>
        <row r="140">
          <cell r="B140" t="str">
            <v>Pittsburgh</v>
          </cell>
          <cell r="C140">
            <v>907429</v>
          </cell>
          <cell r="E140" t="str">
            <v>Pittsburgh</v>
          </cell>
          <cell r="F140">
            <v>0</v>
          </cell>
        </row>
        <row r="141">
          <cell r="B141" t="str">
            <v>Delaware</v>
          </cell>
          <cell r="C141">
            <v>520553</v>
          </cell>
          <cell r="E141" t="str">
            <v>Delaware</v>
          </cell>
          <cell r="F141">
            <v>0</v>
          </cell>
        </row>
        <row r="142">
          <cell r="B142" t="str">
            <v>N. Virginia</v>
          </cell>
          <cell r="C142">
            <v>707577</v>
          </cell>
          <cell r="E142" t="str">
            <v>N. Virginia</v>
          </cell>
          <cell r="F142">
            <v>0</v>
          </cell>
        </row>
        <row r="143">
          <cell r="B143" t="str">
            <v>Atlanta</v>
          </cell>
          <cell r="C143">
            <v>410128</v>
          </cell>
          <cell r="E143" t="str">
            <v>Atlanta</v>
          </cell>
          <cell r="F143">
            <v>0</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BUDGET"/>
      <sheetName val="1998 REFORECAST"/>
      <sheetName val="VARIANCE ANALYSIS"/>
      <sheetName val="PSF"/>
      <sheetName val="4 YEAR NOI"/>
      <sheetName val="CAPITAL EXPENDITURES"/>
      <sheetName val="CAM DEP'N_AMORTIZATION_2000"/>
      <sheetName val="CAM DEP'N_AMORTIZATION"/>
      <sheetName val="DEFERRED EXPENSES"/>
      <sheetName val="MINIMUM &amp; OVERAGE RENT"/>
      <sheetName val="SPECIALTY LEASING INCOME"/>
      <sheetName val="CAM INCOME"/>
      <sheetName val="REAL ESTATE TAX INCOME"/>
      <sheetName val="UTILITY INCOME"/>
      <sheetName val="INTEREST-OTHER INCOME"/>
      <sheetName val="4001 PAYROLL"/>
      <sheetName val="4002 PAYROLL TAXES"/>
      <sheetName val="4004 BENEFITS"/>
      <sheetName val="4005 REIMBURSEMENTS"/>
      <sheetName val="4008 CLEANING"/>
      <sheetName val="4010 TRAVEL"/>
      <sheetName val="4012 CONTRACTED SERVICES"/>
      <sheetName val="4013 MATERIALS &amp; SUPPLIES"/>
      <sheetName val="4014 REPAIRS &amp; MAINTENANCE"/>
      <sheetName val="4015 EQUIPMENT RENTAL"/>
      <sheetName val="4016 UTILITIES - ELECTRIC"/>
      <sheetName val="4017 UTILITIES - GAS &amp; OIL"/>
      <sheetName val="4018 UTILITIES- WATER &amp; SEWER"/>
      <sheetName val="4019 DUES"/>
      <sheetName val="4020 SUBSCRIPTIONS"/>
      <sheetName val="4021 OFFICE EXPENSES"/>
      <sheetName val="4022 COPIER EXPENSE"/>
      <sheetName val="4023 TELEPHONE"/>
      <sheetName val="4024 GIFT &amp; HOLIDAY"/>
      <sheetName val="4025 PARKING LOT REPAIR"/>
      <sheetName val="4026 ROAD REPAIR"/>
      <sheetName val="4027 ROOF REPAIR"/>
      <sheetName val="4030 SALES PROMOTION"/>
      <sheetName val="4031 SPECIALTY LEASING EXPENSE"/>
      <sheetName val="4034 EDUCATION"/>
      <sheetName val="4040 MANAGEMENT FEE"/>
      <sheetName val="4041 SNOW REMOVAL"/>
      <sheetName val="4042 MANAGEMENT FEE"/>
      <sheetName val="4043 PARKING LOT RENTAL"/>
      <sheetName val="4044 ACCOUNTING AND AUDITING"/>
      <sheetName val="4045 PROF SERVICES - LEGAL"/>
      <sheetName val="4046 PROF SERVICES - OTHER"/>
      <sheetName val="4047 INSURANCE"/>
      <sheetName val="4049 MARKETING CONTRIBUTIONS"/>
      <sheetName val="4050 BAD DEBTS"/>
      <sheetName val="4070 CHARITABLE CONTRIBUTIONS"/>
      <sheetName val="4071 REAL ESTATE TAXES"/>
      <sheetName val="4072 INTEREST EXPENSE"/>
      <sheetName val="4073 DEPRECIATION"/>
      <sheetName val="4074 AMORTIZATION"/>
      <sheetName val="PROMO INTERCOMPANY"/>
      <sheetName val="SQUARE FOOTAGE"/>
      <sheetName val="PAYROLL"/>
      <sheetName val="BENEFITS"/>
      <sheetName val="UTILITIES"/>
      <sheetName val="AP ALLOC"/>
      <sheetName val="PROOF PAGE"/>
      <sheetName val="Interf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BUDGET"/>
      <sheetName val="1998 REFORECAST"/>
      <sheetName val="VARIANCE ANALYSIS"/>
      <sheetName val="PSF"/>
      <sheetName val="4 YEAR NOI"/>
      <sheetName val="CAPITAL EXPENDITURES"/>
      <sheetName val="CAM DEP'N_AMORTIZATION_2000"/>
      <sheetName val="CAM DEP'N_AMORTIZATION"/>
      <sheetName val="DEFERRED EXPENSES"/>
      <sheetName val="MINIMUM &amp; OVERAGE RENT"/>
      <sheetName val="SPECIALTY LEASING INCOME"/>
      <sheetName val="CAM INCOME"/>
      <sheetName val="REAL ESTATE TAX INCOME"/>
      <sheetName val="UTILITY INCOME"/>
      <sheetName val="INTEREST-OTHER INCOME"/>
      <sheetName val="4001 PAYROLL"/>
      <sheetName val="4002 PAYROLL TAXES"/>
      <sheetName val="4004 BENEFITS"/>
      <sheetName val="4005 REIMBURSEMENTS"/>
      <sheetName val="4008 CLEANING"/>
      <sheetName val="4010 TRAVEL"/>
      <sheetName val="4012 CONTRACTED SERVICES"/>
      <sheetName val="4013 MATERIALS &amp; SUPPLIES"/>
      <sheetName val="4014 REPAIRS &amp; MAINTENANCE"/>
      <sheetName val="4015 EQUIPMENT RENTAL"/>
      <sheetName val="4016 UTILITIES - ELECTRIC"/>
      <sheetName val="4017 UTILITIES - GAS &amp; OIL"/>
      <sheetName val="4018 UTILITIES- WATER &amp; SEWER"/>
      <sheetName val="4019 DUES"/>
      <sheetName val="4020 SUBSCRIPTIONS"/>
      <sheetName val="4021 OFFICE EXPENSES"/>
      <sheetName val="4022 COPIER EXPENSE"/>
      <sheetName val="4023 TELEPHONE"/>
      <sheetName val="4024 GIFT &amp; HOLIDAY"/>
      <sheetName val="4025 PARKING LOT REPAIR"/>
      <sheetName val="4026 ROAD REPAIR"/>
      <sheetName val="4027 ROOF REPAIR"/>
      <sheetName val="4030 SALES PROMOTION"/>
      <sheetName val="4031 SPECIALTY LEASING EXPENSE"/>
      <sheetName val="4034 EDUCATION"/>
      <sheetName val="4040 MANAGEMENT FEE"/>
      <sheetName val="4041 SNOW REMOVAL"/>
      <sheetName val="4042 MANAGEMENT FEE"/>
      <sheetName val="4043 PARKING LOT RENTAL"/>
      <sheetName val="4044 ACCOUNTING AND AUDITING"/>
      <sheetName val="4045 PROF SERVICES - LEGAL"/>
      <sheetName val="4046 PROF SERVICES - OTHER"/>
      <sheetName val="4047 INSURANCE"/>
      <sheetName val="4049 MARKETING CONTRIBUTIONS"/>
      <sheetName val="4050 BAD DEBTS"/>
      <sheetName val="4070 CHARITABLE CONTRIBUTIONS"/>
      <sheetName val="4071 REAL ESTATE TAXES"/>
      <sheetName val="4072 INTEREST EXPENSE"/>
      <sheetName val="4073 DEPRECIATION"/>
      <sheetName val="4074 AMORTIZATION"/>
      <sheetName val="PROMO INTERCOMPANY"/>
      <sheetName val="SQUARE FOOTAGE"/>
      <sheetName val="PAYROLL"/>
      <sheetName val="BENEFITS"/>
      <sheetName val="UTILITIES"/>
      <sheetName val="AP ALLOC"/>
      <sheetName val="PROOF PAGE"/>
      <sheetName val="Interf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t._s_ref."/>
      <sheetName val="Alt._c_proy."/>
      <sheetName val="Actual"/>
      <sheetName val="Esq.1"/>
      <sheetName val="Valorización"/>
      <sheetName val="Max_D._Set_2002"/>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BUDGET"/>
      <sheetName val="VARIANCE ANALYSIS"/>
      <sheetName val="1998 REFORECAST"/>
      <sheetName val="PSF"/>
      <sheetName val="4 YEAR NOI"/>
      <sheetName val="CAPITAL EXPENDITURES"/>
      <sheetName val="5 YEAR CAP EXP"/>
      <sheetName val="DEFERRED CAM AMORTIZATION_2000"/>
      <sheetName val="DEFERRED CAM AMORTIZATION"/>
      <sheetName val="DEFERRED EXPENSES"/>
      <sheetName val="MINIMUM &amp; OVERAGE RENT"/>
      <sheetName val="SPECIALTY LEASING INCOME"/>
      <sheetName val="CAM INCOME"/>
      <sheetName val="REAL ESTATE TAX INCOME"/>
      <sheetName val="UTILITY INCOME"/>
      <sheetName val="INTEREST-OTHER INCOME"/>
      <sheetName val="4001 PAYROLL"/>
      <sheetName val="4002 PAYROLL TAXES"/>
      <sheetName val="4004 BENEFITS"/>
      <sheetName val="4005 REIMBURSEMENTS"/>
      <sheetName val="4008 CLEANING SERVICES "/>
      <sheetName val="4010 - TRAVEL"/>
      <sheetName val="4012 CONTRACTED SERVICES"/>
      <sheetName val="4013 MATERIALS &amp; SUPPLIES"/>
      <sheetName val="4014 REPAIRS &amp; MAINTENANCE"/>
      <sheetName val="4015 EQUIPMENT RENTAL"/>
      <sheetName val="4016 - UTILITIES - ELECTRIC"/>
      <sheetName val="4017 - UTILITIES - GAS &amp; OIL"/>
      <sheetName val="4018 - UTILITIES- WATER &amp; SEWER"/>
      <sheetName val="4020 SUBSCRIPTIONS"/>
      <sheetName val="4021 - OFFICE EXPENSES"/>
      <sheetName val="4022 COPIER EXPENSE"/>
      <sheetName val="4023 TELEPHONE"/>
      <sheetName val="4024 GIFT &amp; HOLIDAY"/>
      <sheetName val="4025 PARKING LOT REPAIR"/>
      <sheetName val="4026 ROAD REPAIR"/>
      <sheetName val="4027 ROOF REPAIR"/>
      <sheetName val="4030 - SALES PROMOTION"/>
      <sheetName val="4031 SPECIALTY LEASING EXPENSE"/>
      <sheetName val="4034 - EDUCATION"/>
      <sheetName val="4035 OTHER"/>
      <sheetName val="4040 MANAGEMENT FEE"/>
      <sheetName val="4041 SNOW REMOVAL"/>
      <sheetName val="4043 PARKING LOT RENTAL"/>
      <sheetName val="4044 ACCOUNTING AND AUDITING"/>
      <sheetName val="4045 PROF SERVICES - LEGAL"/>
      <sheetName val="4046 PROF SERVICES - OTHER"/>
      <sheetName val="4047 INSURANCE"/>
      <sheetName val="4050 BAD DEBTS"/>
      <sheetName val="4070 CHARITABLE CONTRIBUTIONS"/>
      <sheetName val="4071 REAL ESTATE TAXES"/>
      <sheetName val="4072 INTEREST EXPENSE"/>
      <sheetName val="4073 DEPRECIATION"/>
      <sheetName val="4074 AMORTIZATION"/>
      <sheetName val="PROMO INTERCOMPANY"/>
      <sheetName val="SQUARE FOOTAGE"/>
      <sheetName val="PAYROLL"/>
      <sheetName val="BENEFITS"/>
      <sheetName val="UTILITIES"/>
      <sheetName val="AP ALLOC"/>
      <sheetName val="PROOF PAGE"/>
      <sheetName val="Interf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BUDGET"/>
      <sheetName val="VARIANCE ANALYSIS"/>
      <sheetName val="1998 REFORECAST"/>
      <sheetName val="PSF"/>
      <sheetName val="4 YEAR NOI"/>
      <sheetName val="CAPITAL EXPENDITURES"/>
      <sheetName val="5 YEAR CAP EXP"/>
      <sheetName val="DEFERRED CAM AMORTIZATION_2000"/>
      <sheetName val="DEFERRED CAM AMORTIZATION"/>
      <sheetName val="DEFERRED EXPENSES"/>
      <sheetName val="MINIMUM &amp; OVERAGE RENT"/>
      <sheetName val="SPECIALTY LEASING INCOME"/>
      <sheetName val="CAM INCOME"/>
      <sheetName val="REAL ESTATE TAX INCOME"/>
      <sheetName val="UTILITY INCOME"/>
      <sheetName val="INTEREST-OTHER INCOME"/>
      <sheetName val="4001 PAYROLL"/>
      <sheetName val="4002 PAYROLL TAXES"/>
      <sheetName val="4004 BENEFITS"/>
      <sheetName val="4005 REIMBURSEMENTS"/>
      <sheetName val="4008 CLEANING SERVICES "/>
      <sheetName val="4010 - TRAVEL"/>
      <sheetName val="4012 CONTRACTED SERVICES"/>
      <sheetName val="4013 MATERIALS &amp; SUPPLIES"/>
      <sheetName val="4014 REPAIRS &amp; MAINTENANCE"/>
      <sheetName val="4015 EQUIPMENT RENTAL"/>
      <sheetName val="4016 - UTILITIES - ELECTRIC"/>
      <sheetName val="4017 - UTILITIES - GAS &amp; OIL"/>
      <sheetName val="4018 - UTILITIES- WATER &amp; SEWER"/>
      <sheetName val="4020 SUBSCRIPTIONS"/>
      <sheetName val="4021 - OFFICE EXPENSES"/>
      <sheetName val="4022 COPIER EXPENSE"/>
      <sheetName val="4023 TELEPHONE"/>
      <sheetName val="4024 GIFT &amp; HOLIDAY"/>
      <sheetName val="4025 PARKING LOT REPAIR"/>
      <sheetName val="4026 ROAD REPAIR"/>
      <sheetName val="4027 ROOF REPAIR"/>
      <sheetName val="4030 - SALES PROMOTION"/>
      <sheetName val="4031 SPECIALTY LEASING EXPENSE"/>
      <sheetName val="4034 - EDUCATION"/>
      <sheetName val="4035 OTHER"/>
      <sheetName val="4040 MANAGEMENT FEE"/>
      <sheetName val="4041 SNOW REMOVAL"/>
      <sheetName val="4043 PARKING LOT RENTAL"/>
      <sheetName val="4044 ACCOUNTING AND AUDITING"/>
      <sheetName val="4045 PROF SERVICES - LEGAL"/>
      <sheetName val="4046 PROF SERVICES - OTHER"/>
      <sheetName val="4047 INSURANCE"/>
      <sheetName val="4050 BAD DEBTS"/>
      <sheetName val="4070 CHARITABLE CONTRIBUTIONS"/>
      <sheetName val="4071 REAL ESTATE TAXES"/>
      <sheetName val="4072 INTEREST EXPENSE"/>
      <sheetName val="4073 DEPRECIATION"/>
      <sheetName val="4074 AMORTIZATION"/>
      <sheetName val="PROMO INTERCOMPANY"/>
      <sheetName val="SQUARE FOOTAGE"/>
      <sheetName val="PAYROLL"/>
      <sheetName val="BENEFITS"/>
      <sheetName val="UTILITIES"/>
      <sheetName val="AP ALLOC"/>
      <sheetName val="PROOF PAGE"/>
      <sheetName val="Interf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999 BUDGET"/>
      <sheetName val="VARIANCE ANALYSIS"/>
      <sheetName val="1998 REFORECAST"/>
      <sheetName val="PSF"/>
      <sheetName val="4 YEAR NOI"/>
      <sheetName val="CAPITAL EXPENDITURES"/>
      <sheetName val="5 YEAR CAP EXP"/>
      <sheetName val="DEFERRED CAM AMORTIZATION_2000"/>
      <sheetName val="DEFERRED CAM AMORTIZATION"/>
      <sheetName val="DEFERRED EXPENSES"/>
      <sheetName val="MINIMUM &amp; OVERAGE RENT"/>
      <sheetName val="SPECIALTY LEASING INCOME"/>
      <sheetName val="CAM INCOME"/>
      <sheetName val="REAL ESTATE TAX INCOME"/>
      <sheetName val="UTILITY INCOME"/>
      <sheetName val="INTEREST-OTHER INCOME"/>
      <sheetName val="4001 PAYROLL"/>
      <sheetName val="4002 PAYROLL TAXES"/>
      <sheetName val="4004 BENEFITS"/>
      <sheetName val="4005 REIMBURSEMENTS"/>
      <sheetName val="4008 CLEANING SERVICES "/>
      <sheetName val="4010 - TRAVEL"/>
      <sheetName val="4012 CONTRACTED SERVICES"/>
      <sheetName val="4013 MATERIALS &amp; SUPPLIES"/>
      <sheetName val="4014 REPAIRS &amp; MAINTENANCE"/>
      <sheetName val="4015 EQUIPMENT RENTAL"/>
      <sheetName val="4016 - UTILITIES - ELECTRIC"/>
      <sheetName val="4017 - UTILITIES - GAS &amp; OIL"/>
      <sheetName val="4018 - UTILITIES- WATER &amp; SEWER"/>
      <sheetName val="4020 SUBSCRIPTIONS"/>
      <sheetName val="4021 - OFFICE EXPENSES"/>
      <sheetName val="4022 COPIER EXPENSE"/>
      <sheetName val="4023 TELEPHONE"/>
      <sheetName val="4024 GIFT &amp; HOLIDAY"/>
      <sheetName val="4025 PARKING LOT REPAIR"/>
      <sheetName val="4026 ROAD REPAIR"/>
      <sheetName val="4027 ROOF REPAIR"/>
      <sheetName val="4030 - SALES PROMOTION"/>
      <sheetName val="4031 SPECIALTY LEASING EXPENSE"/>
      <sheetName val="4034 - EDUCATION"/>
      <sheetName val="4035 OTHER"/>
      <sheetName val="4040 MANAGEMENT FEE"/>
      <sheetName val="4041 SNOW REMOVAL"/>
      <sheetName val="4043 PARKING LOT RENTAL"/>
      <sheetName val="4044 ACCOUNTING AND AUDITING"/>
      <sheetName val="4045 PROF SERVICES - LEGAL"/>
      <sheetName val="4046 PROF SERVICES - OTHER"/>
      <sheetName val="4047 INSURANCE"/>
      <sheetName val="4050 BAD DEBTS"/>
      <sheetName val="4070 CHARITABLE CONTRIBUTIONS"/>
      <sheetName val="4071 REAL ESTATE TAXES"/>
      <sheetName val="4072 INTEREST EXPENSE"/>
      <sheetName val="4073 DEPRECIATION"/>
      <sheetName val="4074 AMORTIZATION"/>
      <sheetName val="PROMO INTERCOMPANY"/>
      <sheetName val="SQUARE FOOTAGE"/>
      <sheetName val="PAYROLL"/>
      <sheetName val="BENEFITS"/>
      <sheetName val="UTILITIES"/>
      <sheetName val="AP ALLOC"/>
      <sheetName val="PROOF PAGE"/>
      <sheetName val="Interfa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NYNY creation rev1 32 FINAL"/>
      <sheetName val="PRODUCTION"/>
      <sheetName val="Shows"/>
      <sheetName val="BURPR"/>
      <sheetName val="SUMMARY"/>
      <sheetName val="BV"/>
      <sheetName val="Trial Balance"/>
      <sheetName val="1 BU"/>
      <sheetName val="5 BU"/>
      <sheetName val="12 BU"/>
      <sheetName val="13 BU"/>
      <sheetName val="23 BU"/>
      <sheetName val="38 BU"/>
      <sheetName val="Sch Index"/>
      <sheetName val="Exchange Codes"/>
      <sheetName val="21 fixed assets"/>
      <sheetName val="représentations"/>
      <sheetName val="1 profees"/>
      <sheetName val="Rate"/>
      <sheetName val="TOT"/>
      <sheetName val="F-G"/>
      <sheetName val="Ex_x0002_hange Codes"/>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REITs &amp; S&amp;P"/>
      <sheetName val="Demand"/>
      <sheetName val="Occ"/>
    </sheetNames>
    <sheetDataSet>
      <sheetData sheetId="0" refreshError="1">
        <row r="171">
          <cell r="D171">
            <v>0</v>
          </cell>
          <cell r="E171">
            <v>0.19104004814636055</v>
          </cell>
        </row>
        <row r="172">
          <cell r="D172">
            <v>0.05</v>
          </cell>
          <cell r="E172">
            <v>0.17331256212247201</v>
          </cell>
        </row>
        <row r="173">
          <cell r="D173">
            <v>0.1</v>
          </cell>
          <cell r="E173">
            <v>0.16098670463276857</v>
          </cell>
        </row>
        <row r="174">
          <cell r="D174">
            <v>0.15000000000000002</v>
          </cell>
          <cell r="E174">
            <v>0.15532835618367249</v>
          </cell>
        </row>
        <row r="175">
          <cell r="D175">
            <v>0.2</v>
          </cell>
          <cell r="E175">
            <v>0.14993493952328116</v>
          </cell>
        </row>
        <row r="176">
          <cell r="D176">
            <v>0.25</v>
          </cell>
          <cell r="E176">
            <v>0.14737549187106463</v>
          </cell>
        </row>
        <row r="177">
          <cell r="D177">
            <v>0.3</v>
          </cell>
          <cell r="E177">
            <v>0.14738328611616652</v>
          </cell>
        </row>
      </sheetData>
      <sheetData sheetId="1" refreshError="1"/>
      <sheetData sheetId="2" refreshError="1"/>
      <sheetData sheetId="3"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ummsht"/>
    </sheetNames>
    <sheetDataSet>
      <sheetData sheetId="0" refreshError="1">
        <row r="60">
          <cell r="F60">
            <v>0.2</v>
          </cell>
        </row>
        <row r="135">
          <cell r="E135">
            <v>5.3792676242975117E-2</v>
          </cell>
        </row>
        <row r="136">
          <cell r="E136">
            <v>6.5681770075035173E-2</v>
          </cell>
        </row>
        <row r="137">
          <cell r="E137">
            <v>7.9037589924664753E-2</v>
          </cell>
        </row>
        <row r="138">
          <cell r="E138">
            <v>9.3672789192370182E-2</v>
          </cell>
        </row>
        <row r="139">
          <cell r="E139">
            <v>0.10935888548657445</v>
          </cell>
        </row>
        <row r="140">
          <cell r="E140">
            <v>0.12586561470778773</v>
          </cell>
        </row>
        <row r="141">
          <cell r="E141">
            <v>0.14298917762938032</v>
          </cell>
        </row>
      </sheetData>
      <sheetData sheetId="1"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CREIF &amp; S&amp;P"/>
      <sheetName val="REITs &amp; S&amp;P"/>
      <sheetName val="A"/>
      <sheetName val="induceamort"/>
      <sheetName val="1999 BUDGET"/>
      <sheetName val="Apple Summary"/>
      <sheetName val="Apple Sellco TB's"/>
      <sheetName val="Glossary"/>
      <sheetName val=" Budget Balancing | Tracking"/>
      <sheetName val="Lease Up Data - HIDE"/>
      <sheetName val="OSS Charts"/>
    </sheetNames>
    <sheetDataSet>
      <sheetData sheetId="0">
        <row r="11">
          <cell r="D11">
            <v>0.10256580965724643</v>
          </cell>
        </row>
      </sheetData>
      <sheetData sheetId="1" refreshError="1">
        <row r="11">
          <cell r="D11">
            <v>0.10256580965724643</v>
          </cell>
        </row>
        <row r="12">
          <cell r="D12">
            <v>9.9699466842594398E-2</v>
          </cell>
        </row>
        <row r="13">
          <cell r="D13">
            <v>9.6926697633896594E-2</v>
          </cell>
        </row>
        <row r="14">
          <cell r="D14">
            <v>9.4255760498720725E-2</v>
          </cell>
        </row>
        <row r="15">
          <cell r="D15">
            <v>9.1695554459503378E-2</v>
          </cell>
        </row>
        <row r="16">
          <cell r="D16">
            <v>8.9255608650344487E-2</v>
          </cell>
        </row>
        <row r="17">
          <cell r="D17">
            <v>8.6946048161577236E-2</v>
          </cell>
        </row>
        <row r="18">
          <cell r="D18">
            <v>8.4777529769104062E-2</v>
          </cell>
        </row>
        <row r="19">
          <cell r="D19">
            <v>8.2761141026761451E-2</v>
          </cell>
        </row>
        <row r="20">
          <cell r="D20">
            <v>8.0908256821018112E-2</v>
          </cell>
        </row>
        <row r="21">
          <cell r="D21">
            <v>7.9230349153871005E-2</v>
          </cell>
        </row>
        <row r="22">
          <cell r="D22">
            <v>7.7738748894852619E-2</v>
          </cell>
        </row>
        <row r="23">
          <cell r="D23">
            <v>7.6444362642995103E-2</v>
          </cell>
        </row>
        <row r="24">
          <cell r="D24">
            <v>7.5357353506573591E-2</v>
          </cell>
        </row>
        <row r="25">
          <cell r="D25">
            <v>7.4486800995879857E-2</v>
          </cell>
        </row>
        <row r="26">
          <cell r="D26">
            <v>7.3840361355759068E-2</v>
          </cell>
        </row>
        <row r="27">
          <cell r="D27">
            <v>7.3423954232678723E-2</v>
          </cell>
        </row>
        <row r="28">
          <cell r="D28">
            <v>7.3241503211226341E-2</v>
          </cell>
        </row>
        <row r="29">
          <cell r="D29">
            <v>7.329475545754835E-2</v>
          </cell>
        </row>
        <row r="30">
          <cell r="D30">
            <v>7.358319923724238E-2</v>
          </cell>
        </row>
        <row r="31">
          <cell r="D31">
            <v>7.4104088212849348E-2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13 BU"/>
      <sheetName val="12 BU"/>
      <sheetName val="5 BU"/>
      <sheetName val="23 BU"/>
      <sheetName val="1 BU"/>
      <sheetName val="38 BU"/>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nt Roll Analysis"/>
      <sheetName val="Exe Sum"/>
      <sheetName val="Rent Roll Sum"/>
      <sheetName val="Lease Exp Trend"/>
      <sheetName val="Recent Leases"/>
      <sheetName val="Monthly Trend"/>
      <sheetName val="Op State"/>
      <sheetName val="Op State Detail"/>
      <sheetName val="Cap X"/>
      <sheetName val="CF-New Debt"/>
      <sheetName val="Debt Summary"/>
      <sheetName val="New_7YR"/>
      <sheetName val="CF-Assumption"/>
      <sheetName val="Exist Debt"/>
      <sheetName val="New_5YR"/>
      <sheetName val="New_10YR"/>
      <sheetName val="New Debt IRR"/>
      <sheetName val="Assumption IRR"/>
      <sheetName val="YMP"/>
      <sheetName val="Condo "/>
      <sheetName val="Condo Co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Sheet1"/>
      <sheetName val="Sheet3"/>
      <sheetName val="#REF"/>
      <sheetName val="Exit Strategy"/>
      <sheetName val="Analysis Summary"/>
      <sheetName val="Rent Roll"/>
      <sheetName val="B"/>
      <sheetName val="Book2"/>
      <sheetName val="Instructions"/>
      <sheetName val="Cover"/>
      <sheetName val="Data"/>
      <sheetName val="Historical OPS"/>
      <sheetName val="Summary OPS"/>
      <sheetName val="Collections"/>
      <sheetName val="Replacements"/>
      <sheetName val="Immediates"/>
      <sheetName val="Payroll"/>
      <sheetName val="Frend"/>
      <sheetName val="ARM Test"/>
      <sheetName val="Early Rate Lock"/>
      <sheetName val="Trade Terms"/>
      <sheetName val="Info for Docs"/>
      <sheetName val="Rate Lock Signoffs"/>
      <sheetName val="Module1"/>
      <sheetName val="Module2"/>
      <sheetName val="Module3"/>
      <sheetName val="Loan Program"/>
      <sheetName val="MF-9 Original"/>
      <sheetName val="Exit_Strategy"/>
      <sheetName val="Analysis_Summary"/>
      <sheetName val="Rent_Roll"/>
      <sheetName val="Historical_OPS"/>
      <sheetName val="Summary_OPS"/>
      <sheetName val="ARM_Test"/>
      <sheetName val="Early_Rate_Lock"/>
      <sheetName val="Trade_Terms"/>
      <sheetName val="Info_for_Docs"/>
      <sheetName val="Rate_Lock_Signoffs"/>
      <sheetName val="Exit_Strategy1"/>
      <sheetName val="Analysis_Summary1"/>
      <sheetName val="Rent_Roll1"/>
      <sheetName val="Historical_OPS1"/>
      <sheetName val="Summary_OPS1"/>
      <sheetName val="ARM_Test1"/>
      <sheetName val="Early_Rate_Lock1"/>
      <sheetName val="Trade_Terms1"/>
      <sheetName val="Info_for_Docs1"/>
      <sheetName val="Rate_Lock_Signoffs1"/>
      <sheetName val="Loan_Program"/>
      <sheetName val="MF-9_Original"/>
      <sheetName val="CÁLCULO RENOVACION"/>
      <sheetName val="CALENDARIO"/>
      <sheetName val="Hoja1"/>
      <sheetName val="PropertySumData"/>
      <sheetName val="PropertySumData (2)"/>
      <sheetName val="Share_Dividends"/>
      <sheetName val="SCHEDULES B &amp; C"/>
      <sheetName val="SCHEDULE A"/>
      <sheetName val="April 1998"/>
      <sheetName val="Assumptions"/>
      <sheetName val="SUMMARY"/>
      <sheetName val="Selected Precedent Transactions"/>
      <sheetName val="De Novo EBITDA"/>
      <sheetName val="De Novo Revenue"/>
      <sheetName val="driversa"/>
      <sheetName val="BGT vs ACT (2)"/>
      <sheetName val="ACTUAL 2000"/>
      <sheetName val="Build &amp; Mat Receipts"/>
      <sheetName val="RALPHINV1"/>
      <sheetName val="Detail"/>
      <sheetName val="CalcSheet"/>
      <sheetName val="1"/>
      <sheetName val="Factors"/>
      <sheetName val="Paste"/>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row r="8">
          <cell r="A8" t="str">
            <v>DETERMINACION DE PAGO CORRESPONDIENTE AL MES DE RENOVACION</v>
          </cell>
        </row>
      </sheetData>
      <sheetData sheetId="52"/>
      <sheetData sheetId="53"/>
      <sheetData sheetId="54" refreshError="1"/>
      <sheetData sheetId="55"/>
      <sheetData sheetId="56" refreshError="1"/>
      <sheetData sheetId="57" refreshError="1"/>
      <sheetData sheetId="58" refreshError="1"/>
      <sheetData sheetId="59"/>
      <sheetData sheetId="60" refreshError="1"/>
      <sheetData sheetId="61">
        <row r="1">
          <cell r="B1" t="str">
            <v>Date:</v>
          </cell>
        </row>
      </sheetData>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velopment"/>
      <sheetName val="#REF"/>
      <sheetName val="proptax97"/>
      <sheetName val="#5-A1 Condos"/>
      <sheetName val="tables_graphs"/>
      <sheetName val="#5-A1_Condos"/>
    </sheetNames>
    <sheetDataSet>
      <sheetData sheetId="0">
        <row r="3">
          <cell r="C3" t="str">
            <v>Base Assumptions</v>
          </cell>
        </row>
        <row r="16">
          <cell r="B16" t="str">
            <v>Other Consultants</v>
          </cell>
          <cell r="E16">
            <v>40296.682871109319</v>
          </cell>
          <cell r="F16">
            <v>0</v>
          </cell>
          <cell r="G16">
            <v>0</v>
          </cell>
          <cell r="H16">
            <v>40296.682871109319</v>
          </cell>
          <cell r="I16">
            <v>0</v>
          </cell>
          <cell r="J16">
            <v>0</v>
          </cell>
          <cell r="K16">
            <v>0</v>
          </cell>
          <cell r="L16">
            <v>0</v>
          </cell>
          <cell r="M16">
            <v>0</v>
          </cell>
          <cell r="N16">
            <v>0</v>
          </cell>
          <cell r="O16">
            <v>0</v>
          </cell>
          <cell r="P16">
            <v>0</v>
          </cell>
          <cell r="R16">
            <v>0</v>
          </cell>
          <cell r="S16">
            <v>40296.682871109319</v>
          </cell>
          <cell r="U16">
            <v>0</v>
          </cell>
          <cell r="V16">
            <v>0</v>
          </cell>
          <cell r="W16">
            <v>0</v>
          </cell>
          <cell r="X16">
            <v>0</v>
          </cell>
          <cell r="Y16">
            <v>0</v>
          </cell>
          <cell r="Z16">
            <v>0</v>
          </cell>
          <cell r="AA16">
            <v>0</v>
          </cell>
          <cell r="AB16">
            <v>0</v>
          </cell>
          <cell r="AC16">
            <v>40296.682871109319</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row>
        <row r="21">
          <cell r="B21" t="str">
            <v>Insurance (% direct construction)</v>
          </cell>
          <cell r="D21">
            <v>8.9999999999999993E-3</v>
          </cell>
          <cell r="E21">
            <v>85383.376030864485</v>
          </cell>
          <cell r="F21">
            <v>0</v>
          </cell>
          <cell r="G21">
            <v>16506</v>
          </cell>
          <cell r="H21">
            <v>68877.376030864485</v>
          </cell>
          <cell r="I21">
            <v>0</v>
          </cell>
          <cell r="J21">
            <v>0</v>
          </cell>
          <cell r="K21">
            <v>0</v>
          </cell>
          <cell r="L21">
            <v>0</v>
          </cell>
          <cell r="M21">
            <v>0</v>
          </cell>
          <cell r="N21">
            <v>0</v>
          </cell>
          <cell r="O21">
            <v>0</v>
          </cell>
          <cell r="P21">
            <v>0</v>
          </cell>
          <cell r="R21">
            <v>0</v>
          </cell>
          <cell r="S21">
            <v>85383.376030864485</v>
          </cell>
          <cell r="U21">
            <v>0</v>
          </cell>
          <cell r="V21">
            <v>0</v>
          </cell>
          <cell r="W21">
            <v>0</v>
          </cell>
          <cell r="X21">
            <v>0</v>
          </cell>
          <cell r="Y21">
            <v>0</v>
          </cell>
          <cell r="Z21">
            <v>0</v>
          </cell>
          <cell r="AA21">
            <v>8253</v>
          </cell>
          <cell r="AB21">
            <v>8253</v>
          </cell>
          <cell r="AC21">
            <v>18248.426186763256</v>
          </cell>
          <cell r="AD21">
            <v>16751.760417341211</v>
          </cell>
          <cell r="AE21">
            <v>16876.009426760018</v>
          </cell>
          <cell r="AF21">
            <v>17001.179999999989</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row>
        <row r="36">
          <cell r="B36" t="str">
            <v>Other</v>
          </cell>
          <cell r="C36">
            <v>0</v>
          </cell>
          <cell r="D36">
            <v>0</v>
          </cell>
          <cell r="E36">
            <v>0</v>
          </cell>
          <cell r="F36">
            <v>0</v>
          </cell>
          <cell r="G36">
            <v>0</v>
          </cell>
          <cell r="H36">
            <v>0</v>
          </cell>
          <cell r="I36">
            <v>0</v>
          </cell>
          <cell r="J36">
            <v>0</v>
          </cell>
          <cell r="K36">
            <v>0</v>
          </cell>
          <cell r="L36">
            <v>0</v>
          </cell>
          <cell r="M36">
            <v>0</v>
          </cell>
          <cell r="N36">
            <v>0</v>
          </cell>
          <cell r="O36">
            <v>0</v>
          </cell>
          <cell r="P36">
            <v>0</v>
          </cell>
          <cell r="R36">
            <v>0</v>
          </cell>
          <cell r="S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row>
        <row r="46">
          <cell r="B46" t="str">
            <v>Spa and Fitness</v>
          </cell>
          <cell r="C46">
            <v>5100</v>
          </cell>
          <cell r="D46">
            <v>45</v>
          </cell>
          <cell r="E46">
            <v>238138.28451217926</v>
          </cell>
          <cell r="F46">
            <v>0</v>
          </cell>
          <cell r="G46">
            <v>0</v>
          </cell>
          <cell r="H46">
            <v>0</v>
          </cell>
          <cell r="I46">
            <v>238138.28451217926</v>
          </cell>
          <cell r="J46">
            <v>0</v>
          </cell>
          <cell r="K46">
            <v>0</v>
          </cell>
          <cell r="L46">
            <v>0</v>
          </cell>
          <cell r="M46">
            <v>0</v>
          </cell>
          <cell r="N46">
            <v>0</v>
          </cell>
          <cell r="O46">
            <v>0</v>
          </cell>
          <cell r="P46">
            <v>0</v>
          </cell>
          <cell r="R46">
            <v>0</v>
          </cell>
          <cell r="S46">
            <v>238138.28451217926</v>
          </cell>
          <cell r="U46">
            <v>0</v>
          </cell>
          <cell r="V46">
            <v>0</v>
          </cell>
          <cell r="W46">
            <v>0</v>
          </cell>
          <cell r="X46">
            <v>0</v>
          </cell>
          <cell r="Y46">
            <v>0</v>
          </cell>
          <cell r="Z46">
            <v>0</v>
          </cell>
          <cell r="AA46">
            <v>0</v>
          </cell>
          <cell r="AB46">
            <v>0</v>
          </cell>
          <cell r="AC46">
            <v>0</v>
          </cell>
          <cell r="AD46">
            <v>0</v>
          </cell>
          <cell r="AE46">
            <v>0</v>
          </cell>
          <cell r="AF46">
            <v>0</v>
          </cell>
          <cell r="AG46">
            <v>238138.28451217926</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row>
        <row r="85">
          <cell r="B85" t="str">
            <v>Hotel Development Cost</v>
          </cell>
          <cell r="E85">
            <v>-16878685.151613597</v>
          </cell>
          <cell r="F85">
            <v>-179400</v>
          </cell>
          <cell r="G85">
            <v>-3680748.3397686705</v>
          </cell>
          <cell r="H85">
            <v>-10268133.01329181</v>
          </cell>
          <cell r="I85">
            <v>-2750403.7985531162</v>
          </cell>
          <cell r="J85">
            <v>0</v>
          </cell>
          <cell r="K85">
            <v>0</v>
          </cell>
          <cell r="L85">
            <v>0</v>
          </cell>
          <cell r="M85">
            <v>0</v>
          </cell>
          <cell r="N85">
            <v>0</v>
          </cell>
          <cell r="O85">
            <v>0</v>
          </cell>
          <cell r="P85">
            <v>0</v>
          </cell>
          <cell r="R85">
            <v>0</v>
          </cell>
          <cell r="S85">
            <v>-16878685.151613597</v>
          </cell>
          <cell r="U85">
            <v>0</v>
          </cell>
          <cell r="V85">
            <v>-35880</v>
          </cell>
          <cell r="W85">
            <v>-71760</v>
          </cell>
          <cell r="X85">
            <v>-71760</v>
          </cell>
          <cell r="Y85">
            <v>-71760</v>
          </cell>
          <cell r="Z85">
            <v>-71760</v>
          </cell>
          <cell r="AA85">
            <v>-1211264.6078000001</v>
          </cell>
          <cell r="AB85">
            <v>-2325963.7319686706</v>
          </cell>
          <cell r="AC85">
            <v>-3277714.7933725528</v>
          </cell>
          <cell r="AD85">
            <v>-2312941.7387162838</v>
          </cell>
          <cell r="AE85">
            <v>-2330096.9927229751</v>
          </cell>
          <cell r="AF85">
            <v>-2347379.4884799989</v>
          </cell>
          <cell r="AG85">
            <v>-2750403.7985531162</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row>
        <row r="89">
          <cell r="B89" t="str">
            <v>Selling Costs</v>
          </cell>
          <cell r="C89">
            <v>2.5000000000000001E-2</v>
          </cell>
          <cell r="E89">
            <v>-376100.18403468747</v>
          </cell>
          <cell r="F89">
            <v>0</v>
          </cell>
          <cell r="G89">
            <v>0</v>
          </cell>
          <cell r="H89">
            <v>0</v>
          </cell>
          <cell r="I89">
            <v>0</v>
          </cell>
          <cell r="J89">
            <v>0</v>
          </cell>
          <cell r="K89">
            <v>0</v>
          </cell>
          <cell r="L89">
            <v>0</v>
          </cell>
          <cell r="M89">
            <v>0</v>
          </cell>
          <cell r="N89">
            <v>0</v>
          </cell>
          <cell r="O89">
            <v>0</v>
          </cell>
          <cell r="P89">
            <v>-376100.18403468747</v>
          </cell>
          <cell r="R89">
            <v>0</v>
          </cell>
          <cell r="S89">
            <v>-376100.18403468747</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-376100.18403468747</v>
          </cell>
        </row>
        <row r="91">
          <cell r="A91" t="str">
            <v>Cumulative Cash Flow</v>
          </cell>
          <cell r="F91">
            <v>-179400</v>
          </cell>
          <cell r="G91">
            <v>-3860148.3397686705</v>
          </cell>
          <cell r="H91">
            <v>-14128281.35306048</v>
          </cell>
          <cell r="I91">
            <v>-16523543.829363404</v>
          </cell>
          <cell r="J91">
            <v>-15468369.525907626</v>
          </cell>
          <cell r="K91">
            <v>-14241253.574376589</v>
          </cell>
          <cell r="L91">
            <v>-12930255.245524464</v>
          </cell>
          <cell r="M91">
            <v>-11573371.975162519</v>
          </cell>
          <cell r="N91">
            <v>-10158300.642819315</v>
          </cell>
          <cell r="O91">
            <v>-8704773.3615258411</v>
          </cell>
          <cell r="P91">
            <v>7467534.55196572</v>
          </cell>
          <cell r="U91">
            <v>0</v>
          </cell>
          <cell r="V91">
            <v>-35880</v>
          </cell>
          <cell r="W91">
            <v>-107640</v>
          </cell>
          <cell r="X91">
            <v>-179400</v>
          </cell>
          <cell r="Y91">
            <v>-251160</v>
          </cell>
          <cell r="Z91">
            <v>-322920</v>
          </cell>
          <cell r="AA91">
            <v>-1534184.6078000001</v>
          </cell>
          <cell r="AB91">
            <v>-3860148.3397686705</v>
          </cell>
          <cell r="AC91">
            <v>-7137863.1331412233</v>
          </cell>
          <cell r="AD91">
            <v>-9450804.8718575072</v>
          </cell>
          <cell r="AE91">
            <v>-11780901.864580482</v>
          </cell>
          <cell r="AF91">
            <v>-14128281.35306048</v>
          </cell>
          <cell r="AG91">
            <v>-16789899.82105105</v>
          </cell>
          <cell r="AH91">
            <v>-16701114.490488501</v>
          </cell>
          <cell r="AI91">
            <v>-16612329.159925953</v>
          </cell>
          <cell r="AJ91">
            <v>-16523543.829363404</v>
          </cell>
          <cell r="AK91">
            <v>-16259750.253499459</v>
          </cell>
          <cell r="AL91">
            <v>-15995956.677635515</v>
          </cell>
          <cell r="AM91">
            <v>-15732163.101771571</v>
          </cell>
          <cell r="AN91">
            <v>-15468369.525907626</v>
          </cell>
          <cell r="AO91">
            <v>-15161590.538024867</v>
          </cell>
          <cell r="AP91">
            <v>-14854811.550142108</v>
          </cell>
          <cell r="AQ91">
            <v>-14548032.562259348</v>
          </cell>
          <cell r="AR91">
            <v>-14241253.574376589</v>
          </cell>
          <cell r="AS91">
            <v>-13913503.992163558</v>
          </cell>
          <cell r="AT91">
            <v>-13585754.409950526</v>
          </cell>
          <cell r="AU91">
            <v>-13258004.827737495</v>
          </cell>
          <cell r="AV91">
            <v>-12930255.245524464</v>
          </cell>
          <cell r="AW91">
            <v>-12591034.427933978</v>
          </cell>
          <cell r="AX91">
            <v>-12251813.610343492</v>
          </cell>
          <cell r="AY91">
            <v>-11912592.792753005</v>
          </cell>
          <cell r="AZ91">
            <v>-11573371.975162519</v>
          </cell>
          <cell r="BA91">
            <v>-11219604.14207672</v>
          </cell>
          <cell r="BB91">
            <v>-10865836.308990918</v>
          </cell>
          <cell r="BC91">
            <v>-10512068.475905117</v>
          </cell>
          <cell r="BD91">
            <v>-10158300.642819315</v>
          </cell>
          <cell r="BE91">
            <v>-9794918.8224959467</v>
          </cell>
          <cell r="BF91">
            <v>-9431537.0021725781</v>
          </cell>
          <cell r="BG91">
            <v>-9068155.1818492096</v>
          </cell>
          <cell r="BH91">
            <v>-8704773.3615258411</v>
          </cell>
          <cell r="BI91">
            <v>-8328673.1774911536</v>
          </cell>
          <cell r="BJ91">
            <v>-7952572.9934564661</v>
          </cell>
          <cell r="BK91">
            <v>-7576472.8094217787</v>
          </cell>
          <cell r="BL91">
            <v>7467534.55196572</v>
          </cell>
        </row>
      </sheetData>
      <sheetData sheetId="1" refreshError="1"/>
      <sheetData sheetId="2" refreshError="1"/>
      <sheetData sheetId="3" refreshError="1"/>
      <sheetData sheetId="4" refreshError="1"/>
      <sheetData sheetId="5"/>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
      <sheetName val="Margen"/>
      <sheetName val="Fact. Mon."/>
      <sheetName val="Peaje"/>
      <sheetName val="Ingresos"/>
      <sheetName val="Nuevos Negocios"/>
      <sheetName val="Compras"/>
      <sheetName val="Otros Costos Var"/>
      <sheetName val="Remu"/>
      <sheetName val="Mat y Cont"/>
      <sheetName val="Fee Operador"/>
      <sheetName val="Prev y Amort"/>
      <sheetName val="Intereses"/>
      <sheetName val="Tenencia"/>
      <sheetName val="Extraordinarios"/>
      <sheetName val="Imp. Gan."/>
      <sheetName val="Balance"/>
      <sheetName val="End. Neto"/>
      <sheetName val="Créd. Vtas"/>
      <sheetName val="Inversiones"/>
      <sheetName val="Otros Créd."/>
      <sheetName val="B. Cambio"/>
      <sheetName val="B. Uso"/>
      <sheetName val="Gtos. Org."/>
      <sheetName val="Deu. Com."/>
      <sheetName val="Deu. Fin."/>
      <sheetName val="Deu. Soc."/>
      <sheetName val="Otras Deudas"/>
      <sheetName val="P. Neto"/>
      <sheetName val="Caja"/>
      <sheetName val="Flujo de caja  ML"/>
      <sheetName val="Flujo de caja  MMUSD"/>
      <sheetName val="EOAF"/>
      <sheetName val="Variables"/>
      <sheetName val="Escenarios"/>
      <sheetName val="COyM CODICE"/>
      <sheetName val="CODICE"/>
      <sheetName val="CODICE MENSUAL"/>
      <sheetName val="CODICE AXI"/>
      <sheetName val="Mix"/>
      <sheetName val="Ratios"/>
      <sheetName val="Páginas"/>
      <sheetName val="CUADROS"/>
      <sheetName val="UPA6 20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YNY creation rev1 32 FINAL"/>
      <sheetName val="#REF"/>
      <sheetName val="PRODUCTION"/>
      <sheetName val="Shows"/>
      <sheetName val="BURPR"/>
      <sheetName val="SUMMARY"/>
      <sheetName val="BV"/>
      <sheetName val="Trial Balance"/>
      <sheetName val="1 BU"/>
      <sheetName val="5 BU"/>
      <sheetName val="12 BU"/>
      <sheetName val="13 BU"/>
      <sheetName val="23 BU"/>
      <sheetName val="38 BU"/>
      <sheetName val="Sch Index"/>
      <sheetName val="Exchange Codes"/>
      <sheetName val="21 fixed assets"/>
      <sheetName val="représentations"/>
      <sheetName val="1 profees"/>
      <sheetName val="Rate"/>
      <sheetName val="TOT"/>
      <sheetName val="F-G"/>
      <sheetName val="Ex_x0002_hange Codes"/>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Summary Tables"/>
      <sheetName val="Summary Tables (All-In)"/>
      <sheetName val="Returns"/>
      <sheetName val="Assumptions"/>
      <sheetName val="Unlev"/>
      <sheetName val="Lev"/>
      <sheetName val="Tax"/>
      <sheetName val="Curve"/>
    </sheetNames>
    <sheetDataSet>
      <sheetData sheetId="0" refreshError="1"/>
      <sheetData sheetId="1" refreshError="1"/>
      <sheetData sheetId="2" refreshError="1"/>
      <sheetData sheetId="3" refreshError="1"/>
      <sheetData sheetId="4" refreshError="1">
        <row r="9">
          <cell r="E9" t="str">
            <v>Project Information</v>
          </cell>
          <cell r="J9" t="str">
            <v>Key Milestones</v>
          </cell>
          <cell r="R9" t="str">
            <v>Dev. Assumptions</v>
          </cell>
          <cell r="AK9" t="str">
            <v>Operating Assumptions</v>
          </cell>
          <cell r="AO9" t="str">
            <v>Operating Expenses</v>
          </cell>
          <cell r="BD9" t="str">
            <v>Debt Fees</v>
          </cell>
          <cell r="BG9" t="str">
            <v>Debt Service Reserve</v>
          </cell>
          <cell r="BL9" t="str">
            <v>Sale Assumptions</v>
          </cell>
          <cell r="BM9" t="str">
            <v>Terminal Value</v>
          </cell>
          <cell r="BR9" t="str">
            <v>Sales Tax Bridge Facility Assumptions</v>
          </cell>
        </row>
        <row r="10">
          <cell r="B10" t="str">
            <v>Tranche</v>
          </cell>
          <cell r="D10" t="str">
            <v>Project</v>
          </cell>
          <cell r="E10" t="str">
            <v>Project Size (kW/AC)</v>
          </cell>
          <cell r="F10" t="str">
            <v>Project Size (kW/DC)</v>
          </cell>
          <cell r="G10" t="str">
            <v>Production (kWh/ yr / kWDC)</v>
          </cell>
          <cell r="H10" t="str">
            <v>Capacity Factor</v>
          </cell>
          <cell r="I10" t="str">
            <v>Annual Production (MWh)</v>
          </cell>
          <cell r="J10" t="str">
            <v>Contract Awarded</v>
          </cell>
          <cell r="K10" t="str">
            <v>Const. Ins. Date</v>
          </cell>
          <cell r="L10" t="str">
            <v>Ins. Cons. Date</v>
          </cell>
          <cell r="M10" t="str">
            <v>Ind. Eng. Date</v>
          </cell>
          <cell r="N10" t="str">
            <v>Legal Date</v>
          </cell>
          <cell r="O10" t="str">
            <v>Final Comp.</v>
          </cell>
          <cell r="P10" t="str">
            <v>Fin. Close</v>
          </cell>
          <cell r="Q10" t="str">
            <v>Subs. Comp.</v>
          </cell>
          <cell r="R10" t="str">
            <v>Dev. Cost Date</v>
          </cell>
          <cell r="S10" t="str">
            <v>EPC Date</v>
          </cell>
          <cell r="T10" t="str">
            <v>Land Cost</v>
          </cell>
          <cell r="U10" t="str">
            <v>Pre-Dev Costs</v>
          </cell>
          <cell r="V10" t="str">
            <v>Dev. / Soft Costs</v>
          </cell>
          <cell r="W10" t="str">
            <v>CCRA</v>
          </cell>
          <cell r="X10" t="str">
            <v>Class A</v>
          </cell>
          <cell r="Y10" t="str">
            <v>Construction Insurance</v>
          </cell>
          <cell r="Z10" t="str">
            <v>EPC $/MWh</v>
          </cell>
          <cell r="AA10" t="str">
            <v>EPC Price</v>
          </cell>
          <cell r="AB10" t="str">
            <v>Contingency</v>
          </cell>
          <cell r="AC10" t="str">
            <v>Dev. Fee</v>
          </cell>
          <cell r="AD10" t="str">
            <v>Legal Costs</v>
          </cell>
          <cell r="AE10" t="str">
            <v>Independent Engineer</v>
          </cell>
          <cell r="AF10" t="str">
            <v>Insurance Consultant</v>
          </cell>
          <cell r="AG10" t="str">
            <v>Upfront Agency Fee</v>
          </cell>
          <cell r="AH10" t="str">
            <v>Purchase/Lease:</v>
          </cell>
          <cell r="AI10" t="str">
            <v>Refundable Dev.</v>
          </cell>
          <cell r="AJ10" t="str">
            <v>Refundable Interconnection</v>
          </cell>
          <cell r="AK10" t="str">
            <v>FIT / RESOP</v>
          </cell>
          <cell r="AL10" t="str">
            <v>OPA Rate</v>
          </cell>
          <cell r="AM10" t="str">
            <v>Inverter Reserve Term</v>
          </cell>
          <cell r="AN10" t="str">
            <v>Solar Degradation</v>
          </cell>
          <cell r="AO10" t="str">
            <v>Property Taxes</v>
          </cell>
          <cell r="AP10" t="str">
            <v>R &amp; M</v>
          </cell>
          <cell r="AQ10" t="str">
            <v xml:space="preserve">O&amp;M </v>
          </cell>
          <cell r="AR10" t="str">
            <v>Inverter Reserve $</v>
          </cell>
          <cell r="AS10" t="str">
            <v>Inverter Cost</v>
          </cell>
          <cell r="AT10" t="str">
            <v>Inv. Reserve interest</v>
          </cell>
          <cell r="AU10" t="str">
            <v>Travel Expense</v>
          </cell>
          <cell r="AV10" t="str">
            <v>Insurance</v>
          </cell>
          <cell r="AW10" t="str">
            <v>Land Lease</v>
          </cell>
          <cell r="AX10" t="str">
            <v>Agency Fees</v>
          </cell>
          <cell r="AY10" t="str">
            <v>Community Contributions</v>
          </cell>
          <cell r="AZ10" t="str">
            <v>Pro. Fees</v>
          </cell>
          <cell r="BA10" t="str">
            <v xml:space="preserve">Auxiliary Load </v>
          </cell>
          <cell r="BB10" t="str">
            <v>Prop. Mgmt</v>
          </cell>
          <cell r="BC10" t="str">
            <v>Debt</v>
          </cell>
          <cell r="BD10" t="str">
            <v>Arranging Fee</v>
          </cell>
          <cell r="BE10" t="str">
            <v>Advisory Fee</v>
          </cell>
          <cell r="BF10" t="str">
            <v>Structuring Fee</v>
          </cell>
          <cell r="BG10" t="str">
            <v>Debt Reserve Size</v>
          </cell>
          <cell r="BH10" t="str">
            <v>Initial Working Capital</v>
          </cell>
          <cell r="BI10" t="str">
            <v>Maturity</v>
          </cell>
          <cell r="BJ10" t="str">
            <v>Int. Rate</v>
          </cell>
          <cell r="BK10" t="str">
            <v>Hedging Fee</v>
          </cell>
          <cell r="BL10" t="str">
            <v>PPA Term</v>
          </cell>
          <cell r="BM10" t="str">
            <v>Terminal Value</v>
          </cell>
          <cell r="BN10" t="str">
            <v>Retail Rate</v>
          </cell>
          <cell r="BO10" t="str">
            <v>Inflation</v>
          </cell>
          <cell r="BP10" t="str">
            <v>Exit Multiple</v>
          </cell>
          <cell r="BQ10" t="str">
            <v>Cost of Sale</v>
          </cell>
          <cell r="BR10" t="str">
            <v>Sales Tax</v>
          </cell>
          <cell r="BS10" t="str">
            <v>STBF Fee</v>
          </cell>
          <cell r="BT10" t="str">
            <v>Commitment Fee</v>
          </cell>
          <cell r="BU10" t="str">
            <v>STBF Rate</v>
          </cell>
          <cell r="BV10" t="str">
            <v>STBF Repayment</v>
          </cell>
        </row>
        <row r="11">
          <cell r="B11" t="str">
            <v>C</v>
          </cell>
          <cell r="D11" t="str">
            <v>Glenarm LP</v>
          </cell>
          <cell r="E11">
            <v>10000</v>
          </cell>
          <cell r="F11">
            <v>11500</v>
          </cell>
          <cell r="G11">
            <v>1265</v>
          </cell>
          <cell r="H11">
            <v>0.14440639269406394</v>
          </cell>
          <cell r="I11">
            <v>14547.5</v>
          </cell>
          <cell r="J11">
            <v>40633</v>
          </cell>
          <cell r="K11">
            <v>41243</v>
          </cell>
          <cell r="L11">
            <v>41243</v>
          </cell>
          <cell r="M11">
            <v>41243</v>
          </cell>
          <cell r="N11">
            <v>41243</v>
          </cell>
          <cell r="O11">
            <v>41394</v>
          </cell>
          <cell r="P11">
            <v>41363</v>
          </cell>
          <cell r="Q11">
            <v>41363</v>
          </cell>
          <cell r="R11">
            <v>40969</v>
          </cell>
          <cell r="S11">
            <v>41363</v>
          </cell>
          <cell r="T11">
            <v>700000</v>
          </cell>
          <cell r="U11">
            <v>50000</v>
          </cell>
          <cell r="V11">
            <v>350000</v>
          </cell>
          <cell r="W11">
            <v>2071635</v>
          </cell>
          <cell r="X11">
            <v>100000</v>
          </cell>
          <cell r="Y11">
            <v>200000</v>
          </cell>
          <cell r="Z11">
            <v>3.25</v>
          </cell>
          <cell r="AA11">
            <v>37375000</v>
          </cell>
          <cell r="AB11">
            <v>0.1</v>
          </cell>
          <cell r="AC11">
            <v>0.05</v>
          </cell>
          <cell r="AD11">
            <v>300000</v>
          </cell>
          <cell r="AE11">
            <v>150000</v>
          </cell>
          <cell r="AF11">
            <v>25000</v>
          </cell>
          <cell r="AG11">
            <v>75000</v>
          </cell>
          <cell r="AH11" t="str">
            <v>Purchase</v>
          </cell>
          <cell r="AI11">
            <v>0</v>
          </cell>
          <cell r="AJ11">
            <v>0</v>
          </cell>
          <cell r="AK11" t="str">
            <v>FIT</v>
          </cell>
          <cell r="AL11">
            <v>0.443</v>
          </cell>
          <cell r="AM11">
            <v>15</v>
          </cell>
          <cell r="AN11">
            <v>5.0000000000000001E-3</v>
          </cell>
          <cell r="AO11">
            <v>25000</v>
          </cell>
          <cell r="AP11">
            <v>75000</v>
          </cell>
          <cell r="AQ11">
            <v>212750</v>
          </cell>
          <cell r="AR11">
            <v>115000</v>
          </cell>
          <cell r="AS11">
            <v>2057000</v>
          </cell>
          <cell r="AT11">
            <v>5.0000000000000001E-3</v>
          </cell>
          <cell r="AU11">
            <v>15000</v>
          </cell>
          <cell r="AV11">
            <v>100000</v>
          </cell>
          <cell r="AW11">
            <v>0</v>
          </cell>
          <cell r="AX11">
            <v>75000</v>
          </cell>
          <cell r="AY11">
            <v>20000</v>
          </cell>
          <cell r="AZ11">
            <v>20000</v>
          </cell>
          <cell r="BA11">
            <v>175</v>
          </cell>
          <cell r="BB11">
            <v>0</v>
          </cell>
          <cell r="BC11">
            <v>0.75</v>
          </cell>
          <cell r="BD11">
            <v>0.01</v>
          </cell>
          <cell r="BE11">
            <v>7.4999999999999997E-3</v>
          </cell>
          <cell r="BF11">
            <v>1.2500000000000001E-2</v>
          </cell>
          <cell r="BG11">
            <v>1</v>
          </cell>
          <cell r="BH11">
            <v>600</v>
          </cell>
          <cell r="BI11">
            <v>20</v>
          </cell>
          <cell r="BJ11">
            <v>7.4999999999999997E-2</v>
          </cell>
          <cell r="BK11">
            <v>0</v>
          </cell>
          <cell r="BL11">
            <v>20</v>
          </cell>
          <cell r="BM11" t="str">
            <v>Yes</v>
          </cell>
          <cell r="BN11">
            <v>6.5000000000000002E-2</v>
          </cell>
          <cell r="BO11">
            <v>0.02</v>
          </cell>
          <cell r="BP11">
            <v>10</v>
          </cell>
          <cell r="BQ11">
            <v>0.02</v>
          </cell>
          <cell r="BR11">
            <v>0.13</v>
          </cell>
          <cell r="BS11">
            <v>0.03</v>
          </cell>
          <cell r="BT11">
            <v>1.0999999999999999E-2</v>
          </cell>
          <cell r="BU11">
            <v>4.4999999999999998E-2</v>
          </cell>
          <cell r="BV11">
            <v>4</v>
          </cell>
        </row>
        <row r="12">
          <cell r="B12" t="str">
            <v>C</v>
          </cell>
          <cell r="D12" t="str">
            <v>Highlight LP</v>
          </cell>
          <cell r="E12">
            <v>10000</v>
          </cell>
          <cell r="F12">
            <v>11500</v>
          </cell>
          <cell r="G12">
            <v>1265</v>
          </cell>
          <cell r="H12">
            <v>0.14440639269406394</v>
          </cell>
          <cell r="I12">
            <v>14547.5</v>
          </cell>
          <cell r="J12">
            <v>40633</v>
          </cell>
          <cell r="K12">
            <v>41243</v>
          </cell>
          <cell r="L12">
            <v>41243</v>
          </cell>
          <cell r="M12">
            <v>41243</v>
          </cell>
          <cell r="N12">
            <v>41243</v>
          </cell>
          <cell r="O12">
            <v>41394</v>
          </cell>
          <cell r="P12">
            <v>41363</v>
          </cell>
          <cell r="Q12">
            <v>41363</v>
          </cell>
          <cell r="R12">
            <v>40969</v>
          </cell>
          <cell r="S12">
            <v>41363</v>
          </cell>
          <cell r="T12">
            <v>0</v>
          </cell>
          <cell r="U12">
            <v>50000</v>
          </cell>
          <cell r="V12">
            <v>350000</v>
          </cell>
          <cell r="W12">
            <v>1019000</v>
          </cell>
          <cell r="X12">
            <v>100000</v>
          </cell>
          <cell r="Y12">
            <v>200000</v>
          </cell>
          <cell r="Z12">
            <v>3.25</v>
          </cell>
          <cell r="AA12">
            <v>37375000</v>
          </cell>
          <cell r="AB12">
            <v>0.1</v>
          </cell>
          <cell r="AC12">
            <v>0.05</v>
          </cell>
          <cell r="AD12">
            <v>300000</v>
          </cell>
          <cell r="AE12">
            <v>150000</v>
          </cell>
          <cell r="AF12">
            <v>25000</v>
          </cell>
          <cell r="AG12">
            <v>75000</v>
          </cell>
          <cell r="AH12" t="str">
            <v>Lease</v>
          </cell>
          <cell r="AI12">
            <v>0</v>
          </cell>
          <cell r="AJ12">
            <v>0</v>
          </cell>
          <cell r="AK12" t="str">
            <v>FIT</v>
          </cell>
          <cell r="AL12">
            <v>0.443</v>
          </cell>
          <cell r="AM12">
            <v>15</v>
          </cell>
          <cell r="AN12">
            <v>5.0000000000000001E-3</v>
          </cell>
          <cell r="AO12">
            <v>25000</v>
          </cell>
          <cell r="AP12">
            <v>75000</v>
          </cell>
          <cell r="AQ12">
            <v>212750</v>
          </cell>
          <cell r="AR12">
            <v>115000</v>
          </cell>
          <cell r="AS12">
            <v>2057000</v>
          </cell>
          <cell r="AT12">
            <v>5.0000000000000001E-3</v>
          </cell>
          <cell r="AU12">
            <v>15000</v>
          </cell>
          <cell r="AV12">
            <v>100000</v>
          </cell>
          <cell r="AW12">
            <v>60000</v>
          </cell>
          <cell r="AX12">
            <v>75000</v>
          </cell>
          <cell r="AY12">
            <v>20000</v>
          </cell>
          <cell r="AZ12">
            <v>20000</v>
          </cell>
          <cell r="BA12">
            <v>175</v>
          </cell>
          <cell r="BB12">
            <v>0</v>
          </cell>
          <cell r="BC12">
            <v>0.75</v>
          </cell>
          <cell r="BD12">
            <v>0.01</v>
          </cell>
          <cell r="BE12">
            <v>7.4999999999999997E-3</v>
          </cell>
          <cell r="BF12">
            <v>1.2500000000000001E-2</v>
          </cell>
          <cell r="BG12">
            <v>1</v>
          </cell>
          <cell r="BH12">
            <v>625</v>
          </cell>
          <cell r="BI12">
            <v>20</v>
          </cell>
          <cell r="BJ12">
            <v>7.4999999999999997E-2</v>
          </cell>
          <cell r="BK12">
            <v>0</v>
          </cell>
          <cell r="BL12">
            <v>20</v>
          </cell>
          <cell r="BM12" t="str">
            <v>Yes</v>
          </cell>
          <cell r="BN12">
            <v>6.5000000000000002E-2</v>
          </cell>
          <cell r="BO12">
            <v>0.02</v>
          </cell>
          <cell r="BP12">
            <v>10</v>
          </cell>
          <cell r="BQ12">
            <v>0.02</v>
          </cell>
          <cell r="BR12">
            <v>0.13</v>
          </cell>
          <cell r="BS12">
            <v>0.03</v>
          </cell>
          <cell r="BT12">
            <v>1.0999999999999999E-2</v>
          </cell>
          <cell r="BU12">
            <v>4.4999999999999998E-2</v>
          </cell>
          <cell r="BV12">
            <v>4</v>
          </cell>
        </row>
        <row r="13">
          <cell r="B13" t="str">
            <v>C</v>
          </cell>
          <cell r="D13" t="str">
            <v>Aria LP</v>
          </cell>
          <cell r="E13">
            <v>9000</v>
          </cell>
          <cell r="F13">
            <v>10350</v>
          </cell>
          <cell r="G13">
            <v>1265</v>
          </cell>
          <cell r="H13">
            <v>0.14440639269406394</v>
          </cell>
          <cell r="I13">
            <v>13092.75</v>
          </cell>
          <cell r="J13">
            <v>40633</v>
          </cell>
          <cell r="K13">
            <v>41243</v>
          </cell>
          <cell r="L13">
            <v>41243</v>
          </cell>
          <cell r="M13">
            <v>41243</v>
          </cell>
          <cell r="N13">
            <v>41243</v>
          </cell>
          <cell r="O13">
            <v>41394</v>
          </cell>
          <cell r="P13">
            <v>41363</v>
          </cell>
          <cell r="Q13">
            <v>41363</v>
          </cell>
          <cell r="R13">
            <v>41183</v>
          </cell>
          <cell r="S13">
            <v>41363</v>
          </cell>
          <cell r="T13">
            <v>0</v>
          </cell>
          <cell r="U13">
            <v>50000</v>
          </cell>
          <cell r="V13">
            <v>350000</v>
          </cell>
          <cell r="W13">
            <v>2127500</v>
          </cell>
          <cell r="X13">
            <v>100000</v>
          </cell>
          <cell r="Y13">
            <v>200000</v>
          </cell>
          <cell r="Z13">
            <v>3.25</v>
          </cell>
          <cell r="AA13">
            <v>33637500</v>
          </cell>
          <cell r="AB13">
            <v>0.1</v>
          </cell>
          <cell r="AC13">
            <v>0.05</v>
          </cell>
          <cell r="AD13">
            <v>300000</v>
          </cell>
          <cell r="AE13">
            <v>150000</v>
          </cell>
          <cell r="AF13">
            <v>25000</v>
          </cell>
          <cell r="AG13">
            <v>75000</v>
          </cell>
          <cell r="AH13" t="str">
            <v>Lease</v>
          </cell>
          <cell r="AI13">
            <v>0</v>
          </cell>
          <cell r="AJ13">
            <v>0</v>
          </cell>
          <cell r="AK13" t="str">
            <v>FIT</v>
          </cell>
          <cell r="AL13">
            <v>0.443</v>
          </cell>
          <cell r="AM13">
            <v>15</v>
          </cell>
          <cell r="AN13">
            <v>5.0000000000000001E-3</v>
          </cell>
          <cell r="AO13">
            <v>25000</v>
          </cell>
          <cell r="AP13">
            <v>75000</v>
          </cell>
          <cell r="AQ13">
            <v>212750</v>
          </cell>
          <cell r="AR13">
            <v>115000</v>
          </cell>
          <cell r="AS13">
            <v>2057000</v>
          </cell>
          <cell r="AT13">
            <v>5.0000000000000001E-3</v>
          </cell>
          <cell r="AU13">
            <v>15000</v>
          </cell>
          <cell r="AV13">
            <v>100000</v>
          </cell>
          <cell r="AW13">
            <v>80000</v>
          </cell>
          <cell r="AX13">
            <v>75000</v>
          </cell>
          <cell r="AY13">
            <v>20000</v>
          </cell>
          <cell r="AZ13">
            <v>20000</v>
          </cell>
          <cell r="BA13">
            <v>175</v>
          </cell>
          <cell r="BB13">
            <v>0</v>
          </cell>
          <cell r="BC13">
            <v>0.75</v>
          </cell>
          <cell r="BD13">
            <v>0.01</v>
          </cell>
          <cell r="BE13">
            <v>7.4999999999999997E-3</v>
          </cell>
          <cell r="BF13">
            <v>1.2500000000000001E-2</v>
          </cell>
          <cell r="BG13">
            <v>1</v>
          </cell>
          <cell r="BH13">
            <v>600</v>
          </cell>
          <cell r="BI13">
            <v>20</v>
          </cell>
          <cell r="BJ13">
            <v>7.4999999999999997E-2</v>
          </cell>
          <cell r="BK13">
            <v>0</v>
          </cell>
          <cell r="BL13">
            <v>20</v>
          </cell>
          <cell r="BM13" t="str">
            <v>Yes</v>
          </cell>
          <cell r="BN13">
            <v>6.5000000000000002E-2</v>
          </cell>
          <cell r="BO13">
            <v>0.02</v>
          </cell>
          <cell r="BP13">
            <v>10</v>
          </cell>
          <cell r="BQ13">
            <v>0.02</v>
          </cell>
          <cell r="BR13">
            <v>0.13</v>
          </cell>
          <cell r="BS13">
            <v>0.03</v>
          </cell>
          <cell r="BT13">
            <v>1.0999999999999999E-2</v>
          </cell>
          <cell r="BU13">
            <v>4.4999999999999998E-2</v>
          </cell>
          <cell r="BV13">
            <v>4</v>
          </cell>
        </row>
        <row r="14">
          <cell r="B14" t="str">
            <v>C</v>
          </cell>
          <cell r="D14" t="str">
            <v>BeamLight LP</v>
          </cell>
          <cell r="E14">
            <v>10000</v>
          </cell>
          <cell r="F14">
            <v>11500</v>
          </cell>
          <cell r="G14">
            <v>1265</v>
          </cell>
          <cell r="H14">
            <v>0.14440639269406394</v>
          </cell>
          <cell r="I14">
            <v>14547.5</v>
          </cell>
          <cell r="J14">
            <v>40633</v>
          </cell>
          <cell r="K14">
            <v>41243</v>
          </cell>
          <cell r="L14">
            <v>41243</v>
          </cell>
          <cell r="M14">
            <v>41243</v>
          </cell>
          <cell r="N14">
            <v>41243</v>
          </cell>
          <cell r="O14">
            <v>41394</v>
          </cell>
          <cell r="P14">
            <v>41363</v>
          </cell>
          <cell r="Q14">
            <v>41363</v>
          </cell>
          <cell r="R14">
            <v>41183</v>
          </cell>
          <cell r="S14">
            <v>41363</v>
          </cell>
          <cell r="T14">
            <v>0</v>
          </cell>
          <cell r="U14">
            <v>50000</v>
          </cell>
          <cell r="V14">
            <v>350000</v>
          </cell>
          <cell r="W14">
            <v>1572500</v>
          </cell>
          <cell r="X14">
            <v>100000</v>
          </cell>
          <cell r="Y14">
            <v>200000</v>
          </cell>
          <cell r="Z14">
            <v>3.25</v>
          </cell>
          <cell r="AA14">
            <v>37375000</v>
          </cell>
          <cell r="AB14">
            <v>0.1</v>
          </cell>
          <cell r="AC14">
            <v>0.05</v>
          </cell>
          <cell r="AD14">
            <v>300000</v>
          </cell>
          <cell r="AE14">
            <v>150000</v>
          </cell>
          <cell r="AF14">
            <v>25000</v>
          </cell>
          <cell r="AG14">
            <v>75000</v>
          </cell>
          <cell r="AH14" t="str">
            <v>Lease</v>
          </cell>
          <cell r="AI14">
            <v>0</v>
          </cell>
          <cell r="AJ14">
            <v>0</v>
          </cell>
          <cell r="AK14" t="str">
            <v>FIT</v>
          </cell>
          <cell r="AL14">
            <v>0.443</v>
          </cell>
          <cell r="AM14">
            <v>15</v>
          </cell>
          <cell r="AN14">
            <v>5.0000000000000001E-3</v>
          </cell>
          <cell r="AO14">
            <v>25000</v>
          </cell>
          <cell r="AP14">
            <v>75000</v>
          </cell>
          <cell r="AQ14">
            <v>212750</v>
          </cell>
          <cell r="AR14">
            <v>115000</v>
          </cell>
          <cell r="AS14">
            <v>2057000</v>
          </cell>
          <cell r="AT14">
            <v>5.0000000000000001E-3</v>
          </cell>
          <cell r="AU14">
            <v>15000</v>
          </cell>
          <cell r="AV14">
            <v>100000</v>
          </cell>
          <cell r="AW14">
            <v>60000</v>
          </cell>
          <cell r="AX14">
            <v>75000</v>
          </cell>
          <cell r="AY14">
            <v>20000</v>
          </cell>
          <cell r="AZ14">
            <v>20000</v>
          </cell>
          <cell r="BA14">
            <v>175</v>
          </cell>
          <cell r="BB14">
            <v>0</v>
          </cell>
          <cell r="BC14">
            <v>0.75</v>
          </cell>
          <cell r="BD14">
            <v>0.01</v>
          </cell>
          <cell r="BE14">
            <v>7.4999999999999997E-3</v>
          </cell>
          <cell r="BF14">
            <v>1.2500000000000001E-2</v>
          </cell>
          <cell r="BG14">
            <v>1</v>
          </cell>
          <cell r="BH14">
            <v>600</v>
          </cell>
          <cell r="BI14">
            <v>20</v>
          </cell>
          <cell r="BJ14">
            <v>7.4999999999999997E-2</v>
          </cell>
          <cell r="BK14">
            <v>0</v>
          </cell>
          <cell r="BL14">
            <v>20</v>
          </cell>
          <cell r="BM14" t="str">
            <v>Yes</v>
          </cell>
          <cell r="BN14">
            <v>6.5000000000000002E-2</v>
          </cell>
          <cell r="BO14">
            <v>0.02</v>
          </cell>
          <cell r="BP14">
            <v>10</v>
          </cell>
          <cell r="BQ14">
            <v>0.02</v>
          </cell>
          <cell r="BR14">
            <v>0.13</v>
          </cell>
          <cell r="BS14">
            <v>0.03</v>
          </cell>
          <cell r="BT14">
            <v>1.0999999999999999E-2</v>
          </cell>
          <cell r="BU14">
            <v>4.4999999999999998E-2</v>
          </cell>
          <cell r="BV14">
            <v>4</v>
          </cell>
        </row>
        <row r="15">
          <cell r="B15" t="str">
            <v>C</v>
          </cell>
          <cell r="D15" t="str">
            <v>CityLights LP</v>
          </cell>
          <cell r="E15">
            <v>10000</v>
          </cell>
          <cell r="F15">
            <v>11500</v>
          </cell>
          <cell r="G15">
            <v>1250</v>
          </cell>
          <cell r="H15">
            <v>0.14269406392694065</v>
          </cell>
          <cell r="I15">
            <v>14375</v>
          </cell>
          <cell r="J15">
            <v>40633</v>
          </cell>
          <cell r="K15">
            <v>41243</v>
          </cell>
          <cell r="L15">
            <v>41243</v>
          </cell>
          <cell r="M15">
            <v>41243</v>
          </cell>
          <cell r="N15">
            <v>41243</v>
          </cell>
          <cell r="O15">
            <v>41394</v>
          </cell>
          <cell r="P15">
            <v>41363</v>
          </cell>
          <cell r="Q15">
            <v>41363</v>
          </cell>
          <cell r="R15">
            <v>41183</v>
          </cell>
          <cell r="S15">
            <v>41363</v>
          </cell>
          <cell r="T15">
            <v>0</v>
          </cell>
          <cell r="U15">
            <v>50000</v>
          </cell>
          <cell r="V15">
            <v>350000</v>
          </cell>
          <cell r="W15">
            <v>972500</v>
          </cell>
          <cell r="X15">
            <v>100000</v>
          </cell>
          <cell r="Y15">
            <v>200000</v>
          </cell>
          <cell r="Z15">
            <v>3.25</v>
          </cell>
          <cell r="AA15">
            <v>37375000</v>
          </cell>
          <cell r="AB15">
            <v>0.1</v>
          </cell>
          <cell r="AC15">
            <v>0.05</v>
          </cell>
          <cell r="AD15">
            <v>300000</v>
          </cell>
          <cell r="AE15">
            <v>150000</v>
          </cell>
          <cell r="AF15">
            <v>25000</v>
          </cell>
          <cell r="AG15">
            <v>75000</v>
          </cell>
          <cell r="AH15" t="str">
            <v>Lease</v>
          </cell>
          <cell r="AI15">
            <v>0</v>
          </cell>
          <cell r="AJ15">
            <v>0</v>
          </cell>
          <cell r="AK15" t="str">
            <v>FIT</v>
          </cell>
          <cell r="AL15">
            <v>0.443</v>
          </cell>
          <cell r="AM15">
            <v>15</v>
          </cell>
          <cell r="AN15">
            <v>5.0000000000000001E-3</v>
          </cell>
          <cell r="AO15">
            <v>25000</v>
          </cell>
          <cell r="AP15">
            <v>75000</v>
          </cell>
          <cell r="AQ15">
            <v>212750</v>
          </cell>
          <cell r="AR15">
            <v>115000</v>
          </cell>
          <cell r="AS15">
            <v>2057000</v>
          </cell>
          <cell r="AT15">
            <v>5.0000000000000001E-3</v>
          </cell>
          <cell r="AU15">
            <v>15000</v>
          </cell>
          <cell r="AV15">
            <v>100000</v>
          </cell>
          <cell r="AW15">
            <v>70000</v>
          </cell>
          <cell r="AX15">
            <v>75000</v>
          </cell>
          <cell r="AY15">
            <v>20000</v>
          </cell>
          <cell r="AZ15">
            <v>20000</v>
          </cell>
          <cell r="BA15">
            <v>175</v>
          </cell>
          <cell r="BB15">
            <v>0</v>
          </cell>
          <cell r="BC15">
            <v>0.75</v>
          </cell>
          <cell r="BD15">
            <v>0.01</v>
          </cell>
          <cell r="BE15">
            <v>7.4999999999999997E-3</v>
          </cell>
          <cell r="BF15">
            <v>1.2500000000000001E-2</v>
          </cell>
          <cell r="BG15">
            <v>1</v>
          </cell>
          <cell r="BH15">
            <v>600</v>
          </cell>
          <cell r="BI15">
            <v>20</v>
          </cell>
          <cell r="BJ15">
            <v>7.4999999999999997E-2</v>
          </cell>
          <cell r="BK15">
            <v>0</v>
          </cell>
          <cell r="BL15">
            <v>20</v>
          </cell>
          <cell r="BM15" t="str">
            <v>Yes</v>
          </cell>
          <cell r="BN15">
            <v>6.5000000000000002E-2</v>
          </cell>
          <cell r="BO15">
            <v>0.02</v>
          </cell>
          <cell r="BP15">
            <v>10</v>
          </cell>
          <cell r="BQ15">
            <v>0.02</v>
          </cell>
          <cell r="BR15">
            <v>0.13</v>
          </cell>
          <cell r="BS15">
            <v>0.03</v>
          </cell>
          <cell r="BT15">
            <v>1.0999999999999999E-2</v>
          </cell>
          <cell r="BU15">
            <v>4.4999999999999998E-2</v>
          </cell>
          <cell r="BV15">
            <v>4</v>
          </cell>
        </row>
        <row r="16">
          <cell r="B16" t="str">
            <v>C</v>
          </cell>
          <cell r="D16" t="str">
            <v>DiscoveryLight LP</v>
          </cell>
          <cell r="E16">
            <v>10000</v>
          </cell>
          <cell r="F16">
            <v>11500</v>
          </cell>
          <cell r="G16">
            <v>1265</v>
          </cell>
          <cell r="H16">
            <v>0.14440639269406394</v>
          </cell>
          <cell r="I16">
            <v>14547.5</v>
          </cell>
          <cell r="J16">
            <v>40633</v>
          </cell>
          <cell r="K16">
            <v>41243</v>
          </cell>
          <cell r="L16">
            <v>41243</v>
          </cell>
          <cell r="M16">
            <v>41243</v>
          </cell>
          <cell r="N16">
            <v>41243</v>
          </cell>
          <cell r="O16">
            <v>41394</v>
          </cell>
          <cell r="P16">
            <v>41363</v>
          </cell>
          <cell r="Q16">
            <v>41363</v>
          </cell>
          <cell r="R16">
            <v>41183</v>
          </cell>
          <cell r="S16">
            <v>41363</v>
          </cell>
          <cell r="T16">
            <v>0</v>
          </cell>
          <cell r="U16">
            <v>50000</v>
          </cell>
          <cell r="V16">
            <v>350000</v>
          </cell>
          <cell r="W16">
            <v>972500</v>
          </cell>
          <cell r="X16">
            <v>100000</v>
          </cell>
          <cell r="Y16">
            <v>200000</v>
          </cell>
          <cell r="Z16">
            <v>3.25</v>
          </cell>
          <cell r="AA16">
            <v>37375000</v>
          </cell>
          <cell r="AB16">
            <v>0.1</v>
          </cell>
          <cell r="AC16">
            <v>0.05</v>
          </cell>
          <cell r="AD16">
            <v>300000</v>
          </cell>
          <cell r="AE16">
            <v>150000</v>
          </cell>
          <cell r="AF16">
            <v>25000</v>
          </cell>
          <cell r="AG16">
            <v>75000</v>
          </cell>
          <cell r="AH16" t="str">
            <v>Lease</v>
          </cell>
          <cell r="AI16">
            <v>0</v>
          </cell>
          <cell r="AJ16">
            <v>0</v>
          </cell>
          <cell r="AK16" t="str">
            <v>FIT</v>
          </cell>
          <cell r="AL16">
            <v>0.443</v>
          </cell>
          <cell r="AM16">
            <v>15</v>
          </cell>
          <cell r="AN16">
            <v>5.0000000000000001E-3</v>
          </cell>
          <cell r="AO16">
            <v>25000</v>
          </cell>
          <cell r="AP16">
            <v>75000</v>
          </cell>
          <cell r="AQ16">
            <v>212750</v>
          </cell>
          <cell r="AR16">
            <v>115000</v>
          </cell>
          <cell r="AS16">
            <v>2057000</v>
          </cell>
          <cell r="AT16">
            <v>5.0000000000000001E-3</v>
          </cell>
          <cell r="AU16">
            <v>15000</v>
          </cell>
          <cell r="AV16">
            <v>100000</v>
          </cell>
          <cell r="AW16">
            <v>72680</v>
          </cell>
          <cell r="AX16">
            <v>75000</v>
          </cell>
          <cell r="AY16">
            <v>20000</v>
          </cell>
          <cell r="AZ16">
            <v>20000</v>
          </cell>
          <cell r="BA16">
            <v>175</v>
          </cell>
          <cell r="BB16">
            <v>0</v>
          </cell>
          <cell r="BC16">
            <v>0.75</v>
          </cell>
          <cell r="BD16">
            <v>0.01</v>
          </cell>
          <cell r="BE16">
            <v>7.4999999999999997E-3</v>
          </cell>
          <cell r="BF16">
            <v>1.2500000000000001E-2</v>
          </cell>
          <cell r="BG16">
            <v>1</v>
          </cell>
          <cell r="BH16">
            <v>600</v>
          </cell>
          <cell r="BI16">
            <v>20</v>
          </cell>
          <cell r="BJ16">
            <v>7.4999999999999997E-2</v>
          </cell>
          <cell r="BK16">
            <v>0</v>
          </cell>
          <cell r="BL16">
            <v>20</v>
          </cell>
          <cell r="BM16" t="str">
            <v>Yes</v>
          </cell>
          <cell r="BN16">
            <v>6.5000000000000002E-2</v>
          </cell>
          <cell r="BO16">
            <v>0.02</v>
          </cell>
          <cell r="BP16">
            <v>10</v>
          </cell>
          <cell r="BQ16">
            <v>0.02</v>
          </cell>
          <cell r="BR16">
            <v>0.13</v>
          </cell>
          <cell r="BS16">
            <v>0.03</v>
          </cell>
          <cell r="BT16">
            <v>1.0999999999999999E-2</v>
          </cell>
          <cell r="BU16">
            <v>4.4999999999999998E-2</v>
          </cell>
          <cell r="BV16">
            <v>4</v>
          </cell>
        </row>
        <row r="17">
          <cell r="B17" t="str">
            <v>C</v>
          </cell>
          <cell r="D17" t="str">
            <v>EarthLight LP</v>
          </cell>
          <cell r="E17">
            <v>10000</v>
          </cell>
          <cell r="F17">
            <v>11500</v>
          </cell>
          <cell r="G17">
            <v>1265</v>
          </cell>
          <cell r="H17">
            <v>0.14440639269406394</v>
          </cell>
          <cell r="I17">
            <v>14547.5</v>
          </cell>
          <cell r="J17">
            <v>40633</v>
          </cell>
          <cell r="K17">
            <v>41243</v>
          </cell>
          <cell r="L17">
            <v>41243</v>
          </cell>
          <cell r="M17">
            <v>41243</v>
          </cell>
          <cell r="N17">
            <v>41243</v>
          </cell>
          <cell r="O17">
            <v>41394</v>
          </cell>
          <cell r="P17">
            <v>41363</v>
          </cell>
          <cell r="Q17">
            <v>41363</v>
          </cell>
          <cell r="R17">
            <v>41183</v>
          </cell>
          <cell r="S17">
            <v>41363</v>
          </cell>
          <cell r="T17">
            <v>0</v>
          </cell>
          <cell r="U17">
            <v>50000</v>
          </cell>
          <cell r="V17">
            <v>350000</v>
          </cell>
          <cell r="W17">
            <v>1685000</v>
          </cell>
          <cell r="X17">
            <v>100000</v>
          </cell>
          <cell r="Y17">
            <v>200000</v>
          </cell>
          <cell r="Z17">
            <v>3.25</v>
          </cell>
          <cell r="AA17">
            <v>37375000</v>
          </cell>
          <cell r="AB17">
            <v>0.1</v>
          </cell>
          <cell r="AC17">
            <v>0.05</v>
          </cell>
          <cell r="AD17">
            <v>300000</v>
          </cell>
          <cell r="AE17">
            <v>150000</v>
          </cell>
          <cell r="AF17">
            <v>25000</v>
          </cell>
          <cell r="AG17">
            <v>75000</v>
          </cell>
          <cell r="AH17" t="str">
            <v>Lease</v>
          </cell>
          <cell r="AI17">
            <v>0</v>
          </cell>
          <cell r="AJ17">
            <v>0</v>
          </cell>
          <cell r="AK17" t="str">
            <v>FIT</v>
          </cell>
          <cell r="AL17">
            <v>0.443</v>
          </cell>
          <cell r="AM17">
            <v>15</v>
          </cell>
          <cell r="AN17">
            <v>5.0000000000000001E-3</v>
          </cell>
          <cell r="AO17">
            <v>25000</v>
          </cell>
          <cell r="AP17">
            <v>75000</v>
          </cell>
          <cell r="AQ17">
            <v>212750</v>
          </cell>
          <cell r="AR17">
            <v>115000</v>
          </cell>
          <cell r="AS17">
            <v>2057000</v>
          </cell>
          <cell r="AT17">
            <v>5.0000000000000001E-3</v>
          </cell>
          <cell r="AU17">
            <v>15000</v>
          </cell>
          <cell r="AV17">
            <v>100000</v>
          </cell>
          <cell r="AW17">
            <v>60000</v>
          </cell>
          <cell r="AX17">
            <v>75000</v>
          </cell>
          <cell r="AY17">
            <v>20000</v>
          </cell>
          <cell r="AZ17">
            <v>20000</v>
          </cell>
          <cell r="BA17">
            <v>175</v>
          </cell>
          <cell r="BB17">
            <v>0</v>
          </cell>
          <cell r="BC17">
            <v>0.75</v>
          </cell>
          <cell r="BD17">
            <v>0.01</v>
          </cell>
          <cell r="BE17">
            <v>7.4999999999999997E-3</v>
          </cell>
          <cell r="BF17">
            <v>1.2500000000000001E-2</v>
          </cell>
          <cell r="BG17">
            <v>1</v>
          </cell>
          <cell r="BH17">
            <v>600</v>
          </cell>
          <cell r="BI17">
            <v>20</v>
          </cell>
          <cell r="BJ17">
            <v>7.4999999999999997E-2</v>
          </cell>
          <cell r="BK17">
            <v>0</v>
          </cell>
          <cell r="BL17">
            <v>20</v>
          </cell>
          <cell r="BM17" t="str">
            <v>Yes</v>
          </cell>
          <cell r="BN17">
            <v>6.5000000000000002E-2</v>
          </cell>
          <cell r="BO17">
            <v>0.02</v>
          </cell>
          <cell r="BP17">
            <v>10</v>
          </cell>
          <cell r="BQ17">
            <v>0.02</v>
          </cell>
          <cell r="BR17">
            <v>0.13</v>
          </cell>
          <cell r="BS17">
            <v>0.03</v>
          </cell>
          <cell r="BT17">
            <v>1.0999999999999999E-2</v>
          </cell>
          <cell r="BU17">
            <v>4.4999999999999998E-2</v>
          </cell>
          <cell r="BV17">
            <v>4</v>
          </cell>
        </row>
        <row r="18">
          <cell r="B18" t="str">
            <v>C</v>
          </cell>
          <cell r="D18" t="str">
            <v>FotoLight LP</v>
          </cell>
          <cell r="E18">
            <v>10000</v>
          </cell>
          <cell r="F18">
            <v>11500</v>
          </cell>
          <cell r="G18">
            <v>1280</v>
          </cell>
          <cell r="H18">
            <v>0.14611872146118721</v>
          </cell>
          <cell r="I18">
            <v>14719.999999999998</v>
          </cell>
          <cell r="J18">
            <v>40633</v>
          </cell>
          <cell r="K18">
            <v>41243</v>
          </cell>
          <cell r="L18">
            <v>41243</v>
          </cell>
          <cell r="M18">
            <v>41243</v>
          </cell>
          <cell r="N18">
            <v>41243</v>
          </cell>
          <cell r="O18">
            <v>41394</v>
          </cell>
          <cell r="P18">
            <v>41363</v>
          </cell>
          <cell r="Q18">
            <v>41363</v>
          </cell>
          <cell r="R18">
            <v>41183</v>
          </cell>
          <cell r="S18">
            <v>41363</v>
          </cell>
          <cell r="T18">
            <v>385000</v>
          </cell>
          <cell r="U18">
            <v>50000</v>
          </cell>
          <cell r="V18">
            <v>350000</v>
          </cell>
          <cell r="W18">
            <v>1347500</v>
          </cell>
          <cell r="X18">
            <v>100000</v>
          </cell>
          <cell r="Y18">
            <v>200000</v>
          </cell>
          <cell r="Z18">
            <v>3.25</v>
          </cell>
          <cell r="AA18">
            <v>37375000</v>
          </cell>
          <cell r="AB18">
            <v>0.1</v>
          </cell>
          <cell r="AC18">
            <v>0.05</v>
          </cell>
          <cell r="AD18">
            <v>300000</v>
          </cell>
          <cell r="AE18">
            <v>150000</v>
          </cell>
          <cell r="AF18">
            <v>25000</v>
          </cell>
          <cell r="AG18">
            <v>75000</v>
          </cell>
          <cell r="AH18" t="str">
            <v>Lease</v>
          </cell>
          <cell r="AI18">
            <v>0</v>
          </cell>
          <cell r="AJ18">
            <v>0</v>
          </cell>
          <cell r="AK18" t="str">
            <v>FIT</v>
          </cell>
          <cell r="AL18">
            <v>0.443</v>
          </cell>
          <cell r="AM18">
            <v>15</v>
          </cell>
          <cell r="AN18">
            <v>5.0000000000000001E-3</v>
          </cell>
          <cell r="AO18">
            <v>25000</v>
          </cell>
          <cell r="AP18">
            <v>75000</v>
          </cell>
          <cell r="AQ18">
            <v>212750</v>
          </cell>
          <cell r="AR18">
            <v>115000</v>
          </cell>
          <cell r="AS18">
            <v>2057000</v>
          </cell>
          <cell r="AT18">
            <v>5.0000000000000001E-3</v>
          </cell>
          <cell r="AU18">
            <v>15000</v>
          </cell>
          <cell r="AV18">
            <v>100000</v>
          </cell>
          <cell r="AW18">
            <v>30000</v>
          </cell>
          <cell r="AX18">
            <v>75000</v>
          </cell>
          <cell r="AY18">
            <v>20000</v>
          </cell>
          <cell r="AZ18">
            <v>20000</v>
          </cell>
          <cell r="BA18">
            <v>175</v>
          </cell>
          <cell r="BB18">
            <v>0</v>
          </cell>
          <cell r="BC18">
            <v>0.75</v>
          </cell>
          <cell r="BD18">
            <v>0.01</v>
          </cell>
          <cell r="BE18">
            <v>7.4999999999999997E-3</v>
          </cell>
          <cell r="BF18">
            <v>1.2500000000000001E-2</v>
          </cell>
          <cell r="BG18">
            <v>1</v>
          </cell>
          <cell r="BH18">
            <v>600</v>
          </cell>
          <cell r="BI18">
            <v>20</v>
          </cell>
          <cell r="BJ18">
            <v>7.4999999999999997E-2</v>
          </cell>
          <cell r="BK18">
            <v>0</v>
          </cell>
          <cell r="BL18">
            <v>20</v>
          </cell>
          <cell r="BM18" t="str">
            <v>Yes</v>
          </cell>
          <cell r="BN18">
            <v>6.5000000000000002E-2</v>
          </cell>
          <cell r="BO18">
            <v>0.02</v>
          </cell>
          <cell r="BP18">
            <v>10</v>
          </cell>
          <cell r="BQ18">
            <v>0.02</v>
          </cell>
          <cell r="BR18">
            <v>0.13</v>
          </cell>
          <cell r="BS18">
            <v>0.03</v>
          </cell>
          <cell r="BT18">
            <v>1.0999999999999999E-2</v>
          </cell>
          <cell r="BU18">
            <v>4.4999999999999998E-2</v>
          </cell>
          <cell r="BV18">
            <v>4</v>
          </cell>
        </row>
        <row r="19">
          <cell r="B19" t="str">
            <v>C</v>
          </cell>
          <cell r="D19" t="str">
            <v>GoldLight LP</v>
          </cell>
          <cell r="E19">
            <v>10000</v>
          </cell>
          <cell r="F19">
            <v>11500</v>
          </cell>
          <cell r="G19">
            <v>1265</v>
          </cell>
          <cell r="H19">
            <v>0.14440639269406394</v>
          </cell>
          <cell r="I19">
            <v>14547.5</v>
          </cell>
          <cell r="J19">
            <v>40633</v>
          </cell>
          <cell r="K19">
            <v>41243</v>
          </cell>
          <cell r="L19">
            <v>41243</v>
          </cell>
          <cell r="M19">
            <v>41243</v>
          </cell>
          <cell r="N19">
            <v>41243</v>
          </cell>
          <cell r="O19">
            <v>41394</v>
          </cell>
          <cell r="P19">
            <v>41363</v>
          </cell>
          <cell r="Q19">
            <v>41363</v>
          </cell>
          <cell r="R19">
            <v>41183</v>
          </cell>
          <cell r="S19">
            <v>41363</v>
          </cell>
          <cell r="T19">
            <v>0</v>
          </cell>
          <cell r="U19">
            <v>50000</v>
          </cell>
          <cell r="V19">
            <v>350000</v>
          </cell>
          <cell r="W19">
            <v>1910000</v>
          </cell>
          <cell r="X19">
            <v>100000</v>
          </cell>
          <cell r="Y19">
            <v>200000</v>
          </cell>
          <cell r="Z19">
            <v>3.25</v>
          </cell>
          <cell r="AA19">
            <v>37375000</v>
          </cell>
          <cell r="AB19">
            <v>0.1</v>
          </cell>
          <cell r="AC19">
            <v>0.05</v>
          </cell>
          <cell r="AD19">
            <v>300000</v>
          </cell>
          <cell r="AE19">
            <v>150000</v>
          </cell>
          <cell r="AF19">
            <v>25000</v>
          </cell>
          <cell r="AG19">
            <v>75000</v>
          </cell>
          <cell r="AH19" t="str">
            <v>Lease</v>
          </cell>
          <cell r="AI19">
            <v>0</v>
          </cell>
          <cell r="AJ19">
            <v>0</v>
          </cell>
          <cell r="AK19" t="str">
            <v>FIT</v>
          </cell>
          <cell r="AL19">
            <v>0.443</v>
          </cell>
          <cell r="AM19">
            <v>15</v>
          </cell>
          <cell r="AN19">
            <v>5.0000000000000001E-3</v>
          </cell>
          <cell r="AO19">
            <v>25000</v>
          </cell>
          <cell r="AP19">
            <v>75000</v>
          </cell>
          <cell r="AQ19">
            <v>212750</v>
          </cell>
          <cell r="AR19">
            <v>115000</v>
          </cell>
          <cell r="AS19">
            <v>2057000</v>
          </cell>
          <cell r="AT19">
            <v>5.0000000000000001E-3</v>
          </cell>
          <cell r="AU19">
            <v>15000</v>
          </cell>
          <cell r="AV19">
            <v>100000</v>
          </cell>
          <cell r="AW19">
            <v>50000</v>
          </cell>
          <cell r="AX19">
            <v>75000</v>
          </cell>
          <cell r="AY19">
            <v>20000</v>
          </cell>
          <cell r="AZ19">
            <v>20000</v>
          </cell>
          <cell r="BA19">
            <v>175</v>
          </cell>
          <cell r="BB19">
            <v>0</v>
          </cell>
          <cell r="BC19">
            <v>0.75</v>
          </cell>
          <cell r="BD19">
            <v>0.01</v>
          </cell>
          <cell r="BE19">
            <v>7.4999999999999997E-3</v>
          </cell>
          <cell r="BF19">
            <v>1.2500000000000001E-2</v>
          </cell>
          <cell r="BG19">
            <v>1</v>
          </cell>
          <cell r="BH19">
            <v>600</v>
          </cell>
          <cell r="BI19">
            <v>20</v>
          </cell>
          <cell r="BJ19">
            <v>7.4999999999999997E-2</v>
          </cell>
          <cell r="BK19">
            <v>0</v>
          </cell>
          <cell r="BL19">
            <v>20</v>
          </cell>
          <cell r="BM19" t="str">
            <v>Yes</v>
          </cell>
          <cell r="BN19">
            <v>6.5000000000000002E-2</v>
          </cell>
          <cell r="BO19">
            <v>0.02</v>
          </cell>
          <cell r="BP19">
            <v>10</v>
          </cell>
          <cell r="BQ19">
            <v>0.02</v>
          </cell>
          <cell r="BR19">
            <v>0.13</v>
          </cell>
          <cell r="BS19">
            <v>0.03</v>
          </cell>
          <cell r="BT19">
            <v>1.0999999999999999E-2</v>
          </cell>
          <cell r="BU19">
            <v>4.4999999999999998E-2</v>
          </cell>
          <cell r="BV19">
            <v>4</v>
          </cell>
        </row>
        <row r="20">
          <cell r="B20" t="str">
            <v>C</v>
          </cell>
          <cell r="D20" t="str">
            <v>GoodLight LP</v>
          </cell>
          <cell r="E20">
            <v>10000</v>
          </cell>
          <cell r="F20">
            <v>11500</v>
          </cell>
          <cell r="G20">
            <v>1250</v>
          </cell>
          <cell r="H20">
            <v>0.14269406392694065</v>
          </cell>
          <cell r="I20">
            <v>14375</v>
          </cell>
          <cell r="J20">
            <v>40633</v>
          </cell>
          <cell r="K20">
            <v>41243</v>
          </cell>
          <cell r="L20">
            <v>41243</v>
          </cell>
          <cell r="M20">
            <v>41243</v>
          </cell>
          <cell r="N20">
            <v>41243</v>
          </cell>
          <cell r="O20">
            <v>41394</v>
          </cell>
          <cell r="P20">
            <v>41363</v>
          </cell>
          <cell r="Q20">
            <v>41363</v>
          </cell>
          <cell r="R20">
            <v>41183</v>
          </cell>
          <cell r="S20">
            <v>41363</v>
          </cell>
          <cell r="T20">
            <v>151000</v>
          </cell>
          <cell r="U20">
            <v>50000</v>
          </cell>
          <cell r="V20">
            <v>350000</v>
          </cell>
          <cell r="W20">
            <v>1572500</v>
          </cell>
          <cell r="X20">
            <v>100000</v>
          </cell>
          <cell r="Y20">
            <v>200000</v>
          </cell>
          <cell r="Z20">
            <v>3.25</v>
          </cell>
          <cell r="AA20">
            <v>37375000</v>
          </cell>
          <cell r="AB20">
            <v>0.1</v>
          </cell>
          <cell r="AC20">
            <v>0.05</v>
          </cell>
          <cell r="AD20">
            <v>300000</v>
          </cell>
          <cell r="AE20">
            <v>150000</v>
          </cell>
          <cell r="AF20">
            <v>25000</v>
          </cell>
          <cell r="AG20">
            <v>75000</v>
          </cell>
          <cell r="AH20" t="str">
            <v>Lease</v>
          </cell>
          <cell r="AI20">
            <v>0</v>
          </cell>
          <cell r="AJ20">
            <v>0</v>
          </cell>
          <cell r="AK20" t="str">
            <v>FIT</v>
          </cell>
          <cell r="AL20">
            <v>0.443</v>
          </cell>
          <cell r="AM20">
            <v>15</v>
          </cell>
          <cell r="AN20">
            <v>5.0000000000000001E-3</v>
          </cell>
          <cell r="AO20">
            <v>25000</v>
          </cell>
          <cell r="AP20">
            <v>75000</v>
          </cell>
          <cell r="AQ20">
            <v>212750</v>
          </cell>
          <cell r="AR20">
            <v>115000</v>
          </cell>
          <cell r="AS20">
            <v>2057000</v>
          </cell>
          <cell r="AT20">
            <v>5.0000000000000001E-3</v>
          </cell>
          <cell r="AU20">
            <v>15000</v>
          </cell>
          <cell r="AV20">
            <v>100000</v>
          </cell>
          <cell r="AW20">
            <v>30000</v>
          </cell>
          <cell r="AX20">
            <v>75000</v>
          </cell>
          <cell r="AY20">
            <v>20000</v>
          </cell>
          <cell r="AZ20">
            <v>20000</v>
          </cell>
          <cell r="BA20">
            <v>175</v>
          </cell>
          <cell r="BB20">
            <v>0</v>
          </cell>
          <cell r="BC20">
            <v>0.75</v>
          </cell>
          <cell r="BD20">
            <v>0.01</v>
          </cell>
          <cell r="BE20">
            <v>7.4999999999999997E-3</v>
          </cell>
          <cell r="BF20">
            <v>1.2500000000000001E-2</v>
          </cell>
          <cell r="BG20">
            <v>1</v>
          </cell>
          <cell r="BH20">
            <v>600</v>
          </cell>
          <cell r="BI20">
            <v>20</v>
          </cell>
          <cell r="BJ20">
            <v>7.4999999999999997E-2</v>
          </cell>
          <cell r="BK20">
            <v>0</v>
          </cell>
          <cell r="BL20">
            <v>20</v>
          </cell>
          <cell r="BM20" t="str">
            <v>Yes</v>
          </cell>
          <cell r="BN20">
            <v>6.5000000000000002E-2</v>
          </cell>
          <cell r="BO20">
            <v>0.02</v>
          </cell>
          <cell r="BP20">
            <v>10</v>
          </cell>
          <cell r="BQ20">
            <v>0.02</v>
          </cell>
          <cell r="BR20">
            <v>0.13</v>
          </cell>
          <cell r="BS20">
            <v>0.03</v>
          </cell>
          <cell r="BT20">
            <v>1.0999999999999999E-2</v>
          </cell>
          <cell r="BU20">
            <v>4.4999999999999998E-2</v>
          </cell>
          <cell r="BV20">
            <v>4</v>
          </cell>
        </row>
        <row r="21">
          <cell r="B21" t="str">
            <v>C</v>
          </cell>
          <cell r="D21" t="str">
            <v>Illumination LP</v>
          </cell>
          <cell r="E21">
            <v>10000</v>
          </cell>
          <cell r="F21">
            <v>11500</v>
          </cell>
          <cell r="G21">
            <v>1280</v>
          </cell>
          <cell r="H21">
            <v>0.14611872146118721</v>
          </cell>
          <cell r="I21">
            <v>14719.999999999998</v>
          </cell>
          <cell r="J21">
            <v>40633</v>
          </cell>
          <cell r="K21">
            <v>41243</v>
          </cell>
          <cell r="L21">
            <v>41243</v>
          </cell>
          <cell r="M21">
            <v>41243</v>
          </cell>
          <cell r="N21">
            <v>41243</v>
          </cell>
          <cell r="O21">
            <v>41394</v>
          </cell>
          <cell r="P21">
            <v>41363</v>
          </cell>
          <cell r="Q21">
            <v>41363</v>
          </cell>
          <cell r="R21">
            <v>41183</v>
          </cell>
          <cell r="S21">
            <v>41363</v>
          </cell>
          <cell r="T21">
            <v>568000</v>
          </cell>
          <cell r="U21">
            <v>50000</v>
          </cell>
          <cell r="V21">
            <v>350000</v>
          </cell>
          <cell r="W21">
            <v>1572500</v>
          </cell>
          <cell r="X21">
            <v>100000</v>
          </cell>
          <cell r="Y21">
            <v>200000</v>
          </cell>
          <cell r="Z21">
            <v>3.25</v>
          </cell>
          <cell r="AA21">
            <v>37375000</v>
          </cell>
          <cell r="AB21">
            <v>0.1</v>
          </cell>
          <cell r="AC21">
            <v>0.05</v>
          </cell>
          <cell r="AD21">
            <v>300000</v>
          </cell>
          <cell r="AE21">
            <v>150000</v>
          </cell>
          <cell r="AF21">
            <v>25000</v>
          </cell>
          <cell r="AG21">
            <v>75000</v>
          </cell>
          <cell r="AH21" t="str">
            <v>Lease</v>
          </cell>
          <cell r="AI21">
            <v>0</v>
          </cell>
          <cell r="AJ21">
            <v>0</v>
          </cell>
          <cell r="AK21" t="str">
            <v>FIT</v>
          </cell>
          <cell r="AL21">
            <v>0.443</v>
          </cell>
          <cell r="AM21">
            <v>15</v>
          </cell>
          <cell r="AN21">
            <v>5.0000000000000001E-3</v>
          </cell>
          <cell r="AO21">
            <v>25000</v>
          </cell>
          <cell r="AP21">
            <v>75000</v>
          </cell>
          <cell r="AQ21">
            <v>212750</v>
          </cell>
          <cell r="AR21">
            <v>115000</v>
          </cell>
          <cell r="AS21">
            <v>2057000</v>
          </cell>
          <cell r="AT21">
            <v>5.0000000000000001E-3</v>
          </cell>
          <cell r="AU21">
            <v>15000</v>
          </cell>
          <cell r="AV21">
            <v>100000</v>
          </cell>
          <cell r="AW21">
            <v>30000</v>
          </cell>
          <cell r="AX21">
            <v>75000</v>
          </cell>
          <cell r="AY21">
            <v>20000</v>
          </cell>
          <cell r="AZ21">
            <v>20000</v>
          </cell>
          <cell r="BA21">
            <v>175</v>
          </cell>
          <cell r="BB21">
            <v>0</v>
          </cell>
          <cell r="BC21">
            <v>0.75</v>
          </cell>
          <cell r="BD21">
            <v>0.01</v>
          </cell>
          <cell r="BE21">
            <v>7.4999999999999997E-3</v>
          </cell>
          <cell r="BF21">
            <v>1.2500000000000001E-2</v>
          </cell>
          <cell r="BG21">
            <v>1</v>
          </cell>
          <cell r="BH21">
            <v>600</v>
          </cell>
          <cell r="BI21">
            <v>20</v>
          </cell>
          <cell r="BJ21">
            <v>7.4999999999999997E-2</v>
          </cell>
          <cell r="BK21">
            <v>0</v>
          </cell>
          <cell r="BL21">
            <v>20</v>
          </cell>
          <cell r="BM21" t="str">
            <v>Yes</v>
          </cell>
          <cell r="BN21">
            <v>6.5000000000000002E-2</v>
          </cell>
          <cell r="BO21">
            <v>0.02</v>
          </cell>
          <cell r="BP21">
            <v>10</v>
          </cell>
          <cell r="BQ21">
            <v>0.02</v>
          </cell>
          <cell r="BR21">
            <v>0.13</v>
          </cell>
          <cell r="BS21">
            <v>0.03</v>
          </cell>
          <cell r="BT21">
            <v>1.0999999999999999E-2</v>
          </cell>
          <cell r="BU21">
            <v>4.4999999999999998E-2</v>
          </cell>
          <cell r="BV21">
            <v>4</v>
          </cell>
        </row>
        <row r="22">
          <cell r="B22" t="str">
            <v>C</v>
          </cell>
          <cell r="D22" t="str">
            <v>LunarLight LP</v>
          </cell>
          <cell r="E22">
            <v>10000</v>
          </cell>
          <cell r="F22">
            <v>11500</v>
          </cell>
          <cell r="G22">
            <v>1280</v>
          </cell>
          <cell r="H22">
            <v>0.14611872146118721</v>
          </cell>
          <cell r="I22">
            <v>14719.999999999998</v>
          </cell>
          <cell r="J22">
            <v>40633</v>
          </cell>
          <cell r="K22">
            <v>41243</v>
          </cell>
          <cell r="L22">
            <v>41243</v>
          </cell>
          <cell r="M22">
            <v>41243</v>
          </cell>
          <cell r="N22">
            <v>41243</v>
          </cell>
          <cell r="O22">
            <v>41394</v>
          </cell>
          <cell r="P22">
            <v>41363</v>
          </cell>
          <cell r="Q22">
            <v>41363</v>
          </cell>
          <cell r="R22">
            <v>41183</v>
          </cell>
          <cell r="S22">
            <v>41363</v>
          </cell>
          <cell r="T22">
            <v>0</v>
          </cell>
          <cell r="U22">
            <v>50000</v>
          </cell>
          <cell r="V22">
            <v>350000</v>
          </cell>
          <cell r="W22">
            <v>1685000</v>
          </cell>
          <cell r="X22">
            <v>100000</v>
          </cell>
          <cell r="Y22">
            <v>200000</v>
          </cell>
          <cell r="Z22">
            <v>3.25</v>
          </cell>
          <cell r="AA22">
            <v>37375000</v>
          </cell>
          <cell r="AB22">
            <v>0.1</v>
          </cell>
          <cell r="AC22">
            <v>0.05</v>
          </cell>
          <cell r="AD22">
            <v>300000</v>
          </cell>
          <cell r="AE22">
            <v>150000</v>
          </cell>
          <cell r="AF22">
            <v>25000</v>
          </cell>
          <cell r="AG22">
            <v>75000</v>
          </cell>
          <cell r="AH22" t="str">
            <v>Lease</v>
          </cell>
          <cell r="AI22">
            <v>0</v>
          </cell>
          <cell r="AJ22">
            <v>0</v>
          </cell>
          <cell r="AK22" t="str">
            <v>FIT</v>
          </cell>
          <cell r="AL22">
            <v>0.443</v>
          </cell>
          <cell r="AM22">
            <v>15</v>
          </cell>
          <cell r="AN22">
            <v>5.0000000000000001E-3</v>
          </cell>
          <cell r="AO22">
            <v>25000</v>
          </cell>
          <cell r="AP22">
            <v>75000</v>
          </cell>
          <cell r="AQ22">
            <v>212750</v>
          </cell>
          <cell r="AR22">
            <v>115000</v>
          </cell>
          <cell r="AS22">
            <v>2057000</v>
          </cell>
          <cell r="AT22">
            <v>5.0000000000000001E-3</v>
          </cell>
          <cell r="AU22">
            <v>15000</v>
          </cell>
          <cell r="AV22">
            <v>100000</v>
          </cell>
          <cell r="AW22">
            <v>69480</v>
          </cell>
          <cell r="AX22">
            <v>75000</v>
          </cell>
          <cell r="AY22">
            <v>20000</v>
          </cell>
          <cell r="AZ22">
            <v>20000</v>
          </cell>
          <cell r="BA22">
            <v>175</v>
          </cell>
          <cell r="BB22">
            <v>0</v>
          </cell>
          <cell r="BC22">
            <v>0.75</v>
          </cell>
          <cell r="BD22">
            <v>0.01</v>
          </cell>
          <cell r="BE22">
            <v>7.4999999999999997E-3</v>
          </cell>
          <cell r="BF22">
            <v>1.2500000000000001E-2</v>
          </cell>
          <cell r="BG22">
            <v>1</v>
          </cell>
          <cell r="BH22">
            <v>600</v>
          </cell>
          <cell r="BI22">
            <v>20</v>
          </cell>
          <cell r="BJ22">
            <v>7.4999999999999997E-2</v>
          </cell>
          <cell r="BK22">
            <v>0</v>
          </cell>
          <cell r="BL22">
            <v>20</v>
          </cell>
          <cell r="BM22" t="str">
            <v>Yes</v>
          </cell>
          <cell r="BN22">
            <v>6.5000000000000002E-2</v>
          </cell>
          <cell r="BO22">
            <v>0.02</v>
          </cell>
          <cell r="BP22">
            <v>10</v>
          </cell>
          <cell r="BQ22">
            <v>0.02</v>
          </cell>
          <cell r="BR22">
            <v>0.13</v>
          </cell>
          <cell r="BS22">
            <v>0.03</v>
          </cell>
          <cell r="BT22">
            <v>1.0999999999999999E-2</v>
          </cell>
          <cell r="BU22">
            <v>4.4999999999999998E-2</v>
          </cell>
          <cell r="BV22">
            <v>4</v>
          </cell>
        </row>
        <row r="23">
          <cell r="B23" t="str">
            <v>C</v>
          </cell>
          <cell r="D23" t="str">
            <v>MightySolar LP</v>
          </cell>
          <cell r="E23">
            <v>10000</v>
          </cell>
          <cell r="F23">
            <v>11500</v>
          </cell>
          <cell r="G23">
            <v>1250</v>
          </cell>
          <cell r="H23">
            <v>0.14269406392694065</v>
          </cell>
          <cell r="I23">
            <v>14375</v>
          </cell>
          <cell r="J23">
            <v>40633</v>
          </cell>
          <cell r="K23">
            <v>41243</v>
          </cell>
          <cell r="L23">
            <v>41243</v>
          </cell>
          <cell r="M23">
            <v>41243</v>
          </cell>
          <cell r="N23">
            <v>41243</v>
          </cell>
          <cell r="O23">
            <v>41394</v>
          </cell>
          <cell r="P23">
            <v>41363</v>
          </cell>
          <cell r="Q23">
            <v>41363</v>
          </cell>
          <cell r="R23">
            <v>41183</v>
          </cell>
          <cell r="S23">
            <v>41363</v>
          </cell>
          <cell r="T23">
            <v>0</v>
          </cell>
          <cell r="U23">
            <v>50000</v>
          </cell>
          <cell r="V23">
            <v>350000</v>
          </cell>
          <cell r="W23">
            <v>972500</v>
          </cell>
          <cell r="X23">
            <v>100000</v>
          </cell>
          <cell r="Y23">
            <v>200000</v>
          </cell>
          <cell r="Z23">
            <v>3.25</v>
          </cell>
          <cell r="AA23">
            <v>37375000</v>
          </cell>
          <cell r="AB23">
            <v>0.1</v>
          </cell>
          <cell r="AC23">
            <v>0.05</v>
          </cell>
          <cell r="AD23">
            <v>300000</v>
          </cell>
          <cell r="AE23">
            <v>150000</v>
          </cell>
          <cell r="AF23">
            <v>25000</v>
          </cell>
          <cell r="AG23">
            <v>75000</v>
          </cell>
          <cell r="AH23" t="str">
            <v>Lease</v>
          </cell>
          <cell r="AI23">
            <v>0</v>
          </cell>
          <cell r="AJ23">
            <v>0</v>
          </cell>
          <cell r="AK23" t="str">
            <v>FIT</v>
          </cell>
          <cell r="AL23">
            <v>0.443</v>
          </cell>
          <cell r="AM23">
            <v>15</v>
          </cell>
          <cell r="AN23">
            <v>5.0000000000000001E-3</v>
          </cell>
          <cell r="AO23">
            <v>25000</v>
          </cell>
          <cell r="AP23">
            <v>75000</v>
          </cell>
          <cell r="AQ23">
            <v>212750</v>
          </cell>
          <cell r="AR23">
            <v>115000</v>
          </cell>
          <cell r="AS23">
            <v>2057000</v>
          </cell>
          <cell r="AT23">
            <v>5.0000000000000001E-3</v>
          </cell>
          <cell r="AU23">
            <v>15000</v>
          </cell>
          <cell r="AV23">
            <v>100000</v>
          </cell>
          <cell r="AW23">
            <v>96492</v>
          </cell>
          <cell r="AX23">
            <v>75000</v>
          </cell>
          <cell r="AY23">
            <v>20000</v>
          </cell>
          <cell r="AZ23">
            <v>20000</v>
          </cell>
          <cell r="BA23">
            <v>175</v>
          </cell>
          <cell r="BB23">
            <v>0</v>
          </cell>
          <cell r="BC23">
            <v>0.75</v>
          </cell>
          <cell r="BD23">
            <v>0.01</v>
          </cell>
          <cell r="BE23">
            <v>7.4999999999999997E-3</v>
          </cell>
          <cell r="BF23">
            <v>1.2500000000000001E-2</v>
          </cell>
          <cell r="BG23">
            <v>1</v>
          </cell>
          <cell r="BH23">
            <v>600</v>
          </cell>
          <cell r="BI23">
            <v>20</v>
          </cell>
          <cell r="BJ23">
            <v>7.4999999999999997E-2</v>
          </cell>
          <cell r="BK23">
            <v>0</v>
          </cell>
          <cell r="BL23">
            <v>20</v>
          </cell>
          <cell r="BM23" t="str">
            <v>Yes</v>
          </cell>
          <cell r="BN23">
            <v>6.5000000000000002E-2</v>
          </cell>
          <cell r="BO23">
            <v>0.02</v>
          </cell>
          <cell r="BP23">
            <v>10</v>
          </cell>
          <cell r="BQ23">
            <v>0.02</v>
          </cell>
          <cell r="BR23">
            <v>0.13</v>
          </cell>
          <cell r="BS23">
            <v>0.03</v>
          </cell>
          <cell r="BT23">
            <v>1.0999999999999999E-2</v>
          </cell>
          <cell r="BU23">
            <v>4.4999999999999998E-2</v>
          </cell>
          <cell r="BV23">
            <v>4</v>
          </cell>
        </row>
        <row r="24">
          <cell r="B24" t="str">
            <v>C</v>
          </cell>
          <cell r="D24" t="str">
            <v>RayLight LP</v>
          </cell>
          <cell r="E24">
            <v>10000</v>
          </cell>
          <cell r="F24">
            <v>11500</v>
          </cell>
          <cell r="G24">
            <v>1265</v>
          </cell>
          <cell r="H24">
            <v>0.14440639269406394</v>
          </cell>
          <cell r="I24">
            <v>14547.5</v>
          </cell>
          <cell r="J24">
            <v>40633</v>
          </cell>
          <cell r="K24">
            <v>41243</v>
          </cell>
          <cell r="L24">
            <v>41243</v>
          </cell>
          <cell r="M24">
            <v>41243</v>
          </cell>
          <cell r="N24">
            <v>41243</v>
          </cell>
          <cell r="O24">
            <v>41394</v>
          </cell>
          <cell r="P24">
            <v>41363</v>
          </cell>
          <cell r="Q24">
            <v>41363</v>
          </cell>
          <cell r="R24">
            <v>41183</v>
          </cell>
          <cell r="S24">
            <v>41363</v>
          </cell>
          <cell r="T24">
            <v>0</v>
          </cell>
          <cell r="U24">
            <v>50000</v>
          </cell>
          <cell r="V24">
            <v>350000</v>
          </cell>
          <cell r="W24">
            <v>1572500</v>
          </cell>
          <cell r="X24">
            <v>100000</v>
          </cell>
          <cell r="Y24">
            <v>200000</v>
          </cell>
          <cell r="Z24">
            <v>3.25</v>
          </cell>
          <cell r="AA24">
            <v>37375000</v>
          </cell>
          <cell r="AB24">
            <v>0.1</v>
          </cell>
          <cell r="AC24">
            <v>0.05</v>
          </cell>
          <cell r="AD24">
            <v>300000</v>
          </cell>
          <cell r="AE24">
            <v>150000</v>
          </cell>
          <cell r="AF24">
            <v>25000</v>
          </cell>
          <cell r="AG24">
            <v>75000</v>
          </cell>
          <cell r="AH24" t="str">
            <v>Lease</v>
          </cell>
          <cell r="AI24">
            <v>0</v>
          </cell>
          <cell r="AJ24">
            <v>0</v>
          </cell>
          <cell r="AK24" t="str">
            <v>FIT</v>
          </cell>
          <cell r="AL24">
            <v>0.443</v>
          </cell>
          <cell r="AM24">
            <v>15</v>
          </cell>
          <cell r="AN24">
            <v>5.0000000000000001E-3</v>
          </cell>
          <cell r="AO24">
            <v>25000</v>
          </cell>
          <cell r="AP24">
            <v>75000</v>
          </cell>
          <cell r="AQ24">
            <v>212750</v>
          </cell>
          <cell r="AR24">
            <v>115000</v>
          </cell>
          <cell r="AS24">
            <v>2057000</v>
          </cell>
          <cell r="AT24">
            <v>5.0000000000000001E-3</v>
          </cell>
          <cell r="AU24">
            <v>15000</v>
          </cell>
          <cell r="AV24">
            <v>100000</v>
          </cell>
          <cell r="AW24">
            <v>80000</v>
          </cell>
          <cell r="AX24">
            <v>75000</v>
          </cell>
          <cell r="AY24">
            <v>20000</v>
          </cell>
          <cell r="AZ24">
            <v>20000</v>
          </cell>
          <cell r="BA24">
            <v>175</v>
          </cell>
          <cell r="BB24">
            <v>0</v>
          </cell>
          <cell r="BC24">
            <v>0.75</v>
          </cell>
          <cell r="BD24">
            <v>0.01</v>
          </cell>
          <cell r="BE24">
            <v>7.4999999999999997E-3</v>
          </cell>
          <cell r="BF24">
            <v>1.2500000000000001E-2</v>
          </cell>
          <cell r="BG24">
            <v>1</v>
          </cell>
          <cell r="BH24">
            <v>600</v>
          </cell>
          <cell r="BI24">
            <v>20</v>
          </cell>
          <cell r="BJ24">
            <v>7.4999999999999997E-2</v>
          </cell>
          <cell r="BK24">
            <v>0</v>
          </cell>
          <cell r="BL24">
            <v>20</v>
          </cell>
          <cell r="BM24" t="str">
            <v>Yes</v>
          </cell>
          <cell r="BN24">
            <v>6.5000000000000002E-2</v>
          </cell>
          <cell r="BO24">
            <v>0.02</v>
          </cell>
          <cell r="BP24">
            <v>10</v>
          </cell>
          <cell r="BQ24">
            <v>0.02</v>
          </cell>
          <cell r="BR24">
            <v>0.13</v>
          </cell>
          <cell r="BS24">
            <v>0.03</v>
          </cell>
          <cell r="BT24">
            <v>1.0999999999999999E-2</v>
          </cell>
          <cell r="BU24">
            <v>4.4999999999999998E-2</v>
          </cell>
          <cell r="BV24">
            <v>4</v>
          </cell>
        </row>
        <row r="25">
          <cell r="B25" t="str">
            <v>C</v>
          </cell>
          <cell r="D25" t="str">
            <v>SparkleLight LP</v>
          </cell>
          <cell r="E25">
            <v>10000</v>
          </cell>
          <cell r="F25">
            <v>11500</v>
          </cell>
          <cell r="G25">
            <v>1265</v>
          </cell>
          <cell r="H25">
            <v>0.14440639269406394</v>
          </cell>
          <cell r="I25">
            <v>14547.5</v>
          </cell>
          <cell r="J25">
            <v>40633</v>
          </cell>
          <cell r="K25">
            <v>41243</v>
          </cell>
          <cell r="L25">
            <v>41243</v>
          </cell>
          <cell r="M25">
            <v>41243</v>
          </cell>
          <cell r="N25">
            <v>41243</v>
          </cell>
          <cell r="O25">
            <v>41394</v>
          </cell>
          <cell r="P25">
            <v>41363</v>
          </cell>
          <cell r="Q25">
            <v>41363</v>
          </cell>
          <cell r="R25">
            <v>41183</v>
          </cell>
          <cell r="S25">
            <v>41363</v>
          </cell>
          <cell r="T25">
            <v>0</v>
          </cell>
          <cell r="U25">
            <v>50000</v>
          </cell>
          <cell r="V25">
            <v>350000</v>
          </cell>
          <cell r="W25">
            <v>972500</v>
          </cell>
          <cell r="X25">
            <v>100000</v>
          </cell>
          <cell r="Y25">
            <v>200000</v>
          </cell>
          <cell r="Z25">
            <v>3.25</v>
          </cell>
          <cell r="AA25">
            <v>37375000</v>
          </cell>
          <cell r="AB25">
            <v>0.1</v>
          </cell>
          <cell r="AC25">
            <v>0.05</v>
          </cell>
          <cell r="AD25">
            <v>300000</v>
          </cell>
          <cell r="AE25">
            <v>150000</v>
          </cell>
          <cell r="AF25">
            <v>25000</v>
          </cell>
          <cell r="AG25">
            <v>75000</v>
          </cell>
          <cell r="AH25" t="str">
            <v>Lease</v>
          </cell>
          <cell r="AI25">
            <v>0</v>
          </cell>
          <cell r="AJ25">
            <v>0</v>
          </cell>
          <cell r="AK25" t="str">
            <v>FIT</v>
          </cell>
          <cell r="AL25">
            <v>0.443</v>
          </cell>
          <cell r="AM25">
            <v>15</v>
          </cell>
          <cell r="AN25">
            <v>5.0000000000000001E-3</v>
          </cell>
          <cell r="AO25">
            <v>25000</v>
          </cell>
          <cell r="AP25">
            <v>75000</v>
          </cell>
          <cell r="AQ25">
            <v>212750</v>
          </cell>
          <cell r="AR25">
            <v>115000</v>
          </cell>
          <cell r="AS25">
            <v>2057000</v>
          </cell>
          <cell r="AT25">
            <v>5.0000000000000001E-3</v>
          </cell>
          <cell r="AU25">
            <v>15000</v>
          </cell>
          <cell r="AV25">
            <v>100000</v>
          </cell>
          <cell r="AW25">
            <v>56700</v>
          </cell>
          <cell r="AX25">
            <v>75000</v>
          </cell>
          <cell r="AY25">
            <v>20000</v>
          </cell>
          <cell r="AZ25">
            <v>20000</v>
          </cell>
          <cell r="BA25">
            <v>175</v>
          </cell>
          <cell r="BB25">
            <v>0</v>
          </cell>
          <cell r="BC25">
            <v>0.75</v>
          </cell>
          <cell r="BD25">
            <v>0.01</v>
          </cell>
          <cell r="BE25">
            <v>7.4999999999999997E-3</v>
          </cell>
          <cell r="BF25">
            <v>1.2500000000000001E-2</v>
          </cell>
          <cell r="BG25">
            <v>1</v>
          </cell>
          <cell r="BH25">
            <v>600</v>
          </cell>
          <cell r="BI25">
            <v>20</v>
          </cell>
          <cell r="BJ25">
            <v>7.4999999999999997E-2</v>
          </cell>
          <cell r="BK25">
            <v>0</v>
          </cell>
          <cell r="BL25">
            <v>20</v>
          </cell>
          <cell r="BM25" t="str">
            <v>Yes</v>
          </cell>
          <cell r="BN25">
            <v>6.5000000000000002E-2</v>
          </cell>
          <cell r="BO25">
            <v>0.02</v>
          </cell>
          <cell r="BP25">
            <v>10</v>
          </cell>
          <cell r="BQ25">
            <v>0.02</v>
          </cell>
          <cell r="BR25">
            <v>0.13</v>
          </cell>
          <cell r="BS25">
            <v>0.03</v>
          </cell>
          <cell r="BT25">
            <v>1.0999999999999999E-2</v>
          </cell>
          <cell r="BU25">
            <v>4.4999999999999998E-2</v>
          </cell>
          <cell r="BV25">
            <v>4</v>
          </cell>
        </row>
      </sheetData>
      <sheetData sheetId="5">
        <row r="116">
          <cell r="K116">
            <v>0</v>
          </cell>
        </row>
      </sheetData>
      <sheetData sheetId="6" refreshError="1">
        <row r="9">
          <cell r="N9">
            <v>2010</v>
          </cell>
        </row>
        <row r="10">
          <cell r="N10">
            <v>40268</v>
          </cell>
          <cell r="O10">
            <v>40359</v>
          </cell>
          <cell r="P10">
            <v>40451</v>
          </cell>
          <cell r="Q10">
            <v>40543</v>
          </cell>
          <cell r="R10">
            <v>40633</v>
          </cell>
          <cell r="S10">
            <v>40724</v>
          </cell>
          <cell r="T10">
            <v>40816</v>
          </cell>
          <cell r="U10">
            <v>40908</v>
          </cell>
          <cell r="V10">
            <v>40999</v>
          </cell>
          <cell r="W10">
            <v>41090</v>
          </cell>
          <cell r="X10">
            <v>41182</v>
          </cell>
          <cell r="Y10">
            <v>41274</v>
          </cell>
          <cell r="Z10">
            <v>41364</v>
          </cell>
          <cell r="AA10">
            <v>41455</v>
          </cell>
          <cell r="AB10">
            <v>41547</v>
          </cell>
          <cell r="AC10">
            <v>41639</v>
          </cell>
          <cell r="AD10">
            <v>41729</v>
          </cell>
          <cell r="AE10">
            <v>41820</v>
          </cell>
          <cell r="AF10">
            <v>41912</v>
          </cell>
          <cell r="AG10">
            <v>42004</v>
          </cell>
          <cell r="AH10">
            <v>42094</v>
          </cell>
          <cell r="AI10">
            <v>42185</v>
          </cell>
          <cell r="AJ10">
            <v>42277</v>
          </cell>
          <cell r="AK10">
            <v>42369</v>
          </cell>
          <cell r="AL10">
            <v>42460</v>
          </cell>
          <cell r="AM10">
            <v>42551</v>
          </cell>
          <cell r="AN10">
            <v>42643</v>
          </cell>
          <cell r="AO10">
            <v>42735</v>
          </cell>
          <cell r="AP10">
            <v>42825</v>
          </cell>
          <cell r="AQ10">
            <v>42916</v>
          </cell>
          <cell r="AR10">
            <v>43008</v>
          </cell>
          <cell r="AS10">
            <v>43100</v>
          </cell>
          <cell r="AT10">
            <v>43190</v>
          </cell>
          <cell r="AU10">
            <v>43281</v>
          </cell>
          <cell r="AV10">
            <v>43373</v>
          </cell>
          <cell r="AW10">
            <v>43465</v>
          </cell>
          <cell r="AX10">
            <v>43555</v>
          </cell>
          <cell r="AY10">
            <v>43646</v>
          </cell>
          <cell r="AZ10">
            <v>43738</v>
          </cell>
          <cell r="BA10">
            <v>43830</v>
          </cell>
          <cell r="BB10">
            <v>43921</v>
          </cell>
          <cell r="BC10">
            <v>44012</v>
          </cell>
          <cell r="BD10">
            <v>44104</v>
          </cell>
          <cell r="BE10">
            <v>44196</v>
          </cell>
          <cell r="BF10">
            <v>44286</v>
          </cell>
          <cell r="BG10">
            <v>44377</v>
          </cell>
          <cell r="BH10">
            <v>44469</v>
          </cell>
          <cell r="BI10">
            <v>44561</v>
          </cell>
          <cell r="BJ10">
            <v>44651</v>
          </cell>
          <cell r="BK10">
            <v>44742</v>
          </cell>
          <cell r="BL10">
            <v>44834</v>
          </cell>
          <cell r="BM10">
            <v>44926</v>
          </cell>
          <cell r="BN10">
            <v>45016</v>
          </cell>
          <cell r="BO10">
            <v>45107</v>
          </cell>
          <cell r="BP10">
            <v>45199</v>
          </cell>
          <cell r="BQ10">
            <v>45291</v>
          </cell>
          <cell r="BR10">
            <v>45382</v>
          </cell>
          <cell r="BS10">
            <v>45473</v>
          </cell>
          <cell r="BT10">
            <v>45565</v>
          </cell>
          <cell r="BU10">
            <v>45657</v>
          </cell>
          <cell r="BV10">
            <v>45747</v>
          </cell>
          <cell r="BW10">
            <v>45838</v>
          </cell>
          <cell r="BX10">
            <v>45930</v>
          </cell>
          <cell r="BY10">
            <v>46022</v>
          </cell>
          <cell r="BZ10">
            <v>46112</v>
          </cell>
          <cell r="CA10">
            <v>46203</v>
          </cell>
          <cell r="CB10">
            <v>46295</v>
          </cell>
          <cell r="CC10">
            <v>46387</v>
          </cell>
          <cell r="CD10">
            <v>46477</v>
          </cell>
          <cell r="CE10">
            <v>46568</v>
          </cell>
          <cell r="CF10">
            <v>46660</v>
          </cell>
          <cell r="CG10">
            <v>46752</v>
          </cell>
          <cell r="CH10">
            <v>46843</v>
          </cell>
          <cell r="CI10">
            <v>46934</v>
          </cell>
          <cell r="CJ10">
            <v>47026</v>
          </cell>
          <cell r="CK10">
            <v>47118</v>
          </cell>
          <cell r="CL10">
            <v>47208</v>
          </cell>
          <cell r="CM10">
            <v>47299</v>
          </cell>
          <cell r="CN10">
            <v>47391</v>
          </cell>
          <cell r="CO10">
            <v>47483</v>
          </cell>
          <cell r="CP10">
            <v>47573</v>
          </cell>
          <cell r="CQ10">
            <v>47664</v>
          </cell>
          <cell r="CR10">
            <v>47756</v>
          </cell>
          <cell r="CS10">
            <v>47848</v>
          </cell>
          <cell r="CT10">
            <v>47938</v>
          </cell>
          <cell r="CU10">
            <v>48029</v>
          </cell>
          <cell r="CV10">
            <v>48121</v>
          </cell>
          <cell r="CW10">
            <v>48213</v>
          </cell>
          <cell r="CX10">
            <v>48304</v>
          </cell>
          <cell r="CY10">
            <v>48395</v>
          </cell>
          <cell r="CZ10">
            <v>48487</v>
          </cell>
          <cell r="DA10">
            <v>48579</v>
          </cell>
          <cell r="DB10">
            <v>48669</v>
          </cell>
          <cell r="DC10">
            <v>48760</v>
          </cell>
          <cell r="DD10">
            <v>48852</v>
          </cell>
          <cell r="DE10">
            <v>48944</v>
          </cell>
          <cell r="DF10">
            <v>49034</v>
          </cell>
          <cell r="DG10">
            <v>49125</v>
          </cell>
          <cell r="DH10">
            <v>49217</v>
          </cell>
          <cell r="DI10">
            <v>49309</v>
          </cell>
          <cell r="DJ10">
            <v>49399</v>
          </cell>
          <cell r="DK10">
            <v>49490</v>
          </cell>
          <cell r="DL10">
            <v>49582</v>
          </cell>
          <cell r="DM10">
            <v>49674</v>
          </cell>
          <cell r="DN10">
            <v>49765</v>
          </cell>
          <cell r="DO10">
            <v>49856</v>
          </cell>
          <cell r="DP10">
            <v>49948</v>
          </cell>
          <cell r="DQ10">
            <v>50040</v>
          </cell>
          <cell r="DR10">
            <v>50130</v>
          </cell>
          <cell r="DS10">
            <v>50221</v>
          </cell>
          <cell r="DT10">
            <v>50313</v>
          </cell>
          <cell r="DU10">
            <v>50405</v>
          </cell>
          <cell r="DV10">
            <v>50495</v>
          </cell>
          <cell r="DW10">
            <v>50586</v>
          </cell>
          <cell r="DX10">
            <v>50678</v>
          </cell>
          <cell r="DY10">
            <v>50770</v>
          </cell>
        </row>
        <row r="11">
          <cell r="L11" t="str">
            <v>Total</v>
          </cell>
          <cell r="N11">
            <v>1</v>
          </cell>
          <cell r="O11">
            <v>2</v>
          </cell>
          <cell r="P11">
            <v>3</v>
          </cell>
          <cell r="Q11">
            <v>4</v>
          </cell>
          <cell r="R11">
            <v>5</v>
          </cell>
          <cell r="S11">
            <v>6</v>
          </cell>
          <cell r="T11">
            <v>7</v>
          </cell>
          <cell r="U11">
            <v>8</v>
          </cell>
          <cell r="V11">
            <v>9</v>
          </cell>
          <cell r="W11">
            <v>10</v>
          </cell>
          <cell r="X11">
            <v>11</v>
          </cell>
          <cell r="Y11">
            <v>12</v>
          </cell>
          <cell r="Z11">
            <v>13</v>
          </cell>
          <cell r="AA11">
            <v>14</v>
          </cell>
          <cell r="AB11">
            <v>15</v>
          </cell>
          <cell r="AC11">
            <v>16</v>
          </cell>
          <cell r="AD11">
            <v>17</v>
          </cell>
          <cell r="AE11">
            <v>18</v>
          </cell>
          <cell r="AF11">
            <v>19</v>
          </cell>
          <cell r="AG11">
            <v>20</v>
          </cell>
          <cell r="AH11">
            <v>21</v>
          </cell>
          <cell r="AI11">
            <v>22</v>
          </cell>
          <cell r="AJ11">
            <v>23</v>
          </cell>
          <cell r="AK11">
            <v>24</v>
          </cell>
          <cell r="AL11">
            <v>25</v>
          </cell>
          <cell r="AM11">
            <v>26</v>
          </cell>
          <cell r="AN11">
            <v>27</v>
          </cell>
          <cell r="AO11">
            <v>28</v>
          </cell>
          <cell r="AP11">
            <v>29</v>
          </cell>
          <cell r="AQ11">
            <v>30</v>
          </cell>
          <cell r="AR11">
            <v>31</v>
          </cell>
          <cell r="AS11">
            <v>32</v>
          </cell>
          <cell r="AT11">
            <v>33</v>
          </cell>
          <cell r="AU11">
            <v>34</v>
          </cell>
          <cell r="AV11">
            <v>35</v>
          </cell>
          <cell r="AW11">
            <v>36</v>
          </cell>
          <cell r="AX11">
            <v>37</v>
          </cell>
          <cell r="AY11">
            <v>38</v>
          </cell>
          <cell r="AZ11">
            <v>39</v>
          </cell>
          <cell r="BA11">
            <v>40</v>
          </cell>
          <cell r="BB11">
            <v>41</v>
          </cell>
          <cell r="BC11">
            <v>42</v>
          </cell>
          <cell r="BD11">
            <v>43</v>
          </cell>
          <cell r="BE11">
            <v>44</v>
          </cell>
          <cell r="BF11">
            <v>45</v>
          </cell>
          <cell r="BG11">
            <v>46</v>
          </cell>
          <cell r="BH11">
            <v>47</v>
          </cell>
          <cell r="BI11">
            <v>48</v>
          </cell>
          <cell r="BJ11">
            <v>49</v>
          </cell>
          <cell r="BK11">
            <v>50</v>
          </cell>
          <cell r="BL11">
            <v>51</v>
          </cell>
          <cell r="BM11">
            <v>52</v>
          </cell>
          <cell r="BN11">
            <v>53</v>
          </cell>
          <cell r="BO11">
            <v>54</v>
          </cell>
          <cell r="BP11">
            <v>55</v>
          </cell>
          <cell r="BQ11">
            <v>56</v>
          </cell>
          <cell r="BR11">
            <v>57</v>
          </cell>
          <cell r="BS11">
            <v>58</v>
          </cell>
          <cell r="BT11">
            <v>59</v>
          </cell>
          <cell r="BU11">
            <v>60</v>
          </cell>
          <cell r="BV11">
            <v>61</v>
          </cell>
          <cell r="BW11">
            <v>62</v>
          </cell>
          <cell r="BX11">
            <v>63</v>
          </cell>
          <cell r="BY11">
            <v>64</v>
          </cell>
          <cell r="BZ11">
            <v>65</v>
          </cell>
          <cell r="CA11">
            <v>66</v>
          </cell>
          <cell r="CB11">
            <v>67</v>
          </cell>
          <cell r="CC11">
            <v>68</v>
          </cell>
          <cell r="CD11">
            <v>69</v>
          </cell>
          <cell r="CE11">
            <v>70</v>
          </cell>
          <cell r="CF11">
            <v>71</v>
          </cell>
          <cell r="CG11">
            <v>72</v>
          </cell>
          <cell r="CH11">
            <v>73</v>
          </cell>
          <cell r="CI11">
            <v>74</v>
          </cell>
          <cell r="CJ11">
            <v>75</v>
          </cell>
          <cell r="CK11">
            <v>76</v>
          </cell>
          <cell r="CL11">
            <v>77</v>
          </cell>
          <cell r="CM11">
            <v>78</v>
          </cell>
          <cell r="CN11">
            <v>79</v>
          </cell>
          <cell r="CO11">
            <v>80</v>
          </cell>
          <cell r="CP11">
            <v>81</v>
          </cell>
          <cell r="CQ11">
            <v>82</v>
          </cell>
          <cell r="CR11">
            <v>83</v>
          </cell>
          <cell r="CS11">
            <v>84</v>
          </cell>
          <cell r="CT11">
            <v>85</v>
          </cell>
          <cell r="CU11">
            <v>86</v>
          </cell>
          <cell r="CV11">
            <v>87</v>
          </cell>
          <cell r="CW11">
            <v>88</v>
          </cell>
          <cell r="CX11">
            <v>89</v>
          </cell>
          <cell r="CY11">
            <v>90</v>
          </cell>
          <cell r="CZ11">
            <v>91</v>
          </cell>
          <cell r="DA11">
            <v>92</v>
          </cell>
          <cell r="DB11">
            <v>93</v>
          </cell>
          <cell r="DC11">
            <v>94</v>
          </cell>
          <cell r="DD11">
            <v>95</v>
          </cell>
          <cell r="DE11">
            <v>96</v>
          </cell>
          <cell r="DF11">
            <v>97</v>
          </cell>
          <cell r="DG11">
            <v>98</v>
          </cell>
          <cell r="DH11">
            <v>99</v>
          </cell>
          <cell r="DI11">
            <v>100</v>
          </cell>
          <cell r="DJ11">
            <v>101</v>
          </cell>
          <cell r="DK11">
            <v>102</v>
          </cell>
          <cell r="DL11">
            <v>103</v>
          </cell>
          <cell r="DM11">
            <v>104</v>
          </cell>
          <cell r="DN11">
            <v>105</v>
          </cell>
          <cell r="DO11">
            <v>106</v>
          </cell>
          <cell r="DP11">
            <v>107</v>
          </cell>
          <cell r="DQ11">
            <v>108</v>
          </cell>
          <cell r="DR11">
            <v>109</v>
          </cell>
          <cell r="DS11">
            <v>110</v>
          </cell>
          <cell r="DT11">
            <v>111</v>
          </cell>
          <cell r="DU11">
            <v>112</v>
          </cell>
          <cell r="DV11">
            <v>113</v>
          </cell>
          <cell r="DW11">
            <v>114</v>
          </cell>
          <cell r="DX11">
            <v>115</v>
          </cell>
          <cell r="DY11">
            <v>116</v>
          </cell>
        </row>
        <row r="13">
          <cell r="B13" t="str">
            <v>Loan Term Year</v>
          </cell>
          <cell r="D13" t="str">
            <v>Subs. Comp.</v>
          </cell>
          <cell r="E13" t="str">
            <v>Maturity</v>
          </cell>
        </row>
        <row r="14">
          <cell r="B14" t="str">
            <v>Glenarm LP</v>
          </cell>
          <cell r="D14">
            <v>41364</v>
          </cell>
          <cell r="E14">
            <v>20</v>
          </cell>
          <cell r="L14">
            <v>20</v>
          </cell>
          <cell r="N14">
            <v>0</v>
          </cell>
          <cell r="O14">
            <v>0</v>
          </cell>
          <cell r="P14">
            <v>0</v>
          </cell>
          <cell r="Q14">
            <v>0</v>
          </cell>
          <cell r="R14">
            <v>0</v>
          </cell>
          <cell r="S14">
            <v>0</v>
          </cell>
          <cell r="T14">
            <v>0</v>
          </cell>
          <cell r="U14">
            <v>0</v>
          </cell>
          <cell r="V14">
            <v>0</v>
          </cell>
          <cell r="W14">
            <v>0</v>
          </cell>
          <cell r="X14">
            <v>0</v>
          </cell>
          <cell r="Y14">
            <v>0</v>
          </cell>
          <cell r="Z14">
            <v>0.25</v>
          </cell>
          <cell r="AA14">
            <v>0.5</v>
          </cell>
          <cell r="AB14">
            <v>0.75</v>
          </cell>
          <cell r="AC14">
            <v>1</v>
          </cell>
          <cell r="AD14">
            <v>1.25</v>
          </cell>
          <cell r="AE14">
            <v>1.5</v>
          </cell>
          <cell r="AF14">
            <v>1.75</v>
          </cell>
          <cell r="AG14">
            <v>2</v>
          </cell>
          <cell r="AH14">
            <v>2.25</v>
          </cell>
          <cell r="AI14">
            <v>2.5</v>
          </cell>
          <cell r="AJ14">
            <v>2.75</v>
          </cell>
          <cell r="AK14">
            <v>3</v>
          </cell>
          <cell r="AL14">
            <v>3.25</v>
          </cell>
          <cell r="AM14">
            <v>3.5</v>
          </cell>
          <cell r="AN14">
            <v>3.75</v>
          </cell>
          <cell r="AO14">
            <v>4</v>
          </cell>
          <cell r="AP14">
            <v>4.25</v>
          </cell>
          <cell r="AQ14">
            <v>4.5</v>
          </cell>
          <cell r="AR14">
            <v>4.75</v>
          </cell>
          <cell r="AS14">
            <v>5</v>
          </cell>
          <cell r="AT14">
            <v>5.25</v>
          </cell>
          <cell r="AU14">
            <v>5.5</v>
          </cell>
          <cell r="AV14">
            <v>5.75</v>
          </cell>
          <cell r="AW14">
            <v>6</v>
          </cell>
          <cell r="AX14">
            <v>6.25</v>
          </cell>
          <cell r="AY14">
            <v>6.5</v>
          </cell>
          <cell r="AZ14">
            <v>6.75</v>
          </cell>
          <cell r="BA14">
            <v>7</v>
          </cell>
          <cell r="BB14">
            <v>7.25</v>
          </cell>
          <cell r="BC14">
            <v>7.5</v>
          </cell>
          <cell r="BD14">
            <v>7.75</v>
          </cell>
          <cell r="BE14">
            <v>8</v>
          </cell>
          <cell r="BF14">
            <v>8.25</v>
          </cell>
          <cell r="BG14">
            <v>8.5</v>
          </cell>
          <cell r="BH14">
            <v>8.75</v>
          </cell>
          <cell r="BI14">
            <v>9</v>
          </cell>
          <cell r="BJ14">
            <v>9.25</v>
          </cell>
          <cell r="BK14">
            <v>9.5</v>
          </cell>
          <cell r="BL14">
            <v>9.75</v>
          </cell>
          <cell r="BM14">
            <v>10</v>
          </cell>
          <cell r="BN14">
            <v>10.25</v>
          </cell>
          <cell r="BO14">
            <v>10.5</v>
          </cell>
          <cell r="BP14">
            <v>10.75</v>
          </cell>
          <cell r="BQ14">
            <v>11</v>
          </cell>
          <cell r="BR14">
            <v>11.25</v>
          </cell>
          <cell r="BS14">
            <v>11.5</v>
          </cell>
          <cell r="BT14">
            <v>11.75</v>
          </cell>
          <cell r="BU14">
            <v>12</v>
          </cell>
          <cell r="BV14">
            <v>12.25</v>
          </cell>
          <cell r="BW14">
            <v>12.5</v>
          </cell>
          <cell r="BX14">
            <v>12.75</v>
          </cell>
          <cell r="BY14">
            <v>13</v>
          </cell>
          <cell r="BZ14">
            <v>13.25</v>
          </cell>
          <cell r="CA14">
            <v>13.5</v>
          </cell>
          <cell r="CB14">
            <v>13.75</v>
          </cell>
          <cell r="CC14">
            <v>14</v>
          </cell>
          <cell r="CD14">
            <v>14.25</v>
          </cell>
          <cell r="CE14">
            <v>14.5</v>
          </cell>
          <cell r="CF14">
            <v>14.75</v>
          </cell>
          <cell r="CG14">
            <v>15</v>
          </cell>
          <cell r="CH14">
            <v>15.25</v>
          </cell>
          <cell r="CI14">
            <v>15.5</v>
          </cell>
          <cell r="CJ14">
            <v>15.75</v>
          </cell>
          <cell r="CK14">
            <v>16</v>
          </cell>
          <cell r="CL14">
            <v>16.25</v>
          </cell>
          <cell r="CM14">
            <v>16.5</v>
          </cell>
          <cell r="CN14">
            <v>16.75</v>
          </cell>
          <cell r="CO14">
            <v>17</v>
          </cell>
          <cell r="CP14">
            <v>17.25</v>
          </cell>
          <cell r="CQ14">
            <v>17.5</v>
          </cell>
          <cell r="CR14">
            <v>17.75</v>
          </cell>
          <cell r="CS14">
            <v>18</v>
          </cell>
          <cell r="CT14">
            <v>18.25</v>
          </cell>
          <cell r="CU14">
            <v>18.5</v>
          </cell>
          <cell r="CV14">
            <v>18.75</v>
          </cell>
          <cell r="CW14">
            <v>19</v>
          </cell>
          <cell r="CX14">
            <v>19.25</v>
          </cell>
          <cell r="CY14">
            <v>19.5</v>
          </cell>
          <cell r="CZ14">
            <v>19.75</v>
          </cell>
          <cell r="DA14">
            <v>20</v>
          </cell>
          <cell r="DB14">
            <v>0</v>
          </cell>
          <cell r="DC14">
            <v>0</v>
          </cell>
          <cell r="DD14">
            <v>0</v>
          </cell>
          <cell r="DE14">
            <v>0</v>
          </cell>
          <cell r="DF14">
            <v>0</v>
          </cell>
          <cell r="DG14">
            <v>0</v>
          </cell>
          <cell r="DH14">
            <v>0</v>
          </cell>
          <cell r="DI14">
            <v>0</v>
          </cell>
          <cell r="DJ14">
            <v>0</v>
          </cell>
          <cell r="DK14">
            <v>0</v>
          </cell>
          <cell r="DL14">
            <v>0</v>
          </cell>
          <cell r="DM14">
            <v>0</v>
          </cell>
          <cell r="DN14">
            <v>0</v>
          </cell>
          <cell r="DO14">
            <v>0</v>
          </cell>
          <cell r="DP14">
            <v>0</v>
          </cell>
          <cell r="DQ14">
            <v>0</v>
          </cell>
          <cell r="DR14">
            <v>0</v>
          </cell>
          <cell r="DS14">
            <v>0</v>
          </cell>
          <cell r="DT14">
            <v>0</v>
          </cell>
          <cell r="DU14">
            <v>0</v>
          </cell>
          <cell r="DV14">
            <v>0</v>
          </cell>
          <cell r="DW14">
            <v>0</v>
          </cell>
          <cell r="DX14">
            <v>0</v>
          </cell>
          <cell r="DY14">
            <v>0</v>
          </cell>
        </row>
        <row r="15">
          <cell r="B15" t="str">
            <v>Highlight LP</v>
          </cell>
          <cell r="D15">
            <v>41364</v>
          </cell>
          <cell r="E15">
            <v>20</v>
          </cell>
          <cell r="L15">
            <v>20</v>
          </cell>
          <cell r="N15">
            <v>0</v>
          </cell>
          <cell r="O15">
            <v>0</v>
          </cell>
          <cell r="P15">
            <v>0</v>
          </cell>
          <cell r="Q15">
            <v>0</v>
          </cell>
          <cell r="R15">
            <v>0</v>
          </cell>
          <cell r="S15">
            <v>0</v>
          </cell>
          <cell r="T15">
            <v>0</v>
          </cell>
          <cell r="U15">
            <v>0</v>
          </cell>
          <cell r="V15">
            <v>0</v>
          </cell>
          <cell r="W15">
            <v>0</v>
          </cell>
          <cell r="X15">
            <v>0</v>
          </cell>
          <cell r="Y15">
            <v>0</v>
          </cell>
          <cell r="Z15">
            <v>0.25</v>
          </cell>
          <cell r="AA15">
            <v>0.5</v>
          </cell>
          <cell r="AB15">
            <v>0.75</v>
          </cell>
          <cell r="AC15">
            <v>1</v>
          </cell>
          <cell r="AD15">
            <v>1.25</v>
          </cell>
          <cell r="AE15">
            <v>1.5</v>
          </cell>
          <cell r="AF15">
            <v>1.75</v>
          </cell>
          <cell r="AG15">
            <v>2</v>
          </cell>
          <cell r="AH15">
            <v>2.25</v>
          </cell>
          <cell r="AI15">
            <v>2.5</v>
          </cell>
          <cell r="AJ15">
            <v>2.75</v>
          </cell>
          <cell r="AK15">
            <v>3</v>
          </cell>
          <cell r="AL15">
            <v>3.25</v>
          </cell>
          <cell r="AM15">
            <v>3.5</v>
          </cell>
          <cell r="AN15">
            <v>3.75</v>
          </cell>
          <cell r="AO15">
            <v>4</v>
          </cell>
          <cell r="AP15">
            <v>4.25</v>
          </cell>
          <cell r="AQ15">
            <v>4.5</v>
          </cell>
          <cell r="AR15">
            <v>4.75</v>
          </cell>
          <cell r="AS15">
            <v>5</v>
          </cell>
          <cell r="AT15">
            <v>5.25</v>
          </cell>
          <cell r="AU15">
            <v>5.5</v>
          </cell>
          <cell r="AV15">
            <v>5.75</v>
          </cell>
          <cell r="AW15">
            <v>6</v>
          </cell>
          <cell r="AX15">
            <v>6.25</v>
          </cell>
          <cell r="AY15">
            <v>6.5</v>
          </cell>
          <cell r="AZ15">
            <v>6.75</v>
          </cell>
          <cell r="BA15">
            <v>7</v>
          </cell>
          <cell r="BB15">
            <v>7.25</v>
          </cell>
          <cell r="BC15">
            <v>7.5</v>
          </cell>
          <cell r="BD15">
            <v>7.75</v>
          </cell>
          <cell r="BE15">
            <v>8</v>
          </cell>
          <cell r="BF15">
            <v>8.25</v>
          </cell>
          <cell r="BG15">
            <v>8.5</v>
          </cell>
          <cell r="BH15">
            <v>8.75</v>
          </cell>
          <cell r="BI15">
            <v>9</v>
          </cell>
          <cell r="BJ15">
            <v>9.25</v>
          </cell>
          <cell r="BK15">
            <v>9.5</v>
          </cell>
          <cell r="BL15">
            <v>9.75</v>
          </cell>
          <cell r="BM15">
            <v>10</v>
          </cell>
          <cell r="BN15">
            <v>10.25</v>
          </cell>
          <cell r="BO15">
            <v>10.5</v>
          </cell>
          <cell r="BP15">
            <v>10.75</v>
          </cell>
          <cell r="BQ15">
            <v>11</v>
          </cell>
          <cell r="BR15">
            <v>11.25</v>
          </cell>
          <cell r="BS15">
            <v>11.5</v>
          </cell>
          <cell r="BT15">
            <v>11.75</v>
          </cell>
          <cell r="BU15">
            <v>12</v>
          </cell>
          <cell r="BV15">
            <v>12.25</v>
          </cell>
          <cell r="BW15">
            <v>12.5</v>
          </cell>
          <cell r="BX15">
            <v>12.75</v>
          </cell>
          <cell r="BY15">
            <v>13</v>
          </cell>
          <cell r="BZ15">
            <v>13.25</v>
          </cell>
          <cell r="CA15">
            <v>13.5</v>
          </cell>
          <cell r="CB15">
            <v>13.75</v>
          </cell>
          <cell r="CC15">
            <v>14</v>
          </cell>
          <cell r="CD15">
            <v>14.25</v>
          </cell>
          <cell r="CE15">
            <v>14.5</v>
          </cell>
          <cell r="CF15">
            <v>14.75</v>
          </cell>
          <cell r="CG15">
            <v>15</v>
          </cell>
          <cell r="CH15">
            <v>15.25</v>
          </cell>
          <cell r="CI15">
            <v>15.5</v>
          </cell>
          <cell r="CJ15">
            <v>15.75</v>
          </cell>
          <cell r="CK15">
            <v>16</v>
          </cell>
          <cell r="CL15">
            <v>16.25</v>
          </cell>
          <cell r="CM15">
            <v>16.5</v>
          </cell>
          <cell r="CN15">
            <v>16.75</v>
          </cell>
          <cell r="CO15">
            <v>17</v>
          </cell>
          <cell r="CP15">
            <v>17.25</v>
          </cell>
          <cell r="CQ15">
            <v>17.5</v>
          </cell>
          <cell r="CR15">
            <v>17.75</v>
          </cell>
          <cell r="CS15">
            <v>18</v>
          </cell>
          <cell r="CT15">
            <v>18.25</v>
          </cell>
          <cell r="CU15">
            <v>18.5</v>
          </cell>
          <cell r="CV15">
            <v>18.75</v>
          </cell>
          <cell r="CW15">
            <v>19</v>
          </cell>
          <cell r="CX15">
            <v>19.25</v>
          </cell>
          <cell r="CY15">
            <v>19.5</v>
          </cell>
          <cell r="CZ15">
            <v>19.75</v>
          </cell>
          <cell r="DA15">
            <v>20</v>
          </cell>
          <cell r="DB15">
            <v>0</v>
          </cell>
          <cell r="DC15">
            <v>0</v>
          </cell>
          <cell r="DD15">
            <v>0</v>
          </cell>
          <cell r="DE15">
            <v>0</v>
          </cell>
          <cell r="DF15">
            <v>0</v>
          </cell>
          <cell r="DG15">
            <v>0</v>
          </cell>
          <cell r="DH15">
            <v>0</v>
          </cell>
          <cell r="DI15">
            <v>0</v>
          </cell>
          <cell r="DJ15">
            <v>0</v>
          </cell>
          <cell r="DK15">
            <v>0</v>
          </cell>
          <cell r="DL15">
            <v>0</v>
          </cell>
          <cell r="DM15">
            <v>0</v>
          </cell>
          <cell r="DN15">
            <v>0</v>
          </cell>
          <cell r="DO15">
            <v>0</v>
          </cell>
          <cell r="DP15">
            <v>0</v>
          </cell>
          <cell r="DQ15">
            <v>0</v>
          </cell>
          <cell r="DR15">
            <v>0</v>
          </cell>
          <cell r="DS15">
            <v>0</v>
          </cell>
          <cell r="DT15">
            <v>0</v>
          </cell>
          <cell r="DU15">
            <v>0</v>
          </cell>
          <cell r="DV15">
            <v>0</v>
          </cell>
          <cell r="DW15">
            <v>0</v>
          </cell>
          <cell r="DX15">
            <v>0</v>
          </cell>
          <cell r="DY15">
            <v>0</v>
          </cell>
        </row>
        <row r="16">
          <cell r="B16" t="str">
            <v>Aria LP</v>
          </cell>
          <cell r="D16">
            <v>41364</v>
          </cell>
          <cell r="E16">
            <v>20</v>
          </cell>
          <cell r="L16">
            <v>20</v>
          </cell>
          <cell r="N16">
            <v>0</v>
          </cell>
          <cell r="O16">
            <v>0</v>
          </cell>
          <cell r="P16">
            <v>0</v>
          </cell>
          <cell r="Q16">
            <v>0</v>
          </cell>
          <cell r="R16">
            <v>0</v>
          </cell>
          <cell r="S16">
            <v>0</v>
          </cell>
          <cell r="T16">
            <v>0</v>
          </cell>
          <cell r="U16">
            <v>0</v>
          </cell>
          <cell r="V16">
            <v>0</v>
          </cell>
          <cell r="W16">
            <v>0</v>
          </cell>
          <cell r="X16">
            <v>0</v>
          </cell>
          <cell r="Y16">
            <v>0</v>
          </cell>
          <cell r="Z16">
            <v>0.25</v>
          </cell>
          <cell r="AA16">
            <v>0.5</v>
          </cell>
          <cell r="AB16">
            <v>0.75</v>
          </cell>
          <cell r="AC16">
            <v>1</v>
          </cell>
          <cell r="AD16">
            <v>1.25</v>
          </cell>
          <cell r="AE16">
            <v>1.5</v>
          </cell>
          <cell r="AF16">
            <v>1.75</v>
          </cell>
          <cell r="AG16">
            <v>2</v>
          </cell>
          <cell r="AH16">
            <v>2.25</v>
          </cell>
          <cell r="AI16">
            <v>2.5</v>
          </cell>
          <cell r="AJ16">
            <v>2.75</v>
          </cell>
          <cell r="AK16">
            <v>3</v>
          </cell>
          <cell r="AL16">
            <v>3.25</v>
          </cell>
          <cell r="AM16">
            <v>3.5</v>
          </cell>
          <cell r="AN16">
            <v>3.75</v>
          </cell>
          <cell r="AO16">
            <v>4</v>
          </cell>
          <cell r="AP16">
            <v>4.25</v>
          </cell>
          <cell r="AQ16">
            <v>4.5</v>
          </cell>
          <cell r="AR16">
            <v>4.75</v>
          </cell>
          <cell r="AS16">
            <v>5</v>
          </cell>
          <cell r="AT16">
            <v>5.25</v>
          </cell>
          <cell r="AU16">
            <v>5.5</v>
          </cell>
          <cell r="AV16">
            <v>5.75</v>
          </cell>
          <cell r="AW16">
            <v>6</v>
          </cell>
          <cell r="AX16">
            <v>6.25</v>
          </cell>
          <cell r="AY16">
            <v>6.5</v>
          </cell>
          <cell r="AZ16">
            <v>6.75</v>
          </cell>
          <cell r="BA16">
            <v>7</v>
          </cell>
          <cell r="BB16">
            <v>7.25</v>
          </cell>
          <cell r="BC16">
            <v>7.5</v>
          </cell>
          <cell r="BD16">
            <v>7.75</v>
          </cell>
          <cell r="BE16">
            <v>8</v>
          </cell>
          <cell r="BF16">
            <v>8.25</v>
          </cell>
          <cell r="BG16">
            <v>8.5</v>
          </cell>
          <cell r="BH16">
            <v>8.75</v>
          </cell>
          <cell r="BI16">
            <v>9</v>
          </cell>
          <cell r="BJ16">
            <v>9.25</v>
          </cell>
          <cell r="BK16">
            <v>9.5</v>
          </cell>
          <cell r="BL16">
            <v>9.75</v>
          </cell>
          <cell r="BM16">
            <v>10</v>
          </cell>
          <cell r="BN16">
            <v>10.25</v>
          </cell>
          <cell r="BO16">
            <v>10.5</v>
          </cell>
          <cell r="BP16">
            <v>10.75</v>
          </cell>
          <cell r="BQ16">
            <v>11</v>
          </cell>
          <cell r="BR16">
            <v>11.25</v>
          </cell>
          <cell r="BS16">
            <v>11.5</v>
          </cell>
          <cell r="BT16">
            <v>11.75</v>
          </cell>
          <cell r="BU16">
            <v>12</v>
          </cell>
          <cell r="BV16">
            <v>12.25</v>
          </cell>
          <cell r="BW16">
            <v>12.5</v>
          </cell>
          <cell r="BX16">
            <v>12.75</v>
          </cell>
          <cell r="BY16">
            <v>13</v>
          </cell>
          <cell r="BZ16">
            <v>13.25</v>
          </cell>
          <cell r="CA16">
            <v>13.5</v>
          </cell>
          <cell r="CB16">
            <v>13.75</v>
          </cell>
          <cell r="CC16">
            <v>14</v>
          </cell>
          <cell r="CD16">
            <v>14.25</v>
          </cell>
          <cell r="CE16">
            <v>14.5</v>
          </cell>
          <cell r="CF16">
            <v>14.75</v>
          </cell>
          <cell r="CG16">
            <v>15</v>
          </cell>
          <cell r="CH16">
            <v>15.25</v>
          </cell>
          <cell r="CI16">
            <v>15.5</v>
          </cell>
          <cell r="CJ16">
            <v>15.75</v>
          </cell>
          <cell r="CK16">
            <v>16</v>
          </cell>
          <cell r="CL16">
            <v>16.25</v>
          </cell>
          <cell r="CM16">
            <v>16.5</v>
          </cell>
          <cell r="CN16">
            <v>16.75</v>
          </cell>
          <cell r="CO16">
            <v>17</v>
          </cell>
          <cell r="CP16">
            <v>17.25</v>
          </cell>
          <cell r="CQ16">
            <v>17.5</v>
          </cell>
          <cell r="CR16">
            <v>17.75</v>
          </cell>
          <cell r="CS16">
            <v>18</v>
          </cell>
          <cell r="CT16">
            <v>18.25</v>
          </cell>
          <cell r="CU16">
            <v>18.5</v>
          </cell>
          <cell r="CV16">
            <v>18.75</v>
          </cell>
          <cell r="CW16">
            <v>19</v>
          </cell>
          <cell r="CX16">
            <v>19.25</v>
          </cell>
          <cell r="CY16">
            <v>19.5</v>
          </cell>
          <cell r="CZ16">
            <v>19.75</v>
          </cell>
          <cell r="DA16">
            <v>20</v>
          </cell>
          <cell r="DB16">
            <v>0</v>
          </cell>
          <cell r="DC16">
            <v>0</v>
          </cell>
          <cell r="DD16">
            <v>0</v>
          </cell>
          <cell r="DE16">
            <v>0</v>
          </cell>
          <cell r="DF16">
            <v>0</v>
          </cell>
          <cell r="DG16">
            <v>0</v>
          </cell>
          <cell r="DH16">
            <v>0</v>
          </cell>
          <cell r="DI16">
            <v>0</v>
          </cell>
          <cell r="DJ16">
            <v>0</v>
          </cell>
          <cell r="DK16">
            <v>0</v>
          </cell>
          <cell r="DL16">
            <v>0</v>
          </cell>
          <cell r="DM16">
            <v>0</v>
          </cell>
          <cell r="DN16">
            <v>0</v>
          </cell>
          <cell r="DO16">
            <v>0</v>
          </cell>
          <cell r="DP16">
            <v>0</v>
          </cell>
          <cell r="DQ16">
            <v>0</v>
          </cell>
          <cell r="DR16">
            <v>0</v>
          </cell>
          <cell r="DS16">
            <v>0</v>
          </cell>
          <cell r="DT16">
            <v>0</v>
          </cell>
          <cell r="DU16">
            <v>0</v>
          </cell>
          <cell r="DV16">
            <v>0</v>
          </cell>
          <cell r="DW16">
            <v>0</v>
          </cell>
          <cell r="DX16">
            <v>0</v>
          </cell>
          <cell r="DY16">
            <v>0</v>
          </cell>
        </row>
        <row r="17">
          <cell r="B17" t="str">
            <v>BeamLight LP</v>
          </cell>
          <cell r="D17">
            <v>41364</v>
          </cell>
          <cell r="E17">
            <v>20</v>
          </cell>
          <cell r="L17">
            <v>20</v>
          </cell>
          <cell r="N17">
            <v>0</v>
          </cell>
          <cell r="O17">
            <v>0</v>
          </cell>
          <cell r="P17">
            <v>0</v>
          </cell>
          <cell r="Q17">
            <v>0</v>
          </cell>
          <cell r="R17">
            <v>0</v>
          </cell>
          <cell r="S17">
            <v>0</v>
          </cell>
          <cell r="T17">
            <v>0</v>
          </cell>
          <cell r="U17">
            <v>0</v>
          </cell>
          <cell r="V17">
            <v>0</v>
          </cell>
          <cell r="W17">
            <v>0</v>
          </cell>
          <cell r="X17">
            <v>0</v>
          </cell>
          <cell r="Y17">
            <v>0</v>
          </cell>
          <cell r="Z17">
            <v>0.25</v>
          </cell>
          <cell r="AA17">
            <v>0.5</v>
          </cell>
          <cell r="AB17">
            <v>0.75</v>
          </cell>
          <cell r="AC17">
            <v>1</v>
          </cell>
          <cell r="AD17">
            <v>1.25</v>
          </cell>
          <cell r="AE17">
            <v>1.5</v>
          </cell>
          <cell r="AF17">
            <v>1.75</v>
          </cell>
          <cell r="AG17">
            <v>2</v>
          </cell>
          <cell r="AH17">
            <v>2.25</v>
          </cell>
          <cell r="AI17">
            <v>2.5</v>
          </cell>
          <cell r="AJ17">
            <v>2.75</v>
          </cell>
          <cell r="AK17">
            <v>3</v>
          </cell>
          <cell r="AL17">
            <v>3.25</v>
          </cell>
          <cell r="AM17">
            <v>3.5</v>
          </cell>
          <cell r="AN17">
            <v>3.75</v>
          </cell>
          <cell r="AO17">
            <v>4</v>
          </cell>
          <cell r="AP17">
            <v>4.25</v>
          </cell>
          <cell r="AQ17">
            <v>4.5</v>
          </cell>
          <cell r="AR17">
            <v>4.75</v>
          </cell>
          <cell r="AS17">
            <v>5</v>
          </cell>
          <cell r="AT17">
            <v>5.25</v>
          </cell>
          <cell r="AU17">
            <v>5.5</v>
          </cell>
          <cell r="AV17">
            <v>5.75</v>
          </cell>
          <cell r="AW17">
            <v>6</v>
          </cell>
          <cell r="AX17">
            <v>6.25</v>
          </cell>
          <cell r="AY17">
            <v>6.5</v>
          </cell>
          <cell r="AZ17">
            <v>6.75</v>
          </cell>
          <cell r="BA17">
            <v>7</v>
          </cell>
          <cell r="BB17">
            <v>7.25</v>
          </cell>
          <cell r="BC17">
            <v>7.5</v>
          </cell>
          <cell r="BD17">
            <v>7.75</v>
          </cell>
          <cell r="BE17">
            <v>8</v>
          </cell>
          <cell r="BF17">
            <v>8.25</v>
          </cell>
          <cell r="BG17">
            <v>8.5</v>
          </cell>
          <cell r="BH17">
            <v>8.75</v>
          </cell>
          <cell r="BI17">
            <v>9</v>
          </cell>
          <cell r="BJ17">
            <v>9.25</v>
          </cell>
          <cell r="BK17">
            <v>9.5</v>
          </cell>
          <cell r="BL17">
            <v>9.75</v>
          </cell>
          <cell r="BM17">
            <v>10</v>
          </cell>
          <cell r="BN17">
            <v>10.25</v>
          </cell>
          <cell r="BO17">
            <v>10.5</v>
          </cell>
          <cell r="BP17">
            <v>10.75</v>
          </cell>
          <cell r="BQ17">
            <v>11</v>
          </cell>
          <cell r="BR17">
            <v>11.25</v>
          </cell>
          <cell r="BS17">
            <v>11.5</v>
          </cell>
          <cell r="BT17">
            <v>11.75</v>
          </cell>
          <cell r="BU17">
            <v>12</v>
          </cell>
          <cell r="BV17">
            <v>12.25</v>
          </cell>
          <cell r="BW17">
            <v>12.5</v>
          </cell>
          <cell r="BX17">
            <v>12.75</v>
          </cell>
          <cell r="BY17">
            <v>13</v>
          </cell>
          <cell r="BZ17">
            <v>13.25</v>
          </cell>
          <cell r="CA17">
            <v>13.5</v>
          </cell>
          <cell r="CB17">
            <v>13.75</v>
          </cell>
          <cell r="CC17">
            <v>14</v>
          </cell>
          <cell r="CD17">
            <v>14.25</v>
          </cell>
          <cell r="CE17">
            <v>14.5</v>
          </cell>
          <cell r="CF17">
            <v>14.75</v>
          </cell>
          <cell r="CG17">
            <v>15</v>
          </cell>
          <cell r="CH17">
            <v>15.25</v>
          </cell>
          <cell r="CI17">
            <v>15.5</v>
          </cell>
          <cell r="CJ17">
            <v>15.75</v>
          </cell>
          <cell r="CK17">
            <v>16</v>
          </cell>
          <cell r="CL17">
            <v>16.25</v>
          </cell>
          <cell r="CM17">
            <v>16.5</v>
          </cell>
          <cell r="CN17">
            <v>16.75</v>
          </cell>
          <cell r="CO17">
            <v>17</v>
          </cell>
          <cell r="CP17">
            <v>17.25</v>
          </cell>
          <cell r="CQ17">
            <v>17.5</v>
          </cell>
          <cell r="CR17">
            <v>17.75</v>
          </cell>
          <cell r="CS17">
            <v>18</v>
          </cell>
          <cell r="CT17">
            <v>18.25</v>
          </cell>
          <cell r="CU17">
            <v>18.5</v>
          </cell>
          <cell r="CV17">
            <v>18.75</v>
          </cell>
          <cell r="CW17">
            <v>19</v>
          </cell>
          <cell r="CX17">
            <v>19.25</v>
          </cell>
          <cell r="CY17">
            <v>19.5</v>
          </cell>
          <cell r="CZ17">
            <v>19.75</v>
          </cell>
          <cell r="DA17">
            <v>20</v>
          </cell>
          <cell r="DB17">
            <v>0</v>
          </cell>
          <cell r="DC17">
            <v>0</v>
          </cell>
          <cell r="DD17">
            <v>0</v>
          </cell>
          <cell r="DE17">
            <v>0</v>
          </cell>
          <cell r="DF17">
            <v>0</v>
          </cell>
          <cell r="DG17">
            <v>0</v>
          </cell>
          <cell r="DH17">
            <v>0</v>
          </cell>
          <cell r="DI17">
            <v>0</v>
          </cell>
          <cell r="DJ17">
            <v>0</v>
          </cell>
          <cell r="DK17">
            <v>0</v>
          </cell>
          <cell r="DL17">
            <v>0</v>
          </cell>
          <cell r="DM17">
            <v>0</v>
          </cell>
          <cell r="DN17">
            <v>0</v>
          </cell>
          <cell r="DO17">
            <v>0</v>
          </cell>
          <cell r="DP17">
            <v>0</v>
          </cell>
          <cell r="DQ17">
            <v>0</v>
          </cell>
          <cell r="DR17">
            <v>0</v>
          </cell>
          <cell r="DS17">
            <v>0</v>
          </cell>
          <cell r="DT17">
            <v>0</v>
          </cell>
          <cell r="DU17">
            <v>0</v>
          </cell>
          <cell r="DV17">
            <v>0</v>
          </cell>
          <cell r="DW17">
            <v>0</v>
          </cell>
          <cell r="DX17">
            <v>0</v>
          </cell>
          <cell r="DY17">
            <v>0</v>
          </cell>
        </row>
        <row r="18">
          <cell r="B18" t="str">
            <v>CityLights LP</v>
          </cell>
          <cell r="D18">
            <v>41364</v>
          </cell>
          <cell r="E18">
            <v>20</v>
          </cell>
          <cell r="L18">
            <v>20</v>
          </cell>
          <cell r="N18">
            <v>0</v>
          </cell>
          <cell r="O18">
            <v>0</v>
          </cell>
          <cell r="P18">
            <v>0</v>
          </cell>
          <cell r="Q18">
            <v>0</v>
          </cell>
          <cell r="R18">
            <v>0</v>
          </cell>
          <cell r="S18">
            <v>0</v>
          </cell>
          <cell r="T18">
            <v>0</v>
          </cell>
          <cell r="U18">
            <v>0</v>
          </cell>
          <cell r="V18">
            <v>0</v>
          </cell>
          <cell r="W18">
            <v>0</v>
          </cell>
          <cell r="X18">
            <v>0</v>
          </cell>
          <cell r="Y18">
            <v>0</v>
          </cell>
          <cell r="Z18">
            <v>0.25</v>
          </cell>
          <cell r="AA18">
            <v>0.5</v>
          </cell>
          <cell r="AB18">
            <v>0.75</v>
          </cell>
          <cell r="AC18">
            <v>1</v>
          </cell>
          <cell r="AD18">
            <v>1.25</v>
          </cell>
          <cell r="AE18">
            <v>1.5</v>
          </cell>
          <cell r="AF18">
            <v>1.75</v>
          </cell>
          <cell r="AG18">
            <v>2</v>
          </cell>
          <cell r="AH18">
            <v>2.25</v>
          </cell>
          <cell r="AI18">
            <v>2.5</v>
          </cell>
          <cell r="AJ18">
            <v>2.75</v>
          </cell>
          <cell r="AK18">
            <v>3</v>
          </cell>
          <cell r="AL18">
            <v>3.25</v>
          </cell>
          <cell r="AM18">
            <v>3.5</v>
          </cell>
          <cell r="AN18">
            <v>3.75</v>
          </cell>
          <cell r="AO18">
            <v>4</v>
          </cell>
          <cell r="AP18">
            <v>4.25</v>
          </cell>
          <cell r="AQ18">
            <v>4.5</v>
          </cell>
          <cell r="AR18">
            <v>4.75</v>
          </cell>
          <cell r="AS18">
            <v>5</v>
          </cell>
          <cell r="AT18">
            <v>5.25</v>
          </cell>
          <cell r="AU18">
            <v>5.5</v>
          </cell>
          <cell r="AV18">
            <v>5.75</v>
          </cell>
          <cell r="AW18">
            <v>6</v>
          </cell>
          <cell r="AX18">
            <v>6.25</v>
          </cell>
          <cell r="AY18">
            <v>6.5</v>
          </cell>
          <cell r="AZ18">
            <v>6.75</v>
          </cell>
          <cell r="BA18">
            <v>7</v>
          </cell>
          <cell r="BB18">
            <v>7.25</v>
          </cell>
          <cell r="BC18">
            <v>7.5</v>
          </cell>
          <cell r="BD18">
            <v>7.75</v>
          </cell>
          <cell r="BE18">
            <v>8</v>
          </cell>
          <cell r="BF18">
            <v>8.25</v>
          </cell>
          <cell r="BG18">
            <v>8.5</v>
          </cell>
          <cell r="BH18">
            <v>8.75</v>
          </cell>
          <cell r="BI18">
            <v>9</v>
          </cell>
          <cell r="BJ18">
            <v>9.25</v>
          </cell>
          <cell r="BK18">
            <v>9.5</v>
          </cell>
          <cell r="BL18">
            <v>9.75</v>
          </cell>
          <cell r="BM18">
            <v>10</v>
          </cell>
          <cell r="BN18">
            <v>10.25</v>
          </cell>
          <cell r="BO18">
            <v>10.5</v>
          </cell>
          <cell r="BP18">
            <v>10.75</v>
          </cell>
          <cell r="BQ18">
            <v>11</v>
          </cell>
          <cell r="BR18">
            <v>11.25</v>
          </cell>
          <cell r="BS18">
            <v>11.5</v>
          </cell>
          <cell r="BT18">
            <v>11.75</v>
          </cell>
          <cell r="BU18">
            <v>12</v>
          </cell>
          <cell r="BV18">
            <v>12.25</v>
          </cell>
          <cell r="BW18">
            <v>12.5</v>
          </cell>
          <cell r="BX18">
            <v>12.75</v>
          </cell>
          <cell r="BY18">
            <v>13</v>
          </cell>
          <cell r="BZ18">
            <v>13.25</v>
          </cell>
          <cell r="CA18">
            <v>13.5</v>
          </cell>
          <cell r="CB18">
            <v>13.75</v>
          </cell>
          <cell r="CC18">
            <v>14</v>
          </cell>
          <cell r="CD18">
            <v>14.25</v>
          </cell>
          <cell r="CE18">
            <v>14.5</v>
          </cell>
          <cell r="CF18">
            <v>14.75</v>
          </cell>
          <cell r="CG18">
            <v>15</v>
          </cell>
          <cell r="CH18">
            <v>15.25</v>
          </cell>
          <cell r="CI18">
            <v>15.5</v>
          </cell>
          <cell r="CJ18">
            <v>15.75</v>
          </cell>
          <cell r="CK18">
            <v>16</v>
          </cell>
          <cell r="CL18">
            <v>16.25</v>
          </cell>
          <cell r="CM18">
            <v>16.5</v>
          </cell>
          <cell r="CN18">
            <v>16.75</v>
          </cell>
          <cell r="CO18">
            <v>17</v>
          </cell>
          <cell r="CP18">
            <v>17.25</v>
          </cell>
          <cell r="CQ18">
            <v>17.5</v>
          </cell>
          <cell r="CR18">
            <v>17.75</v>
          </cell>
          <cell r="CS18">
            <v>18</v>
          </cell>
          <cell r="CT18">
            <v>18.25</v>
          </cell>
          <cell r="CU18">
            <v>18.5</v>
          </cell>
          <cell r="CV18">
            <v>18.75</v>
          </cell>
          <cell r="CW18">
            <v>19</v>
          </cell>
          <cell r="CX18">
            <v>19.25</v>
          </cell>
          <cell r="CY18">
            <v>19.5</v>
          </cell>
          <cell r="CZ18">
            <v>19.75</v>
          </cell>
          <cell r="DA18">
            <v>20</v>
          </cell>
          <cell r="DB18">
            <v>0</v>
          </cell>
          <cell r="DC18">
            <v>0</v>
          </cell>
          <cell r="DD18">
            <v>0</v>
          </cell>
          <cell r="DE18">
            <v>0</v>
          </cell>
          <cell r="DF18">
            <v>0</v>
          </cell>
          <cell r="DG18">
            <v>0</v>
          </cell>
          <cell r="DH18">
            <v>0</v>
          </cell>
          <cell r="DI18">
            <v>0</v>
          </cell>
          <cell r="DJ18">
            <v>0</v>
          </cell>
          <cell r="DK18">
            <v>0</v>
          </cell>
          <cell r="DL18">
            <v>0</v>
          </cell>
          <cell r="DM18">
            <v>0</v>
          </cell>
          <cell r="DN18">
            <v>0</v>
          </cell>
          <cell r="DO18">
            <v>0</v>
          </cell>
          <cell r="DP18">
            <v>0</v>
          </cell>
          <cell r="DQ18">
            <v>0</v>
          </cell>
          <cell r="DR18">
            <v>0</v>
          </cell>
          <cell r="DS18">
            <v>0</v>
          </cell>
          <cell r="DT18">
            <v>0</v>
          </cell>
          <cell r="DU18">
            <v>0</v>
          </cell>
          <cell r="DV18">
            <v>0</v>
          </cell>
          <cell r="DW18">
            <v>0</v>
          </cell>
          <cell r="DX18">
            <v>0</v>
          </cell>
          <cell r="DY18">
            <v>0</v>
          </cell>
        </row>
        <row r="19">
          <cell r="B19" t="str">
            <v>DiscoveryLight LP</v>
          </cell>
          <cell r="D19">
            <v>41364</v>
          </cell>
          <cell r="E19">
            <v>20</v>
          </cell>
          <cell r="L19">
            <v>20</v>
          </cell>
          <cell r="N19">
            <v>0</v>
          </cell>
          <cell r="O19">
            <v>0</v>
          </cell>
          <cell r="P19">
            <v>0</v>
          </cell>
          <cell r="Q19">
            <v>0</v>
          </cell>
          <cell r="R19">
            <v>0</v>
          </cell>
          <cell r="S19">
            <v>0</v>
          </cell>
          <cell r="T19">
            <v>0</v>
          </cell>
          <cell r="U19">
            <v>0</v>
          </cell>
          <cell r="V19">
            <v>0</v>
          </cell>
          <cell r="W19">
            <v>0</v>
          </cell>
          <cell r="X19">
            <v>0</v>
          </cell>
          <cell r="Y19">
            <v>0</v>
          </cell>
          <cell r="Z19">
            <v>0.25</v>
          </cell>
          <cell r="AA19">
            <v>0.5</v>
          </cell>
          <cell r="AB19">
            <v>0.75</v>
          </cell>
          <cell r="AC19">
            <v>1</v>
          </cell>
          <cell r="AD19">
            <v>1.25</v>
          </cell>
          <cell r="AE19">
            <v>1.5</v>
          </cell>
          <cell r="AF19">
            <v>1.75</v>
          </cell>
          <cell r="AG19">
            <v>2</v>
          </cell>
          <cell r="AH19">
            <v>2.25</v>
          </cell>
          <cell r="AI19">
            <v>2.5</v>
          </cell>
          <cell r="AJ19">
            <v>2.75</v>
          </cell>
          <cell r="AK19">
            <v>3</v>
          </cell>
          <cell r="AL19">
            <v>3.25</v>
          </cell>
          <cell r="AM19">
            <v>3.5</v>
          </cell>
          <cell r="AN19">
            <v>3.75</v>
          </cell>
          <cell r="AO19">
            <v>4</v>
          </cell>
          <cell r="AP19">
            <v>4.25</v>
          </cell>
          <cell r="AQ19">
            <v>4.5</v>
          </cell>
          <cell r="AR19">
            <v>4.75</v>
          </cell>
          <cell r="AS19">
            <v>5</v>
          </cell>
          <cell r="AT19">
            <v>5.25</v>
          </cell>
          <cell r="AU19">
            <v>5.5</v>
          </cell>
          <cell r="AV19">
            <v>5.75</v>
          </cell>
          <cell r="AW19">
            <v>6</v>
          </cell>
          <cell r="AX19">
            <v>6.25</v>
          </cell>
          <cell r="AY19">
            <v>6.5</v>
          </cell>
          <cell r="AZ19">
            <v>6.75</v>
          </cell>
          <cell r="BA19">
            <v>7</v>
          </cell>
          <cell r="BB19">
            <v>7.25</v>
          </cell>
          <cell r="BC19">
            <v>7.5</v>
          </cell>
          <cell r="BD19">
            <v>7.75</v>
          </cell>
          <cell r="BE19">
            <v>8</v>
          </cell>
          <cell r="BF19">
            <v>8.25</v>
          </cell>
          <cell r="BG19">
            <v>8.5</v>
          </cell>
          <cell r="BH19">
            <v>8.75</v>
          </cell>
          <cell r="BI19">
            <v>9</v>
          </cell>
          <cell r="BJ19">
            <v>9.25</v>
          </cell>
          <cell r="BK19">
            <v>9.5</v>
          </cell>
          <cell r="BL19">
            <v>9.75</v>
          </cell>
          <cell r="BM19">
            <v>10</v>
          </cell>
          <cell r="BN19">
            <v>10.25</v>
          </cell>
          <cell r="BO19">
            <v>10.5</v>
          </cell>
          <cell r="BP19">
            <v>10.75</v>
          </cell>
          <cell r="BQ19">
            <v>11</v>
          </cell>
          <cell r="BR19">
            <v>11.25</v>
          </cell>
          <cell r="BS19">
            <v>11.5</v>
          </cell>
          <cell r="BT19">
            <v>11.75</v>
          </cell>
          <cell r="BU19">
            <v>12</v>
          </cell>
          <cell r="BV19">
            <v>12.25</v>
          </cell>
          <cell r="BW19">
            <v>12.5</v>
          </cell>
          <cell r="BX19">
            <v>12.75</v>
          </cell>
          <cell r="BY19">
            <v>13</v>
          </cell>
          <cell r="BZ19">
            <v>13.25</v>
          </cell>
          <cell r="CA19">
            <v>13.5</v>
          </cell>
          <cell r="CB19">
            <v>13.75</v>
          </cell>
          <cell r="CC19">
            <v>14</v>
          </cell>
          <cell r="CD19">
            <v>14.25</v>
          </cell>
          <cell r="CE19">
            <v>14.5</v>
          </cell>
          <cell r="CF19">
            <v>14.75</v>
          </cell>
          <cell r="CG19">
            <v>15</v>
          </cell>
          <cell r="CH19">
            <v>15.25</v>
          </cell>
          <cell r="CI19">
            <v>15.5</v>
          </cell>
          <cell r="CJ19">
            <v>15.75</v>
          </cell>
          <cell r="CK19">
            <v>16</v>
          </cell>
          <cell r="CL19">
            <v>16.25</v>
          </cell>
          <cell r="CM19">
            <v>16.5</v>
          </cell>
          <cell r="CN19">
            <v>16.75</v>
          </cell>
          <cell r="CO19">
            <v>17</v>
          </cell>
          <cell r="CP19">
            <v>17.25</v>
          </cell>
          <cell r="CQ19">
            <v>17.5</v>
          </cell>
          <cell r="CR19">
            <v>17.75</v>
          </cell>
          <cell r="CS19">
            <v>18</v>
          </cell>
          <cell r="CT19">
            <v>18.25</v>
          </cell>
          <cell r="CU19">
            <v>18.5</v>
          </cell>
          <cell r="CV19">
            <v>18.75</v>
          </cell>
          <cell r="CW19">
            <v>19</v>
          </cell>
          <cell r="CX19">
            <v>19.25</v>
          </cell>
          <cell r="CY19">
            <v>19.5</v>
          </cell>
          <cell r="CZ19">
            <v>19.75</v>
          </cell>
          <cell r="DA19">
            <v>20</v>
          </cell>
          <cell r="DB19">
            <v>0</v>
          </cell>
          <cell r="DC19">
            <v>0</v>
          </cell>
          <cell r="DD19">
            <v>0</v>
          </cell>
          <cell r="DE19">
            <v>0</v>
          </cell>
          <cell r="DF19">
            <v>0</v>
          </cell>
          <cell r="DG19">
            <v>0</v>
          </cell>
          <cell r="DH19">
            <v>0</v>
          </cell>
          <cell r="DI19">
            <v>0</v>
          </cell>
          <cell r="DJ19">
            <v>0</v>
          </cell>
          <cell r="DK19">
            <v>0</v>
          </cell>
          <cell r="DL19">
            <v>0</v>
          </cell>
          <cell r="DM19">
            <v>0</v>
          </cell>
          <cell r="DN19">
            <v>0</v>
          </cell>
          <cell r="DO19">
            <v>0</v>
          </cell>
          <cell r="DP19">
            <v>0</v>
          </cell>
          <cell r="DQ19">
            <v>0</v>
          </cell>
          <cell r="DR19">
            <v>0</v>
          </cell>
          <cell r="DS19">
            <v>0</v>
          </cell>
          <cell r="DT19">
            <v>0</v>
          </cell>
          <cell r="DU19">
            <v>0</v>
          </cell>
          <cell r="DV19">
            <v>0</v>
          </cell>
          <cell r="DW19">
            <v>0</v>
          </cell>
          <cell r="DX19">
            <v>0</v>
          </cell>
          <cell r="DY19">
            <v>0</v>
          </cell>
        </row>
        <row r="20">
          <cell r="B20" t="str">
            <v>EarthLight LP</v>
          </cell>
          <cell r="D20">
            <v>41364</v>
          </cell>
          <cell r="E20">
            <v>20</v>
          </cell>
          <cell r="L20">
            <v>20</v>
          </cell>
          <cell r="N20">
            <v>0</v>
          </cell>
          <cell r="O20">
            <v>0</v>
          </cell>
          <cell r="P20">
            <v>0</v>
          </cell>
          <cell r="Q20">
            <v>0</v>
          </cell>
          <cell r="R20">
            <v>0</v>
          </cell>
          <cell r="S20">
            <v>0</v>
          </cell>
          <cell r="T20">
            <v>0</v>
          </cell>
          <cell r="U20">
            <v>0</v>
          </cell>
          <cell r="V20">
            <v>0</v>
          </cell>
          <cell r="W20">
            <v>0</v>
          </cell>
          <cell r="X20">
            <v>0</v>
          </cell>
          <cell r="Y20">
            <v>0</v>
          </cell>
          <cell r="Z20">
            <v>0.25</v>
          </cell>
          <cell r="AA20">
            <v>0.5</v>
          </cell>
          <cell r="AB20">
            <v>0.75</v>
          </cell>
          <cell r="AC20">
            <v>1</v>
          </cell>
          <cell r="AD20">
            <v>1.25</v>
          </cell>
          <cell r="AE20">
            <v>1.5</v>
          </cell>
          <cell r="AF20">
            <v>1.75</v>
          </cell>
          <cell r="AG20">
            <v>2</v>
          </cell>
          <cell r="AH20">
            <v>2.25</v>
          </cell>
          <cell r="AI20">
            <v>2.5</v>
          </cell>
          <cell r="AJ20">
            <v>2.75</v>
          </cell>
          <cell r="AK20">
            <v>3</v>
          </cell>
          <cell r="AL20">
            <v>3.25</v>
          </cell>
          <cell r="AM20">
            <v>3.5</v>
          </cell>
          <cell r="AN20">
            <v>3.75</v>
          </cell>
          <cell r="AO20">
            <v>4</v>
          </cell>
          <cell r="AP20">
            <v>4.25</v>
          </cell>
          <cell r="AQ20">
            <v>4.5</v>
          </cell>
          <cell r="AR20">
            <v>4.75</v>
          </cell>
          <cell r="AS20">
            <v>5</v>
          </cell>
          <cell r="AT20">
            <v>5.25</v>
          </cell>
          <cell r="AU20">
            <v>5.5</v>
          </cell>
          <cell r="AV20">
            <v>5.75</v>
          </cell>
          <cell r="AW20">
            <v>6</v>
          </cell>
          <cell r="AX20">
            <v>6.25</v>
          </cell>
          <cell r="AY20">
            <v>6.5</v>
          </cell>
          <cell r="AZ20">
            <v>6.75</v>
          </cell>
          <cell r="BA20">
            <v>7</v>
          </cell>
          <cell r="BB20">
            <v>7.25</v>
          </cell>
          <cell r="BC20">
            <v>7.5</v>
          </cell>
          <cell r="BD20">
            <v>7.75</v>
          </cell>
          <cell r="BE20">
            <v>8</v>
          </cell>
          <cell r="BF20">
            <v>8.25</v>
          </cell>
          <cell r="BG20">
            <v>8.5</v>
          </cell>
          <cell r="BH20">
            <v>8.75</v>
          </cell>
          <cell r="BI20">
            <v>9</v>
          </cell>
          <cell r="BJ20">
            <v>9.25</v>
          </cell>
          <cell r="BK20">
            <v>9.5</v>
          </cell>
          <cell r="BL20">
            <v>9.75</v>
          </cell>
          <cell r="BM20">
            <v>10</v>
          </cell>
          <cell r="BN20">
            <v>10.25</v>
          </cell>
          <cell r="BO20">
            <v>10.5</v>
          </cell>
          <cell r="BP20">
            <v>10.75</v>
          </cell>
          <cell r="BQ20">
            <v>11</v>
          </cell>
          <cell r="BR20">
            <v>11.25</v>
          </cell>
          <cell r="BS20">
            <v>11.5</v>
          </cell>
          <cell r="BT20">
            <v>11.75</v>
          </cell>
          <cell r="BU20">
            <v>12</v>
          </cell>
          <cell r="BV20">
            <v>12.25</v>
          </cell>
          <cell r="BW20">
            <v>12.5</v>
          </cell>
          <cell r="BX20">
            <v>12.75</v>
          </cell>
          <cell r="BY20">
            <v>13</v>
          </cell>
          <cell r="BZ20">
            <v>13.25</v>
          </cell>
          <cell r="CA20">
            <v>13.5</v>
          </cell>
          <cell r="CB20">
            <v>13.75</v>
          </cell>
          <cell r="CC20">
            <v>14</v>
          </cell>
          <cell r="CD20">
            <v>14.25</v>
          </cell>
          <cell r="CE20">
            <v>14.5</v>
          </cell>
          <cell r="CF20">
            <v>14.75</v>
          </cell>
          <cell r="CG20">
            <v>15</v>
          </cell>
          <cell r="CH20">
            <v>15.25</v>
          </cell>
          <cell r="CI20">
            <v>15.5</v>
          </cell>
          <cell r="CJ20">
            <v>15.75</v>
          </cell>
          <cell r="CK20">
            <v>16</v>
          </cell>
          <cell r="CL20">
            <v>16.25</v>
          </cell>
          <cell r="CM20">
            <v>16.5</v>
          </cell>
          <cell r="CN20">
            <v>16.75</v>
          </cell>
          <cell r="CO20">
            <v>17</v>
          </cell>
          <cell r="CP20">
            <v>17.25</v>
          </cell>
          <cell r="CQ20">
            <v>17.5</v>
          </cell>
          <cell r="CR20">
            <v>17.75</v>
          </cell>
          <cell r="CS20">
            <v>18</v>
          </cell>
          <cell r="CT20">
            <v>18.25</v>
          </cell>
          <cell r="CU20">
            <v>18.5</v>
          </cell>
          <cell r="CV20">
            <v>18.75</v>
          </cell>
          <cell r="CW20">
            <v>19</v>
          </cell>
          <cell r="CX20">
            <v>19.25</v>
          </cell>
          <cell r="CY20">
            <v>19.5</v>
          </cell>
          <cell r="CZ20">
            <v>19.75</v>
          </cell>
          <cell r="DA20">
            <v>20</v>
          </cell>
          <cell r="DB20">
            <v>0</v>
          </cell>
          <cell r="DC20">
            <v>0</v>
          </cell>
          <cell r="DD20">
            <v>0</v>
          </cell>
          <cell r="DE20">
            <v>0</v>
          </cell>
          <cell r="DF20">
            <v>0</v>
          </cell>
          <cell r="DG20">
            <v>0</v>
          </cell>
          <cell r="DH20">
            <v>0</v>
          </cell>
          <cell r="DI20">
            <v>0</v>
          </cell>
          <cell r="DJ20">
            <v>0</v>
          </cell>
          <cell r="DK20">
            <v>0</v>
          </cell>
          <cell r="DL20">
            <v>0</v>
          </cell>
          <cell r="DM20">
            <v>0</v>
          </cell>
          <cell r="DN20">
            <v>0</v>
          </cell>
          <cell r="DO20">
            <v>0</v>
          </cell>
          <cell r="DP20">
            <v>0</v>
          </cell>
          <cell r="DQ20">
            <v>0</v>
          </cell>
          <cell r="DR20">
            <v>0</v>
          </cell>
          <cell r="DS20">
            <v>0</v>
          </cell>
          <cell r="DT20">
            <v>0</v>
          </cell>
          <cell r="DU20">
            <v>0</v>
          </cell>
          <cell r="DV20">
            <v>0</v>
          </cell>
          <cell r="DW20">
            <v>0</v>
          </cell>
          <cell r="DX20">
            <v>0</v>
          </cell>
          <cell r="DY20">
            <v>0</v>
          </cell>
        </row>
        <row r="21">
          <cell r="B21" t="str">
            <v>FotoLight LP</v>
          </cell>
          <cell r="D21">
            <v>41364</v>
          </cell>
          <cell r="E21">
            <v>20</v>
          </cell>
          <cell r="L21">
            <v>20</v>
          </cell>
          <cell r="N21">
            <v>0</v>
          </cell>
          <cell r="O21">
            <v>0</v>
          </cell>
          <cell r="P21">
            <v>0</v>
          </cell>
          <cell r="Q21">
            <v>0</v>
          </cell>
          <cell r="R21">
            <v>0</v>
          </cell>
          <cell r="S21">
            <v>0</v>
          </cell>
          <cell r="T21">
            <v>0</v>
          </cell>
          <cell r="U21">
            <v>0</v>
          </cell>
          <cell r="V21">
            <v>0</v>
          </cell>
          <cell r="W21">
            <v>0</v>
          </cell>
          <cell r="X21">
            <v>0</v>
          </cell>
          <cell r="Y21">
            <v>0</v>
          </cell>
          <cell r="Z21">
            <v>0.25</v>
          </cell>
          <cell r="AA21">
            <v>0.5</v>
          </cell>
          <cell r="AB21">
            <v>0.75</v>
          </cell>
          <cell r="AC21">
            <v>1</v>
          </cell>
          <cell r="AD21">
            <v>1.25</v>
          </cell>
          <cell r="AE21">
            <v>1.5</v>
          </cell>
          <cell r="AF21">
            <v>1.75</v>
          </cell>
          <cell r="AG21">
            <v>2</v>
          </cell>
          <cell r="AH21">
            <v>2.25</v>
          </cell>
          <cell r="AI21">
            <v>2.5</v>
          </cell>
          <cell r="AJ21">
            <v>2.75</v>
          </cell>
          <cell r="AK21">
            <v>3</v>
          </cell>
          <cell r="AL21">
            <v>3.25</v>
          </cell>
          <cell r="AM21">
            <v>3.5</v>
          </cell>
          <cell r="AN21">
            <v>3.75</v>
          </cell>
          <cell r="AO21">
            <v>4</v>
          </cell>
          <cell r="AP21">
            <v>4.25</v>
          </cell>
          <cell r="AQ21">
            <v>4.5</v>
          </cell>
          <cell r="AR21">
            <v>4.75</v>
          </cell>
          <cell r="AS21">
            <v>5</v>
          </cell>
          <cell r="AT21">
            <v>5.25</v>
          </cell>
          <cell r="AU21">
            <v>5.5</v>
          </cell>
          <cell r="AV21">
            <v>5.75</v>
          </cell>
          <cell r="AW21">
            <v>6</v>
          </cell>
          <cell r="AX21">
            <v>6.25</v>
          </cell>
          <cell r="AY21">
            <v>6.5</v>
          </cell>
          <cell r="AZ21">
            <v>6.75</v>
          </cell>
          <cell r="BA21">
            <v>7</v>
          </cell>
          <cell r="BB21">
            <v>7.25</v>
          </cell>
          <cell r="BC21">
            <v>7.5</v>
          </cell>
          <cell r="BD21">
            <v>7.75</v>
          </cell>
          <cell r="BE21">
            <v>8</v>
          </cell>
          <cell r="BF21">
            <v>8.25</v>
          </cell>
          <cell r="BG21">
            <v>8.5</v>
          </cell>
          <cell r="BH21">
            <v>8.75</v>
          </cell>
          <cell r="BI21">
            <v>9</v>
          </cell>
          <cell r="BJ21">
            <v>9.25</v>
          </cell>
          <cell r="BK21">
            <v>9.5</v>
          </cell>
          <cell r="BL21">
            <v>9.75</v>
          </cell>
          <cell r="BM21">
            <v>10</v>
          </cell>
          <cell r="BN21">
            <v>10.25</v>
          </cell>
          <cell r="BO21">
            <v>10.5</v>
          </cell>
          <cell r="BP21">
            <v>10.75</v>
          </cell>
          <cell r="BQ21">
            <v>11</v>
          </cell>
          <cell r="BR21">
            <v>11.25</v>
          </cell>
          <cell r="BS21">
            <v>11.5</v>
          </cell>
          <cell r="BT21">
            <v>11.75</v>
          </cell>
          <cell r="BU21">
            <v>12</v>
          </cell>
          <cell r="BV21">
            <v>12.25</v>
          </cell>
          <cell r="BW21">
            <v>12.5</v>
          </cell>
          <cell r="BX21">
            <v>12.75</v>
          </cell>
          <cell r="BY21">
            <v>13</v>
          </cell>
          <cell r="BZ21">
            <v>13.25</v>
          </cell>
          <cell r="CA21">
            <v>13.5</v>
          </cell>
          <cell r="CB21">
            <v>13.75</v>
          </cell>
          <cell r="CC21">
            <v>14</v>
          </cell>
          <cell r="CD21">
            <v>14.25</v>
          </cell>
          <cell r="CE21">
            <v>14.5</v>
          </cell>
          <cell r="CF21">
            <v>14.75</v>
          </cell>
          <cell r="CG21">
            <v>15</v>
          </cell>
          <cell r="CH21">
            <v>15.25</v>
          </cell>
          <cell r="CI21">
            <v>15.5</v>
          </cell>
          <cell r="CJ21">
            <v>15.75</v>
          </cell>
          <cell r="CK21">
            <v>16</v>
          </cell>
          <cell r="CL21">
            <v>16.25</v>
          </cell>
          <cell r="CM21">
            <v>16.5</v>
          </cell>
          <cell r="CN21">
            <v>16.75</v>
          </cell>
          <cell r="CO21">
            <v>17</v>
          </cell>
          <cell r="CP21">
            <v>17.25</v>
          </cell>
          <cell r="CQ21">
            <v>17.5</v>
          </cell>
          <cell r="CR21">
            <v>17.75</v>
          </cell>
          <cell r="CS21">
            <v>18</v>
          </cell>
          <cell r="CT21">
            <v>18.25</v>
          </cell>
          <cell r="CU21">
            <v>18.5</v>
          </cell>
          <cell r="CV21">
            <v>18.75</v>
          </cell>
          <cell r="CW21">
            <v>19</v>
          </cell>
          <cell r="CX21">
            <v>19.25</v>
          </cell>
          <cell r="CY21">
            <v>19.5</v>
          </cell>
          <cell r="CZ21">
            <v>19.75</v>
          </cell>
          <cell r="DA21">
            <v>20</v>
          </cell>
          <cell r="DB21">
            <v>0</v>
          </cell>
          <cell r="DC21">
            <v>0</v>
          </cell>
          <cell r="DD21">
            <v>0</v>
          </cell>
          <cell r="DE21">
            <v>0</v>
          </cell>
          <cell r="DF21">
            <v>0</v>
          </cell>
          <cell r="DG21">
            <v>0</v>
          </cell>
          <cell r="DH21">
            <v>0</v>
          </cell>
          <cell r="DI21">
            <v>0</v>
          </cell>
          <cell r="DJ21">
            <v>0</v>
          </cell>
          <cell r="DK21">
            <v>0</v>
          </cell>
          <cell r="DL21">
            <v>0</v>
          </cell>
          <cell r="DM21">
            <v>0</v>
          </cell>
          <cell r="DN21">
            <v>0</v>
          </cell>
          <cell r="DO21">
            <v>0</v>
          </cell>
          <cell r="DP21">
            <v>0</v>
          </cell>
          <cell r="DQ21">
            <v>0</v>
          </cell>
          <cell r="DR21">
            <v>0</v>
          </cell>
          <cell r="DS21">
            <v>0</v>
          </cell>
          <cell r="DT21">
            <v>0</v>
          </cell>
          <cell r="DU21">
            <v>0</v>
          </cell>
          <cell r="DV21">
            <v>0</v>
          </cell>
          <cell r="DW21">
            <v>0</v>
          </cell>
          <cell r="DX21">
            <v>0</v>
          </cell>
          <cell r="DY21">
            <v>0</v>
          </cell>
        </row>
        <row r="22">
          <cell r="B22" t="str">
            <v>GoldLight LP</v>
          </cell>
          <cell r="D22">
            <v>41364</v>
          </cell>
          <cell r="E22">
            <v>20</v>
          </cell>
          <cell r="L22">
            <v>20</v>
          </cell>
          <cell r="N22">
            <v>0</v>
          </cell>
          <cell r="O22">
            <v>0</v>
          </cell>
          <cell r="P22">
            <v>0</v>
          </cell>
          <cell r="Q22">
            <v>0</v>
          </cell>
          <cell r="R22">
            <v>0</v>
          </cell>
          <cell r="S22">
            <v>0</v>
          </cell>
          <cell r="T22">
            <v>0</v>
          </cell>
          <cell r="U22">
            <v>0</v>
          </cell>
          <cell r="V22">
            <v>0</v>
          </cell>
          <cell r="W22">
            <v>0</v>
          </cell>
          <cell r="X22">
            <v>0</v>
          </cell>
          <cell r="Y22">
            <v>0</v>
          </cell>
          <cell r="Z22">
            <v>0.25</v>
          </cell>
          <cell r="AA22">
            <v>0.5</v>
          </cell>
          <cell r="AB22">
            <v>0.75</v>
          </cell>
          <cell r="AC22">
            <v>1</v>
          </cell>
          <cell r="AD22">
            <v>1.25</v>
          </cell>
          <cell r="AE22">
            <v>1.5</v>
          </cell>
          <cell r="AF22">
            <v>1.75</v>
          </cell>
          <cell r="AG22">
            <v>2</v>
          </cell>
          <cell r="AH22">
            <v>2.25</v>
          </cell>
          <cell r="AI22">
            <v>2.5</v>
          </cell>
          <cell r="AJ22">
            <v>2.75</v>
          </cell>
          <cell r="AK22">
            <v>3</v>
          </cell>
          <cell r="AL22">
            <v>3.25</v>
          </cell>
          <cell r="AM22">
            <v>3.5</v>
          </cell>
          <cell r="AN22">
            <v>3.75</v>
          </cell>
          <cell r="AO22">
            <v>4</v>
          </cell>
          <cell r="AP22">
            <v>4.25</v>
          </cell>
          <cell r="AQ22">
            <v>4.5</v>
          </cell>
          <cell r="AR22">
            <v>4.75</v>
          </cell>
          <cell r="AS22">
            <v>5</v>
          </cell>
          <cell r="AT22">
            <v>5.25</v>
          </cell>
          <cell r="AU22">
            <v>5.5</v>
          </cell>
          <cell r="AV22">
            <v>5.75</v>
          </cell>
          <cell r="AW22">
            <v>6</v>
          </cell>
          <cell r="AX22">
            <v>6.25</v>
          </cell>
          <cell r="AY22">
            <v>6.5</v>
          </cell>
          <cell r="AZ22">
            <v>6.75</v>
          </cell>
          <cell r="BA22">
            <v>7</v>
          </cell>
          <cell r="BB22">
            <v>7.25</v>
          </cell>
          <cell r="BC22">
            <v>7.5</v>
          </cell>
          <cell r="BD22">
            <v>7.75</v>
          </cell>
          <cell r="BE22">
            <v>8</v>
          </cell>
          <cell r="BF22">
            <v>8.25</v>
          </cell>
          <cell r="BG22">
            <v>8.5</v>
          </cell>
          <cell r="BH22">
            <v>8.75</v>
          </cell>
          <cell r="BI22">
            <v>9</v>
          </cell>
          <cell r="BJ22">
            <v>9.25</v>
          </cell>
          <cell r="BK22">
            <v>9.5</v>
          </cell>
          <cell r="BL22">
            <v>9.75</v>
          </cell>
          <cell r="BM22">
            <v>10</v>
          </cell>
          <cell r="BN22">
            <v>10.25</v>
          </cell>
          <cell r="BO22">
            <v>10.5</v>
          </cell>
          <cell r="BP22">
            <v>10.75</v>
          </cell>
          <cell r="BQ22">
            <v>11</v>
          </cell>
          <cell r="BR22">
            <v>11.25</v>
          </cell>
          <cell r="BS22">
            <v>11.5</v>
          </cell>
          <cell r="BT22">
            <v>11.75</v>
          </cell>
          <cell r="BU22">
            <v>12</v>
          </cell>
          <cell r="BV22">
            <v>12.25</v>
          </cell>
          <cell r="BW22">
            <v>12.5</v>
          </cell>
          <cell r="BX22">
            <v>12.75</v>
          </cell>
          <cell r="BY22">
            <v>13</v>
          </cell>
          <cell r="BZ22">
            <v>13.25</v>
          </cell>
          <cell r="CA22">
            <v>13.5</v>
          </cell>
          <cell r="CB22">
            <v>13.75</v>
          </cell>
          <cell r="CC22">
            <v>14</v>
          </cell>
          <cell r="CD22">
            <v>14.25</v>
          </cell>
          <cell r="CE22">
            <v>14.5</v>
          </cell>
          <cell r="CF22">
            <v>14.75</v>
          </cell>
          <cell r="CG22">
            <v>15</v>
          </cell>
          <cell r="CH22">
            <v>15.25</v>
          </cell>
          <cell r="CI22">
            <v>15.5</v>
          </cell>
          <cell r="CJ22">
            <v>15.75</v>
          </cell>
          <cell r="CK22">
            <v>16</v>
          </cell>
          <cell r="CL22">
            <v>16.25</v>
          </cell>
          <cell r="CM22">
            <v>16.5</v>
          </cell>
          <cell r="CN22">
            <v>16.75</v>
          </cell>
          <cell r="CO22">
            <v>17</v>
          </cell>
          <cell r="CP22">
            <v>17.25</v>
          </cell>
          <cell r="CQ22">
            <v>17.5</v>
          </cell>
          <cell r="CR22">
            <v>17.75</v>
          </cell>
          <cell r="CS22">
            <v>18</v>
          </cell>
          <cell r="CT22">
            <v>18.25</v>
          </cell>
          <cell r="CU22">
            <v>18.5</v>
          </cell>
          <cell r="CV22">
            <v>18.75</v>
          </cell>
          <cell r="CW22">
            <v>19</v>
          </cell>
          <cell r="CX22">
            <v>19.25</v>
          </cell>
          <cell r="CY22">
            <v>19.5</v>
          </cell>
          <cell r="CZ22">
            <v>19.75</v>
          </cell>
          <cell r="DA22">
            <v>20</v>
          </cell>
          <cell r="DB22">
            <v>0</v>
          </cell>
          <cell r="DC22">
            <v>0</v>
          </cell>
          <cell r="DD22">
            <v>0</v>
          </cell>
          <cell r="DE22">
            <v>0</v>
          </cell>
          <cell r="DF22">
            <v>0</v>
          </cell>
          <cell r="DG22">
            <v>0</v>
          </cell>
          <cell r="DH22">
            <v>0</v>
          </cell>
          <cell r="DI22">
            <v>0</v>
          </cell>
          <cell r="DJ22">
            <v>0</v>
          </cell>
          <cell r="DK22">
            <v>0</v>
          </cell>
          <cell r="DL22">
            <v>0</v>
          </cell>
          <cell r="DM22">
            <v>0</v>
          </cell>
          <cell r="DN22">
            <v>0</v>
          </cell>
          <cell r="DO22">
            <v>0</v>
          </cell>
          <cell r="DP22">
            <v>0</v>
          </cell>
          <cell r="DQ22">
            <v>0</v>
          </cell>
          <cell r="DR22">
            <v>0</v>
          </cell>
          <cell r="DS22">
            <v>0</v>
          </cell>
          <cell r="DT22">
            <v>0</v>
          </cell>
          <cell r="DU22">
            <v>0</v>
          </cell>
          <cell r="DV22">
            <v>0</v>
          </cell>
          <cell r="DW22">
            <v>0</v>
          </cell>
          <cell r="DX22">
            <v>0</v>
          </cell>
          <cell r="DY22">
            <v>0</v>
          </cell>
        </row>
        <row r="23">
          <cell r="B23" t="str">
            <v>GoodLight LP</v>
          </cell>
          <cell r="D23">
            <v>41364</v>
          </cell>
          <cell r="E23">
            <v>20</v>
          </cell>
          <cell r="L23">
            <v>20</v>
          </cell>
          <cell r="N23">
            <v>0</v>
          </cell>
          <cell r="O23">
            <v>0</v>
          </cell>
          <cell r="P23">
            <v>0</v>
          </cell>
          <cell r="Q23">
            <v>0</v>
          </cell>
          <cell r="R23">
            <v>0</v>
          </cell>
          <cell r="S23">
            <v>0</v>
          </cell>
          <cell r="T23">
            <v>0</v>
          </cell>
          <cell r="U23">
            <v>0</v>
          </cell>
          <cell r="V23">
            <v>0</v>
          </cell>
          <cell r="W23">
            <v>0</v>
          </cell>
          <cell r="X23">
            <v>0</v>
          </cell>
          <cell r="Y23">
            <v>0</v>
          </cell>
          <cell r="Z23">
            <v>0.25</v>
          </cell>
          <cell r="AA23">
            <v>0.5</v>
          </cell>
          <cell r="AB23">
            <v>0.75</v>
          </cell>
          <cell r="AC23">
            <v>1</v>
          </cell>
          <cell r="AD23">
            <v>1.25</v>
          </cell>
          <cell r="AE23">
            <v>1.5</v>
          </cell>
          <cell r="AF23">
            <v>1.75</v>
          </cell>
          <cell r="AG23">
            <v>2</v>
          </cell>
          <cell r="AH23">
            <v>2.25</v>
          </cell>
          <cell r="AI23">
            <v>2.5</v>
          </cell>
          <cell r="AJ23">
            <v>2.75</v>
          </cell>
          <cell r="AK23">
            <v>3</v>
          </cell>
          <cell r="AL23">
            <v>3.25</v>
          </cell>
          <cell r="AM23">
            <v>3.5</v>
          </cell>
          <cell r="AN23">
            <v>3.75</v>
          </cell>
          <cell r="AO23">
            <v>4</v>
          </cell>
          <cell r="AP23">
            <v>4.25</v>
          </cell>
          <cell r="AQ23">
            <v>4.5</v>
          </cell>
          <cell r="AR23">
            <v>4.75</v>
          </cell>
          <cell r="AS23">
            <v>5</v>
          </cell>
          <cell r="AT23">
            <v>5.25</v>
          </cell>
          <cell r="AU23">
            <v>5.5</v>
          </cell>
          <cell r="AV23">
            <v>5.75</v>
          </cell>
          <cell r="AW23">
            <v>6</v>
          </cell>
          <cell r="AX23">
            <v>6.25</v>
          </cell>
          <cell r="AY23">
            <v>6.5</v>
          </cell>
          <cell r="AZ23">
            <v>6.75</v>
          </cell>
          <cell r="BA23">
            <v>7</v>
          </cell>
          <cell r="BB23">
            <v>7.25</v>
          </cell>
          <cell r="BC23">
            <v>7.5</v>
          </cell>
          <cell r="BD23">
            <v>7.75</v>
          </cell>
          <cell r="BE23">
            <v>8</v>
          </cell>
          <cell r="BF23">
            <v>8.25</v>
          </cell>
          <cell r="BG23">
            <v>8.5</v>
          </cell>
          <cell r="BH23">
            <v>8.75</v>
          </cell>
          <cell r="BI23">
            <v>9</v>
          </cell>
          <cell r="BJ23">
            <v>9.25</v>
          </cell>
          <cell r="BK23">
            <v>9.5</v>
          </cell>
          <cell r="BL23">
            <v>9.75</v>
          </cell>
          <cell r="BM23">
            <v>10</v>
          </cell>
          <cell r="BN23">
            <v>10.25</v>
          </cell>
          <cell r="BO23">
            <v>10.5</v>
          </cell>
          <cell r="BP23">
            <v>10.75</v>
          </cell>
          <cell r="BQ23">
            <v>11</v>
          </cell>
          <cell r="BR23">
            <v>11.25</v>
          </cell>
          <cell r="BS23">
            <v>11.5</v>
          </cell>
          <cell r="BT23">
            <v>11.75</v>
          </cell>
          <cell r="BU23">
            <v>12</v>
          </cell>
          <cell r="BV23">
            <v>12.25</v>
          </cell>
          <cell r="BW23">
            <v>12.5</v>
          </cell>
          <cell r="BX23">
            <v>12.75</v>
          </cell>
          <cell r="BY23">
            <v>13</v>
          </cell>
          <cell r="BZ23">
            <v>13.25</v>
          </cell>
          <cell r="CA23">
            <v>13.5</v>
          </cell>
          <cell r="CB23">
            <v>13.75</v>
          </cell>
          <cell r="CC23">
            <v>14</v>
          </cell>
          <cell r="CD23">
            <v>14.25</v>
          </cell>
          <cell r="CE23">
            <v>14.5</v>
          </cell>
          <cell r="CF23">
            <v>14.75</v>
          </cell>
          <cell r="CG23">
            <v>15</v>
          </cell>
          <cell r="CH23">
            <v>15.25</v>
          </cell>
          <cell r="CI23">
            <v>15.5</v>
          </cell>
          <cell r="CJ23">
            <v>15.75</v>
          </cell>
          <cell r="CK23">
            <v>16</v>
          </cell>
          <cell r="CL23">
            <v>16.25</v>
          </cell>
          <cell r="CM23">
            <v>16.5</v>
          </cell>
          <cell r="CN23">
            <v>16.75</v>
          </cell>
          <cell r="CO23">
            <v>17</v>
          </cell>
          <cell r="CP23">
            <v>17.25</v>
          </cell>
          <cell r="CQ23">
            <v>17.5</v>
          </cell>
          <cell r="CR23">
            <v>17.75</v>
          </cell>
          <cell r="CS23">
            <v>18</v>
          </cell>
          <cell r="CT23">
            <v>18.25</v>
          </cell>
          <cell r="CU23">
            <v>18.5</v>
          </cell>
          <cell r="CV23">
            <v>18.75</v>
          </cell>
          <cell r="CW23">
            <v>19</v>
          </cell>
          <cell r="CX23">
            <v>19.25</v>
          </cell>
          <cell r="CY23">
            <v>19.5</v>
          </cell>
          <cell r="CZ23">
            <v>19.75</v>
          </cell>
          <cell r="DA23">
            <v>20</v>
          </cell>
          <cell r="DB23">
            <v>0</v>
          </cell>
          <cell r="DC23">
            <v>0</v>
          </cell>
          <cell r="DD23">
            <v>0</v>
          </cell>
          <cell r="DE23">
            <v>0</v>
          </cell>
          <cell r="DF23">
            <v>0</v>
          </cell>
          <cell r="DG23">
            <v>0</v>
          </cell>
          <cell r="DH23">
            <v>0</v>
          </cell>
          <cell r="DI23">
            <v>0</v>
          </cell>
          <cell r="DJ23">
            <v>0</v>
          </cell>
          <cell r="DK23">
            <v>0</v>
          </cell>
          <cell r="DL23">
            <v>0</v>
          </cell>
          <cell r="DM23">
            <v>0</v>
          </cell>
          <cell r="DN23">
            <v>0</v>
          </cell>
          <cell r="DO23">
            <v>0</v>
          </cell>
          <cell r="DP23">
            <v>0</v>
          </cell>
          <cell r="DQ23">
            <v>0</v>
          </cell>
          <cell r="DR23">
            <v>0</v>
          </cell>
          <cell r="DS23">
            <v>0</v>
          </cell>
          <cell r="DT23">
            <v>0</v>
          </cell>
          <cell r="DU23">
            <v>0</v>
          </cell>
          <cell r="DV23">
            <v>0</v>
          </cell>
          <cell r="DW23">
            <v>0</v>
          </cell>
          <cell r="DX23">
            <v>0</v>
          </cell>
          <cell r="DY23">
            <v>0</v>
          </cell>
        </row>
        <row r="24">
          <cell r="B24" t="str">
            <v>Illumination LP</v>
          </cell>
          <cell r="D24">
            <v>41364</v>
          </cell>
          <cell r="E24">
            <v>20</v>
          </cell>
          <cell r="L24">
            <v>20</v>
          </cell>
          <cell r="N24">
            <v>0</v>
          </cell>
          <cell r="O24">
            <v>0</v>
          </cell>
          <cell r="P24">
            <v>0</v>
          </cell>
          <cell r="Q24">
            <v>0</v>
          </cell>
          <cell r="R24">
            <v>0</v>
          </cell>
          <cell r="S24">
            <v>0</v>
          </cell>
          <cell r="T24">
            <v>0</v>
          </cell>
          <cell r="U24">
            <v>0</v>
          </cell>
          <cell r="V24">
            <v>0</v>
          </cell>
          <cell r="W24">
            <v>0</v>
          </cell>
          <cell r="X24">
            <v>0</v>
          </cell>
          <cell r="Y24">
            <v>0</v>
          </cell>
          <cell r="Z24">
            <v>0.25</v>
          </cell>
          <cell r="AA24">
            <v>0.5</v>
          </cell>
          <cell r="AB24">
            <v>0.75</v>
          </cell>
          <cell r="AC24">
            <v>1</v>
          </cell>
          <cell r="AD24">
            <v>1.25</v>
          </cell>
          <cell r="AE24">
            <v>1.5</v>
          </cell>
          <cell r="AF24">
            <v>1.75</v>
          </cell>
          <cell r="AG24">
            <v>2</v>
          </cell>
          <cell r="AH24">
            <v>2.25</v>
          </cell>
          <cell r="AI24">
            <v>2.5</v>
          </cell>
          <cell r="AJ24">
            <v>2.75</v>
          </cell>
          <cell r="AK24">
            <v>3</v>
          </cell>
          <cell r="AL24">
            <v>3.25</v>
          </cell>
          <cell r="AM24">
            <v>3.5</v>
          </cell>
          <cell r="AN24">
            <v>3.75</v>
          </cell>
          <cell r="AO24">
            <v>4</v>
          </cell>
          <cell r="AP24">
            <v>4.25</v>
          </cell>
          <cell r="AQ24">
            <v>4.5</v>
          </cell>
          <cell r="AR24">
            <v>4.75</v>
          </cell>
          <cell r="AS24">
            <v>5</v>
          </cell>
          <cell r="AT24">
            <v>5.25</v>
          </cell>
          <cell r="AU24">
            <v>5.5</v>
          </cell>
          <cell r="AV24">
            <v>5.75</v>
          </cell>
          <cell r="AW24">
            <v>6</v>
          </cell>
          <cell r="AX24">
            <v>6.25</v>
          </cell>
          <cell r="AY24">
            <v>6.5</v>
          </cell>
          <cell r="AZ24">
            <v>6.75</v>
          </cell>
          <cell r="BA24">
            <v>7</v>
          </cell>
          <cell r="BB24">
            <v>7.25</v>
          </cell>
          <cell r="BC24">
            <v>7.5</v>
          </cell>
          <cell r="BD24">
            <v>7.75</v>
          </cell>
          <cell r="BE24">
            <v>8</v>
          </cell>
          <cell r="BF24">
            <v>8.25</v>
          </cell>
          <cell r="BG24">
            <v>8.5</v>
          </cell>
          <cell r="BH24">
            <v>8.75</v>
          </cell>
          <cell r="BI24">
            <v>9</v>
          </cell>
          <cell r="BJ24">
            <v>9.25</v>
          </cell>
          <cell r="BK24">
            <v>9.5</v>
          </cell>
          <cell r="BL24">
            <v>9.75</v>
          </cell>
          <cell r="BM24">
            <v>10</v>
          </cell>
          <cell r="BN24">
            <v>10.25</v>
          </cell>
          <cell r="BO24">
            <v>10.5</v>
          </cell>
          <cell r="BP24">
            <v>10.75</v>
          </cell>
          <cell r="BQ24">
            <v>11</v>
          </cell>
          <cell r="BR24">
            <v>11.25</v>
          </cell>
          <cell r="BS24">
            <v>11.5</v>
          </cell>
          <cell r="BT24">
            <v>11.75</v>
          </cell>
          <cell r="BU24">
            <v>12</v>
          </cell>
          <cell r="BV24">
            <v>12.25</v>
          </cell>
          <cell r="BW24">
            <v>12.5</v>
          </cell>
          <cell r="BX24">
            <v>12.75</v>
          </cell>
          <cell r="BY24">
            <v>13</v>
          </cell>
          <cell r="BZ24">
            <v>13.25</v>
          </cell>
          <cell r="CA24">
            <v>13.5</v>
          </cell>
          <cell r="CB24">
            <v>13.75</v>
          </cell>
          <cell r="CC24">
            <v>14</v>
          </cell>
          <cell r="CD24">
            <v>14.25</v>
          </cell>
          <cell r="CE24">
            <v>14.5</v>
          </cell>
          <cell r="CF24">
            <v>14.75</v>
          </cell>
          <cell r="CG24">
            <v>15</v>
          </cell>
          <cell r="CH24">
            <v>15.25</v>
          </cell>
          <cell r="CI24">
            <v>15.5</v>
          </cell>
          <cell r="CJ24">
            <v>15.75</v>
          </cell>
          <cell r="CK24">
            <v>16</v>
          </cell>
          <cell r="CL24">
            <v>16.25</v>
          </cell>
          <cell r="CM24">
            <v>16.5</v>
          </cell>
          <cell r="CN24">
            <v>16.75</v>
          </cell>
          <cell r="CO24">
            <v>17</v>
          </cell>
          <cell r="CP24">
            <v>17.25</v>
          </cell>
          <cell r="CQ24">
            <v>17.5</v>
          </cell>
          <cell r="CR24">
            <v>17.75</v>
          </cell>
          <cell r="CS24">
            <v>18</v>
          </cell>
          <cell r="CT24">
            <v>18.25</v>
          </cell>
          <cell r="CU24">
            <v>18.5</v>
          </cell>
          <cell r="CV24">
            <v>18.75</v>
          </cell>
          <cell r="CW24">
            <v>19</v>
          </cell>
          <cell r="CX24">
            <v>19.25</v>
          </cell>
          <cell r="CY24">
            <v>19.5</v>
          </cell>
          <cell r="CZ24">
            <v>19.75</v>
          </cell>
          <cell r="DA24">
            <v>20</v>
          </cell>
          <cell r="DB24">
            <v>0</v>
          </cell>
          <cell r="DC24">
            <v>0</v>
          </cell>
          <cell r="DD24">
            <v>0</v>
          </cell>
          <cell r="DE24">
            <v>0</v>
          </cell>
          <cell r="DF24">
            <v>0</v>
          </cell>
          <cell r="DG24">
            <v>0</v>
          </cell>
          <cell r="DH24">
            <v>0</v>
          </cell>
          <cell r="DI24">
            <v>0</v>
          </cell>
          <cell r="DJ24">
            <v>0</v>
          </cell>
          <cell r="DK24">
            <v>0</v>
          </cell>
          <cell r="DL24">
            <v>0</v>
          </cell>
          <cell r="DM24">
            <v>0</v>
          </cell>
          <cell r="DN24">
            <v>0</v>
          </cell>
          <cell r="DO24">
            <v>0</v>
          </cell>
          <cell r="DP24">
            <v>0</v>
          </cell>
          <cell r="DQ24">
            <v>0</v>
          </cell>
          <cell r="DR24">
            <v>0</v>
          </cell>
          <cell r="DS24">
            <v>0</v>
          </cell>
          <cell r="DT24">
            <v>0</v>
          </cell>
          <cell r="DU24">
            <v>0</v>
          </cell>
          <cell r="DV24">
            <v>0</v>
          </cell>
          <cell r="DW24">
            <v>0</v>
          </cell>
          <cell r="DX24">
            <v>0</v>
          </cell>
          <cell r="DY24">
            <v>0</v>
          </cell>
        </row>
        <row r="25">
          <cell r="B25" t="str">
            <v>LunarLight LP</v>
          </cell>
          <cell r="D25">
            <v>41364</v>
          </cell>
          <cell r="E25">
            <v>20</v>
          </cell>
          <cell r="L25">
            <v>20</v>
          </cell>
          <cell r="N25">
            <v>0</v>
          </cell>
          <cell r="O25">
            <v>0</v>
          </cell>
          <cell r="P25">
            <v>0</v>
          </cell>
          <cell r="Q25">
            <v>0</v>
          </cell>
          <cell r="R25">
            <v>0</v>
          </cell>
          <cell r="S25">
            <v>0</v>
          </cell>
          <cell r="T25">
            <v>0</v>
          </cell>
          <cell r="U25">
            <v>0</v>
          </cell>
          <cell r="V25">
            <v>0</v>
          </cell>
          <cell r="W25">
            <v>0</v>
          </cell>
          <cell r="X25">
            <v>0</v>
          </cell>
          <cell r="Y25">
            <v>0</v>
          </cell>
          <cell r="Z25">
            <v>0.25</v>
          </cell>
          <cell r="AA25">
            <v>0.5</v>
          </cell>
          <cell r="AB25">
            <v>0.75</v>
          </cell>
          <cell r="AC25">
            <v>1</v>
          </cell>
          <cell r="AD25">
            <v>1.25</v>
          </cell>
          <cell r="AE25">
            <v>1.5</v>
          </cell>
          <cell r="AF25">
            <v>1.75</v>
          </cell>
          <cell r="AG25">
            <v>2</v>
          </cell>
          <cell r="AH25">
            <v>2.25</v>
          </cell>
          <cell r="AI25">
            <v>2.5</v>
          </cell>
          <cell r="AJ25">
            <v>2.75</v>
          </cell>
          <cell r="AK25">
            <v>3</v>
          </cell>
          <cell r="AL25">
            <v>3.25</v>
          </cell>
          <cell r="AM25">
            <v>3.5</v>
          </cell>
          <cell r="AN25">
            <v>3.75</v>
          </cell>
          <cell r="AO25">
            <v>4</v>
          </cell>
          <cell r="AP25">
            <v>4.25</v>
          </cell>
          <cell r="AQ25">
            <v>4.5</v>
          </cell>
          <cell r="AR25">
            <v>4.75</v>
          </cell>
          <cell r="AS25">
            <v>5</v>
          </cell>
          <cell r="AT25">
            <v>5.25</v>
          </cell>
          <cell r="AU25">
            <v>5.5</v>
          </cell>
          <cell r="AV25">
            <v>5.75</v>
          </cell>
          <cell r="AW25">
            <v>6</v>
          </cell>
          <cell r="AX25">
            <v>6.25</v>
          </cell>
          <cell r="AY25">
            <v>6.5</v>
          </cell>
          <cell r="AZ25">
            <v>6.75</v>
          </cell>
          <cell r="BA25">
            <v>7</v>
          </cell>
          <cell r="BB25">
            <v>7.25</v>
          </cell>
          <cell r="BC25">
            <v>7.5</v>
          </cell>
          <cell r="BD25">
            <v>7.75</v>
          </cell>
          <cell r="BE25">
            <v>8</v>
          </cell>
          <cell r="BF25">
            <v>8.25</v>
          </cell>
          <cell r="BG25">
            <v>8.5</v>
          </cell>
          <cell r="BH25">
            <v>8.75</v>
          </cell>
          <cell r="BI25">
            <v>9</v>
          </cell>
          <cell r="BJ25">
            <v>9.25</v>
          </cell>
          <cell r="BK25">
            <v>9.5</v>
          </cell>
          <cell r="BL25">
            <v>9.75</v>
          </cell>
          <cell r="BM25">
            <v>10</v>
          </cell>
          <cell r="BN25">
            <v>10.25</v>
          </cell>
          <cell r="BO25">
            <v>10.5</v>
          </cell>
          <cell r="BP25">
            <v>10.75</v>
          </cell>
          <cell r="BQ25">
            <v>11</v>
          </cell>
          <cell r="BR25">
            <v>11.25</v>
          </cell>
          <cell r="BS25">
            <v>11.5</v>
          </cell>
          <cell r="BT25">
            <v>11.75</v>
          </cell>
          <cell r="BU25">
            <v>12</v>
          </cell>
          <cell r="BV25">
            <v>12.25</v>
          </cell>
          <cell r="BW25">
            <v>12.5</v>
          </cell>
          <cell r="BX25">
            <v>12.75</v>
          </cell>
          <cell r="BY25">
            <v>13</v>
          </cell>
          <cell r="BZ25">
            <v>13.25</v>
          </cell>
          <cell r="CA25">
            <v>13.5</v>
          </cell>
          <cell r="CB25">
            <v>13.75</v>
          </cell>
          <cell r="CC25">
            <v>14</v>
          </cell>
          <cell r="CD25">
            <v>14.25</v>
          </cell>
          <cell r="CE25">
            <v>14.5</v>
          </cell>
          <cell r="CF25">
            <v>14.75</v>
          </cell>
          <cell r="CG25">
            <v>15</v>
          </cell>
          <cell r="CH25">
            <v>15.25</v>
          </cell>
          <cell r="CI25">
            <v>15.5</v>
          </cell>
          <cell r="CJ25">
            <v>15.75</v>
          </cell>
          <cell r="CK25">
            <v>16</v>
          </cell>
          <cell r="CL25">
            <v>16.25</v>
          </cell>
          <cell r="CM25">
            <v>16.5</v>
          </cell>
          <cell r="CN25">
            <v>16.75</v>
          </cell>
          <cell r="CO25">
            <v>17</v>
          </cell>
          <cell r="CP25">
            <v>17.25</v>
          </cell>
          <cell r="CQ25">
            <v>17.5</v>
          </cell>
          <cell r="CR25">
            <v>17.75</v>
          </cell>
          <cell r="CS25">
            <v>18</v>
          </cell>
          <cell r="CT25">
            <v>18.25</v>
          </cell>
          <cell r="CU25">
            <v>18.5</v>
          </cell>
          <cell r="CV25">
            <v>18.75</v>
          </cell>
          <cell r="CW25">
            <v>19</v>
          </cell>
          <cell r="CX25">
            <v>19.25</v>
          </cell>
          <cell r="CY25">
            <v>19.5</v>
          </cell>
          <cell r="CZ25">
            <v>19.75</v>
          </cell>
          <cell r="DA25">
            <v>20</v>
          </cell>
          <cell r="DB25">
            <v>0</v>
          </cell>
          <cell r="DC25">
            <v>0</v>
          </cell>
          <cell r="DD25">
            <v>0</v>
          </cell>
          <cell r="DE25">
            <v>0</v>
          </cell>
          <cell r="DF25">
            <v>0</v>
          </cell>
          <cell r="DG25">
            <v>0</v>
          </cell>
          <cell r="DH25">
            <v>0</v>
          </cell>
          <cell r="DI25">
            <v>0</v>
          </cell>
          <cell r="DJ25">
            <v>0</v>
          </cell>
          <cell r="DK25">
            <v>0</v>
          </cell>
          <cell r="DL25">
            <v>0</v>
          </cell>
          <cell r="DM25">
            <v>0</v>
          </cell>
          <cell r="DN25">
            <v>0</v>
          </cell>
          <cell r="DO25">
            <v>0</v>
          </cell>
          <cell r="DP25">
            <v>0</v>
          </cell>
          <cell r="DQ25">
            <v>0</v>
          </cell>
          <cell r="DR25">
            <v>0</v>
          </cell>
          <cell r="DS25">
            <v>0</v>
          </cell>
          <cell r="DT25">
            <v>0</v>
          </cell>
          <cell r="DU25">
            <v>0</v>
          </cell>
          <cell r="DV25">
            <v>0</v>
          </cell>
          <cell r="DW25">
            <v>0</v>
          </cell>
          <cell r="DX25">
            <v>0</v>
          </cell>
          <cell r="DY25">
            <v>0</v>
          </cell>
        </row>
        <row r="26">
          <cell r="B26" t="str">
            <v>MightySolar LP</v>
          </cell>
          <cell r="D26">
            <v>41364</v>
          </cell>
          <cell r="E26">
            <v>20</v>
          </cell>
          <cell r="L26">
            <v>20</v>
          </cell>
          <cell r="N26">
            <v>0</v>
          </cell>
          <cell r="O26">
            <v>0</v>
          </cell>
          <cell r="P26">
            <v>0</v>
          </cell>
          <cell r="Q26">
            <v>0</v>
          </cell>
          <cell r="R26">
            <v>0</v>
          </cell>
          <cell r="S26">
            <v>0</v>
          </cell>
          <cell r="T26">
            <v>0</v>
          </cell>
          <cell r="U26">
            <v>0</v>
          </cell>
          <cell r="V26">
            <v>0</v>
          </cell>
          <cell r="W26">
            <v>0</v>
          </cell>
          <cell r="X26">
            <v>0</v>
          </cell>
          <cell r="Y26">
            <v>0</v>
          </cell>
          <cell r="Z26">
            <v>0.25</v>
          </cell>
          <cell r="AA26">
            <v>0.5</v>
          </cell>
          <cell r="AB26">
            <v>0.75</v>
          </cell>
          <cell r="AC26">
            <v>1</v>
          </cell>
          <cell r="AD26">
            <v>1.25</v>
          </cell>
          <cell r="AE26">
            <v>1.5</v>
          </cell>
          <cell r="AF26">
            <v>1.75</v>
          </cell>
          <cell r="AG26">
            <v>2</v>
          </cell>
          <cell r="AH26">
            <v>2.25</v>
          </cell>
          <cell r="AI26">
            <v>2.5</v>
          </cell>
          <cell r="AJ26">
            <v>2.75</v>
          </cell>
          <cell r="AK26">
            <v>3</v>
          </cell>
          <cell r="AL26">
            <v>3.25</v>
          </cell>
          <cell r="AM26">
            <v>3.5</v>
          </cell>
          <cell r="AN26">
            <v>3.75</v>
          </cell>
          <cell r="AO26">
            <v>4</v>
          </cell>
          <cell r="AP26">
            <v>4.25</v>
          </cell>
          <cell r="AQ26">
            <v>4.5</v>
          </cell>
          <cell r="AR26">
            <v>4.75</v>
          </cell>
          <cell r="AS26">
            <v>5</v>
          </cell>
          <cell r="AT26">
            <v>5.25</v>
          </cell>
          <cell r="AU26">
            <v>5.5</v>
          </cell>
          <cell r="AV26">
            <v>5.75</v>
          </cell>
          <cell r="AW26">
            <v>6</v>
          </cell>
          <cell r="AX26">
            <v>6.25</v>
          </cell>
          <cell r="AY26">
            <v>6.5</v>
          </cell>
          <cell r="AZ26">
            <v>6.75</v>
          </cell>
          <cell r="BA26">
            <v>7</v>
          </cell>
          <cell r="BB26">
            <v>7.25</v>
          </cell>
          <cell r="BC26">
            <v>7.5</v>
          </cell>
          <cell r="BD26">
            <v>7.75</v>
          </cell>
          <cell r="BE26">
            <v>8</v>
          </cell>
          <cell r="BF26">
            <v>8.25</v>
          </cell>
          <cell r="BG26">
            <v>8.5</v>
          </cell>
          <cell r="BH26">
            <v>8.75</v>
          </cell>
          <cell r="BI26">
            <v>9</v>
          </cell>
          <cell r="BJ26">
            <v>9.25</v>
          </cell>
          <cell r="BK26">
            <v>9.5</v>
          </cell>
          <cell r="BL26">
            <v>9.75</v>
          </cell>
          <cell r="BM26">
            <v>10</v>
          </cell>
          <cell r="BN26">
            <v>10.25</v>
          </cell>
          <cell r="BO26">
            <v>10.5</v>
          </cell>
          <cell r="BP26">
            <v>10.75</v>
          </cell>
          <cell r="BQ26">
            <v>11</v>
          </cell>
          <cell r="BR26">
            <v>11.25</v>
          </cell>
          <cell r="BS26">
            <v>11.5</v>
          </cell>
          <cell r="BT26">
            <v>11.75</v>
          </cell>
          <cell r="BU26">
            <v>12</v>
          </cell>
          <cell r="BV26">
            <v>12.25</v>
          </cell>
          <cell r="BW26">
            <v>12.5</v>
          </cell>
          <cell r="BX26">
            <v>12.75</v>
          </cell>
          <cell r="BY26">
            <v>13</v>
          </cell>
          <cell r="BZ26">
            <v>13.25</v>
          </cell>
          <cell r="CA26">
            <v>13.5</v>
          </cell>
          <cell r="CB26">
            <v>13.75</v>
          </cell>
          <cell r="CC26">
            <v>14</v>
          </cell>
          <cell r="CD26">
            <v>14.25</v>
          </cell>
          <cell r="CE26">
            <v>14.5</v>
          </cell>
          <cell r="CF26">
            <v>14.75</v>
          </cell>
          <cell r="CG26">
            <v>15</v>
          </cell>
          <cell r="CH26">
            <v>15.25</v>
          </cell>
          <cell r="CI26">
            <v>15.5</v>
          </cell>
          <cell r="CJ26">
            <v>15.75</v>
          </cell>
          <cell r="CK26">
            <v>16</v>
          </cell>
          <cell r="CL26">
            <v>16.25</v>
          </cell>
          <cell r="CM26">
            <v>16.5</v>
          </cell>
          <cell r="CN26">
            <v>16.75</v>
          </cell>
          <cell r="CO26">
            <v>17</v>
          </cell>
          <cell r="CP26">
            <v>17.25</v>
          </cell>
          <cell r="CQ26">
            <v>17.5</v>
          </cell>
          <cell r="CR26">
            <v>17.75</v>
          </cell>
          <cell r="CS26">
            <v>18</v>
          </cell>
          <cell r="CT26">
            <v>18.25</v>
          </cell>
          <cell r="CU26">
            <v>18.5</v>
          </cell>
          <cell r="CV26">
            <v>18.75</v>
          </cell>
          <cell r="CW26">
            <v>19</v>
          </cell>
          <cell r="CX26">
            <v>19.25</v>
          </cell>
          <cell r="CY26">
            <v>19.5</v>
          </cell>
          <cell r="CZ26">
            <v>19.75</v>
          </cell>
          <cell r="DA26">
            <v>20</v>
          </cell>
          <cell r="DB26">
            <v>0</v>
          </cell>
          <cell r="DC26">
            <v>0</v>
          </cell>
          <cell r="DD26">
            <v>0</v>
          </cell>
          <cell r="DE26">
            <v>0</v>
          </cell>
          <cell r="DF26">
            <v>0</v>
          </cell>
          <cell r="DG26">
            <v>0</v>
          </cell>
          <cell r="DH26">
            <v>0</v>
          </cell>
          <cell r="DI26">
            <v>0</v>
          </cell>
          <cell r="DJ26">
            <v>0</v>
          </cell>
          <cell r="DK26">
            <v>0</v>
          </cell>
          <cell r="DL26">
            <v>0</v>
          </cell>
          <cell r="DM26">
            <v>0</v>
          </cell>
          <cell r="DN26">
            <v>0</v>
          </cell>
          <cell r="DO26">
            <v>0</v>
          </cell>
          <cell r="DP26">
            <v>0</v>
          </cell>
          <cell r="DQ26">
            <v>0</v>
          </cell>
          <cell r="DR26">
            <v>0</v>
          </cell>
          <cell r="DS26">
            <v>0</v>
          </cell>
          <cell r="DT26">
            <v>0</v>
          </cell>
          <cell r="DU26">
            <v>0</v>
          </cell>
          <cell r="DV26">
            <v>0</v>
          </cell>
          <cell r="DW26">
            <v>0</v>
          </cell>
          <cell r="DX26">
            <v>0</v>
          </cell>
          <cell r="DY26">
            <v>0</v>
          </cell>
        </row>
        <row r="27">
          <cell r="B27" t="str">
            <v>RayLight LP</v>
          </cell>
          <cell r="D27">
            <v>41364</v>
          </cell>
          <cell r="E27">
            <v>20</v>
          </cell>
          <cell r="L27">
            <v>20</v>
          </cell>
          <cell r="N27">
            <v>0</v>
          </cell>
          <cell r="O27">
            <v>0</v>
          </cell>
          <cell r="P27">
            <v>0</v>
          </cell>
          <cell r="Q27">
            <v>0</v>
          </cell>
          <cell r="R27">
            <v>0</v>
          </cell>
          <cell r="S27">
            <v>0</v>
          </cell>
          <cell r="T27">
            <v>0</v>
          </cell>
          <cell r="U27">
            <v>0</v>
          </cell>
          <cell r="V27">
            <v>0</v>
          </cell>
          <cell r="W27">
            <v>0</v>
          </cell>
          <cell r="X27">
            <v>0</v>
          </cell>
          <cell r="Y27">
            <v>0</v>
          </cell>
          <cell r="Z27">
            <v>0.25</v>
          </cell>
          <cell r="AA27">
            <v>0.5</v>
          </cell>
          <cell r="AB27">
            <v>0.75</v>
          </cell>
          <cell r="AC27">
            <v>1</v>
          </cell>
          <cell r="AD27">
            <v>1.25</v>
          </cell>
          <cell r="AE27">
            <v>1.5</v>
          </cell>
          <cell r="AF27">
            <v>1.75</v>
          </cell>
          <cell r="AG27">
            <v>2</v>
          </cell>
          <cell r="AH27">
            <v>2.25</v>
          </cell>
          <cell r="AI27">
            <v>2.5</v>
          </cell>
          <cell r="AJ27">
            <v>2.75</v>
          </cell>
          <cell r="AK27">
            <v>3</v>
          </cell>
          <cell r="AL27">
            <v>3.25</v>
          </cell>
          <cell r="AM27">
            <v>3.5</v>
          </cell>
          <cell r="AN27">
            <v>3.75</v>
          </cell>
          <cell r="AO27">
            <v>4</v>
          </cell>
          <cell r="AP27">
            <v>4.25</v>
          </cell>
          <cell r="AQ27">
            <v>4.5</v>
          </cell>
          <cell r="AR27">
            <v>4.75</v>
          </cell>
          <cell r="AS27">
            <v>5</v>
          </cell>
          <cell r="AT27">
            <v>5.25</v>
          </cell>
          <cell r="AU27">
            <v>5.5</v>
          </cell>
          <cell r="AV27">
            <v>5.75</v>
          </cell>
          <cell r="AW27">
            <v>6</v>
          </cell>
          <cell r="AX27">
            <v>6.25</v>
          </cell>
          <cell r="AY27">
            <v>6.5</v>
          </cell>
          <cell r="AZ27">
            <v>6.75</v>
          </cell>
          <cell r="BA27">
            <v>7</v>
          </cell>
          <cell r="BB27">
            <v>7.25</v>
          </cell>
          <cell r="BC27">
            <v>7.5</v>
          </cell>
          <cell r="BD27">
            <v>7.75</v>
          </cell>
          <cell r="BE27">
            <v>8</v>
          </cell>
          <cell r="BF27">
            <v>8.25</v>
          </cell>
          <cell r="BG27">
            <v>8.5</v>
          </cell>
          <cell r="BH27">
            <v>8.75</v>
          </cell>
          <cell r="BI27">
            <v>9</v>
          </cell>
          <cell r="BJ27">
            <v>9.25</v>
          </cell>
          <cell r="BK27">
            <v>9.5</v>
          </cell>
          <cell r="BL27">
            <v>9.75</v>
          </cell>
          <cell r="BM27">
            <v>10</v>
          </cell>
          <cell r="BN27">
            <v>10.25</v>
          </cell>
          <cell r="BO27">
            <v>10.5</v>
          </cell>
          <cell r="BP27">
            <v>10.75</v>
          </cell>
          <cell r="BQ27">
            <v>11</v>
          </cell>
          <cell r="BR27">
            <v>11.25</v>
          </cell>
          <cell r="BS27">
            <v>11.5</v>
          </cell>
          <cell r="BT27">
            <v>11.75</v>
          </cell>
          <cell r="BU27">
            <v>12</v>
          </cell>
          <cell r="BV27">
            <v>12.25</v>
          </cell>
          <cell r="BW27">
            <v>12.5</v>
          </cell>
          <cell r="BX27">
            <v>12.75</v>
          </cell>
          <cell r="BY27">
            <v>13</v>
          </cell>
          <cell r="BZ27">
            <v>13.25</v>
          </cell>
          <cell r="CA27">
            <v>13.5</v>
          </cell>
          <cell r="CB27">
            <v>13.75</v>
          </cell>
          <cell r="CC27">
            <v>14</v>
          </cell>
          <cell r="CD27">
            <v>14.25</v>
          </cell>
          <cell r="CE27">
            <v>14.5</v>
          </cell>
          <cell r="CF27">
            <v>14.75</v>
          </cell>
          <cell r="CG27">
            <v>15</v>
          </cell>
          <cell r="CH27">
            <v>15.25</v>
          </cell>
          <cell r="CI27">
            <v>15.5</v>
          </cell>
          <cell r="CJ27">
            <v>15.75</v>
          </cell>
          <cell r="CK27">
            <v>16</v>
          </cell>
          <cell r="CL27">
            <v>16.25</v>
          </cell>
          <cell r="CM27">
            <v>16.5</v>
          </cell>
          <cell r="CN27">
            <v>16.75</v>
          </cell>
          <cell r="CO27">
            <v>17</v>
          </cell>
          <cell r="CP27">
            <v>17.25</v>
          </cell>
          <cell r="CQ27">
            <v>17.5</v>
          </cell>
          <cell r="CR27">
            <v>17.75</v>
          </cell>
          <cell r="CS27">
            <v>18</v>
          </cell>
          <cell r="CT27">
            <v>18.25</v>
          </cell>
          <cell r="CU27">
            <v>18.5</v>
          </cell>
          <cell r="CV27">
            <v>18.75</v>
          </cell>
          <cell r="CW27">
            <v>19</v>
          </cell>
          <cell r="CX27">
            <v>19.25</v>
          </cell>
          <cell r="CY27">
            <v>19.5</v>
          </cell>
          <cell r="CZ27">
            <v>19.75</v>
          </cell>
          <cell r="DA27">
            <v>20</v>
          </cell>
          <cell r="DB27">
            <v>0</v>
          </cell>
          <cell r="DC27">
            <v>0</v>
          </cell>
          <cell r="DD27">
            <v>0</v>
          </cell>
          <cell r="DE27">
            <v>0</v>
          </cell>
          <cell r="DF27">
            <v>0</v>
          </cell>
          <cell r="DG27">
            <v>0</v>
          </cell>
          <cell r="DH27">
            <v>0</v>
          </cell>
          <cell r="DI27">
            <v>0</v>
          </cell>
          <cell r="DJ27">
            <v>0</v>
          </cell>
          <cell r="DK27">
            <v>0</v>
          </cell>
          <cell r="DL27">
            <v>0</v>
          </cell>
          <cell r="DM27">
            <v>0</v>
          </cell>
          <cell r="DN27">
            <v>0</v>
          </cell>
          <cell r="DO27">
            <v>0</v>
          </cell>
          <cell r="DP27">
            <v>0</v>
          </cell>
          <cell r="DQ27">
            <v>0</v>
          </cell>
          <cell r="DR27">
            <v>0</v>
          </cell>
          <cell r="DS27">
            <v>0</v>
          </cell>
          <cell r="DT27">
            <v>0</v>
          </cell>
          <cell r="DU27">
            <v>0</v>
          </cell>
          <cell r="DV27">
            <v>0</v>
          </cell>
          <cell r="DW27">
            <v>0</v>
          </cell>
          <cell r="DX27">
            <v>0</v>
          </cell>
          <cell r="DY27">
            <v>0</v>
          </cell>
        </row>
        <row r="28">
          <cell r="B28" t="str">
            <v>SparkleLight LP</v>
          </cell>
          <cell r="D28">
            <v>41364</v>
          </cell>
          <cell r="E28">
            <v>20</v>
          </cell>
          <cell r="L28">
            <v>20</v>
          </cell>
          <cell r="N28">
            <v>0</v>
          </cell>
          <cell r="O28">
            <v>0</v>
          </cell>
          <cell r="P28">
            <v>0</v>
          </cell>
          <cell r="Q28">
            <v>0</v>
          </cell>
          <cell r="R28">
            <v>0</v>
          </cell>
          <cell r="S28">
            <v>0</v>
          </cell>
          <cell r="T28">
            <v>0</v>
          </cell>
          <cell r="U28">
            <v>0</v>
          </cell>
          <cell r="V28">
            <v>0</v>
          </cell>
          <cell r="W28">
            <v>0</v>
          </cell>
          <cell r="X28">
            <v>0</v>
          </cell>
          <cell r="Y28">
            <v>0</v>
          </cell>
          <cell r="Z28">
            <v>0.25</v>
          </cell>
          <cell r="AA28">
            <v>0.5</v>
          </cell>
          <cell r="AB28">
            <v>0.75</v>
          </cell>
          <cell r="AC28">
            <v>1</v>
          </cell>
          <cell r="AD28">
            <v>1.25</v>
          </cell>
          <cell r="AE28">
            <v>1.5</v>
          </cell>
          <cell r="AF28">
            <v>1.75</v>
          </cell>
          <cell r="AG28">
            <v>2</v>
          </cell>
          <cell r="AH28">
            <v>2.25</v>
          </cell>
          <cell r="AI28">
            <v>2.5</v>
          </cell>
          <cell r="AJ28">
            <v>2.75</v>
          </cell>
          <cell r="AK28">
            <v>3</v>
          </cell>
          <cell r="AL28">
            <v>3.25</v>
          </cell>
          <cell r="AM28">
            <v>3.5</v>
          </cell>
          <cell r="AN28">
            <v>3.75</v>
          </cell>
          <cell r="AO28">
            <v>4</v>
          </cell>
          <cell r="AP28">
            <v>4.25</v>
          </cell>
          <cell r="AQ28">
            <v>4.5</v>
          </cell>
          <cell r="AR28">
            <v>4.75</v>
          </cell>
          <cell r="AS28">
            <v>5</v>
          </cell>
          <cell r="AT28">
            <v>5.25</v>
          </cell>
          <cell r="AU28">
            <v>5.5</v>
          </cell>
          <cell r="AV28">
            <v>5.75</v>
          </cell>
          <cell r="AW28">
            <v>6</v>
          </cell>
          <cell r="AX28">
            <v>6.25</v>
          </cell>
          <cell r="AY28">
            <v>6.5</v>
          </cell>
          <cell r="AZ28">
            <v>6.75</v>
          </cell>
          <cell r="BA28">
            <v>7</v>
          </cell>
          <cell r="BB28">
            <v>7.25</v>
          </cell>
          <cell r="BC28">
            <v>7.5</v>
          </cell>
          <cell r="BD28">
            <v>7.75</v>
          </cell>
          <cell r="BE28">
            <v>8</v>
          </cell>
          <cell r="BF28">
            <v>8.25</v>
          </cell>
          <cell r="BG28">
            <v>8.5</v>
          </cell>
          <cell r="BH28">
            <v>8.75</v>
          </cell>
          <cell r="BI28">
            <v>9</v>
          </cell>
          <cell r="BJ28">
            <v>9.25</v>
          </cell>
          <cell r="BK28">
            <v>9.5</v>
          </cell>
          <cell r="BL28">
            <v>9.75</v>
          </cell>
          <cell r="BM28">
            <v>10</v>
          </cell>
          <cell r="BN28">
            <v>10.25</v>
          </cell>
          <cell r="BO28">
            <v>10.5</v>
          </cell>
          <cell r="BP28">
            <v>10.75</v>
          </cell>
          <cell r="BQ28">
            <v>11</v>
          </cell>
          <cell r="BR28">
            <v>11.25</v>
          </cell>
          <cell r="BS28">
            <v>11.5</v>
          </cell>
          <cell r="BT28">
            <v>11.75</v>
          </cell>
          <cell r="BU28">
            <v>12</v>
          </cell>
          <cell r="BV28">
            <v>12.25</v>
          </cell>
          <cell r="BW28">
            <v>12.5</v>
          </cell>
          <cell r="BX28">
            <v>12.75</v>
          </cell>
          <cell r="BY28">
            <v>13</v>
          </cell>
          <cell r="BZ28">
            <v>13.25</v>
          </cell>
          <cell r="CA28">
            <v>13.5</v>
          </cell>
          <cell r="CB28">
            <v>13.75</v>
          </cell>
          <cell r="CC28">
            <v>14</v>
          </cell>
          <cell r="CD28">
            <v>14.25</v>
          </cell>
          <cell r="CE28">
            <v>14.5</v>
          </cell>
          <cell r="CF28">
            <v>14.75</v>
          </cell>
          <cell r="CG28">
            <v>15</v>
          </cell>
          <cell r="CH28">
            <v>15.25</v>
          </cell>
          <cell r="CI28">
            <v>15.5</v>
          </cell>
          <cell r="CJ28">
            <v>15.75</v>
          </cell>
          <cell r="CK28">
            <v>16</v>
          </cell>
          <cell r="CL28">
            <v>16.25</v>
          </cell>
          <cell r="CM28">
            <v>16.5</v>
          </cell>
          <cell r="CN28">
            <v>16.75</v>
          </cell>
          <cell r="CO28">
            <v>17</v>
          </cell>
          <cell r="CP28">
            <v>17.25</v>
          </cell>
          <cell r="CQ28">
            <v>17.5</v>
          </cell>
          <cell r="CR28">
            <v>17.75</v>
          </cell>
          <cell r="CS28">
            <v>18</v>
          </cell>
          <cell r="CT28">
            <v>18.25</v>
          </cell>
          <cell r="CU28">
            <v>18.5</v>
          </cell>
          <cell r="CV28">
            <v>18.75</v>
          </cell>
          <cell r="CW28">
            <v>19</v>
          </cell>
          <cell r="CX28">
            <v>19.25</v>
          </cell>
          <cell r="CY28">
            <v>19.5</v>
          </cell>
          <cell r="CZ28">
            <v>19.75</v>
          </cell>
          <cell r="DA28">
            <v>20</v>
          </cell>
          <cell r="DB28">
            <v>0</v>
          </cell>
          <cell r="DC28">
            <v>0</v>
          </cell>
          <cell r="DD28">
            <v>0</v>
          </cell>
          <cell r="DE28">
            <v>0</v>
          </cell>
          <cell r="DF28">
            <v>0</v>
          </cell>
          <cell r="DG28">
            <v>0</v>
          </cell>
          <cell r="DH28">
            <v>0</v>
          </cell>
          <cell r="DI28">
            <v>0</v>
          </cell>
          <cell r="DJ28">
            <v>0</v>
          </cell>
          <cell r="DK28">
            <v>0</v>
          </cell>
          <cell r="DL28">
            <v>0</v>
          </cell>
          <cell r="DM28">
            <v>0</v>
          </cell>
          <cell r="DN28">
            <v>0</v>
          </cell>
          <cell r="DO28">
            <v>0</v>
          </cell>
          <cell r="DP28">
            <v>0</v>
          </cell>
          <cell r="DQ28">
            <v>0</v>
          </cell>
          <cell r="DR28">
            <v>0</v>
          </cell>
          <cell r="DS28">
            <v>0</v>
          </cell>
          <cell r="DT28">
            <v>0</v>
          </cell>
          <cell r="DU28">
            <v>0</v>
          </cell>
          <cell r="DV28">
            <v>0</v>
          </cell>
          <cell r="DW28">
            <v>0</v>
          </cell>
          <cell r="DX28">
            <v>0</v>
          </cell>
          <cell r="DY28">
            <v>0</v>
          </cell>
        </row>
      </sheetData>
      <sheetData sheetId="7">
        <row r="99">
          <cell r="E99" t="str">
            <v>Link</v>
          </cell>
        </row>
      </sheetData>
      <sheetData sheetId="8" refreshError="1">
        <row r="8">
          <cell r="H8">
            <v>1</v>
          </cell>
          <cell r="I8">
            <v>2</v>
          </cell>
          <cell r="J8">
            <v>3</v>
          </cell>
          <cell r="K8">
            <v>4</v>
          </cell>
          <cell r="L8">
            <v>5</v>
          </cell>
          <cell r="M8">
            <v>6</v>
          </cell>
          <cell r="N8">
            <v>7</v>
          </cell>
          <cell r="O8">
            <v>8</v>
          </cell>
          <cell r="P8">
            <v>9</v>
          </cell>
          <cell r="Q8">
            <v>10</v>
          </cell>
          <cell r="R8">
            <v>11</v>
          </cell>
          <cell r="S8">
            <v>12</v>
          </cell>
          <cell r="T8">
            <v>13</v>
          </cell>
          <cell r="U8">
            <v>14</v>
          </cell>
          <cell r="V8">
            <v>15</v>
          </cell>
          <cell r="W8">
            <v>16</v>
          </cell>
          <cell r="X8">
            <v>17</v>
          </cell>
          <cell r="Y8">
            <v>18</v>
          </cell>
          <cell r="Z8">
            <v>19</v>
          </cell>
          <cell r="AA8">
            <v>20</v>
          </cell>
          <cell r="AB8">
            <v>21</v>
          </cell>
          <cell r="AC8">
            <v>22</v>
          </cell>
          <cell r="AD8">
            <v>23</v>
          </cell>
          <cell r="AE8">
            <v>24</v>
          </cell>
          <cell r="AF8">
            <v>25</v>
          </cell>
          <cell r="AG8">
            <v>26</v>
          </cell>
        </row>
        <row r="9">
          <cell r="H9">
            <v>1</v>
          </cell>
          <cell r="I9">
            <v>2</v>
          </cell>
          <cell r="J9">
            <v>3</v>
          </cell>
          <cell r="K9">
            <v>4</v>
          </cell>
          <cell r="L9">
            <v>5</v>
          </cell>
          <cell r="M9">
            <v>6</v>
          </cell>
          <cell r="N9">
            <v>7</v>
          </cell>
          <cell r="O9">
            <v>8</v>
          </cell>
          <cell r="P9">
            <v>9</v>
          </cell>
          <cell r="Q9">
            <v>10</v>
          </cell>
          <cell r="R9">
            <v>11</v>
          </cell>
          <cell r="S9">
            <v>12</v>
          </cell>
          <cell r="T9">
            <v>13</v>
          </cell>
          <cell r="U9">
            <v>14</v>
          </cell>
          <cell r="V9">
            <v>15</v>
          </cell>
          <cell r="W9">
            <v>16</v>
          </cell>
          <cell r="X9">
            <v>17</v>
          </cell>
          <cell r="Y9">
            <v>18</v>
          </cell>
          <cell r="Z9">
            <v>19</v>
          </cell>
          <cell r="AA9">
            <v>20</v>
          </cell>
          <cell r="AB9">
            <v>21</v>
          </cell>
          <cell r="AC9">
            <v>22</v>
          </cell>
          <cell r="AD9">
            <v>23</v>
          </cell>
          <cell r="AE9">
            <v>24</v>
          </cell>
          <cell r="AF9">
            <v>25</v>
          </cell>
          <cell r="AG9">
            <v>26</v>
          </cell>
        </row>
        <row r="12">
          <cell r="B12" t="str">
            <v>Development Curve Drivers</v>
          </cell>
        </row>
        <row r="13">
          <cell r="B13" t="str">
            <v>EPC Cost Curve</v>
          </cell>
          <cell r="H13">
            <v>0.9</v>
          </cell>
          <cell r="I13">
            <v>0.1</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row>
        <row r="14">
          <cell r="B14" t="str">
            <v>Development Cost Curve</v>
          </cell>
          <cell r="H14">
            <v>0.57114285714285717</v>
          </cell>
          <cell r="I14">
            <v>0.12471428571428571</v>
          </cell>
          <cell r="J14">
            <v>0.17749693149627158</v>
          </cell>
          <cell r="K14">
            <v>0</v>
          </cell>
          <cell r="L14">
            <v>0</v>
          </cell>
          <cell r="M14">
            <v>7.2174559777086408E-2</v>
          </cell>
          <cell r="N14">
            <v>5.4471365869499175E-2</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row>
        <row r="20">
          <cell r="H20">
            <v>11</v>
          </cell>
          <cell r="I20">
            <v>12</v>
          </cell>
          <cell r="J20">
            <v>13</v>
          </cell>
          <cell r="K20">
            <v>14</v>
          </cell>
          <cell r="L20">
            <v>15</v>
          </cell>
          <cell r="M20">
            <v>16</v>
          </cell>
          <cell r="N20">
            <v>17</v>
          </cell>
          <cell r="O20">
            <v>18</v>
          </cell>
          <cell r="P20">
            <v>19</v>
          </cell>
          <cell r="Q20">
            <v>20</v>
          </cell>
        </row>
        <row r="21">
          <cell r="B21" t="str">
            <v>Inverter Replacement Curve</v>
          </cell>
          <cell r="G21">
            <v>1</v>
          </cell>
          <cell r="H21">
            <v>0.05</v>
          </cell>
          <cell r="I21">
            <v>0.1</v>
          </cell>
          <cell r="J21">
            <v>0.12</v>
          </cell>
          <cell r="K21">
            <v>0.15</v>
          </cell>
          <cell r="L21">
            <v>0.15</v>
          </cell>
          <cell r="M21">
            <v>0.15</v>
          </cell>
          <cell r="N21">
            <v>0.1</v>
          </cell>
          <cell r="O21">
            <v>0.1</v>
          </cell>
          <cell r="P21">
            <v>0.05</v>
          </cell>
          <cell r="Q21">
            <v>0.03</v>
          </cell>
        </row>
        <row r="27">
          <cell r="H27">
            <v>1</v>
          </cell>
          <cell r="I27">
            <v>2</v>
          </cell>
          <cell r="J27">
            <v>3</v>
          </cell>
          <cell r="K27">
            <v>4</v>
          </cell>
          <cell r="L27">
            <v>5</v>
          </cell>
          <cell r="M27">
            <v>6</v>
          </cell>
          <cell r="N27">
            <v>7</v>
          </cell>
          <cell r="O27">
            <v>8</v>
          </cell>
          <cell r="P27">
            <v>9</v>
          </cell>
          <cell r="Q27">
            <v>10</v>
          </cell>
          <cell r="R27">
            <v>11</v>
          </cell>
          <cell r="S27">
            <v>12</v>
          </cell>
          <cell r="T27">
            <v>13</v>
          </cell>
          <cell r="U27">
            <v>14</v>
          </cell>
          <cell r="V27">
            <v>15</v>
          </cell>
          <cell r="W27">
            <v>16</v>
          </cell>
          <cell r="X27">
            <v>17</v>
          </cell>
          <cell r="Y27">
            <v>18</v>
          </cell>
          <cell r="Z27">
            <v>19</v>
          </cell>
          <cell r="AA27">
            <v>20</v>
          </cell>
          <cell r="AB27">
            <v>21</v>
          </cell>
          <cell r="AC27">
            <v>22</v>
          </cell>
          <cell r="AD27">
            <v>23</v>
          </cell>
          <cell r="AE27">
            <v>24</v>
          </cell>
          <cell r="AF27">
            <v>25</v>
          </cell>
          <cell r="AG27">
            <v>26</v>
          </cell>
          <cell r="AH27">
            <v>27</v>
          </cell>
          <cell r="AI27">
            <v>28</v>
          </cell>
          <cell r="AJ27">
            <v>29</v>
          </cell>
          <cell r="AK27">
            <v>30</v>
          </cell>
          <cell r="AL27">
            <v>31</v>
          </cell>
          <cell r="AM27">
            <v>32</v>
          </cell>
          <cell r="AN27">
            <v>33</v>
          </cell>
          <cell r="AO27">
            <v>34</v>
          </cell>
          <cell r="AP27">
            <v>35</v>
          </cell>
          <cell r="AQ27">
            <v>36</v>
          </cell>
          <cell r="AR27">
            <v>37</v>
          </cell>
          <cell r="AS27">
            <v>38</v>
          </cell>
          <cell r="AT27">
            <v>39</v>
          </cell>
          <cell r="AU27">
            <v>40</v>
          </cell>
          <cell r="AV27">
            <v>41</v>
          </cell>
          <cell r="AW27">
            <v>42</v>
          </cell>
          <cell r="AX27">
            <v>43</v>
          </cell>
          <cell r="AY27">
            <v>44</v>
          </cell>
          <cell r="AZ27">
            <v>45</v>
          </cell>
          <cell r="BA27">
            <v>46</v>
          </cell>
          <cell r="BB27">
            <v>47</v>
          </cell>
          <cell r="BC27">
            <v>48</v>
          </cell>
          <cell r="BD27">
            <v>49</v>
          </cell>
          <cell r="BE27">
            <v>50</v>
          </cell>
          <cell r="BF27">
            <v>51</v>
          </cell>
          <cell r="BG27">
            <v>52</v>
          </cell>
          <cell r="BH27">
            <v>53</v>
          </cell>
          <cell r="BI27">
            <v>54</v>
          </cell>
          <cell r="BJ27">
            <v>55</v>
          </cell>
          <cell r="BK27">
            <v>56</v>
          </cell>
          <cell r="BL27">
            <v>57</v>
          </cell>
          <cell r="BM27">
            <v>58</v>
          </cell>
          <cell r="BN27">
            <v>59</v>
          </cell>
          <cell r="BO27">
            <v>60</v>
          </cell>
          <cell r="BP27">
            <v>61</v>
          </cell>
          <cell r="BQ27">
            <v>62</v>
          </cell>
          <cell r="BR27">
            <v>63</v>
          </cell>
          <cell r="BS27">
            <v>64</v>
          </cell>
          <cell r="BT27">
            <v>65</v>
          </cell>
          <cell r="BU27">
            <v>66</v>
          </cell>
          <cell r="BV27">
            <v>67</v>
          </cell>
          <cell r="BW27">
            <v>68</v>
          </cell>
          <cell r="BX27">
            <v>69</v>
          </cell>
          <cell r="BY27">
            <v>70</v>
          </cell>
          <cell r="BZ27">
            <v>71</v>
          </cell>
          <cell r="CA27">
            <v>72</v>
          </cell>
          <cell r="CB27">
            <v>73</v>
          </cell>
          <cell r="CC27">
            <v>74</v>
          </cell>
          <cell r="CD27">
            <v>75</v>
          </cell>
          <cell r="CE27">
            <v>76</v>
          </cell>
          <cell r="CF27">
            <v>77</v>
          </cell>
          <cell r="CG27">
            <v>78</v>
          </cell>
          <cell r="CH27">
            <v>79</v>
          </cell>
          <cell r="CI27">
            <v>80</v>
          </cell>
          <cell r="CJ27">
            <v>81</v>
          </cell>
          <cell r="CK27">
            <v>82</v>
          </cell>
          <cell r="CL27">
            <v>83</v>
          </cell>
          <cell r="CM27">
            <v>84</v>
          </cell>
          <cell r="CN27">
            <v>85</v>
          </cell>
          <cell r="CO27">
            <v>86</v>
          </cell>
          <cell r="CP27">
            <v>87</v>
          </cell>
          <cell r="CQ27">
            <v>88</v>
          </cell>
          <cell r="CR27">
            <v>89</v>
          </cell>
          <cell r="CS27">
            <v>90</v>
          </cell>
          <cell r="CT27">
            <v>91</v>
          </cell>
          <cell r="CU27">
            <v>92</v>
          </cell>
          <cell r="CV27">
            <v>93</v>
          </cell>
          <cell r="CW27">
            <v>94</v>
          </cell>
          <cell r="CX27">
            <v>95</v>
          </cell>
          <cell r="CY27">
            <v>96</v>
          </cell>
          <cell r="CZ27">
            <v>97</v>
          </cell>
          <cell r="DA27">
            <v>98</v>
          </cell>
          <cell r="DB27">
            <v>99</v>
          </cell>
          <cell r="DC27">
            <v>100</v>
          </cell>
          <cell r="DD27">
            <v>101</v>
          </cell>
          <cell r="DE27">
            <v>102</v>
          </cell>
          <cell r="DF27">
            <v>103</v>
          </cell>
          <cell r="DG27">
            <v>104</v>
          </cell>
          <cell r="DH27">
            <v>105</v>
          </cell>
          <cell r="DI27">
            <v>106</v>
          </cell>
          <cell r="DJ27">
            <v>107</v>
          </cell>
          <cell r="DK27">
            <v>108</v>
          </cell>
        </row>
        <row r="28">
          <cell r="H28">
            <v>1</v>
          </cell>
          <cell r="I28">
            <v>2</v>
          </cell>
          <cell r="J28">
            <v>3</v>
          </cell>
          <cell r="K28">
            <v>4</v>
          </cell>
          <cell r="L28">
            <v>5</v>
          </cell>
          <cell r="M28">
            <v>6</v>
          </cell>
          <cell r="N28">
            <v>7</v>
          </cell>
          <cell r="O28">
            <v>8</v>
          </cell>
          <cell r="P28">
            <v>9</v>
          </cell>
          <cell r="Q28">
            <v>10</v>
          </cell>
          <cell r="R28">
            <v>11</v>
          </cell>
          <cell r="S28">
            <v>12</v>
          </cell>
          <cell r="T28">
            <v>13</v>
          </cell>
          <cell r="U28">
            <v>14</v>
          </cell>
          <cell r="V28">
            <v>15</v>
          </cell>
          <cell r="W28">
            <v>16</v>
          </cell>
          <cell r="X28">
            <v>17</v>
          </cell>
          <cell r="Y28">
            <v>18</v>
          </cell>
          <cell r="Z28">
            <v>19</v>
          </cell>
          <cell r="AA28">
            <v>20</v>
          </cell>
          <cell r="AB28">
            <v>21</v>
          </cell>
          <cell r="AC28">
            <v>22</v>
          </cell>
          <cell r="AD28">
            <v>23</v>
          </cell>
          <cell r="AE28">
            <v>24</v>
          </cell>
          <cell r="AF28">
            <v>25</v>
          </cell>
          <cell r="AG28">
            <v>26</v>
          </cell>
          <cell r="AH28">
            <v>27</v>
          </cell>
          <cell r="AI28">
            <v>28</v>
          </cell>
          <cell r="AJ28">
            <v>29</v>
          </cell>
          <cell r="AK28">
            <v>30</v>
          </cell>
          <cell r="AL28">
            <v>31</v>
          </cell>
          <cell r="AM28">
            <v>32</v>
          </cell>
          <cell r="AN28">
            <v>33</v>
          </cell>
          <cell r="AO28">
            <v>34</v>
          </cell>
          <cell r="AP28">
            <v>35</v>
          </cell>
          <cell r="AQ28">
            <v>36</v>
          </cell>
          <cell r="AR28">
            <v>37</v>
          </cell>
          <cell r="AS28">
            <v>38</v>
          </cell>
          <cell r="AT28">
            <v>39</v>
          </cell>
          <cell r="AU28">
            <v>40</v>
          </cell>
          <cell r="AV28">
            <v>41</v>
          </cell>
          <cell r="AW28">
            <v>42</v>
          </cell>
          <cell r="AX28">
            <v>43</v>
          </cell>
          <cell r="AY28">
            <v>44</v>
          </cell>
          <cell r="AZ28">
            <v>45</v>
          </cell>
          <cell r="BA28">
            <v>46</v>
          </cell>
          <cell r="BB28">
            <v>47</v>
          </cell>
          <cell r="BC28">
            <v>48</v>
          </cell>
          <cell r="BD28">
            <v>49</v>
          </cell>
          <cell r="BE28">
            <v>50</v>
          </cell>
          <cell r="BF28">
            <v>51</v>
          </cell>
          <cell r="BG28">
            <v>52</v>
          </cell>
          <cell r="BH28">
            <v>53</v>
          </cell>
          <cell r="BI28">
            <v>54</v>
          </cell>
          <cell r="BJ28">
            <v>55</v>
          </cell>
          <cell r="BK28">
            <v>56</v>
          </cell>
          <cell r="BL28">
            <v>57</v>
          </cell>
          <cell r="BM28">
            <v>58</v>
          </cell>
          <cell r="BN28">
            <v>59</v>
          </cell>
          <cell r="BO28">
            <v>60</v>
          </cell>
          <cell r="BP28">
            <v>61</v>
          </cell>
          <cell r="BQ28">
            <v>62</v>
          </cell>
          <cell r="BR28">
            <v>63</v>
          </cell>
          <cell r="BS28">
            <v>64</v>
          </cell>
          <cell r="BT28">
            <v>65</v>
          </cell>
          <cell r="BU28">
            <v>66</v>
          </cell>
          <cell r="BV28">
            <v>67</v>
          </cell>
          <cell r="BW28">
            <v>68</v>
          </cell>
          <cell r="BX28">
            <v>69</v>
          </cell>
          <cell r="BY28">
            <v>70</v>
          </cell>
          <cell r="BZ28">
            <v>71</v>
          </cell>
          <cell r="CA28">
            <v>72</v>
          </cell>
          <cell r="CB28">
            <v>73</v>
          </cell>
          <cell r="CC28">
            <v>74</v>
          </cell>
          <cell r="CD28">
            <v>75</v>
          </cell>
          <cell r="CE28">
            <v>76</v>
          </cell>
          <cell r="CF28">
            <v>77</v>
          </cell>
          <cell r="CG28">
            <v>78</v>
          </cell>
          <cell r="CH28">
            <v>79</v>
          </cell>
          <cell r="CI28">
            <v>80</v>
          </cell>
          <cell r="CJ28">
            <v>81</v>
          </cell>
          <cell r="CK28">
            <v>82</v>
          </cell>
          <cell r="CL28">
            <v>83</v>
          </cell>
          <cell r="CM28">
            <v>84</v>
          </cell>
          <cell r="CN28">
            <v>85</v>
          </cell>
          <cell r="CO28">
            <v>86</v>
          </cell>
          <cell r="CP28">
            <v>87</v>
          </cell>
          <cell r="CQ28">
            <v>88</v>
          </cell>
          <cell r="CR28">
            <v>89</v>
          </cell>
          <cell r="CS28">
            <v>90</v>
          </cell>
          <cell r="CT28">
            <v>91</v>
          </cell>
          <cell r="CU28">
            <v>92</v>
          </cell>
          <cell r="CV28">
            <v>93</v>
          </cell>
          <cell r="CW28">
            <v>94</v>
          </cell>
          <cell r="CX28">
            <v>95</v>
          </cell>
          <cell r="CY28">
            <v>96</v>
          </cell>
          <cell r="CZ28">
            <v>97</v>
          </cell>
          <cell r="DA28">
            <v>98</v>
          </cell>
          <cell r="DB28">
            <v>99</v>
          </cell>
          <cell r="DC28">
            <v>100</v>
          </cell>
          <cell r="DD28">
            <v>101</v>
          </cell>
          <cell r="DE28">
            <v>102</v>
          </cell>
          <cell r="DF28">
            <v>103</v>
          </cell>
          <cell r="DG28">
            <v>104</v>
          </cell>
          <cell r="DH28">
            <v>105</v>
          </cell>
          <cell r="DI28">
            <v>106</v>
          </cell>
          <cell r="DJ28">
            <v>107</v>
          </cell>
          <cell r="DK28">
            <v>108</v>
          </cell>
        </row>
        <row r="30">
          <cell r="B30" t="str">
            <v>Total Quarterly Production</v>
          </cell>
          <cell r="H30">
            <v>0.1797</v>
          </cell>
          <cell r="I30">
            <v>0.1535</v>
          </cell>
          <cell r="J30">
            <v>0.31990000000000002</v>
          </cell>
          <cell r="K30">
            <v>0.34689999999999999</v>
          </cell>
          <cell r="L30">
            <v>0.1797</v>
          </cell>
          <cell r="M30">
            <v>0.1535</v>
          </cell>
          <cell r="N30">
            <v>0.31990000000000002</v>
          </cell>
          <cell r="O30">
            <v>0.34689999999999999</v>
          </cell>
          <cell r="P30">
            <v>0.1797</v>
          </cell>
          <cell r="Q30">
            <v>0.1535</v>
          </cell>
          <cell r="R30">
            <v>0.31990000000000002</v>
          </cell>
          <cell r="S30">
            <v>0.34689999999999999</v>
          </cell>
          <cell r="T30">
            <v>0.1797</v>
          </cell>
          <cell r="U30">
            <v>0.1535</v>
          </cell>
          <cell r="V30">
            <v>0.31990000000000002</v>
          </cell>
          <cell r="W30">
            <v>0.34689999999999999</v>
          </cell>
          <cell r="X30">
            <v>0.1797</v>
          </cell>
          <cell r="Y30">
            <v>0.1535</v>
          </cell>
          <cell r="Z30">
            <v>0.31990000000000002</v>
          </cell>
          <cell r="AA30">
            <v>0.34689999999999999</v>
          </cell>
          <cell r="AB30">
            <v>0.1797</v>
          </cell>
          <cell r="AC30">
            <v>0.1535</v>
          </cell>
          <cell r="AD30">
            <v>0.31990000000000002</v>
          </cell>
          <cell r="AE30">
            <v>0.34689999999999999</v>
          </cell>
          <cell r="AF30">
            <v>0.1797</v>
          </cell>
          <cell r="AG30">
            <v>0.1535</v>
          </cell>
          <cell r="AH30">
            <v>0.31990000000000002</v>
          </cell>
          <cell r="AI30">
            <v>0.34689999999999999</v>
          </cell>
          <cell r="AJ30">
            <v>0.1797</v>
          </cell>
          <cell r="AK30">
            <v>0.1535</v>
          </cell>
          <cell r="AL30">
            <v>0.31990000000000002</v>
          </cell>
          <cell r="AM30">
            <v>0.34689999999999999</v>
          </cell>
          <cell r="AN30">
            <v>0.1797</v>
          </cell>
          <cell r="AO30">
            <v>0.1535</v>
          </cell>
          <cell r="AP30">
            <v>0.31990000000000002</v>
          </cell>
          <cell r="AQ30">
            <v>0.34689999999999999</v>
          </cell>
          <cell r="AR30">
            <v>0.1797</v>
          </cell>
          <cell r="AS30">
            <v>0.1535</v>
          </cell>
          <cell r="AT30">
            <v>0.31990000000000002</v>
          </cell>
          <cell r="AU30">
            <v>0.34689999999999999</v>
          </cell>
          <cell r="AV30">
            <v>0.1797</v>
          </cell>
          <cell r="AW30">
            <v>0.1535</v>
          </cell>
          <cell r="AX30">
            <v>0.31990000000000002</v>
          </cell>
          <cell r="AY30">
            <v>0.34689999999999999</v>
          </cell>
          <cell r="AZ30">
            <v>0.1797</v>
          </cell>
          <cell r="BA30">
            <v>0.1535</v>
          </cell>
          <cell r="BB30">
            <v>0.31990000000000002</v>
          </cell>
          <cell r="BC30">
            <v>0.34689999999999999</v>
          </cell>
          <cell r="BD30">
            <v>0.1797</v>
          </cell>
          <cell r="BE30">
            <v>0.1535</v>
          </cell>
          <cell r="BF30">
            <v>0.31990000000000002</v>
          </cell>
          <cell r="BG30">
            <v>0.34689999999999999</v>
          </cell>
          <cell r="BH30">
            <v>0.1797</v>
          </cell>
          <cell r="BI30">
            <v>0.1535</v>
          </cell>
          <cell r="BJ30">
            <v>0.31990000000000002</v>
          </cell>
          <cell r="BK30">
            <v>0.34689999999999999</v>
          </cell>
          <cell r="BL30">
            <v>0.1797</v>
          </cell>
          <cell r="BM30">
            <v>0.1535</v>
          </cell>
          <cell r="BN30">
            <v>0.31990000000000002</v>
          </cell>
          <cell r="BO30">
            <v>0.34689999999999999</v>
          </cell>
          <cell r="BP30">
            <v>0.1797</v>
          </cell>
          <cell r="BQ30">
            <v>0.1535</v>
          </cell>
          <cell r="BR30">
            <v>0.31990000000000002</v>
          </cell>
          <cell r="BS30">
            <v>0.34689999999999999</v>
          </cell>
          <cell r="BT30">
            <v>0.1797</v>
          </cell>
          <cell r="BU30">
            <v>0.1535</v>
          </cell>
          <cell r="BV30">
            <v>0.31990000000000002</v>
          </cell>
          <cell r="BW30">
            <v>0.34689999999999999</v>
          </cell>
          <cell r="BX30">
            <v>0.1797</v>
          </cell>
          <cell r="BY30">
            <v>0.1535</v>
          </cell>
          <cell r="BZ30">
            <v>0.31990000000000002</v>
          </cell>
          <cell r="CA30">
            <v>0.34689999999999999</v>
          </cell>
          <cell r="CB30">
            <v>0.1797</v>
          </cell>
          <cell r="CC30">
            <v>0.1535</v>
          </cell>
          <cell r="CD30">
            <v>0.31990000000000002</v>
          </cell>
          <cell r="CE30">
            <v>0.34689999999999999</v>
          </cell>
          <cell r="CF30">
            <v>0.1797</v>
          </cell>
          <cell r="CG30">
            <v>0.1535</v>
          </cell>
          <cell r="CH30">
            <v>0.31990000000000002</v>
          </cell>
          <cell r="CI30">
            <v>0.34689999999999999</v>
          </cell>
          <cell r="CJ30">
            <v>0.1797</v>
          </cell>
          <cell r="CK30">
            <v>0.1535</v>
          </cell>
          <cell r="CL30">
            <v>0.31990000000000002</v>
          </cell>
          <cell r="CM30">
            <v>0.34689999999999999</v>
          </cell>
          <cell r="CN30">
            <v>0.1797</v>
          </cell>
          <cell r="CO30">
            <v>0.1535</v>
          </cell>
          <cell r="CP30">
            <v>0.31990000000000002</v>
          </cell>
          <cell r="CQ30">
            <v>0.34689999999999999</v>
          </cell>
          <cell r="CR30">
            <v>0.1797</v>
          </cell>
          <cell r="CS30">
            <v>0.1535</v>
          </cell>
          <cell r="CT30">
            <v>0.31990000000000002</v>
          </cell>
          <cell r="CU30">
            <v>0.34689999999999999</v>
          </cell>
          <cell r="CV30">
            <v>0.1797</v>
          </cell>
          <cell r="CW30">
            <v>0.1535</v>
          </cell>
          <cell r="CX30">
            <v>0.31990000000000002</v>
          </cell>
          <cell r="CY30">
            <v>0.34689999999999999</v>
          </cell>
          <cell r="CZ30">
            <v>0.1797</v>
          </cell>
          <cell r="DA30">
            <v>0.1535</v>
          </cell>
          <cell r="DB30">
            <v>0.31990000000000002</v>
          </cell>
          <cell r="DC30">
            <v>0.34689999999999999</v>
          </cell>
          <cell r="DD30">
            <v>0.1797</v>
          </cell>
          <cell r="DE30">
            <v>0.1535</v>
          </cell>
          <cell r="DF30">
            <v>0.31990000000000002</v>
          </cell>
          <cell r="DG30">
            <v>0.34689999999999999</v>
          </cell>
          <cell r="DH30">
            <v>0.1797</v>
          </cell>
          <cell r="DI30">
            <v>0.1535</v>
          </cell>
          <cell r="DJ30">
            <v>0.31990000000000002</v>
          </cell>
          <cell r="DK30">
            <v>0.34689999999999999</v>
          </cell>
        </row>
      </sheetData>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hly Data"/>
      <sheetName val="Annual Data"/>
      <sheetName val="sectors"/>
      <sheetName val="sectors _ annual"/>
      <sheetName val="Stats"/>
      <sheetName val="size"/>
      <sheetName val="Excess Returns"/>
      <sheetName val="risk vs return"/>
      <sheetName val="S&amp;P 500"/>
      <sheetName val="cons disc"/>
      <sheetName val="cons staple"/>
      <sheetName val="energy"/>
      <sheetName val="Financial"/>
      <sheetName val="Healthcare"/>
      <sheetName val="Industrials"/>
      <sheetName val="Info Tech"/>
      <sheetName val="Materials"/>
      <sheetName val="Telecom"/>
      <sheetName val="Utilities"/>
      <sheetName val="mid cap"/>
      <sheetName val="sml cap"/>
      <sheetName val="total mkt"/>
      <sheetName val="largecap"/>
    </sheetNames>
    <sheetDataSet>
      <sheetData sheetId="0">
        <row r="3">
          <cell r="A3">
            <v>32142</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thly Data"/>
      <sheetName val="Mthly Data (TR)"/>
      <sheetName val="sectors"/>
      <sheetName val="Qtrly Data"/>
      <sheetName val="Stats"/>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500 portfolio"/>
      <sheetName val="500 pivot"/>
      <sheetName val="400 portfolio"/>
      <sheetName val="600 portfolio"/>
      <sheetName val="super portfolio"/>
      <sheetName val="900 portfolio"/>
      <sheetName val="1000 portfolio"/>
      <sheetName val="100 portfolio"/>
      <sheetName val="500 G portfolio"/>
      <sheetName val="500 V portfolio"/>
      <sheetName val="500 EWI portfolio"/>
      <sheetName val="1000 pivot"/>
      <sheetName val="400 G portfolio"/>
      <sheetName val="400 V portfolio"/>
      <sheetName val="600 G portfolio"/>
      <sheetName val="600 V portfolio"/>
      <sheetName val="sml mid pivot"/>
      <sheetName val="G&amp;V Comp"/>
      <sheetName val="Annual Data"/>
      <sheetName val="sectors annual"/>
      <sheetName val="34"/>
      <sheetName val="35"/>
      <sheetName val="36"/>
      <sheetName val="37"/>
      <sheetName val="38"/>
      <sheetName val="39"/>
      <sheetName val="Index Comp (TR)"/>
      <sheetName val="REIT"/>
      <sheetName val="REIT portfolio"/>
      <sheetName val="1000 porfolio"/>
      <sheetName val="42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refreshError="1"/>
      <sheetData sheetId="67"/>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Índices"/>
      <sheetName val="Macro1"/>
    </sheetNames>
    <definedNames>
      <definedName name="ChangeRange"/>
      <definedName name="jj"/>
      <definedName name="RangeChange"/>
    </definedNames>
    <sheetDataSet>
      <sheetData sheetId="0" refreshError="1"/>
      <sheetData sheetId="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F_Out_USD"/>
      <sheetName val="CF_Out_UF"/>
      <sheetName val="Dash"/>
      <sheetName val="InvOut"/>
      <sheetName val="Inputs"/>
      <sheetName val="Market Comps"/>
      <sheetName val="Budget"/>
      <sheetName val="Hard Costs"/>
      <sheetName val="Model_UF"/>
      <sheetName val="Model_USD"/>
      <sheetName val="ConstCurve"/>
      <sheetName val="UnitMix"/>
      <sheetName val="Opex"/>
      <sheetName val="GenAss"/>
      <sheetName val="Project Layout"/>
      <sheetName val="Development Ris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27557</v>
          </cell>
        </row>
        <row r="9">
          <cell r="E9">
            <v>10.7639</v>
          </cell>
        </row>
        <row r="10">
          <cell r="E10">
            <v>0.03</v>
          </cell>
        </row>
        <row r="13">
          <cell r="E13">
            <v>1</v>
          </cell>
        </row>
      </sheetData>
      <sheetData sheetId="14"/>
      <sheetData sheetId="15"/>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inv_Waterfall"/>
    </sheetNames>
    <sheetDataSet>
      <sheetData sheetId="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_UF"/>
      <sheetName val="Disclaimer"/>
      <sheetName val="CF_Out_USD"/>
      <sheetName val="CF_Out_UF"/>
      <sheetName val="InvOut"/>
      <sheetName val="Inputs"/>
      <sheetName val="Budget"/>
      <sheetName val="Hard Costs"/>
      <sheetName val="Opex"/>
      <sheetName val="Model_USD"/>
      <sheetName val="Model_UF (Napoleon)"/>
      <sheetName val="Hoja1"/>
      <sheetName val="ConstCurve"/>
      <sheetName val="UnitMix"/>
      <sheetName val="GenAss"/>
      <sheetName val="Project Layo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6">
          <cell r="E6">
            <v>39.428571428571431</v>
          </cell>
        </row>
        <row r="8">
          <cell r="E8">
            <v>27600</v>
          </cell>
        </row>
        <row r="10">
          <cell r="E10">
            <v>0.03</v>
          </cell>
        </row>
        <row r="13">
          <cell r="E13">
            <v>1</v>
          </cell>
        </row>
      </sheetData>
      <sheetData sheetId="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utput"/>
      <sheetName val="Comps"/>
      <sheetName val="Cover"/>
      <sheetName val="NOI_Analysis"/>
      <sheetName val="ROC"/>
      <sheetName val="Monthly"/>
      <sheetName val="CIV Waterfall"/>
      <sheetName val="Debt"/>
      <sheetName val="ConstCurve"/>
      <sheetName val="LAZ_Pull"/>
      <sheetName val="LAZ&gt;"/>
      <sheetName val="Revenue"/>
      <sheetName val="5 Year"/>
      <sheetName val="Summary"/>
      <sheetName val="Staff "/>
      <sheetName val="Oper Expenses"/>
      <sheetName val="Equip Amort Cost"/>
    </sheetNames>
    <sheetDataSet>
      <sheetData sheetId="0"/>
      <sheetData sheetId="1"/>
      <sheetData sheetId="2"/>
      <sheetData sheetId="3"/>
      <sheetData sheetId="4"/>
      <sheetData sheetId="5"/>
      <sheetData sheetId="6">
        <row r="10">
          <cell r="D10">
            <v>2</v>
          </cell>
        </row>
      </sheetData>
      <sheetData sheetId="7"/>
      <sheetData sheetId="8">
        <row r="8">
          <cell r="M8">
            <v>42308</v>
          </cell>
        </row>
      </sheetData>
      <sheetData sheetId="9"/>
      <sheetData sheetId="10"/>
      <sheetData sheetId="11"/>
      <sheetData sheetId="12"/>
      <sheetData sheetId="13"/>
      <sheetData sheetId="14"/>
      <sheetData sheetId="15"/>
      <sheetData sheetId="1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Timeline"/>
      <sheetName val="Monthly CF"/>
      <sheetName val="CIV Waterfall"/>
      <sheetName val="ROC"/>
      <sheetName val="Sensitivities"/>
      <sheetName val="Actuals"/>
      <sheetName val="Balfour"/>
      <sheetName val="SMW_SC"/>
      <sheetName val="R3_SumBudget"/>
      <sheetName val="R3_HardCosts"/>
      <sheetName val="Land_Alloc"/>
      <sheetName val="C2_Unit"/>
      <sheetName val="C2West_Unit"/>
      <sheetName val="R3_Unit"/>
      <sheetName val="Output"/>
      <sheetName val="Financing Memo"/>
      <sheetName val="C2_Budgets"/>
      <sheetName val="Dev. Budgets"/>
      <sheetName val="IC Update"/>
      <sheetName val="RetailLease"/>
      <sheetName val="RetailTI"/>
      <sheetName val="RetailSale"/>
      <sheetName val="ResiLease"/>
      <sheetName val="ResiSale"/>
      <sheetName val="ResiLeaseCompsData"/>
      <sheetName val="11950"/>
      <sheetName val="CoStarComps"/>
      <sheetName val="1 mos LIBOR"/>
    </sheetNames>
    <sheetDataSet>
      <sheetData sheetId="0"/>
      <sheetData sheetId="1" refreshError="1"/>
      <sheetData sheetId="2"/>
      <sheetData sheetId="3" refreshError="1"/>
      <sheetData sheetId="4" refreshError="1"/>
      <sheetData sheetId="5">
        <row r="9">
          <cell r="Q9">
            <v>0</v>
          </cell>
        </row>
        <row r="11">
          <cell r="Q11">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99"/>
      <sheetName val="Appoggio"/>
      <sheetName val="Listas 1"/>
    </sheetNames>
    <sheetDataSet>
      <sheetData sheetId="0" refreshError="1">
        <row r="39">
          <cell r="F39" t="str">
            <v>Aporte a sindicatos</v>
          </cell>
          <cell r="G39">
            <v>210837</v>
          </cell>
          <cell r="H39">
            <v>337660</v>
          </cell>
          <cell r="I39">
            <v>270321</v>
          </cell>
          <cell r="J39">
            <v>334914</v>
          </cell>
          <cell r="K39">
            <v>240920</v>
          </cell>
          <cell r="L39">
            <v>261900</v>
          </cell>
          <cell r="M39">
            <v>203639</v>
          </cell>
          <cell r="N39">
            <v>368854.48</v>
          </cell>
          <cell r="O39">
            <v>366556.48</v>
          </cell>
          <cell r="P39">
            <v>364258.48</v>
          </cell>
          <cell r="Q39">
            <v>361960.48</v>
          </cell>
          <cell r="R39">
            <v>359662.48</v>
          </cell>
          <cell r="S39">
            <v>230614</v>
          </cell>
          <cell r="T39">
            <v>300319</v>
          </cell>
          <cell r="U39">
            <v>243364</v>
          </cell>
          <cell r="V39">
            <v>912041</v>
          </cell>
          <cell r="W39">
            <v>221514</v>
          </cell>
          <cell r="X39">
            <v>242037</v>
          </cell>
          <cell r="Y39">
            <v>236713</v>
          </cell>
          <cell r="Z39">
            <v>284021</v>
          </cell>
          <cell r="AA39">
            <v>223153</v>
          </cell>
          <cell r="AB39">
            <v>327107.48</v>
          </cell>
          <cell r="AC39">
            <v>324809.48</v>
          </cell>
          <cell r="AD39">
            <v>322511.48</v>
          </cell>
          <cell r="AE39">
            <v>165423</v>
          </cell>
          <cell r="AF39">
            <v>171005</v>
          </cell>
          <cell r="AG39">
            <v>193178</v>
          </cell>
          <cell r="AH39">
            <v>232850</v>
          </cell>
          <cell r="AI39">
            <v>183326</v>
          </cell>
          <cell r="AJ39">
            <v>187259</v>
          </cell>
          <cell r="AK39">
            <v>216900</v>
          </cell>
          <cell r="AL39">
            <v>186551</v>
          </cell>
          <cell r="AM39">
            <v>340901.44</v>
          </cell>
          <cell r="AN39">
            <v>338891.44</v>
          </cell>
          <cell r="AO39">
            <v>336881.44</v>
          </cell>
          <cell r="AP39">
            <v>334871.44</v>
          </cell>
          <cell r="AQ39">
            <v>187318</v>
          </cell>
          <cell r="AR39">
            <v>183121</v>
          </cell>
          <cell r="AS39">
            <v>162823</v>
          </cell>
          <cell r="AT39">
            <v>148662</v>
          </cell>
          <cell r="AU39">
            <v>172048</v>
          </cell>
          <cell r="AV39">
            <v>150253</v>
          </cell>
          <cell r="AW39">
            <v>917521</v>
          </cell>
          <cell r="AX39">
            <v>134466</v>
          </cell>
          <cell r="AY39">
            <v>133480</v>
          </cell>
          <cell r="AZ39">
            <v>128507</v>
          </cell>
          <cell r="BA39">
            <v>129553</v>
          </cell>
          <cell r="BB39">
            <v>126710</v>
          </cell>
          <cell r="BC39">
            <v>129527</v>
          </cell>
          <cell r="BD39">
            <v>133261</v>
          </cell>
          <cell r="BE39">
            <v>133946</v>
          </cell>
          <cell r="BF39">
            <v>87085</v>
          </cell>
          <cell r="BG39">
            <v>141589</v>
          </cell>
          <cell r="BH39">
            <v>124743</v>
          </cell>
          <cell r="BI39">
            <v>146427</v>
          </cell>
          <cell r="BJ39">
            <v>130129</v>
          </cell>
          <cell r="BK39">
            <v>234686</v>
          </cell>
          <cell r="BL39">
            <v>23923</v>
          </cell>
          <cell r="BM39">
            <v>128394</v>
          </cell>
          <cell r="BN39">
            <v>125539</v>
          </cell>
          <cell r="BO39">
            <v>1539249</v>
          </cell>
        </row>
        <row r="40">
          <cell r="F40" t="str">
            <v>Sistema ART</v>
          </cell>
          <cell r="AE40">
            <v>41944</v>
          </cell>
          <cell r="AF40">
            <v>34049</v>
          </cell>
          <cell r="AG40">
            <v>32943</v>
          </cell>
          <cell r="AH40">
            <v>47078</v>
          </cell>
          <cell r="AI40">
            <v>33744</v>
          </cell>
          <cell r="AJ40">
            <v>31939</v>
          </cell>
          <cell r="AK40">
            <v>35351</v>
          </cell>
          <cell r="AL40">
            <v>27164</v>
          </cell>
          <cell r="AM40">
            <v>32000</v>
          </cell>
          <cell r="AN40">
            <v>32000</v>
          </cell>
          <cell r="AO40">
            <v>32000</v>
          </cell>
          <cell r="AP40">
            <v>32000</v>
          </cell>
          <cell r="AQ40">
            <v>34892</v>
          </cell>
          <cell r="AR40">
            <v>28874</v>
          </cell>
          <cell r="AS40">
            <v>27975</v>
          </cell>
          <cell r="AT40">
            <v>42767</v>
          </cell>
          <cell r="AU40">
            <v>28576</v>
          </cell>
          <cell r="AV40">
            <v>27376</v>
          </cell>
          <cell r="AW40">
            <v>35922</v>
          </cell>
          <cell r="AX40">
            <v>26737</v>
          </cell>
          <cell r="AY40">
            <v>30463</v>
          </cell>
          <cell r="AZ40">
            <v>30528</v>
          </cell>
          <cell r="BA40">
            <v>30190</v>
          </cell>
          <cell r="BB40">
            <v>29858</v>
          </cell>
          <cell r="BC40">
            <v>41303</v>
          </cell>
          <cell r="BD40">
            <v>30381</v>
          </cell>
          <cell r="BE40">
            <v>30368</v>
          </cell>
          <cell r="BF40">
            <v>63192</v>
          </cell>
          <cell r="BG40">
            <v>33465</v>
          </cell>
          <cell r="BH40">
            <v>29621</v>
          </cell>
          <cell r="BI40">
            <v>42389</v>
          </cell>
          <cell r="BJ40">
            <v>29535</v>
          </cell>
          <cell r="BK40">
            <v>32944</v>
          </cell>
          <cell r="BL40">
            <v>32174</v>
          </cell>
          <cell r="BM40">
            <v>32051</v>
          </cell>
          <cell r="BN40">
            <v>32423</v>
          </cell>
          <cell r="BO40">
            <v>429846</v>
          </cell>
        </row>
        <row r="41">
          <cell r="F41" t="str">
            <v>SUBTOTAL</v>
          </cell>
          <cell r="G41">
            <v>10996739</v>
          </cell>
          <cell r="H41">
            <v>8909949</v>
          </cell>
          <cell r="I41">
            <v>12613079</v>
          </cell>
          <cell r="J41">
            <v>12278889</v>
          </cell>
          <cell r="K41">
            <v>8824493</v>
          </cell>
          <cell r="L41">
            <v>10417893</v>
          </cell>
          <cell r="M41">
            <v>9930773</v>
          </cell>
          <cell r="N41">
            <v>8948987.8200000003</v>
          </cell>
          <cell r="O41">
            <v>8895185.8200000022</v>
          </cell>
          <cell r="P41">
            <v>8841383.8200000022</v>
          </cell>
          <cell r="Q41">
            <v>8887581.8200000022</v>
          </cell>
          <cell r="R41">
            <v>10388264.345000003</v>
          </cell>
          <cell r="S41">
            <v>10613777</v>
          </cell>
          <cell r="T41">
            <v>8952104</v>
          </cell>
          <cell r="U41">
            <v>12391022</v>
          </cell>
          <cell r="V41">
            <v>10971967</v>
          </cell>
          <cell r="W41">
            <v>8438658</v>
          </cell>
          <cell r="X41">
            <v>10513356</v>
          </cell>
          <cell r="Y41">
            <v>9456379</v>
          </cell>
          <cell r="Z41">
            <v>8130499</v>
          </cell>
          <cell r="AA41">
            <v>7873109</v>
          </cell>
          <cell r="AB41">
            <v>8303584.8200000003</v>
          </cell>
          <cell r="AC41">
            <v>8249782.8200000003</v>
          </cell>
          <cell r="AD41">
            <v>9541854.7200000007</v>
          </cell>
          <cell r="AE41">
            <v>9034095</v>
          </cell>
          <cell r="AF41">
            <v>8181678</v>
          </cell>
          <cell r="AG41">
            <v>11480498</v>
          </cell>
          <cell r="AH41">
            <v>9422801</v>
          </cell>
          <cell r="AI41">
            <v>7358222</v>
          </cell>
          <cell r="AJ41">
            <v>8869702</v>
          </cell>
          <cell r="AK41">
            <v>8451350</v>
          </cell>
          <cell r="AL41">
            <v>7233229</v>
          </cell>
          <cell r="AM41">
            <v>7840951.8940000013</v>
          </cell>
          <cell r="AN41">
            <v>7796370.3940000013</v>
          </cell>
          <cell r="AO41">
            <v>7751788.8940000013</v>
          </cell>
          <cell r="AP41">
            <v>8860424.7189999986</v>
          </cell>
          <cell r="AQ41">
            <v>8332484</v>
          </cell>
          <cell r="AR41">
            <v>7418498</v>
          </cell>
          <cell r="AS41">
            <v>11344046</v>
          </cell>
          <cell r="AT41">
            <v>8941869</v>
          </cell>
          <cell r="AU41">
            <v>7103539</v>
          </cell>
          <cell r="AV41">
            <v>10563124</v>
          </cell>
          <cell r="AW41">
            <v>8568996</v>
          </cell>
          <cell r="AX41">
            <v>6897755</v>
          </cell>
          <cell r="AY41">
            <v>6935819</v>
          </cell>
          <cell r="AZ41">
            <v>7000443</v>
          </cell>
          <cell r="BA41">
            <v>6791401</v>
          </cell>
          <cell r="BB41">
            <v>9262996</v>
          </cell>
          <cell r="BC41">
            <v>7762505</v>
          </cell>
          <cell r="BD41">
            <v>7230119</v>
          </cell>
          <cell r="BE41">
            <v>12375794</v>
          </cell>
          <cell r="BF41">
            <v>9600321</v>
          </cell>
          <cell r="BG41">
            <v>6771342</v>
          </cell>
          <cell r="BH41">
            <v>8264517</v>
          </cell>
          <cell r="BI41">
            <v>7416693</v>
          </cell>
          <cell r="BJ41">
            <v>6690263</v>
          </cell>
          <cell r="BK41">
            <v>6601812</v>
          </cell>
          <cell r="BL41">
            <v>6481749</v>
          </cell>
          <cell r="BM41">
            <v>6705336</v>
          </cell>
          <cell r="BN41">
            <v>9748221</v>
          </cell>
          <cell r="BO41">
            <v>95648672</v>
          </cell>
          <cell r="BQ41">
            <v>91543902</v>
          </cell>
          <cell r="BR41">
            <v>-4104770</v>
          </cell>
          <cell r="BS41">
            <v>-1127239.146999985</v>
          </cell>
          <cell r="BT41">
            <v>52004598</v>
          </cell>
          <cell r="BU41">
            <v>49564902.416000001</v>
          </cell>
          <cell r="BV41">
            <v>2439695.5839999989</v>
          </cell>
        </row>
        <row r="43">
          <cell r="F43" t="str">
            <v>Compra de Energia</v>
          </cell>
        </row>
        <row r="44">
          <cell r="E44">
            <v>14727306.239999998</v>
          </cell>
          <cell r="F44" t="str">
            <v xml:space="preserve">C.A.M.M.E.S.A. </v>
          </cell>
          <cell r="G44">
            <v>16485684</v>
          </cell>
          <cell r="H44">
            <v>18865918</v>
          </cell>
          <cell r="I44">
            <v>14685216</v>
          </cell>
          <cell r="J44">
            <v>11957269</v>
          </cell>
          <cell r="K44">
            <v>14169944</v>
          </cell>
          <cell r="L44">
            <v>11897533</v>
          </cell>
          <cell r="M44">
            <v>14537561</v>
          </cell>
          <cell r="N44">
            <v>15706169.775999999</v>
          </cell>
          <cell r="O44">
            <v>16753950.157999998</v>
          </cell>
          <cell r="P44">
            <v>12681299.246000001</v>
          </cell>
          <cell r="Q44">
            <v>10284198.98</v>
          </cell>
          <cell r="R44">
            <v>10213376.469999999</v>
          </cell>
          <cell r="S44">
            <v>12311809</v>
          </cell>
          <cell r="T44">
            <v>12890205</v>
          </cell>
          <cell r="U44">
            <v>12599734</v>
          </cell>
          <cell r="V44">
            <v>12009641</v>
          </cell>
          <cell r="W44">
            <v>14657110</v>
          </cell>
          <cell r="X44">
            <v>12038639</v>
          </cell>
          <cell r="Y44">
            <v>14514458</v>
          </cell>
          <cell r="Z44">
            <v>15819749</v>
          </cell>
          <cell r="AA44">
            <v>17262820</v>
          </cell>
          <cell r="AB44">
            <v>14966991.786999999</v>
          </cell>
          <cell r="AC44">
            <v>12409766.049999999</v>
          </cell>
          <cell r="AD44">
            <v>16253083</v>
          </cell>
          <cell r="AE44">
            <v>10819146</v>
          </cell>
          <cell r="AF44">
            <v>11094402</v>
          </cell>
          <cell r="AG44">
            <v>12291411</v>
          </cell>
          <cell r="AH44">
            <v>10290540</v>
          </cell>
          <cell r="AI44">
            <v>12510225</v>
          </cell>
          <cell r="AJ44">
            <v>11437739</v>
          </cell>
          <cell r="AK44">
            <v>10945521</v>
          </cell>
          <cell r="AL44">
            <v>12911286</v>
          </cell>
          <cell r="AM44">
            <v>12155400.799999999</v>
          </cell>
          <cell r="AN44">
            <v>10302851.747</v>
          </cell>
          <cell r="AO44">
            <v>11416280.1526</v>
          </cell>
          <cell r="AP44">
            <v>12998816.330199998</v>
          </cell>
          <cell r="AQ44">
            <v>12232842</v>
          </cell>
          <cell r="AR44">
            <v>11910094</v>
          </cell>
          <cell r="AS44">
            <v>12669244</v>
          </cell>
          <cell r="AT44">
            <v>10087099</v>
          </cell>
          <cell r="AU44">
            <v>11832563</v>
          </cell>
          <cell r="AV44">
            <v>10529975</v>
          </cell>
          <cell r="AW44">
            <v>9281947</v>
          </cell>
          <cell r="AX44">
            <v>9552167</v>
          </cell>
          <cell r="AY44">
            <v>9906817</v>
          </cell>
          <cell r="AZ44">
            <v>9759606</v>
          </cell>
          <cell r="BA44">
            <v>9068631</v>
          </cell>
          <cell r="BB44">
            <v>14494082</v>
          </cell>
          <cell r="BC44">
            <v>10913020</v>
          </cell>
          <cell r="BD44">
            <v>11298860</v>
          </cell>
          <cell r="BE44">
            <v>9692879</v>
          </cell>
          <cell r="BF44">
            <v>11777003</v>
          </cell>
          <cell r="BG44">
            <v>14994160</v>
          </cell>
          <cell r="BH44">
            <v>11525322</v>
          </cell>
          <cell r="BI44">
            <v>13998290</v>
          </cell>
          <cell r="BJ44">
            <v>15173079</v>
          </cell>
          <cell r="BK44">
            <v>16324945</v>
          </cell>
          <cell r="BL44">
            <v>12491758</v>
          </cell>
          <cell r="BM44">
            <v>10124589</v>
          </cell>
          <cell r="BN44">
            <v>13413056</v>
          </cell>
          <cell r="BO44">
            <v>151726961</v>
          </cell>
        </row>
        <row r="45">
          <cell r="F45" t="str">
            <v>Fdo. de Energia</v>
          </cell>
          <cell r="G45">
            <v>933131</v>
          </cell>
          <cell r="H45">
            <v>1096849</v>
          </cell>
          <cell r="I45">
            <v>829258</v>
          </cell>
          <cell r="J45">
            <v>622003</v>
          </cell>
          <cell r="K45">
            <v>771140</v>
          </cell>
          <cell r="L45">
            <v>587163</v>
          </cell>
          <cell r="M45">
            <v>669828</v>
          </cell>
          <cell r="N45">
            <v>755582.4</v>
          </cell>
          <cell r="O45">
            <v>822729.6</v>
          </cell>
          <cell r="P45">
            <v>717110.4</v>
          </cell>
          <cell r="Q45">
            <v>544320</v>
          </cell>
          <cell r="R45">
            <v>633926.40000000002</v>
          </cell>
          <cell r="S45">
            <v>702591</v>
          </cell>
          <cell r="T45">
            <v>716929</v>
          </cell>
          <cell r="U45">
            <v>675004</v>
          </cell>
          <cell r="V45">
            <v>560881</v>
          </cell>
          <cell r="W45">
            <v>688172</v>
          </cell>
          <cell r="X45">
            <v>503589</v>
          </cell>
          <cell r="Y45">
            <v>647755</v>
          </cell>
          <cell r="Z45">
            <v>697451</v>
          </cell>
          <cell r="AA45">
            <v>824830</v>
          </cell>
          <cell r="AB45">
            <v>692738.4</v>
          </cell>
          <cell r="AC45">
            <v>557160</v>
          </cell>
          <cell r="AD45">
            <v>716496</v>
          </cell>
          <cell r="AE45">
            <v>678427</v>
          </cell>
          <cell r="AF45">
            <v>723969</v>
          </cell>
          <cell r="AG45">
            <v>863825</v>
          </cell>
          <cell r="AH45">
            <v>563235</v>
          </cell>
          <cell r="AI45">
            <v>639431</v>
          </cell>
          <cell r="AJ45">
            <v>643870</v>
          </cell>
          <cell r="AK45">
            <v>691642</v>
          </cell>
          <cell r="AL45">
            <v>716670</v>
          </cell>
          <cell r="AM45">
            <v>760176</v>
          </cell>
          <cell r="AN45">
            <v>626607.19999999995</v>
          </cell>
          <cell r="AO45">
            <v>661994.4</v>
          </cell>
          <cell r="AP45">
            <v>809191.2</v>
          </cell>
          <cell r="AQ45">
            <v>693013</v>
          </cell>
          <cell r="AR45">
            <v>630570</v>
          </cell>
          <cell r="AS45">
            <v>678900</v>
          </cell>
          <cell r="AT45">
            <v>556485</v>
          </cell>
          <cell r="AU45">
            <v>683759</v>
          </cell>
          <cell r="AV45">
            <v>602931</v>
          </cell>
          <cell r="AW45">
            <v>652711</v>
          </cell>
          <cell r="AX45">
            <v>740656</v>
          </cell>
          <cell r="AY45">
            <v>758377</v>
          </cell>
          <cell r="AZ45">
            <v>706303</v>
          </cell>
          <cell r="BA45">
            <v>629201</v>
          </cell>
          <cell r="BB45">
            <v>804137</v>
          </cell>
          <cell r="BC45">
            <v>757541</v>
          </cell>
          <cell r="BD45">
            <v>798536</v>
          </cell>
          <cell r="BE45">
            <v>636666</v>
          </cell>
          <cell r="BF45">
            <v>629790</v>
          </cell>
          <cell r="BG45">
            <v>834326</v>
          </cell>
          <cell r="BH45">
            <v>558947</v>
          </cell>
          <cell r="BI45">
            <v>833480</v>
          </cell>
          <cell r="BJ45">
            <v>917591</v>
          </cell>
          <cell r="BK45">
            <v>1011615</v>
          </cell>
          <cell r="BL45">
            <v>810767</v>
          </cell>
          <cell r="BM45">
            <v>619173</v>
          </cell>
          <cell r="BN45">
            <v>902541</v>
          </cell>
          <cell r="BO45">
            <v>9310973</v>
          </cell>
        </row>
        <row r="46">
          <cell r="F46" t="str">
            <v>Gtos C.A.M.M.E.S.A.</v>
          </cell>
          <cell r="G46">
            <v>107949</v>
          </cell>
          <cell r="H46">
            <v>117932</v>
          </cell>
          <cell r="I46">
            <v>120371</v>
          </cell>
          <cell r="J46">
            <v>107787</v>
          </cell>
          <cell r="K46">
            <v>106209</v>
          </cell>
          <cell r="L46">
            <v>242604</v>
          </cell>
          <cell r="M46">
            <v>99497</v>
          </cell>
          <cell r="N46">
            <v>137000</v>
          </cell>
          <cell r="O46">
            <v>144000</v>
          </cell>
          <cell r="P46">
            <v>128000</v>
          </cell>
          <cell r="Q46">
            <v>119000</v>
          </cell>
          <cell r="R46">
            <v>113000</v>
          </cell>
          <cell r="S46">
            <v>78047</v>
          </cell>
          <cell r="T46">
            <v>88833</v>
          </cell>
          <cell r="U46">
            <v>89073</v>
          </cell>
          <cell r="V46">
            <v>85186</v>
          </cell>
          <cell r="W46">
            <v>83415</v>
          </cell>
          <cell r="X46">
            <v>87341</v>
          </cell>
          <cell r="Y46">
            <v>106792</v>
          </cell>
          <cell r="Z46">
            <v>105408</v>
          </cell>
          <cell r="AA46">
            <v>104286</v>
          </cell>
          <cell r="AB46">
            <v>113000</v>
          </cell>
          <cell r="AC46">
            <v>113000</v>
          </cell>
          <cell r="AD46">
            <v>113000</v>
          </cell>
          <cell r="AE46">
            <v>106720</v>
          </cell>
          <cell r="AF46">
            <v>103356</v>
          </cell>
          <cell r="AG46">
            <v>106647</v>
          </cell>
          <cell r="AH46">
            <v>103871</v>
          </cell>
          <cell r="AI46">
            <v>97890</v>
          </cell>
          <cell r="AJ46">
            <v>99410</v>
          </cell>
          <cell r="AK46">
            <v>92992</v>
          </cell>
          <cell r="AL46">
            <v>86049</v>
          </cell>
          <cell r="AM46">
            <v>116281</v>
          </cell>
          <cell r="AN46">
            <v>104907</v>
          </cell>
          <cell r="AO46">
            <v>100672</v>
          </cell>
          <cell r="AP46">
            <v>93533</v>
          </cell>
          <cell r="AQ46">
            <v>83686</v>
          </cell>
          <cell r="AR46">
            <v>87758</v>
          </cell>
          <cell r="AS46">
            <v>89263</v>
          </cell>
          <cell r="AT46">
            <v>87765</v>
          </cell>
          <cell r="AU46">
            <v>85419</v>
          </cell>
          <cell r="AV46">
            <v>88664</v>
          </cell>
          <cell r="AW46">
            <v>89447</v>
          </cell>
          <cell r="AX46">
            <v>84648</v>
          </cell>
          <cell r="AY46">
            <v>79929</v>
          </cell>
          <cell r="AZ46">
            <v>85245</v>
          </cell>
          <cell r="BA46">
            <v>86549</v>
          </cell>
          <cell r="BB46">
            <v>85624</v>
          </cell>
          <cell r="BC46">
            <v>90602</v>
          </cell>
          <cell r="BD46">
            <v>85309</v>
          </cell>
          <cell r="BE46">
            <v>85788</v>
          </cell>
          <cell r="BF46">
            <v>86311</v>
          </cell>
          <cell r="BG46">
            <v>87455</v>
          </cell>
          <cell r="BH46">
            <v>93372</v>
          </cell>
          <cell r="BI46">
            <v>96891</v>
          </cell>
          <cell r="BJ46">
            <v>94758</v>
          </cell>
          <cell r="BK46">
            <v>86945</v>
          </cell>
          <cell r="BL46">
            <v>98543</v>
          </cell>
          <cell r="BM46">
            <v>92065</v>
          </cell>
          <cell r="BN46">
            <v>87415</v>
          </cell>
          <cell r="BO46">
            <v>1085454</v>
          </cell>
        </row>
        <row r="47">
          <cell r="E47">
            <v>9913090.3200000003</v>
          </cell>
          <cell r="F47" t="str">
            <v>Ctral. Costanera</v>
          </cell>
          <cell r="G47">
            <v>10156767</v>
          </cell>
          <cell r="H47">
            <v>12920102</v>
          </cell>
          <cell r="I47">
            <v>13490946</v>
          </cell>
          <cell r="J47">
            <v>15513819</v>
          </cell>
          <cell r="K47">
            <v>15134289</v>
          </cell>
          <cell r="L47">
            <v>11861397</v>
          </cell>
          <cell r="M47">
            <v>12870328</v>
          </cell>
          <cell r="N47">
            <v>13293893.411700001</v>
          </cell>
          <cell r="O47">
            <v>17035849.1699</v>
          </cell>
          <cell r="P47">
            <v>18147490.847200003</v>
          </cell>
          <cell r="Q47">
            <v>12853896.792000001</v>
          </cell>
          <cell r="R47">
            <v>13887046.023400001</v>
          </cell>
          <cell r="S47">
            <v>12787516</v>
          </cell>
          <cell r="T47">
            <v>15773223</v>
          </cell>
          <cell r="U47">
            <v>17001827</v>
          </cell>
          <cell r="V47">
            <v>18248479</v>
          </cell>
          <cell r="W47">
            <v>17662098</v>
          </cell>
          <cell r="X47">
            <v>13243563</v>
          </cell>
          <cell r="Y47">
            <v>12605376</v>
          </cell>
          <cell r="Z47">
            <v>13044628</v>
          </cell>
          <cell r="AA47">
            <v>15667282</v>
          </cell>
          <cell r="AB47">
            <v>17534028.203999996</v>
          </cell>
          <cell r="AC47">
            <v>13037104.634399999</v>
          </cell>
          <cell r="AD47">
            <v>12616552.872</v>
          </cell>
          <cell r="AE47">
            <v>13044628</v>
          </cell>
          <cell r="AF47">
            <v>15442263</v>
          </cell>
          <cell r="AG47">
            <v>16372228</v>
          </cell>
          <cell r="AH47">
            <v>18126020</v>
          </cell>
          <cell r="AI47">
            <v>17540850</v>
          </cell>
          <cell r="AJ47">
            <v>13034658</v>
          </cell>
          <cell r="AK47">
            <v>12983389</v>
          </cell>
          <cell r="AL47">
            <v>13387620</v>
          </cell>
          <cell r="AM47">
            <v>16071748.624799998</v>
          </cell>
          <cell r="AN47">
            <v>17995328.603999998</v>
          </cell>
          <cell r="AO47">
            <v>13380096.074399998</v>
          </cell>
          <cell r="AP47">
            <v>12948480.071999999</v>
          </cell>
          <cell r="AQ47">
            <v>13387620</v>
          </cell>
          <cell r="AR47">
            <v>16078479</v>
          </cell>
          <cell r="AS47">
            <v>16803164</v>
          </cell>
          <cell r="AT47">
            <v>18602697</v>
          </cell>
          <cell r="AU47">
            <v>18002852</v>
          </cell>
          <cell r="AV47">
            <v>13387253</v>
          </cell>
          <cell r="AW47">
            <v>12912853</v>
          </cell>
          <cell r="AX47">
            <v>13335950</v>
          </cell>
          <cell r="AY47">
            <v>16016175</v>
          </cell>
          <cell r="AZ47">
            <v>17938270</v>
          </cell>
          <cell r="BA47">
            <v>13339601</v>
          </cell>
          <cell r="BB47">
            <v>12909534</v>
          </cell>
          <cell r="BC47">
            <v>13338592</v>
          </cell>
          <cell r="BD47">
            <v>16021594</v>
          </cell>
          <cell r="BE47">
            <v>16742887</v>
          </cell>
          <cell r="BF47">
            <v>18535962</v>
          </cell>
          <cell r="BG47">
            <v>17937492</v>
          </cell>
          <cell r="BH47">
            <v>13339601</v>
          </cell>
          <cell r="BI47">
            <v>11963873</v>
          </cell>
          <cell r="BJ47">
            <v>12451253</v>
          </cell>
          <cell r="BK47">
            <v>14954539</v>
          </cell>
          <cell r="BL47">
            <v>16742868</v>
          </cell>
          <cell r="BM47">
            <v>12451253</v>
          </cell>
          <cell r="BN47">
            <v>12048749</v>
          </cell>
          <cell r="BO47">
            <v>176528663</v>
          </cell>
        </row>
        <row r="48">
          <cell r="F48" t="str">
            <v>Fdo. de Energia</v>
          </cell>
          <cell r="G48">
            <v>568908</v>
          </cell>
          <cell r="H48">
            <v>713952</v>
          </cell>
          <cell r="I48">
            <v>753257</v>
          </cell>
          <cell r="J48">
            <v>833302</v>
          </cell>
          <cell r="K48">
            <v>806662</v>
          </cell>
          <cell r="L48">
            <v>621708</v>
          </cell>
          <cell r="M48">
            <v>682235</v>
          </cell>
          <cell r="N48">
            <v>683287.2</v>
          </cell>
          <cell r="O48">
            <v>875618.4</v>
          </cell>
          <cell r="P48">
            <v>932755.2</v>
          </cell>
          <cell r="Q48">
            <v>660672</v>
          </cell>
          <cell r="R48">
            <v>713774.4</v>
          </cell>
          <cell r="S48">
            <v>660672</v>
          </cell>
          <cell r="T48">
            <v>817171</v>
          </cell>
          <cell r="U48">
            <v>884477</v>
          </cell>
          <cell r="V48">
            <v>945475</v>
          </cell>
          <cell r="W48">
            <v>914976</v>
          </cell>
          <cell r="X48">
            <v>680314</v>
          </cell>
          <cell r="Y48">
            <v>658368</v>
          </cell>
          <cell r="Z48">
            <v>680314</v>
          </cell>
          <cell r="AA48">
            <v>817171</v>
          </cell>
          <cell r="AB48">
            <v>914976</v>
          </cell>
          <cell r="AC48">
            <v>680313.6</v>
          </cell>
          <cell r="AD48">
            <v>658368</v>
          </cell>
          <cell r="AE48">
            <v>680314</v>
          </cell>
          <cell r="AF48">
            <v>817171</v>
          </cell>
          <cell r="AG48">
            <v>853978</v>
          </cell>
          <cell r="AH48">
            <v>945475</v>
          </cell>
          <cell r="AI48">
            <v>914976</v>
          </cell>
          <cell r="AJ48">
            <v>680314</v>
          </cell>
          <cell r="AK48">
            <v>658368</v>
          </cell>
          <cell r="AL48">
            <v>680314</v>
          </cell>
          <cell r="AM48">
            <v>817171.2</v>
          </cell>
          <cell r="AN48">
            <v>914976</v>
          </cell>
          <cell r="AO48">
            <v>680313.6</v>
          </cell>
          <cell r="AP48">
            <v>658368</v>
          </cell>
          <cell r="AQ48">
            <v>680314</v>
          </cell>
          <cell r="AR48">
            <v>817171</v>
          </cell>
          <cell r="AS48">
            <v>853978</v>
          </cell>
          <cell r="AT48">
            <v>945475</v>
          </cell>
          <cell r="AU48">
            <v>914976</v>
          </cell>
          <cell r="AV48">
            <v>680314</v>
          </cell>
          <cell r="AW48">
            <v>658368</v>
          </cell>
          <cell r="AX48">
            <v>680314</v>
          </cell>
          <cell r="AY48">
            <v>817171</v>
          </cell>
          <cell r="AZ48">
            <v>914976</v>
          </cell>
          <cell r="BA48">
            <v>680314</v>
          </cell>
          <cell r="BB48">
            <v>658368</v>
          </cell>
          <cell r="BC48">
            <v>680313.6</v>
          </cell>
          <cell r="BD48">
            <v>817171.2</v>
          </cell>
          <cell r="BE48">
            <v>853978</v>
          </cell>
          <cell r="BF48">
            <v>945475</v>
          </cell>
          <cell r="BG48">
            <v>914976</v>
          </cell>
          <cell r="BH48">
            <v>680314</v>
          </cell>
          <cell r="BI48">
            <v>658368</v>
          </cell>
          <cell r="BJ48">
            <v>680314</v>
          </cell>
          <cell r="BK48">
            <v>817171</v>
          </cell>
          <cell r="BL48">
            <v>914976</v>
          </cell>
          <cell r="BM48">
            <v>680314</v>
          </cell>
          <cell r="BN48">
            <v>658368</v>
          </cell>
          <cell r="BO48">
            <v>9301738.8000000007</v>
          </cell>
        </row>
        <row r="49">
          <cell r="F49" t="str">
            <v>Chocon</v>
          </cell>
          <cell r="S49">
            <v>462792</v>
          </cell>
          <cell r="T49">
            <v>747138</v>
          </cell>
          <cell r="U49">
            <v>0</v>
          </cell>
          <cell r="V49">
            <v>0</v>
          </cell>
          <cell r="W49">
            <v>0</v>
          </cell>
          <cell r="X49">
            <v>0</v>
          </cell>
          <cell r="Y49">
            <v>796617</v>
          </cell>
          <cell r="Z49">
            <v>879159</v>
          </cell>
          <cell r="AA49">
            <v>886361</v>
          </cell>
          <cell r="AB49">
            <v>408102.02399999992</v>
          </cell>
          <cell r="AC49">
            <v>0</v>
          </cell>
          <cell r="AD49">
            <v>769886.7</v>
          </cell>
          <cell r="AE49">
            <v>659805</v>
          </cell>
          <cell r="AF49">
            <v>731555</v>
          </cell>
          <cell r="AG49">
            <v>162317</v>
          </cell>
          <cell r="AH49">
            <v>0</v>
          </cell>
          <cell r="AI49">
            <v>0</v>
          </cell>
          <cell r="AJ49">
            <v>0</v>
          </cell>
          <cell r="AK49">
            <v>2253879</v>
          </cell>
          <cell r="AL49">
            <v>1717798</v>
          </cell>
          <cell r="AM49">
            <v>1782648</v>
          </cell>
          <cell r="AN49">
            <v>2000000</v>
          </cell>
          <cell r="AO49">
            <v>700000</v>
          </cell>
          <cell r="AP49">
            <v>400000</v>
          </cell>
          <cell r="AQ49">
            <v>297125</v>
          </cell>
          <cell r="AR49">
            <v>1096993</v>
          </cell>
          <cell r="AS49">
            <v>0</v>
          </cell>
          <cell r="AT49">
            <v>0</v>
          </cell>
          <cell r="AU49">
            <v>0</v>
          </cell>
          <cell r="AV49">
            <v>0</v>
          </cell>
          <cell r="AW49">
            <v>1467240</v>
          </cell>
          <cell r="AX49">
            <v>1492920</v>
          </cell>
          <cell r="AY49">
            <v>1530783</v>
          </cell>
          <cell r="AZ49">
            <v>0</v>
          </cell>
          <cell r="BA49">
            <v>142320</v>
          </cell>
          <cell r="BB49">
            <v>286968</v>
          </cell>
          <cell r="BC49">
            <v>0</v>
          </cell>
          <cell r="BD49">
            <v>0</v>
          </cell>
          <cell r="BE49">
            <v>0</v>
          </cell>
          <cell r="BF49">
            <v>0</v>
          </cell>
          <cell r="BG49">
            <v>0</v>
          </cell>
          <cell r="BH49">
            <v>0</v>
          </cell>
          <cell r="BI49">
            <v>0</v>
          </cell>
          <cell r="BJ49">
            <v>0</v>
          </cell>
          <cell r="BK49">
            <v>0</v>
          </cell>
          <cell r="BL49">
            <v>0</v>
          </cell>
          <cell r="BM49">
            <v>0</v>
          </cell>
          <cell r="BN49">
            <v>0</v>
          </cell>
          <cell r="BO49">
            <v>0</v>
          </cell>
        </row>
        <row r="50">
          <cell r="F50" t="str">
            <v xml:space="preserve">Fdo. de Energia </v>
          </cell>
          <cell r="S50">
            <v>41986</v>
          </cell>
          <cell r="T50">
            <v>68473</v>
          </cell>
          <cell r="U50">
            <v>0</v>
          </cell>
          <cell r="V50">
            <v>0</v>
          </cell>
          <cell r="W50">
            <v>0</v>
          </cell>
          <cell r="X50">
            <v>0</v>
          </cell>
          <cell r="Y50">
            <v>57974</v>
          </cell>
          <cell r="Z50">
            <v>71143</v>
          </cell>
          <cell r="AA50">
            <v>67006</v>
          </cell>
          <cell r="AB50">
            <v>30316.799999999999</v>
          </cell>
          <cell r="AC50">
            <v>0</v>
          </cell>
          <cell r="AD50">
            <v>50901.599999999999</v>
          </cell>
          <cell r="AE50">
            <v>52478</v>
          </cell>
          <cell r="AF50">
            <v>58594</v>
          </cell>
          <cell r="AG50">
            <v>14856</v>
          </cell>
          <cell r="AH50">
            <v>0</v>
          </cell>
          <cell r="AI50">
            <v>0</v>
          </cell>
          <cell r="AJ50">
            <v>0</v>
          </cell>
          <cell r="AK50">
            <v>130200</v>
          </cell>
          <cell r="AL50">
            <v>108000</v>
          </cell>
          <cell r="AM50">
            <v>111600</v>
          </cell>
          <cell r="AN50">
            <v>100000</v>
          </cell>
          <cell r="AO50">
            <v>30000</v>
          </cell>
          <cell r="AP50">
            <v>15000</v>
          </cell>
          <cell r="AQ50">
            <v>23400</v>
          </cell>
          <cell r="AR50">
            <v>90120</v>
          </cell>
          <cell r="AS50">
            <v>0</v>
          </cell>
          <cell r="AT50">
            <v>0</v>
          </cell>
          <cell r="AU50">
            <v>0</v>
          </cell>
          <cell r="AV50">
            <v>0</v>
          </cell>
          <cell r="AW50">
            <v>117180</v>
          </cell>
          <cell r="AX50">
            <v>108000</v>
          </cell>
          <cell r="AY50">
            <v>111600</v>
          </cell>
          <cell r="AZ50">
            <v>0</v>
          </cell>
          <cell r="BA50">
            <v>10800</v>
          </cell>
          <cell r="BB50">
            <v>22320</v>
          </cell>
          <cell r="BC50">
            <v>0</v>
          </cell>
          <cell r="BD50">
            <v>0</v>
          </cell>
          <cell r="BE50">
            <v>0</v>
          </cell>
          <cell r="BF50">
            <v>0</v>
          </cell>
          <cell r="BG50">
            <v>0</v>
          </cell>
          <cell r="BH50">
            <v>0</v>
          </cell>
          <cell r="BI50">
            <v>0</v>
          </cell>
          <cell r="BJ50">
            <v>0</v>
          </cell>
          <cell r="BK50">
            <v>0</v>
          </cell>
          <cell r="BL50">
            <v>0</v>
          </cell>
          <cell r="BM50">
            <v>0</v>
          </cell>
          <cell r="BN50">
            <v>0</v>
          </cell>
          <cell r="BO50">
            <v>0</v>
          </cell>
        </row>
        <row r="51">
          <cell r="E51">
            <v>11396736.18</v>
          </cell>
          <cell r="F51" t="str">
            <v>Ctral. Puerto</v>
          </cell>
          <cell r="G51">
            <v>13545370</v>
          </cell>
          <cell r="H51">
            <v>11620548</v>
          </cell>
          <cell r="I51">
            <v>8857932</v>
          </cell>
          <cell r="J51">
            <v>10075198</v>
          </cell>
          <cell r="K51">
            <v>9697790</v>
          </cell>
          <cell r="L51">
            <v>12072688</v>
          </cell>
          <cell r="M51">
            <v>13439188</v>
          </cell>
          <cell r="N51">
            <v>14002580.525999999</v>
          </cell>
          <cell r="O51">
            <v>12007358.285999998</v>
          </cell>
          <cell r="P51">
            <v>9809842.6799999997</v>
          </cell>
          <cell r="Q51">
            <v>10136837.436000001</v>
          </cell>
          <cell r="R51">
            <v>11680363.529999999</v>
          </cell>
          <cell r="S51">
            <v>13886969</v>
          </cell>
          <cell r="T51">
            <v>11908239</v>
          </cell>
          <cell r="U51">
            <v>9404590</v>
          </cell>
          <cell r="V51">
            <v>10053174</v>
          </cell>
          <cell r="W51">
            <v>9986311</v>
          </cell>
          <cell r="X51">
            <v>12350275</v>
          </cell>
          <cell r="Y51">
            <v>13794607</v>
          </cell>
          <cell r="Z51">
            <v>14254423</v>
          </cell>
          <cell r="AA51">
            <v>12223332</v>
          </cell>
          <cell r="AB51">
            <v>10069416.719999999</v>
          </cell>
          <cell r="AC51">
            <v>10405063.944</v>
          </cell>
          <cell r="AD51">
            <v>11989432.619999999</v>
          </cell>
          <cell r="AE51">
            <v>14254423</v>
          </cell>
          <cell r="AF51">
            <v>11591437</v>
          </cell>
          <cell r="AG51">
            <v>8214748</v>
          </cell>
          <cell r="AH51">
            <v>9094887</v>
          </cell>
          <cell r="AI51">
            <v>9026148</v>
          </cell>
          <cell r="AJ51">
            <v>11363659</v>
          </cell>
          <cell r="AK51">
            <v>12844855</v>
          </cell>
          <cell r="AL51">
            <v>13273013</v>
          </cell>
          <cell r="AM51">
            <v>11329892.111999998</v>
          </cell>
          <cell r="AN51">
            <v>9101252.1600000001</v>
          </cell>
          <cell r="AO51">
            <v>9404627.2320000008</v>
          </cell>
          <cell r="AP51">
            <v>11026517.039999999</v>
          </cell>
          <cell r="AQ51">
            <v>13273013</v>
          </cell>
          <cell r="AR51">
            <v>11236369</v>
          </cell>
          <cell r="AS51">
            <v>8424412</v>
          </cell>
          <cell r="AT51">
            <v>9327015</v>
          </cell>
          <cell r="AU51">
            <v>8999191</v>
          </cell>
          <cell r="AV51">
            <v>11329721</v>
          </cell>
          <cell r="AW51">
            <v>12806493</v>
          </cell>
          <cell r="AX51">
            <v>13233373</v>
          </cell>
          <cell r="AY51">
            <v>11202811</v>
          </cell>
          <cell r="AZ51">
            <v>9047191</v>
          </cell>
          <cell r="BA51">
            <v>9299160</v>
          </cell>
          <cell r="BB51">
            <v>10812098</v>
          </cell>
          <cell r="BC51">
            <v>13123208</v>
          </cell>
          <cell r="BD51">
            <v>11109568</v>
          </cell>
          <cell r="BE51">
            <v>8329372</v>
          </cell>
          <cell r="BF51">
            <v>9221780</v>
          </cell>
          <cell r="BG51">
            <v>8527784</v>
          </cell>
          <cell r="BH51">
            <v>10736203</v>
          </cell>
          <cell r="BI51">
            <v>12135597</v>
          </cell>
          <cell r="BJ51">
            <v>12758422</v>
          </cell>
          <cell r="BK51">
            <v>10668633</v>
          </cell>
          <cell r="BL51">
            <v>8570110</v>
          </cell>
          <cell r="BM51">
            <v>8789713</v>
          </cell>
          <cell r="BN51">
            <v>10382970</v>
          </cell>
          <cell r="BO51">
            <v>124353360</v>
          </cell>
        </row>
        <row r="52">
          <cell r="F52" t="str">
            <v>Fdo. de Energia</v>
          </cell>
          <cell r="G52">
            <v>727632</v>
          </cell>
          <cell r="H52">
            <v>623952</v>
          </cell>
          <cell r="I52">
            <v>475776</v>
          </cell>
          <cell r="J52">
            <v>526752</v>
          </cell>
          <cell r="K52">
            <v>509760</v>
          </cell>
          <cell r="L52">
            <v>630432</v>
          </cell>
          <cell r="M52">
            <v>704160</v>
          </cell>
          <cell r="N52">
            <v>727632</v>
          </cell>
          <cell r="O52">
            <v>623952</v>
          </cell>
          <cell r="P52">
            <v>509760</v>
          </cell>
          <cell r="Q52">
            <v>526752</v>
          </cell>
          <cell r="R52">
            <v>606960</v>
          </cell>
          <cell r="S52">
            <v>727632</v>
          </cell>
          <cell r="T52">
            <v>623952</v>
          </cell>
          <cell r="U52">
            <v>492768</v>
          </cell>
          <cell r="V52">
            <v>526752</v>
          </cell>
          <cell r="W52">
            <v>509760</v>
          </cell>
          <cell r="X52">
            <v>630432</v>
          </cell>
          <cell r="Y52">
            <v>704160</v>
          </cell>
          <cell r="Z52">
            <v>727632</v>
          </cell>
          <cell r="AA52">
            <v>623952</v>
          </cell>
          <cell r="AB52">
            <v>509760</v>
          </cell>
          <cell r="AC52">
            <v>526752</v>
          </cell>
          <cell r="AD52">
            <v>606960</v>
          </cell>
          <cell r="AE52">
            <v>727632</v>
          </cell>
          <cell r="AF52">
            <v>591696</v>
          </cell>
          <cell r="AG52">
            <v>419328</v>
          </cell>
          <cell r="AH52">
            <v>464256</v>
          </cell>
          <cell r="AI52">
            <v>449280</v>
          </cell>
          <cell r="AJ52">
            <v>565632</v>
          </cell>
          <cell r="AK52">
            <v>639360</v>
          </cell>
          <cell r="AL52">
            <v>660672</v>
          </cell>
          <cell r="AM52">
            <v>559296</v>
          </cell>
          <cell r="AN52">
            <v>449280</v>
          </cell>
          <cell r="AO52">
            <v>464256</v>
          </cell>
          <cell r="AP52">
            <v>544320</v>
          </cell>
          <cell r="AQ52">
            <v>660672</v>
          </cell>
          <cell r="AR52">
            <v>559296</v>
          </cell>
          <cell r="AS52">
            <v>419328</v>
          </cell>
          <cell r="AT52">
            <v>464256</v>
          </cell>
          <cell r="AU52">
            <v>449280</v>
          </cell>
          <cell r="AV52">
            <v>565632</v>
          </cell>
          <cell r="AW52">
            <v>639360</v>
          </cell>
          <cell r="AX52">
            <v>660672</v>
          </cell>
          <cell r="AY52">
            <v>559296</v>
          </cell>
          <cell r="AZ52">
            <v>449280</v>
          </cell>
          <cell r="BA52">
            <v>464256</v>
          </cell>
          <cell r="BB52">
            <v>544320</v>
          </cell>
          <cell r="BC52">
            <v>660672</v>
          </cell>
          <cell r="BD52">
            <v>559296</v>
          </cell>
          <cell r="BE52">
            <v>419328</v>
          </cell>
          <cell r="BF52">
            <v>464256</v>
          </cell>
          <cell r="BG52">
            <v>449280</v>
          </cell>
          <cell r="BH52">
            <v>565632</v>
          </cell>
          <cell r="BI52">
            <v>639360</v>
          </cell>
          <cell r="BJ52">
            <v>660672</v>
          </cell>
          <cell r="BK52">
            <v>559296</v>
          </cell>
          <cell r="BL52">
            <v>449280</v>
          </cell>
          <cell r="BM52">
            <v>464256</v>
          </cell>
          <cell r="BN52">
            <v>544320</v>
          </cell>
          <cell r="BO52">
            <v>6435648</v>
          </cell>
        </row>
        <row r="53">
          <cell r="F53" t="str">
            <v>EDENOR SA</v>
          </cell>
          <cell r="AE53">
            <v>155241</v>
          </cell>
          <cell r="AF53">
            <v>182700</v>
          </cell>
          <cell r="AG53">
            <v>170041</v>
          </cell>
          <cell r="AH53">
            <v>208619</v>
          </cell>
          <cell r="AI53">
            <v>195223</v>
          </cell>
          <cell r="AJ53">
            <v>177391</v>
          </cell>
          <cell r="AK53">
            <v>194069</v>
          </cell>
          <cell r="AL53">
            <v>216817</v>
          </cell>
          <cell r="AM53">
            <v>200000</v>
          </cell>
          <cell r="AN53">
            <v>200000</v>
          </cell>
          <cell r="AO53">
            <v>200000</v>
          </cell>
          <cell r="AP53">
            <v>200000</v>
          </cell>
          <cell r="AQ53">
            <v>145120</v>
          </cell>
          <cell r="AR53">
            <v>120436</v>
          </cell>
          <cell r="AS53">
            <v>117649</v>
          </cell>
          <cell r="AT53">
            <v>100338</v>
          </cell>
          <cell r="AU53">
            <v>117172</v>
          </cell>
          <cell r="AV53">
            <v>115597</v>
          </cell>
          <cell r="AW53">
            <v>350638</v>
          </cell>
          <cell r="AX53">
            <v>278885</v>
          </cell>
          <cell r="AY53">
            <v>175526</v>
          </cell>
          <cell r="AZ53">
            <v>181805</v>
          </cell>
          <cell r="BA53">
            <v>282039</v>
          </cell>
          <cell r="BB53">
            <v>200351</v>
          </cell>
          <cell r="BC53">
            <v>225969</v>
          </cell>
          <cell r="BD53">
            <v>244234</v>
          </cell>
          <cell r="BE53">
            <v>352410</v>
          </cell>
          <cell r="BF53">
            <v>374347</v>
          </cell>
          <cell r="BG53">
            <v>457479</v>
          </cell>
          <cell r="BH53">
            <v>520462</v>
          </cell>
          <cell r="BI53">
            <v>404675</v>
          </cell>
          <cell r="BJ53">
            <v>406330</v>
          </cell>
          <cell r="BK53">
            <v>508274</v>
          </cell>
          <cell r="BL53">
            <v>400711</v>
          </cell>
          <cell r="BM53">
            <v>666493</v>
          </cell>
          <cell r="BN53">
            <v>653667</v>
          </cell>
          <cell r="BO53">
            <v>5215051</v>
          </cell>
        </row>
        <row r="54">
          <cell r="F54" t="str">
            <v>SUBTOTAL</v>
          </cell>
          <cell r="G54">
            <v>42525441</v>
          </cell>
          <cell r="H54">
            <v>45959253</v>
          </cell>
          <cell r="I54">
            <v>39212756</v>
          </cell>
          <cell r="J54">
            <v>39636130</v>
          </cell>
          <cell r="K54">
            <v>41195794</v>
          </cell>
          <cell r="L54">
            <v>37913525</v>
          </cell>
          <cell r="M54">
            <v>43002797</v>
          </cell>
          <cell r="N54">
            <v>45306145.313699998</v>
          </cell>
          <cell r="O54">
            <v>48263457.613899998</v>
          </cell>
          <cell r="P54">
            <v>42926258.373199999</v>
          </cell>
          <cell r="Q54">
            <v>35125677.208000004</v>
          </cell>
          <cell r="R54">
            <v>37848446.823399998</v>
          </cell>
          <cell r="S54">
            <v>41660014</v>
          </cell>
          <cell r="T54">
            <v>43634163</v>
          </cell>
          <cell r="U54">
            <v>41147473</v>
          </cell>
          <cell r="V54">
            <v>42429588</v>
          </cell>
          <cell r="W54">
            <v>44501842</v>
          </cell>
          <cell r="X54">
            <v>39534153</v>
          </cell>
          <cell r="Y54">
            <v>43886107</v>
          </cell>
          <cell r="Z54">
            <v>46279907</v>
          </cell>
          <cell r="AA54">
            <v>48477040</v>
          </cell>
          <cell r="AB54">
            <v>45239329.934999987</v>
          </cell>
          <cell r="AC54">
            <v>37729160.228399999</v>
          </cell>
          <cell r="AD54">
            <v>43774680.792000003</v>
          </cell>
          <cell r="AE54">
            <v>41178814</v>
          </cell>
          <cell r="AF54">
            <v>41337143</v>
          </cell>
          <cell r="AG54">
            <v>39469379</v>
          </cell>
          <cell r="AH54">
            <v>39796903</v>
          </cell>
          <cell r="AI54">
            <v>41374023</v>
          </cell>
          <cell r="AJ54">
            <v>38002673</v>
          </cell>
          <cell r="AK54">
            <v>41434275</v>
          </cell>
          <cell r="AL54">
            <v>43758239</v>
          </cell>
          <cell r="AM54">
            <v>43904213.736799993</v>
          </cell>
          <cell r="AN54">
            <v>41795202.710999995</v>
          </cell>
          <cell r="AO54">
            <v>37038239.458999999</v>
          </cell>
          <cell r="AP54">
            <v>39694225.642199993</v>
          </cell>
          <cell r="AQ54">
            <v>41476805</v>
          </cell>
          <cell r="AR54">
            <v>42627286</v>
          </cell>
          <cell r="AS54">
            <v>40055938</v>
          </cell>
          <cell r="AT54">
            <v>40171130</v>
          </cell>
          <cell r="AU54">
            <v>41085212</v>
          </cell>
          <cell r="AV54">
            <v>37300087</v>
          </cell>
          <cell r="AW54">
            <v>38976237</v>
          </cell>
          <cell r="AX54">
            <v>40167585</v>
          </cell>
          <cell r="AY54">
            <v>41158485</v>
          </cell>
          <cell r="AZ54">
            <v>39082676</v>
          </cell>
          <cell r="BA54">
            <v>34002871</v>
          </cell>
          <cell r="BB54">
            <v>40817802</v>
          </cell>
          <cell r="BC54">
            <v>39789917.600000001</v>
          </cell>
          <cell r="BD54">
            <v>40934568.200000003</v>
          </cell>
          <cell r="BE54">
            <v>37113308</v>
          </cell>
          <cell r="BF54">
            <v>42034924</v>
          </cell>
          <cell r="BG54">
            <v>44202952</v>
          </cell>
          <cell r="BH54">
            <v>38019853</v>
          </cell>
          <cell r="BI54">
            <v>40730534</v>
          </cell>
          <cell r="BJ54">
            <v>43142419</v>
          </cell>
          <cell r="BK54">
            <v>44931418</v>
          </cell>
          <cell r="BL54">
            <v>40479013</v>
          </cell>
          <cell r="BM54">
            <v>33887856</v>
          </cell>
          <cell r="BN54">
            <v>38691086</v>
          </cell>
          <cell r="BO54">
            <v>483957848.80000001</v>
          </cell>
          <cell r="BQ54">
            <v>480561182</v>
          </cell>
          <cell r="BR54">
            <v>-3396666.8000000119</v>
          </cell>
          <cell r="BS54">
            <v>-4014688.1120000482</v>
          </cell>
          <cell r="BT54">
            <v>242095522.80000001</v>
          </cell>
          <cell r="BU54">
            <v>234056225.02800003</v>
          </cell>
          <cell r="BV54">
            <v>8039297.771999985</v>
          </cell>
        </row>
        <row r="55">
          <cell r="BC55">
            <v>39929000</v>
          </cell>
          <cell r="BD55">
            <v>42397000</v>
          </cell>
          <cell r="BE55">
            <v>37578000</v>
          </cell>
          <cell r="BF55">
            <v>39126000</v>
          </cell>
          <cell r="BG55">
            <v>40557000</v>
          </cell>
          <cell r="BH55">
            <v>36376000</v>
          </cell>
          <cell r="BI55">
            <v>39124000</v>
          </cell>
        </row>
        <row r="56">
          <cell r="F56" t="str">
            <v>Proveedores</v>
          </cell>
        </row>
        <row r="57">
          <cell r="F57" t="str">
            <v>Lectura y Reparto de Facturas</v>
          </cell>
          <cell r="G57">
            <v>579502</v>
          </cell>
          <cell r="H57">
            <v>381450</v>
          </cell>
          <cell r="I57">
            <v>370300</v>
          </cell>
          <cell r="J57">
            <v>497925</v>
          </cell>
          <cell r="K57">
            <v>409054</v>
          </cell>
          <cell r="L57">
            <v>573522</v>
          </cell>
          <cell r="M57">
            <v>364593</v>
          </cell>
          <cell r="N57">
            <v>400000</v>
          </cell>
          <cell r="O57">
            <v>400000</v>
          </cell>
          <cell r="P57">
            <v>400000</v>
          </cell>
          <cell r="Q57">
            <v>400000</v>
          </cell>
          <cell r="R57">
            <v>400000</v>
          </cell>
          <cell r="S57">
            <v>348480</v>
          </cell>
          <cell r="T57">
            <v>510798</v>
          </cell>
          <cell r="U57">
            <v>780025</v>
          </cell>
          <cell r="V57">
            <v>608292</v>
          </cell>
          <cell r="W57">
            <v>432064</v>
          </cell>
          <cell r="X57">
            <v>368359</v>
          </cell>
          <cell r="Y57">
            <v>539908</v>
          </cell>
          <cell r="Z57">
            <v>414437</v>
          </cell>
          <cell r="AA57">
            <v>505214</v>
          </cell>
          <cell r="AB57">
            <v>600000</v>
          </cell>
          <cell r="AC57">
            <v>600000</v>
          </cell>
          <cell r="AD57">
            <v>600000</v>
          </cell>
          <cell r="AE57">
            <v>465543</v>
          </cell>
          <cell r="AF57">
            <v>517156</v>
          </cell>
          <cell r="AG57">
            <v>580289</v>
          </cell>
          <cell r="AH57">
            <v>464184</v>
          </cell>
          <cell r="AI57">
            <v>401787</v>
          </cell>
          <cell r="AJ57">
            <v>497503</v>
          </cell>
          <cell r="AK57">
            <v>365909</v>
          </cell>
          <cell r="AL57">
            <v>358855</v>
          </cell>
          <cell r="AM57">
            <v>600000</v>
          </cell>
          <cell r="AN57">
            <v>600000</v>
          </cell>
          <cell r="AO57">
            <v>600000</v>
          </cell>
          <cell r="AP57">
            <v>600000</v>
          </cell>
          <cell r="AQ57">
            <v>190752</v>
          </cell>
          <cell r="AR57">
            <v>164510</v>
          </cell>
          <cell r="AS57">
            <v>392309</v>
          </cell>
          <cell r="AT57">
            <v>159984</v>
          </cell>
          <cell r="AU57">
            <v>172964</v>
          </cell>
          <cell r="AV57">
            <v>255615</v>
          </cell>
          <cell r="AW57">
            <v>376130</v>
          </cell>
          <cell r="AX57">
            <v>257218</v>
          </cell>
          <cell r="AY57">
            <v>244587</v>
          </cell>
          <cell r="AZ57">
            <v>308916</v>
          </cell>
          <cell r="BA57">
            <v>281349</v>
          </cell>
          <cell r="BB57">
            <v>211981</v>
          </cell>
          <cell r="BC57">
            <v>297462</v>
          </cell>
          <cell r="BD57">
            <v>253591</v>
          </cell>
          <cell r="BE57">
            <v>383855</v>
          </cell>
          <cell r="BF57">
            <v>273794</v>
          </cell>
          <cell r="BG57">
            <v>246082</v>
          </cell>
          <cell r="BH57">
            <v>383957</v>
          </cell>
          <cell r="BI57">
            <v>266319</v>
          </cell>
          <cell r="BJ57">
            <v>341432</v>
          </cell>
          <cell r="BK57">
            <v>337643</v>
          </cell>
          <cell r="BL57">
            <v>409683</v>
          </cell>
          <cell r="BM57">
            <v>374479</v>
          </cell>
          <cell r="BN57">
            <v>348877</v>
          </cell>
          <cell r="BO57">
            <v>3917174</v>
          </cell>
        </row>
        <row r="58">
          <cell r="F58" t="str">
            <v>Cortes y Rehabilitaciones</v>
          </cell>
          <cell r="G58">
            <v>414071</v>
          </cell>
          <cell r="H58">
            <v>431060</v>
          </cell>
          <cell r="I58">
            <v>102575</v>
          </cell>
          <cell r="J58">
            <v>312405</v>
          </cell>
          <cell r="K58">
            <v>194448</v>
          </cell>
          <cell r="L58">
            <v>261442</v>
          </cell>
          <cell r="M58">
            <v>139301</v>
          </cell>
          <cell r="N58">
            <v>500000</v>
          </cell>
          <cell r="O58">
            <v>500000</v>
          </cell>
          <cell r="P58">
            <v>500000</v>
          </cell>
          <cell r="Q58">
            <v>500000</v>
          </cell>
          <cell r="R58">
            <v>500000</v>
          </cell>
          <cell r="S58">
            <v>2410630</v>
          </cell>
          <cell r="T58">
            <v>864992</v>
          </cell>
          <cell r="U58">
            <v>704426</v>
          </cell>
          <cell r="V58">
            <v>524675</v>
          </cell>
          <cell r="W58">
            <v>671309</v>
          </cell>
          <cell r="X58">
            <v>589457</v>
          </cell>
          <cell r="Y58">
            <v>529604</v>
          </cell>
          <cell r="Z58">
            <v>639537</v>
          </cell>
          <cell r="AA58">
            <v>482270</v>
          </cell>
          <cell r="AB58">
            <v>700000</v>
          </cell>
          <cell r="AC58">
            <v>700000</v>
          </cell>
          <cell r="AD58">
            <v>700000</v>
          </cell>
          <cell r="AE58">
            <v>577669</v>
          </cell>
          <cell r="AF58">
            <v>342670</v>
          </cell>
          <cell r="AG58">
            <v>380422</v>
          </cell>
          <cell r="AH58">
            <v>360473</v>
          </cell>
          <cell r="AI58">
            <v>556683</v>
          </cell>
          <cell r="AJ58">
            <v>583996</v>
          </cell>
          <cell r="AK58">
            <v>862520</v>
          </cell>
          <cell r="AL58">
            <v>683601</v>
          </cell>
          <cell r="AM58">
            <v>700000</v>
          </cell>
          <cell r="AN58">
            <v>700000</v>
          </cell>
          <cell r="AO58">
            <v>700000</v>
          </cell>
          <cell r="AP58">
            <v>700000</v>
          </cell>
          <cell r="AQ58">
            <v>394873</v>
          </cell>
          <cell r="AR58">
            <v>500925</v>
          </cell>
          <cell r="AS58">
            <v>461574</v>
          </cell>
          <cell r="AT58">
            <v>404470</v>
          </cell>
          <cell r="AU58">
            <v>307523</v>
          </cell>
          <cell r="AV58">
            <v>632123</v>
          </cell>
          <cell r="AW58">
            <v>839889</v>
          </cell>
          <cell r="AX58">
            <v>686428</v>
          </cell>
          <cell r="AY58">
            <v>587942</v>
          </cell>
          <cell r="AZ58">
            <v>996965</v>
          </cell>
          <cell r="BA58">
            <v>882311</v>
          </cell>
          <cell r="BB58">
            <v>645387</v>
          </cell>
          <cell r="BC58">
            <v>967971</v>
          </cell>
          <cell r="BD58">
            <v>489253</v>
          </cell>
          <cell r="BE58">
            <v>437009</v>
          </cell>
          <cell r="BF58">
            <v>731428</v>
          </cell>
          <cell r="BG58">
            <v>322701</v>
          </cell>
          <cell r="BH58">
            <v>699924</v>
          </cell>
          <cell r="BI58">
            <v>477409</v>
          </cell>
          <cell r="BJ58">
            <v>578782</v>
          </cell>
          <cell r="BK58">
            <v>380623</v>
          </cell>
          <cell r="BL58">
            <v>285559</v>
          </cell>
          <cell r="BM58">
            <v>563409</v>
          </cell>
          <cell r="BN58">
            <v>346777</v>
          </cell>
          <cell r="BO58">
            <v>6280845</v>
          </cell>
        </row>
        <row r="59">
          <cell r="F59" t="str">
            <v>Transporte</v>
          </cell>
          <cell r="G59">
            <v>1265807</v>
          </cell>
          <cell r="H59">
            <v>1133676</v>
          </cell>
          <cell r="I59">
            <v>1090548</v>
          </cell>
          <cell r="J59">
            <v>1023334</v>
          </cell>
          <cell r="K59">
            <v>1129725</v>
          </cell>
          <cell r="L59">
            <v>1034862</v>
          </cell>
          <cell r="M59">
            <v>1041269</v>
          </cell>
          <cell r="N59">
            <v>1300000</v>
          </cell>
          <cell r="O59">
            <v>1300000</v>
          </cell>
          <cell r="P59">
            <v>1300000</v>
          </cell>
          <cell r="Q59">
            <v>1300000</v>
          </cell>
          <cell r="R59">
            <v>1300000</v>
          </cell>
          <cell r="S59">
            <v>1623791</v>
          </cell>
          <cell r="T59">
            <v>1036255</v>
          </cell>
          <cell r="U59">
            <v>259239</v>
          </cell>
          <cell r="V59">
            <v>1209907</v>
          </cell>
          <cell r="W59">
            <v>921634</v>
          </cell>
          <cell r="X59">
            <v>448651</v>
          </cell>
          <cell r="Y59">
            <v>1194024</v>
          </cell>
          <cell r="Z59">
            <v>232174</v>
          </cell>
          <cell r="AA59">
            <v>1078973</v>
          </cell>
          <cell r="AB59">
            <v>900000</v>
          </cell>
          <cell r="AC59">
            <v>900000</v>
          </cell>
          <cell r="AD59">
            <v>900000</v>
          </cell>
          <cell r="AE59">
            <v>975168</v>
          </cell>
          <cell r="AF59">
            <v>996201</v>
          </cell>
          <cell r="AG59">
            <v>723101</v>
          </cell>
          <cell r="AH59">
            <v>761016</v>
          </cell>
          <cell r="AI59">
            <v>846595</v>
          </cell>
          <cell r="AJ59">
            <v>579653</v>
          </cell>
          <cell r="AK59">
            <v>783623</v>
          </cell>
          <cell r="AL59">
            <v>538732</v>
          </cell>
          <cell r="AM59">
            <v>900000</v>
          </cell>
          <cell r="AN59">
            <v>900000</v>
          </cell>
          <cell r="AO59">
            <v>900000</v>
          </cell>
          <cell r="AP59">
            <v>900000</v>
          </cell>
          <cell r="AQ59">
            <v>816344</v>
          </cell>
          <cell r="AR59">
            <v>552292</v>
          </cell>
          <cell r="AS59">
            <v>833803</v>
          </cell>
          <cell r="AT59">
            <v>544295</v>
          </cell>
          <cell r="AU59">
            <v>532757</v>
          </cell>
          <cell r="AV59">
            <v>540433</v>
          </cell>
          <cell r="AW59">
            <v>583899</v>
          </cell>
          <cell r="AX59">
            <v>934370</v>
          </cell>
          <cell r="AY59">
            <v>680542</v>
          </cell>
          <cell r="AZ59">
            <v>691765</v>
          </cell>
          <cell r="BA59">
            <v>837818</v>
          </cell>
          <cell r="BB59">
            <v>675408</v>
          </cell>
          <cell r="BC59">
            <v>790358</v>
          </cell>
          <cell r="BD59">
            <v>619724</v>
          </cell>
          <cell r="BE59">
            <v>1064126</v>
          </cell>
          <cell r="BF59">
            <v>635586</v>
          </cell>
          <cell r="BG59">
            <v>719136</v>
          </cell>
          <cell r="BH59">
            <v>685712</v>
          </cell>
          <cell r="BI59">
            <v>731105</v>
          </cell>
          <cell r="BJ59">
            <v>675047</v>
          </cell>
          <cell r="BK59">
            <v>760333</v>
          </cell>
          <cell r="BL59">
            <v>688804</v>
          </cell>
          <cell r="BM59">
            <v>709870</v>
          </cell>
          <cell r="BN59">
            <v>804158</v>
          </cell>
          <cell r="BO59">
            <v>8883959</v>
          </cell>
        </row>
        <row r="60">
          <cell r="F60" t="str">
            <v>Obras</v>
          </cell>
          <cell r="G60">
            <v>10267875</v>
          </cell>
          <cell r="H60">
            <v>9306172</v>
          </cell>
          <cell r="I60">
            <v>5848244</v>
          </cell>
          <cell r="J60">
            <v>7613074</v>
          </cell>
          <cell r="K60">
            <v>10529285</v>
          </cell>
          <cell r="L60">
            <v>10211246</v>
          </cell>
          <cell r="M60">
            <v>8351287</v>
          </cell>
          <cell r="N60">
            <v>10000000</v>
          </cell>
          <cell r="O60">
            <v>10000000</v>
          </cell>
          <cell r="P60">
            <v>10000000</v>
          </cell>
          <cell r="Q60">
            <v>10000000</v>
          </cell>
          <cell r="R60">
            <v>10000000</v>
          </cell>
          <cell r="S60">
            <v>3498179</v>
          </cell>
          <cell r="T60">
            <v>7402014</v>
          </cell>
          <cell r="U60">
            <v>5228186</v>
          </cell>
          <cell r="V60">
            <v>7619187</v>
          </cell>
          <cell r="W60">
            <v>6386618</v>
          </cell>
          <cell r="X60">
            <v>5101837</v>
          </cell>
          <cell r="Y60">
            <v>8195871</v>
          </cell>
          <cell r="Z60">
            <v>6758584</v>
          </cell>
          <cell r="AA60">
            <v>7851661</v>
          </cell>
          <cell r="AB60">
            <v>7000000</v>
          </cell>
          <cell r="AC60">
            <v>7000000</v>
          </cell>
          <cell r="AD60">
            <v>7000000</v>
          </cell>
          <cell r="AE60">
            <v>5770051</v>
          </cell>
          <cell r="AF60">
            <v>5865682</v>
          </cell>
          <cell r="AG60">
            <v>4824444</v>
          </cell>
          <cell r="AH60">
            <v>5965870</v>
          </cell>
          <cell r="AI60">
            <v>7620994</v>
          </cell>
          <cell r="AJ60">
            <v>7586140</v>
          </cell>
          <cell r="AK60">
            <v>7278746</v>
          </cell>
          <cell r="AL60">
            <v>8225902</v>
          </cell>
          <cell r="AM60">
            <v>8000000</v>
          </cell>
          <cell r="AN60">
            <v>8000000</v>
          </cell>
          <cell r="AO60">
            <v>8000000</v>
          </cell>
          <cell r="AP60">
            <v>8000000</v>
          </cell>
          <cell r="AQ60">
            <v>8554979</v>
          </cell>
          <cell r="AR60">
            <v>6141538</v>
          </cell>
          <cell r="AS60">
            <v>6445052</v>
          </cell>
          <cell r="AT60">
            <v>7547186</v>
          </cell>
          <cell r="AU60">
            <v>7088971</v>
          </cell>
          <cell r="AV60">
            <v>5330861</v>
          </cell>
          <cell r="AW60">
            <v>5613340</v>
          </cell>
          <cell r="AX60">
            <v>4655933</v>
          </cell>
          <cell r="AY60">
            <v>5655872</v>
          </cell>
          <cell r="AZ60">
            <v>5407183</v>
          </cell>
          <cell r="BA60">
            <v>3994721</v>
          </cell>
          <cell r="BB60">
            <v>4615026</v>
          </cell>
          <cell r="BC60">
            <v>5774730</v>
          </cell>
          <cell r="BD60">
            <v>5579641</v>
          </cell>
          <cell r="BE60">
            <v>5471706</v>
          </cell>
          <cell r="BF60">
            <v>5947138</v>
          </cell>
          <cell r="BG60">
            <v>4806050</v>
          </cell>
          <cell r="BH60">
            <v>5329355</v>
          </cell>
          <cell r="BI60">
            <v>4584376</v>
          </cell>
          <cell r="BJ60">
            <v>4792705</v>
          </cell>
          <cell r="BK60">
            <v>5560859</v>
          </cell>
          <cell r="BL60">
            <v>4889362</v>
          </cell>
          <cell r="BM60">
            <v>6622182</v>
          </cell>
          <cell r="BN60">
            <v>8725468</v>
          </cell>
          <cell r="BO60">
            <v>68083572</v>
          </cell>
        </row>
        <row r="61">
          <cell r="F61" t="str">
            <v>Materiales</v>
          </cell>
          <cell r="G61">
            <v>25319</v>
          </cell>
          <cell r="H61">
            <v>0</v>
          </cell>
          <cell r="I61">
            <v>0</v>
          </cell>
          <cell r="J61">
            <v>0</v>
          </cell>
          <cell r="K61">
            <v>3234</v>
          </cell>
          <cell r="L61">
            <v>414</v>
          </cell>
          <cell r="M61">
            <v>0</v>
          </cell>
          <cell r="N61">
            <v>150000</v>
          </cell>
          <cell r="O61">
            <v>150000</v>
          </cell>
          <cell r="P61">
            <v>150000</v>
          </cell>
          <cell r="Q61">
            <v>150000</v>
          </cell>
          <cell r="R61">
            <v>150000</v>
          </cell>
          <cell r="S61">
            <v>2462651</v>
          </cell>
          <cell r="T61">
            <v>861181</v>
          </cell>
          <cell r="U61">
            <v>944087</v>
          </cell>
          <cell r="V61">
            <v>675578</v>
          </cell>
          <cell r="W61">
            <v>642876</v>
          </cell>
          <cell r="X61">
            <v>466050</v>
          </cell>
          <cell r="Y61">
            <v>119095</v>
          </cell>
          <cell r="Z61">
            <v>161215</v>
          </cell>
          <cell r="AA61">
            <v>209572</v>
          </cell>
          <cell r="AB61">
            <v>1100000</v>
          </cell>
          <cell r="AC61">
            <v>1100000</v>
          </cell>
          <cell r="AD61">
            <v>1100000</v>
          </cell>
          <cell r="AE61">
            <v>564029</v>
          </cell>
          <cell r="AF61">
            <v>225579</v>
          </cell>
          <cell r="AG61">
            <v>233302</v>
          </cell>
          <cell r="AH61">
            <v>201237</v>
          </cell>
          <cell r="AI61">
            <v>330234</v>
          </cell>
          <cell r="AJ61">
            <v>283996</v>
          </cell>
          <cell r="AK61">
            <v>177705</v>
          </cell>
          <cell r="AL61">
            <v>177601</v>
          </cell>
          <cell r="AM61">
            <v>300000</v>
          </cell>
          <cell r="AN61">
            <v>300000</v>
          </cell>
          <cell r="AO61">
            <v>300000</v>
          </cell>
          <cell r="AP61">
            <v>300000</v>
          </cell>
          <cell r="AQ61">
            <v>180362</v>
          </cell>
          <cell r="AR61">
            <v>116893</v>
          </cell>
          <cell r="AS61">
            <v>262179</v>
          </cell>
          <cell r="AT61">
            <v>141738</v>
          </cell>
          <cell r="AU61">
            <v>135445</v>
          </cell>
          <cell r="AV61">
            <v>265962</v>
          </cell>
          <cell r="AW61">
            <v>381696</v>
          </cell>
          <cell r="AX61">
            <v>267505</v>
          </cell>
          <cell r="AY61">
            <v>138756</v>
          </cell>
          <cell r="AZ61">
            <v>148261</v>
          </cell>
          <cell r="BA61">
            <v>397099</v>
          </cell>
          <cell r="BB61">
            <v>409713</v>
          </cell>
          <cell r="BC61">
            <v>631190</v>
          </cell>
          <cell r="BD61">
            <v>269856</v>
          </cell>
          <cell r="BE61">
            <v>385662</v>
          </cell>
          <cell r="BF61">
            <v>400771</v>
          </cell>
          <cell r="BG61">
            <v>465838</v>
          </cell>
          <cell r="BH61">
            <v>403546</v>
          </cell>
          <cell r="BI61">
            <v>218668</v>
          </cell>
          <cell r="BJ61">
            <v>179673</v>
          </cell>
          <cell r="BK61">
            <v>379586</v>
          </cell>
          <cell r="BL61">
            <v>339148</v>
          </cell>
          <cell r="BM61">
            <v>875771</v>
          </cell>
          <cell r="BN61">
            <v>564602</v>
          </cell>
          <cell r="BO61">
            <v>5114311</v>
          </cell>
        </row>
        <row r="62">
          <cell r="F62" t="str">
            <v>Materiales Varios Menores</v>
          </cell>
          <cell r="G62">
            <v>189710</v>
          </cell>
          <cell r="H62">
            <v>126960</v>
          </cell>
          <cell r="I62">
            <v>124024</v>
          </cell>
          <cell r="J62">
            <v>135452</v>
          </cell>
          <cell r="K62">
            <v>193951</v>
          </cell>
          <cell r="L62">
            <v>212817</v>
          </cell>
          <cell r="M62">
            <v>246523</v>
          </cell>
          <cell r="N62">
            <v>300000</v>
          </cell>
          <cell r="O62">
            <v>300000</v>
          </cell>
          <cell r="P62">
            <v>300000</v>
          </cell>
          <cell r="Q62">
            <v>300000</v>
          </cell>
          <cell r="R62">
            <v>300000</v>
          </cell>
          <cell r="S62">
            <v>225117</v>
          </cell>
          <cell r="T62">
            <v>160442</v>
          </cell>
          <cell r="U62">
            <v>174306</v>
          </cell>
          <cell r="V62">
            <v>156943</v>
          </cell>
          <cell r="W62">
            <v>161339</v>
          </cell>
          <cell r="X62">
            <v>172391</v>
          </cell>
          <cell r="Y62">
            <v>209704</v>
          </cell>
          <cell r="Z62">
            <v>166495</v>
          </cell>
          <cell r="AA62">
            <v>215880</v>
          </cell>
          <cell r="AB62">
            <v>200000</v>
          </cell>
          <cell r="AC62">
            <v>200000</v>
          </cell>
          <cell r="AD62">
            <v>200000</v>
          </cell>
          <cell r="AE62">
            <v>243509</v>
          </cell>
          <cell r="AF62">
            <v>148558</v>
          </cell>
          <cell r="AG62">
            <v>205909</v>
          </cell>
          <cell r="AH62">
            <v>203458</v>
          </cell>
          <cell r="AI62">
            <v>224510</v>
          </cell>
          <cell r="AJ62">
            <v>149173</v>
          </cell>
          <cell r="AK62">
            <v>212620</v>
          </cell>
          <cell r="AL62">
            <v>218068</v>
          </cell>
          <cell r="AM62">
            <v>200000</v>
          </cell>
          <cell r="AN62">
            <v>200000</v>
          </cell>
          <cell r="AO62">
            <v>200000</v>
          </cell>
          <cell r="AP62">
            <v>200000</v>
          </cell>
          <cell r="AQ62">
            <v>194255</v>
          </cell>
          <cell r="AR62">
            <v>194590</v>
          </cell>
          <cell r="AS62">
            <v>159756</v>
          </cell>
          <cell r="AT62">
            <v>140092</v>
          </cell>
          <cell r="AU62">
            <v>184721</v>
          </cell>
          <cell r="AV62">
            <v>175345</v>
          </cell>
          <cell r="AW62">
            <v>197238</v>
          </cell>
          <cell r="AX62">
            <v>211583</v>
          </cell>
          <cell r="AY62">
            <v>180119</v>
          </cell>
          <cell r="AZ62">
            <v>182947</v>
          </cell>
          <cell r="BA62">
            <v>175745</v>
          </cell>
          <cell r="BB62">
            <v>175481</v>
          </cell>
          <cell r="BC62">
            <v>150369</v>
          </cell>
          <cell r="BD62">
            <v>228255</v>
          </cell>
          <cell r="BE62">
            <v>237913</v>
          </cell>
          <cell r="BF62">
            <v>177561</v>
          </cell>
          <cell r="BG62">
            <v>164980</v>
          </cell>
          <cell r="BH62">
            <v>161326</v>
          </cell>
          <cell r="BI62">
            <v>202271</v>
          </cell>
          <cell r="BJ62">
            <v>225625</v>
          </cell>
          <cell r="BK62">
            <v>232629</v>
          </cell>
          <cell r="BL62">
            <v>180852</v>
          </cell>
          <cell r="BM62">
            <v>262455</v>
          </cell>
          <cell r="BN62">
            <v>252489</v>
          </cell>
          <cell r="BO62">
            <v>2476725</v>
          </cell>
        </row>
        <row r="63">
          <cell r="F63" t="str">
            <v>Seguridad</v>
          </cell>
          <cell r="G63">
            <v>247071</v>
          </cell>
          <cell r="H63">
            <v>216503</v>
          </cell>
          <cell r="I63">
            <v>257775</v>
          </cell>
          <cell r="J63">
            <v>145064</v>
          </cell>
          <cell r="K63">
            <v>287396</v>
          </cell>
          <cell r="L63">
            <v>201909</v>
          </cell>
          <cell r="M63">
            <v>234674</v>
          </cell>
          <cell r="N63">
            <v>300000</v>
          </cell>
          <cell r="O63">
            <v>300000</v>
          </cell>
          <cell r="P63">
            <v>300000</v>
          </cell>
          <cell r="Q63">
            <v>300000</v>
          </cell>
          <cell r="R63">
            <v>300000</v>
          </cell>
          <cell r="S63">
            <v>266596</v>
          </cell>
          <cell r="T63">
            <v>233062</v>
          </cell>
          <cell r="U63">
            <v>242058</v>
          </cell>
          <cell r="V63">
            <v>233318</v>
          </cell>
          <cell r="W63">
            <v>233128</v>
          </cell>
          <cell r="X63">
            <v>172615</v>
          </cell>
          <cell r="Y63">
            <v>249181</v>
          </cell>
          <cell r="Z63">
            <v>207138</v>
          </cell>
          <cell r="AA63">
            <v>236421</v>
          </cell>
          <cell r="AB63">
            <v>300000</v>
          </cell>
          <cell r="AC63">
            <v>300000</v>
          </cell>
          <cell r="AD63">
            <v>300000</v>
          </cell>
          <cell r="AE63">
            <v>216990</v>
          </cell>
          <cell r="AF63">
            <v>341159</v>
          </cell>
          <cell r="AG63">
            <v>231444</v>
          </cell>
          <cell r="AH63">
            <v>240750</v>
          </cell>
          <cell r="AI63">
            <v>189338</v>
          </cell>
          <cell r="AJ63">
            <v>22559</v>
          </cell>
          <cell r="AK63">
            <v>370334</v>
          </cell>
          <cell r="AL63">
            <v>193201</v>
          </cell>
          <cell r="AM63">
            <v>300000</v>
          </cell>
          <cell r="AN63">
            <v>300000</v>
          </cell>
          <cell r="AO63">
            <v>300000</v>
          </cell>
          <cell r="AP63">
            <v>300000</v>
          </cell>
          <cell r="AQ63">
            <v>179434</v>
          </cell>
          <cell r="AR63">
            <v>177329</v>
          </cell>
          <cell r="AS63">
            <v>191194</v>
          </cell>
          <cell r="AT63">
            <v>181586</v>
          </cell>
          <cell r="AU63">
            <v>182507</v>
          </cell>
          <cell r="AV63">
            <v>73459</v>
          </cell>
          <cell r="AW63">
            <v>273638</v>
          </cell>
          <cell r="AX63">
            <v>158720</v>
          </cell>
          <cell r="AY63">
            <v>151593</v>
          </cell>
          <cell r="AZ63">
            <v>159430</v>
          </cell>
          <cell r="BA63">
            <v>154453</v>
          </cell>
          <cell r="BB63">
            <v>152801</v>
          </cell>
          <cell r="BC63">
            <v>149751</v>
          </cell>
          <cell r="BD63">
            <v>127137</v>
          </cell>
          <cell r="BE63">
            <v>155533</v>
          </cell>
          <cell r="BF63">
            <v>287606</v>
          </cell>
          <cell r="BG63">
            <v>183310</v>
          </cell>
          <cell r="BH63">
            <v>197813</v>
          </cell>
          <cell r="BI63">
            <v>155984</v>
          </cell>
          <cell r="BJ63">
            <v>132366</v>
          </cell>
          <cell r="BK63">
            <v>140629</v>
          </cell>
          <cell r="BL63">
            <v>143724</v>
          </cell>
          <cell r="BM63">
            <v>136304</v>
          </cell>
          <cell r="BN63">
            <v>136087</v>
          </cell>
          <cell r="BO63">
            <v>1946244</v>
          </cell>
        </row>
        <row r="64">
          <cell r="F64" t="str">
            <v>Limpieza</v>
          </cell>
          <cell r="G64">
            <v>77546</v>
          </cell>
          <cell r="H64">
            <v>111536</v>
          </cell>
          <cell r="I64">
            <v>146093</v>
          </cell>
          <cell r="J64">
            <v>36334</v>
          </cell>
          <cell r="K64">
            <v>175930</v>
          </cell>
          <cell r="L64">
            <v>94377</v>
          </cell>
          <cell r="M64">
            <v>83278</v>
          </cell>
          <cell r="N64">
            <v>150000</v>
          </cell>
          <cell r="O64">
            <v>150000</v>
          </cell>
          <cell r="P64">
            <v>150000</v>
          </cell>
          <cell r="Q64">
            <v>150000</v>
          </cell>
          <cell r="R64">
            <v>150000</v>
          </cell>
          <cell r="S64">
            <v>301971</v>
          </cell>
          <cell r="T64">
            <v>432915</v>
          </cell>
          <cell r="U64">
            <v>337814</v>
          </cell>
          <cell r="V64">
            <v>192636</v>
          </cell>
          <cell r="W64">
            <v>260095</v>
          </cell>
          <cell r="X64">
            <v>203139</v>
          </cell>
          <cell r="Y64">
            <v>252004</v>
          </cell>
          <cell r="Z64">
            <v>181498</v>
          </cell>
          <cell r="AA64">
            <v>135436</v>
          </cell>
          <cell r="AB64">
            <v>400000</v>
          </cell>
          <cell r="AC64">
            <v>400000</v>
          </cell>
          <cell r="AD64">
            <v>400000</v>
          </cell>
          <cell r="AE64">
            <v>87882</v>
          </cell>
          <cell r="AF64">
            <v>211733</v>
          </cell>
          <cell r="AG64">
            <v>132091</v>
          </cell>
          <cell r="AH64">
            <v>115937</v>
          </cell>
          <cell r="AI64">
            <v>131386</v>
          </cell>
          <cell r="AJ64">
            <v>100623</v>
          </cell>
          <cell r="AK64">
            <v>220741</v>
          </cell>
          <cell r="AL64">
            <v>313948</v>
          </cell>
          <cell r="AM64">
            <v>200000</v>
          </cell>
          <cell r="AN64">
            <v>200000</v>
          </cell>
          <cell r="AO64">
            <v>200000</v>
          </cell>
          <cell r="AP64">
            <v>200000</v>
          </cell>
          <cell r="AQ64">
            <v>217028</v>
          </cell>
          <cell r="AR64">
            <v>191862</v>
          </cell>
          <cell r="AS64">
            <v>167984</v>
          </cell>
          <cell r="AT64">
            <v>130788</v>
          </cell>
          <cell r="AU64">
            <v>159697</v>
          </cell>
          <cell r="AV64">
            <v>372705</v>
          </cell>
          <cell r="AW64">
            <v>264175</v>
          </cell>
          <cell r="AX64">
            <v>149028</v>
          </cell>
          <cell r="AY64">
            <v>342185</v>
          </cell>
          <cell r="AZ64">
            <v>329185</v>
          </cell>
          <cell r="BA64">
            <v>122177</v>
          </cell>
          <cell r="BB64">
            <v>331071</v>
          </cell>
          <cell r="BC64">
            <v>164293</v>
          </cell>
          <cell r="BD64">
            <v>224061</v>
          </cell>
          <cell r="BE64">
            <v>247630</v>
          </cell>
          <cell r="BF64">
            <v>204495</v>
          </cell>
          <cell r="BG64">
            <v>328859</v>
          </cell>
          <cell r="BH64">
            <v>278620</v>
          </cell>
          <cell r="BI64">
            <v>178833</v>
          </cell>
          <cell r="BJ64">
            <v>252510</v>
          </cell>
          <cell r="BK64">
            <v>134994</v>
          </cell>
          <cell r="BL64">
            <v>239148</v>
          </cell>
          <cell r="BM64">
            <v>208829</v>
          </cell>
          <cell r="BN64">
            <v>168811</v>
          </cell>
          <cell r="BO64">
            <v>2631083</v>
          </cell>
        </row>
        <row r="65">
          <cell r="F65" t="str">
            <v>Informatica</v>
          </cell>
          <cell r="G65">
            <v>130296</v>
          </cell>
          <cell r="H65">
            <v>140936</v>
          </cell>
          <cell r="I65">
            <v>3533</v>
          </cell>
          <cell r="J65">
            <v>380</v>
          </cell>
          <cell r="K65">
            <v>11570</v>
          </cell>
          <cell r="L65">
            <v>84875</v>
          </cell>
          <cell r="M65">
            <v>133416</v>
          </cell>
          <cell r="N65">
            <v>150000</v>
          </cell>
          <cell r="O65">
            <v>150000</v>
          </cell>
          <cell r="P65">
            <v>150000</v>
          </cell>
          <cell r="Q65">
            <v>150000</v>
          </cell>
          <cell r="R65">
            <v>150000</v>
          </cell>
          <cell r="S65">
            <v>318373</v>
          </cell>
          <cell r="T65">
            <v>329456</v>
          </cell>
          <cell r="U65">
            <v>46567</v>
          </cell>
          <cell r="V65">
            <v>130750</v>
          </cell>
          <cell r="W65">
            <v>488952</v>
          </cell>
          <cell r="X65">
            <v>134982</v>
          </cell>
          <cell r="Y65">
            <v>105758</v>
          </cell>
          <cell r="Z65">
            <v>243838</v>
          </cell>
          <cell r="AA65">
            <v>139892</v>
          </cell>
          <cell r="AB65">
            <v>150000</v>
          </cell>
          <cell r="AC65">
            <v>150000</v>
          </cell>
          <cell r="AD65">
            <v>150000</v>
          </cell>
          <cell r="AE65">
            <v>180940</v>
          </cell>
          <cell r="AF65">
            <v>194547</v>
          </cell>
          <cell r="AG65">
            <v>178268</v>
          </cell>
          <cell r="AH65">
            <v>202360</v>
          </cell>
          <cell r="AI65">
            <v>201432</v>
          </cell>
          <cell r="AJ65">
            <v>313647</v>
          </cell>
          <cell r="AK65">
            <v>108642</v>
          </cell>
          <cell r="AL65">
            <v>193891</v>
          </cell>
          <cell r="AM65">
            <v>150000</v>
          </cell>
          <cell r="AN65">
            <v>150000</v>
          </cell>
          <cell r="AO65">
            <v>150000</v>
          </cell>
          <cell r="AP65">
            <v>150000</v>
          </cell>
          <cell r="AQ65">
            <v>212103</v>
          </cell>
          <cell r="AR65">
            <v>278652</v>
          </cell>
          <cell r="AS65">
            <v>234182</v>
          </cell>
          <cell r="AT65">
            <v>97459</v>
          </cell>
          <cell r="AU65">
            <v>97231</v>
          </cell>
          <cell r="AV65">
            <v>141157</v>
          </cell>
          <cell r="AW65">
            <v>61235</v>
          </cell>
          <cell r="AX65">
            <v>294855</v>
          </cell>
          <cell r="AY65">
            <v>208020</v>
          </cell>
          <cell r="AZ65">
            <v>130251</v>
          </cell>
          <cell r="BA65">
            <v>170376</v>
          </cell>
          <cell r="BB65">
            <v>132422</v>
          </cell>
          <cell r="BC65">
            <v>169060</v>
          </cell>
          <cell r="BD65">
            <v>196487</v>
          </cell>
          <cell r="BE65">
            <v>76436</v>
          </cell>
          <cell r="BF65">
            <v>133055</v>
          </cell>
          <cell r="BG65">
            <v>50110</v>
          </cell>
          <cell r="BH65">
            <v>39759</v>
          </cell>
          <cell r="BI65">
            <v>196359</v>
          </cell>
          <cell r="BJ65">
            <v>73438</v>
          </cell>
          <cell r="BK65">
            <v>129740</v>
          </cell>
          <cell r="BL65">
            <v>88916</v>
          </cell>
          <cell r="BM65">
            <v>120910</v>
          </cell>
          <cell r="BN65">
            <v>98480</v>
          </cell>
          <cell r="BO65">
            <v>1372750</v>
          </cell>
        </row>
        <row r="66">
          <cell r="F66" t="str">
            <v>Mejoras de Edificio</v>
          </cell>
          <cell r="G66">
            <v>32420</v>
          </cell>
          <cell r="H66">
            <v>13966</v>
          </cell>
          <cell r="I66">
            <v>0</v>
          </cell>
          <cell r="J66">
            <v>0</v>
          </cell>
          <cell r="K66">
            <v>44158</v>
          </cell>
          <cell r="L66">
            <v>2646</v>
          </cell>
          <cell r="M66">
            <v>15426</v>
          </cell>
          <cell r="N66">
            <v>50000</v>
          </cell>
          <cell r="O66">
            <v>50000</v>
          </cell>
          <cell r="P66">
            <v>50000</v>
          </cell>
          <cell r="Q66">
            <v>50000</v>
          </cell>
          <cell r="R66">
            <v>50000</v>
          </cell>
          <cell r="S66">
            <v>62548</v>
          </cell>
          <cell r="T66">
            <v>50534</v>
          </cell>
          <cell r="U66">
            <v>101971</v>
          </cell>
          <cell r="V66">
            <v>45023</v>
          </cell>
          <cell r="W66">
            <v>30160</v>
          </cell>
          <cell r="X66">
            <v>27446</v>
          </cell>
          <cell r="Y66">
            <v>45590</v>
          </cell>
          <cell r="Z66">
            <v>40539</v>
          </cell>
          <cell r="AA66">
            <v>43235</v>
          </cell>
          <cell r="AB66">
            <v>100000</v>
          </cell>
          <cell r="AC66">
            <v>100000</v>
          </cell>
          <cell r="AD66">
            <v>100000</v>
          </cell>
          <cell r="AE66">
            <v>21987</v>
          </cell>
          <cell r="AF66">
            <v>13747</v>
          </cell>
          <cell r="AG66">
            <v>34721</v>
          </cell>
          <cell r="AH66">
            <v>85487</v>
          </cell>
          <cell r="AI66">
            <v>24932</v>
          </cell>
          <cell r="AJ66">
            <v>5032</v>
          </cell>
          <cell r="AK66">
            <v>4144</v>
          </cell>
          <cell r="AL66">
            <v>8213</v>
          </cell>
          <cell r="AM66">
            <v>100000</v>
          </cell>
          <cell r="AN66">
            <v>100000</v>
          </cell>
          <cell r="AO66">
            <v>100000</v>
          </cell>
          <cell r="AP66">
            <v>100000</v>
          </cell>
          <cell r="AQ66">
            <v>268720</v>
          </cell>
          <cell r="AR66">
            <v>7335</v>
          </cell>
          <cell r="AS66">
            <v>24024</v>
          </cell>
          <cell r="AT66">
            <v>7621</v>
          </cell>
          <cell r="AU66">
            <v>9120</v>
          </cell>
          <cell r="AV66">
            <v>36250</v>
          </cell>
          <cell r="AW66">
            <v>25957</v>
          </cell>
          <cell r="AX66">
            <v>87413</v>
          </cell>
          <cell r="AY66">
            <v>23083</v>
          </cell>
          <cell r="AZ66">
            <v>56145</v>
          </cell>
          <cell r="BA66">
            <v>115757</v>
          </cell>
          <cell r="BB66">
            <v>49476</v>
          </cell>
          <cell r="BC66">
            <v>18055</v>
          </cell>
          <cell r="BD66">
            <v>55903</v>
          </cell>
          <cell r="BE66">
            <v>107914</v>
          </cell>
          <cell r="BF66">
            <v>34558</v>
          </cell>
          <cell r="BG66">
            <v>26398</v>
          </cell>
          <cell r="BH66">
            <v>34117</v>
          </cell>
          <cell r="BI66">
            <v>6629</v>
          </cell>
          <cell r="BJ66">
            <v>120034</v>
          </cell>
          <cell r="BK66">
            <v>168354</v>
          </cell>
          <cell r="BL66">
            <v>114485</v>
          </cell>
          <cell r="BM66">
            <v>91398</v>
          </cell>
          <cell r="BN66">
            <v>225525</v>
          </cell>
          <cell r="BO66">
            <v>1003370</v>
          </cell>
        </row>
        <row r="67">
          <cell r="F67" t="str">
            <v>Edificios (San Jose) y Alsthom /Emergencia</v>
          </cell>
          <cell r="G67">
            <v>289289</v>
          </cell>
          <cell r="H67">
            <v>434882</v>
          </cell>
          <cell r="I67">
            <v>855800</v>
          </cell>
          <cell r="J67">
            <v>801500</v>
          </cell>
          <cell r="K67">
            <v>381819</v>
          </cell>
          <cell r="L67">
            <v>445400</v>
          </cell>
          <cell r="M67">
            <v>422370</v>
          </cell>
          <cell r="N67">
            <v>400000</v>
          </cell>
          <cell r="O67">
            <v>400000</v>
          </cell>
          <cell r="P67">
            <v>400000</v>
          </cell>
          <cell r="Q67">
            <v>400000</v>
          </cell>
          <cell r="R67">
            <v>400000</v>
          </cell>
          <cell r="S67">
            <v>466807</v>
          </cell>
          <cell r="T67">
            <v>342054</v>
          </cell>
          <cell r="U67">
            <v>1015100</v>
          </cell>
          <cell r="V67">
            <v>335735</v>
          </cell>
          <cell r="W67">
            <v>0</v>
          </cell>
          <cell r="X67">
            <v>0</v>
          </cell>
          <cell r="Y67">
            <v>0</v>
          </cell>
          <cell r="Z67">
            <v>944</v>
          </cell>
          <cell r="AA67">
            <v>0</v>
          </cell>
          <cell r="AB67">
            <v>0</v>
          </cell>
          <cell r="AC67">
            <v>0</v>
          </cell>
          <cell r="AD67">
            <v>0</v>
          </cell>
          <cell r="AE67">
            <v>0</v>
          </cell>
          <cell r="AF67">
            <v>0</v>
          </cell>
          <cell r="AG67">
            <v>869604</v>
          </cell>
          <cell r="AH67">
            <v>2230763</v>
          </cell>
          <cell r="AI67">
            <v>9407267</v>
          </cell>
          <cell r="AJ67">
            <v>0</v>
          </cell>
          <cell r="AK67">
            <v>31010</v>
          </cell>
          <cell r="AL67">
            <v>0</v>
          </cell>
          <cell r="AM67">
            <v>5740000</v>
          </cell>
          <cell r="AN67">
            <v>10260000</v>
          </cell>
          <cell r="AO67">
            <v>0</v>
          </cell>
          <cell r="AP67">
            <v>0</v>
          </cell>
          <cell r="AQ67">
            <v>0</v>
          </cell>
          <cell r="AR67">
            <v>135300</v>
          </cell>
          <cell r="AS67">
            <v>0</v>
          </cell>
          <cell r="AT67">
            <v>173202</v>
          </cell>
          <cell r="AU67">
            <v>1520695</v>
          </cell>
          <cell r="AV67">
            <v>3312943</v>
          </cell>
          <cell r="AW67">
            <v>20510406</v>
          </cell>
          <cell r="AX67">
            <v>9605243</v>
          </cell>
          <cell r="AY67">
            <v>5903480</v>
          </cell>
          <cell r="AZ67">
            <v>4402050</v>
          </cell>
          <cell r="BA67">
            <v>6482191</v>
          </cell>
          <cell r="BB67">
            <v>1894776</v>
          </cell>
          <cell r="BC67">
            <v>2644103</v>
          </cell>
          <cell r="BD67">
            <v>968031</v>
          </cell>
          <cell r="BE67">
            <v>3389859</v>
          </cell>
          <cell r="BF67">
            <v>139715</v>
          </cell>
          <cell r="BG67">
            <v>0</v>
          </cell>
          <cell r="BH67">
            <v>0</v>
          </cell>
          <cell r="BI67">
            <v>36138</v>
          </cell>
          <cell r="BJ67">
            <v>48414</v>
          </cell>
          <cell r="BK67">
            <v>0</v>
          </cell>
          <cell r="BL67">
            <v>6603579</v>
          </cell>
          <cell r="BM67">
            <v>662993</v>
          </cell>
          <cell r="BN67">
            <v>476130</v>
          </cell>
          <cell r="BO67">
            <v>14968962</v>
          </cell>
        </row>
        <row r="68">
          <cell r="F68" t="str">
            <v>Honorarios</v>
          </cell>
          <cell r="G68">
            <v>171788</v>
          </cell>
          <cell r="H68">
            <v>243181</v>
          </cell>
          <cell r="I68">
            <v>132787</v>
          </cell>
          <cell r="J68">
            <v>307181</v>
          </cell>
          <cell r="K68">
            <v>233474</v>
          </cell>
          <cell r="L68">
            <v>679962</v>
          </cell>
          <cell r="M68">
            <v>296086</v>
          </cell>
          <cell r="N68">
            <v>150000</v>
          </cell>
          <cell r="O68">
            <v>150000</v>
          </cell>
          <cell r="P68">
            <v>150000</v>
          </cell>
          <cell r="Q68">
            <v>150000</v>
          </cell>
          <cell r="R68">
            <v>150000</v>
          </cell>
          <cell r="S68">
            <v>523528</v>
          </cell>
          <cell r="T68">
            <v>81417</v>
          </cell>
          <cell r="U68">
            <v>164098</v>
          </cell>
          <cell r="V68">
            <v>112679</v>
          </cell>
          <cell r="W68">
            <v>101094</v>
          </cell>
          <cell r="X68">
            <v>161982</v>
          </cell>
          <cell r="Y68">
            <v>80338</v>
          </cell>
          <cell r="Z68">
            <v>354949</v>
          </cell>
          <cell r="AA68">
            <v>129399</v>
          </cell>
          <cell r="AB68">
            <v>150000</v>
          </cell>
          <cell r="AC68">
            <v>150000</v>
          </cell>
          <cell r="AD68">
            <v>150000</v>
          </cell>
          <cell r="AE68">
            <v>170710</v>
          </cell>
          <cell r="AF68">
            <v>82926</v>
          </cell>
          <cell r="AG68">
            <v>103206</v>
          </cell>
          <cell r="AH68">
            <v>156095</v>
          </cell>
          <cell r="AI68">
            <v>147225</v>
          </cell>
          <cell r="AJ68">
            <v>240063</v>
          </cell>
          <cell r="AK68">
            <v>112455</v>
          </cell>
          <cell r="AL68">
            <v>147126</v>
          </cell>
          <cell r="AM68">
            <v>150000</v>
          </cell>
          <cell r="AN68">
            <v>150000</v>
          </cell>
          <cell r="AO68">
            <v>150000</v>
          </cell>
          <cell r="AP68">
            <v>150000</v>
          </cell>
          <cell r="AQ68">
            <v>105774</v>
          </cell>
          <cell r="AR68">
            <v>67395</v>
          </cell>
          <cell r="AS68">
            <v>85970</v>
          </cell>
          <cell r="AT68">
            <v>113524</v>
          </cell>
          <cell r="AU68">
            <v>185597</v>
          </cell>
          <cell r="AV68">
            <v>91963</v>
          </cell>
          <cell r="AW68">
            <v>359106</v>
          </cell>
          <cell r="AX68">
            <v>130424</v>
          </cell>
          <cell r="AY68">
            <v>105983</v>
          </cell>
          <cell r="AZ68">
            <v>122854</v>
          </cell>
          <cell r="BA68">
            <v>140093</v>
          </cell>
          <cell r="BB68">
            <v>67620</v>
          </cell>
          <cell r="BC68">
            <v>129506</v>
          </cell>
          <cell r="BD68">
            <v>60774</v>
          </cell>
          <cell r="BE68">
            <v>196286</v>
          </cell>
          <cell r="BF68">
            <v>390768</v>
          </cell>
          <cell r="BG68">
            <v>197688</v>
          </cell>
          <cell r="BH68">
            <v>593202</v>
          </cell>
          <cell r="BI68">
            <v>207978</v>
          </cell>
          <cell r="BJ68">
            <v>263578</v>
          </cell>
          <cell r="BK68">
            <v>201251</v>
          </cell>
          <cell r="BL68">
            <v>212965</v>
          </cell>
          <cell r="BM68">
            <v>220813</v>
          </cell>
          <cell r="BN68">
            <v>267240</v>
          </cell>
          <cell r="BO68">
            <v>2942049</v>
          </cell>
        </row>
        <row r="69">
          <cell r="F69" t="str">
            <v>Clinica y Servicios Medicos</v>
          </cell>
          <cell r="G69">
            <v>59494</v>
          </cell>
          <cell r="H69">
            <v>34458</v>
          </cell>
          <cell r="I69">
            <v>18006</v>
          </cell>
          <cell r="J69">
            <v>21727</v>
          </cell>
          <cell r="K69">
            <v>31396</v>
          </cell>
          <cell r="L69">
            <v>74800</v>
          </cell>
          <cell r="M69">
            <v>70912</v>
          </cell>
          <cell r="N69">
            <v>150000</v>
          </cell>
          <cell r="O69">
            <v>150000</v>
          </cell>
          <cell r="P69">
            <v>150000</v>
          </cell>
          <cell r="Q69">
            <v>150000</v>
          </cell>
          <cell r="R69">
            <v>150000</v>
          </cell>
          <cell r="S69">
            <v>68696</v>
          </cell>
          <cell r="T69">
            <v>97611</v>
          </cell>
          <cell r="U69">
            <v>27129</v>
          </cell>
          <cell r="V69">
            <v>75019</v>
          </cell>
          <cell r="W69">
            <v>71942</v>
          </cell>
          <cell r="X69">
            <v>63974</v>
          </cell>
          <cell r="Y69">
            <v>160050</v>
          </cell>
          <cell r="Z69">
            <v>41770</v>
          </cell>
          <cell r="AA69">
            <v>36793</v>
          </cell>
          <cell r="AB69">
            <v>100000</v>
          </cell>
          <cell r="AC69">
            <v>100000</v>
          </cell>
          <cell r="AD69">
            <v>100000</v>
          </cell>
          <cell r="AE69">
            <v>61477</v>
          </cell>
          <cell r="AF69">
            <v>40534</v>
          </cell>
          <cell r="AG69">
            <v>32557</v>
          </cell>
          <cell r="AH69">
            <v>67790</v>
          </cell>
          <cell r="AI69">
            <v>30484</v>
          </cell>
          <cell r="AJ69">
            <v>45345</v>
          </cell>
          <cell r="AK69">
            <v>68848</v>
          </cell>
          <cell r="AL69">
            <v>81263</v>
          </cell>
          <cell r="AM69">
            <v>100000</v>
          </cell>
          <cell r="AN69">
            <v>100000</v>
          </cell>
          <cell r="AO69">
            <v>100000</v>
          </cell>
          <cell r="AP69">
            <v>100000</v>
          </cell>
          <cell r="AQ69">
            <v>31767</v>
          </cell>
          <cell r="AR69">
            <v>6259</v>
          </cell>
          <cell r="AS69">
            <v>53967</v>
          </cell>
          <cell r="AT69">
            <v>31685</v>
          </cell>
          <cell r="AU69">
            <v>9545</v>
          </cell>
          <cell r="AV69">
            <v>22861</v>
          </cell>
          <cell r="AW69">
            <v>53068</v>
          </cell>
          <cell r="AX69">
            <v>18481</v>
          </cell>
          <cell r="AY69">
            <v>30962</v>
          </cell>
          <cell r="AZ69">
            <v>45769</v>
          </cell>
          <cell r="BA69">
            <v>40659</v>
          </cell>
          <cell r="BB69">
            <v>25035</v>
          </cell>
          <cell r="BC69">
            <v>32300</v>
          </cell>
          <cell r="BD69">
            <v>75223</v>
          </cell>
          <cell r="BE69">
            <v>61415</v>
          </cell>
          <cell r="BF69">
            <v>8441</v>
          </cell>
          <cell r="BG69">
            <v>45658</v>
          </cell>
          <cell r="BH69">
            <v>104480</v>
          </cell>
          <cell r="BI69">
            <v>28387</v>
          </cell>
          <cell r="BJ69">
            <v>113819</v>
          </cell>
          <cell r="BK69">
            <v>47618</v>
          </cell>
          <cell r="BL69">
            <v>58414</v>
          </cell>
          <cell r="BM69">
            <v>44249</v>
          </cell>
          <cell r="BN69">
            <v>83475</v>
          </cell>
          <cell r="BO69">
            <v>703479</v>
          </cell>
        </row>
        <row r="70">
          <cell r="F70" t="str">
            <v>Publicidad y Avisos</v>
          </cell>
          <cell r="G70">
            <v>7171</v>
          </cell>
          <cell r="H70">
            <v>59</v>
          </cell>
          <cell r="I70">
            <v>1215</v>
          </cell>
          <cell r="J70">
            <v>8187</v>
          </cell>
          <cell r="K70">
            <v>7879</v>
          </cell>
          <cell r="L70">
            <v>15754</v>
          </cell>
          <cell r="M70">
            <v>7840</v>
          </cell>
          <cell r="N70">
            <v>100000</v>
          </cell>
          <cell r="O70">
            <v>100000</v>
          </cell>
          <cell r="P70">
            <v>100000</v>
          </cell>
          <cell r="Q70">
            <v>100000</v>
          </cell>
          <cell r="R70">
            <v>100000</v>
          </cell>
          <cell r="S70">
            <v>301</v>
          </cell>
          <cell r="T70">
            <v>0</v>
          </cell>
          <cell r="U70">
            <v>0</v>
          </cell>
          <cell r="V70">
            <v>1000</v>
          </cell>
          <cell r="W70">
            <v>5309</v>
          </cell>
          <cell r="X70">
            <v>2000</v>
          </cell>
          <cell r="Y70">
            <v>2594</v>
          </cell>
          <cell r="Z70">
            <v>2847</v>
          </cell>
          <cell r="AA70">
            <v>15400</v>
          </cell>
          <cell r="AB70">
            <v>0</v>
          </cell>
          <cell r="AC70">
            <v>0</v>
          </cell>
          <cell r="AD70">
            <v>0</v>
          </cell>
          <cell r="AE70">
            <v>5521</v>
          </cell>
          <cell r="AF70">
            <v>3888</v>
          </cell>
          <cell r="AG70">
            <v>0</v>
          </cell>
          <cell r="AH70">
            <v>4630</v>
          </cell>
          <cell r="AI70">
            <v>16915</v>
          </cell>
          <cell r="AJ70">
            <v>8930</v>
          </cell>
          <cell r="AK70">
            <v>6023</v>
          </cell>
          <cell r="AL70">
            <v>7113</v>
          </cell>
          <cell r="AM70">
            <v>5000</v>
          </cell>
          <cell r="AN70">
            <v>5000</v>
          </cell>
          <cell r="AO70">
            <v>5000</v>
          </cell>
          <cell r="AP70">
            <v>5000</v>
          </cell>
          <cell r="AQ70">
            <v>17792</v>
          </cell>
          <cell r="AR70">
            <v>2839</v>
          </cell>
          <cell r="AS70">
            <v>3194</v>
          </cell>
          <cell r="AT70">
            <v>4947</v>
          </cell>
          <cell r="AU70">
            <v>4780</v>
          </cell>
          <cell r="AV70">
            <v>4313</v>
          </cell>
          <cell r="AW70">
            <v>8248</v>
          </cell>
          <cell r="AX70">
            <v>7550</v>
          </cell>
          <cell r="AY70">
            <v>8592</v>
          </cell>
          <cell r="AZ70">
            <v>7200</v>
          </cell>
          <cell r="BA70">
            <v>8920</v>
          </cell>
          <cell r="BB70">
            <v>2680</v>
          </cell>
          <cell r="BC70">
            <v>15954</v>
          </cell>
          <cell r="BD70">
            <v>6361</v>
          </cell>
          <cell r="BE70">
            <v>13937</v>
          </cell>
          <cell r="BF70">
            <v>37835</v>
          </cell>
          <cell r="BG70">
            <v>5499</v>
          </cell>
          <cell r="BH70">
            <v>11404</v>
          </cell>
          <cell r="BI70">
            <v>5104</v>
          </cell>
          <cell r="BJ70">
            <v>47455</v>
          </cell>
          <cell r="BK70">
            <v>118139</v>
          </cell>
          <cell r="BL70">
            <v>197594</v>
          </cell>
          <cell r="BM70">
            <v>280281</v>
          </cell>
          <cell r="BN70">
            <v>174036</v>
          </cell>
          <cell r="BO70">
            <v>913599</v>
          </cell>
        </row>
        <row r="71">
          <cell r="F71" t="str">
            <v>Otros Servicios</v>
          </cell>
          <cell r="G71">
            <v>1033978</v>
          </cell>
          <cell r="H71">
            <v>551574</v>
          </cell>
          <cell r="I71">
            <v>633872</v>
          </cell>
          <cell r="J71">
            <v>1195484</v>
          </cell>
          <cell r="K71">
            <v>799463</v>
          </cell>
          <cell r="L71">
            <v>1013987</v>
          </cell>
          <cell r="M71">
            <v>854395</v>
          </cell>
          <cell r="N71">
            <v>800000</v>
          </cell>
          <cell r="O71">
            <v>800000</v>
          </cell>
          <cell r="P71">
            <v>800000</v>
          </cell>
          <cell r="Q71">
            <v>800000</v>
          </cell>
          <cell r="R71">
            <v>800000</v>
          </cell>
          <cell r="S71">
            <v>462026</v>
          </cell>
          <cell r="T71">
            <v>786733</v>
          </cell>
          <cell r="U71">
            <v>696552</v>
          </cell>
          <cell r="V71">
            <v>465817</v>
          </cell>
          <cell r="W71">
            <v>592914</v>
          </cell>
          <cell r="X71">
            <v>1012753</v>
          </cell>
          <cell r="Y71">
            <v>935431</v>
          </cell>
          <cell r="Z71">
            <v>734849</v>
          </cell>
          <cell r="AA71">
            <v>544075</v>
          </cell>
          <cell r="AB71">
            <v>700000</v>
          </cell>
          <cell r="AC71">
            <v>700000</v>
          </cell>
          <cell r="AD71">
            <v>700000</v>
          </cell>
          <cell r="AE71">
            <v>483053</v>
          </cell>
          <cell r="AF71">
            <v>476541</v>
          </cell>
          <cell r="AG71">
            <v>510475</v>
          </cell>
          <cell r="AH71">
            <v>346021</v>
          </cell>
          <cell r="AI71">
            <v>492347</v>
          </cell>
          <cell r="AJ71">
            <v>441306</v>
          </cell>
          <cell r="AK71">
            <v>711523</v>
          </cell>
          <cell r="AL71">
            <v>672722</v>
          </cell>
          <cell r="AM71">
            <v>1000000</v>
          </cell>
          <cell r="AN71">
            <v>1000000</v>
          </cell>
          <cell r="AO71">
            <v>1000000</v>
          </cell>
          <cell r="AP71">
            <v>1000000</v>
          </cell>
          <cell r="AQ71">
            <v>896628</v>
          </cell>
          <cell r="AR71">
            <v>815336</v>
          </cell>
          <cell r="AS71">
            <v>1015891</v>
          </cell>
          <cell r="AT71">
            <v>886946</v>
          </cell>
          <cell r="AU71">
            <v>979762</v>
          </cell>
          <cell r="AV71">
            <v>1075379</v>
          </cell>
          <cell r="AW71">
            <v>1679159</v>
          </cell>
          <cell r="AX71">
            <v>1258035</v>
          </cell>
          <cell r="AY71">
            <v>1359620</v>
          </cell>
          <cell r="AZ71">
            <v>1559854</v>
          </cell>
          <cell r="BA71">
            <v>1305003</v>
          </cell>
          <cell r="BB71">
            <v>1481328</v>
          </cell>
          <cell r="BC71">
            <v>1239643</v>
          </cell>
          <cell r="BD71">
            <v>1370107</v>
          </cell>
          <cell r="BE71">
            <v>1375484</v>
          </cell>
          <cell r="BF71">
            <v>1588987</v>
          </cell>
          <cell r="BG71">
            <v>1568181</v>
          </cell>
          <cell r="BH71">
            <v>1918908</v>
          </cell>
          <cell r="BI71">
            <v>1605846</v>
          </cell>
          <cell r="BJ71">
            <v>1958657</v>
          </cell>
          <cell r="BK71">
            <v>2029517</v>
          </cell>
          <cell r="BL71">
            <v>2124043</v>
          </cell>
          <cell r="BM71">
            <v>2073387</v>
          </cell>
          <cell r="BN71">
            <v>3087221</v>
          </cell>
          <cell r="BO71">
            <v>21939981</v>
          </cell>
        </row>
        <row r="72">
          <cell r="F72" t="str">
            <v>Importaciones</v>
          </cell>
          <cell r="G72">
            <v>1373026</v>
          </cell>
          <cell r="H72">
            <v>753869</v>
          </cell>
          <cell r="I72">
            <v>281697</v>
          </cell>
          <cell r="J72">
            <v>682011</v>
          </cell>
          <cell r="K72">
            <v>475277</v>
          </cell>
          <cell r="L72">
            <v>453089</v>
          </cell>
          <cell r="M72">
            <v>280643</v>
          </cell>
          <cell r="N72">
            <v>600000</v>
          </cell>
          <cell r="O72">
            <v>600000</v>
          </cell>
          <cell r="P72">
            <v>600000</v>
          </cell>
          <cell r="Q72">
            <v>600000</v>
          </cell>
          <cell r="R72">
            <v>600000</v>
          </cell>
          <cell r="S72">
            <v>966219</v>
          </cell>
          <cell r="T72">
            <v>399189</v>
          </cell>
          <cell r="U72">
            <v>398630</v>
          </cell>
          <cell r="V72">
            <v>475058</v>
          </cell>
          <cell r="W72">
            <v>181662</v>
          </cell>
          <cell r="X72">
            <v>138296</v>
          </cell>
          <cell r="Y72">
            <v>290856</v>
          </cell>
          <cell r="Z72">
            <v>429230</v>
          </cell>
          <cell r="AA72">
            <v>496994</v>
          </cell>
          <cell r="AB72">
            <v>200000</v>
          </cell>
          <cell r="AC72">
            <v>200000</v>
          </cell>
          <cell r="AD72">
            <v>200000</v>
          </cell>
          <cell r="AE72">
            <v>277942</v>
          </cell>
          <cell r="AF72">
            <v>276780</v>
          </cell>
          <cell r="AG72">
            <v>2234290</v>
          </cell>
          <cell r="AH72">
            <v>321240</v>
          </cell>
          <cell r="AI72">
            <v>255151</v>
          </cell>
          <cell r="AJ72">
            <v>242524</v>
          </cell>
          <cell r="AK72">
            <v>317371</v>
          </cell>
          <cell r="AL72">
            <v>401412</v>
          </cell>
          <cell r="AM72">
            <v>400000</v>
          </cell>
          <cell r="AN72">
            <v>400000</v>
          </cell>
          <cell r="AO72">
            <v>400000</v>
          </cell>
          <cell r="AP72">
            <v>400000</v>
          </cell>
          <cell r="AQ72">
            <v>3022047</v>
          </cell>
          <cell r="AR72">
            <v>343837</v>
          </cell>
          <cell r="AS72">
            <v>80012</v>
          </cell>
          <cell r="AT72">
            <v>288451</v>
          </cell>
          <cell r="AU72">
            <v>599948</v>
          </cell>
          <cell r="AV72">
            <v>1089280</v>
          </cell>
          <cell r="AW72">
            <v>497302</v>
          </cell>
          <cell r="AX72">
            <v>664877</v>
          </cell>
          <cell r="AY72">
            <v>324885</v>
          </cell>
          <cell r="AZ72">
            <v>1017967</v>
          </cell>
          <cell r="BA72">
            <v>244703</v>
          </cell>
          <cell r="BB72">
            <v>265203</v>
          </cell>
          <cell r="BC72">
            <v>1057813</v>
          </cell>
          <cell r="BD72">
            <v>132425</v>
          </cell>
          <cell r="BE72">
            <v>604754</v>
          </cell>
          <cell r="BF72">
            <v>226350</v>
          </cell>
          <cell r="BG72">
            <v>512232</v>
          </cell>
          <cell r="BH72">
            <v>363848</v>
          </cell>
          <cell r="BI72">
            <v>867915</v>
          </cell>
          <cell r="BJ72">
            <v>87533</v>
          </cell>
          <cell r="BK72">
            <v>606383</v>
          </cell>
          <cell r="BL72">
            <v>1078507</v>
          </cell>
          <cell r="BM72">
            <v>1312111</v>
          </cell>
          <cell r="BN72">
            <v>2218339</v>
          </cell>
          <cell r="BO72">
            <v>9068210</v>
          </cell>
        </row>
        <row r="73">
          <cell r="F73" t="str">
            <v>Gtos Operativos</v>
          </cell>
          <cell r="G73">
            <v>1374259</v>
          </cell>
          <cell r="H73">
            <v>1914024</v>
          </cell>
          <cell r="I73">
            <v>837076</v>
          </cell>
          <cell r="J73">
            <v>540258</v>
          </cell>
          <cell r="K73">
            <v>392411</v>
          </cell>
          <cell r="L73">
            <v>3595897</v>
          </cell>
          <cell r="M73">
            <v>3201171</v>
          </cell>
          <cell r="N73">
            <v>2400000</v>
          </cell>
          <cell r="O73">
            <v>1300000</v>
          </cell>
          <cell r="P73">
            <v>2400000</v>
          </cell>
          <cell r="Q73">
            <v>1300000</v>
          </cell>
          <cell r="R73">
            <v>1300000</v>
          </cell>
          <cell r="S73">
            <v>2309765</v>
          </cell>
          <cell r="T73">
            <v>1822320</v>
          </cell>
          <cell r="U73">
            <v>1944173</v>
          </cell>
          <cell r="V73">
            <v>1339209</v>
          </cell>
          <cell r="W73">
            <v>1668315</v>
          </cell>
          <cell r="X73">
            <v>2071002</v>
          </cell>
          <cell r="Y73">
            <v>1653270</v>
          </cell>
          <cell r="Z73">
            <v>1870165</v>
          </cell>
          <cell r="AA73">
            <v>2281491</v>
          </cell>
          <cell r="AB73">
            <v>1900000</v>
          </cell>
          <cell r="AC73">
            <v>1900000</v>
          </cell>
          <cell r="AD73">
            <v>1900000</v>
          </cell>
          <cell r="AE73">
            <v>2360244</v>
          </cell>
          <cell r="AF73">
            <v>1492690</v>
          </cell>
          <cell r="AG73">
            <v>2071795</v>
          </cell>
          <cell r="AH73">
            <v>1757413</v>
          </cell>
          <cell r="AI73">
            <v>1999235</v>
          </cell>
          <cell r="AJ73">
            <v>1553462</v>
          </cell>
          <cell r="AK73">
            <v>1451358</v>
          </cell>
          <cell r="AL73">
            <v>1292570</v>
          </cell>
          <cell r="AM73">
            <v>3000000</v>
          </cell>
          <cell r="AN73">
            <v>3000000</v>
          </cell>
          <cell r="AO73">
            <v>3000000</v>
          </cell>
          <cell r="AP73">
            <v>3000000</v>
          </cell>
          <cell r="AQ73">
            <v>2305179</v>
          </cell>
          <cell r="AR73">
            <v>1107639</v>
          </cell>
          <cell r="AS73">
            <v>1434431</v>
          </cell>
          <cell r="AT73">
            <v>1288636</v>
          </cell>
          <cell r="AU73">
            <v>1243767</v>
          </cell>
          <cell r="AV73">
            <v>1211442</v>
          </cell>
          <cell r="AW73">
            <v>1572895</v>
          </cell>
          <cell r="AX73">
            <v>1971901</v>
          </cell>
          <cell r="AY73">
            <v>1964986</v>
          </cell>
          <cell r="AZ73">
            <v>959955</v>
          </cell>
          <cell r="BA73">
            <v>1510451</v>
          </cell>
          <cell r="BB73">
            <v>1674125</v>
          </cell>
          <cell r="BC73">
            <v>1557155</v>
          </cell>
          <cell r="BD73">
            <v>1284998</v>
          </cell>
          <cell r="BE73">
            <v>1565720</v>
          </cell>
          <cell r="BF73">
            <v>1691442</v>
          </cell>
          <cell r="BG73">
            <v>1304573</v>
          </cell>
          <cell r="BH73">
            <v>1599236</v>
          </cell>
          <cell r="BI73">
            <v>1147645</v>
          </cell>
          <cell r="BJ73">
            <v>1440402</v>
          </cell>
          <cell r="BK73">
            <v>1137576</v>
          </cell>
          <cell r="BL73">
            <v>1090158</v>
          </cell>
          <cell r="BM73">
            <v>1690341</v>
          </cell>
          <cell r="BN73">
            <v>1499672</v>
          </cell>
          <cell r="BO73">
            <v>17008918</v>
          </cell>
        </row>
        <row r="74">
          <cell r="AE74">
            <v>0</v>
          </cell>
          <cell r="AF74">
            <v>231633</v>
          </cell>
          <cell r="AG74">
            <v>0</v>
          </cell>
          <cell r="AH74">
            <v>0</v>
          </cell>
          <cell r="AI74">
            <v>231633</v>
          </cell>
          <cell r="AJ74">
            <v>0</v>
          </cell>
          <cell r="AK74">
            <v>0</v>
          </cell>
          <cell r="AL74">
            <v>231633</v>
          </cell>
          <cell r="AM74">
            <v>0</v>
          </cell>
          <cell r="AN74">
            <v>0</v>
          </cell>
          <cell r="AO74">
            <v>231632</v>
          </cell>
          <cell r="AP74">
            <v>0</v>
          </cell>
          <cell r="AQ74">
            <v>0</v>
          </cell>
          <cell r="AR74">
            <v>231633</v>
          </cell>
          <cell r="AS74">
            <v>0</v>
          </cell>
          <cell r="AT74">
            <v>0</v>
          </cell>
          <cell r="AU74">
            <v>231633</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row>
        <row r="75">
          <cell r="F75" t="str">
            <v>SUBTOTAL</v>
          </cell>
          <cell r="G75">
            <v>17538622</v>
          </cell>
          <cell r="H75">
            <v>15794306</v>
          </cell>
          <cell r="I75">
            <v>10703545</v>
          </cell>
          <cell r="J75">
            <v>13320316</v>
          </cell>
          <cell r="K75">
            <v>15300470</v>
          </cell>
          <cell r="L75">
            <v>18956999</v>
          </cell>
          <cell r="M75">
            <v>15743184</v>
          </cell>
          <cell r="N75">
            <v>17900000</v>
          </cell>
          <cell r="O75">
            <v>16800000</v>
          </cell>
          <cell r="P75">
            <v>17900000</v>
          </cell>
          <cell r="Q75">
            <v>16800000</v>
          </cell>
          <cell r="R75">
            <v>16800000</v>
          </cell>
          <cell r="S75">
            <v>16315678</v>
          </cell>
          <cell r="T75">
            <v>15410973</v>
          </cell>
          <cell r="U75">
            <v>13064361</v>
          </cell>
          <cell r="V75">
            <v>14200826</v>
          </cell>
          <cell r="W75">
            <v>12849411</v>
          </cell>
          <cell r="X75">
            <v>11134934</v>
          </cell>
          <cell r="Y75">
            <v>14563278</v>
          </cell>
          <cell r="Z75">
            <v>12480209</v>
          </cell>
          <cell r="AA75">
            <v>14402706</v>
          </cell>
          <cell r="AB75">
            <v>14500000</v>
          </cell>
          <cell r="AC75">
            <v>14500000</v>
          </cell>
          <cell r="AD75">
            <v>14500000</v>
          </cell>
          <cell r="AE75">
            <v>12462715</v>
          </cell>
          <cell r="AF75">
            <v>11462024</v>
          </cell>
          <cell r="AG75">
            <v>13345918</v>
          </cell>
          <cell r="AH75">
            <v>13484724</v>
          </cell>
          <cell r="AI75">
            <v>23108148</v>
          </cell>
          <cell r="AJ75">
            <v>12653952</v>
          </cell>
          <cell r="AK75">
            <v>13083572</v>
          </cell>
          <cell r="AL75">
            <v>13745851</v>
          </cell>
          <cell r="AM75">
            <v>21845000</v>
          </cell>
          <cell r="AN75">
            <v>26365000</v>
          </cell>
          <cell r="AO75">
            <v>16336632</v>
          </cell>
          <cell r="AP75">
            <v>16105000</v>
          </cell>
          <cell r="AQ75">
            <v>17588037</v>
          </cell>
          <cell r="AR75">
            <v>11036164</v>
          </cell>
          <cell r="AS75">
            <v>11845522</v>
          </cell>
          <cell r="AT75">
            <v>12142610</v>
          </cell>
          <cell r="AU75">
            <v>13646663</v>
          </cell>
          <cell r="AV75">
            <v>14632091</v>
          </cell>
          <cell r="AW75">
            <v>33297381</v>
          </cell>
          <cell r="AX75">
            <v>21359564</v>
          </cell>
          <cell r="AY75">
            <v>17911207</v>
          </cell>
          <cell r="AZ75">
            <v>16526697</v>
          </cell>
          <cell r="BA75">
            <v>16863826</v>
          </cell>
          <cell r="BB75">
            <v>12809533</v>
          </cell>
          <cell r="BC75">
            <v>15789713</v>
          </cell>
          <cell r="BD75">
            <v>11941827</v>
          </cell>
          <cell r="BE75">
            <v>15775239</v>
          </cell>
          <cell r="BF75">
            <v>12909530</v>
          </cell>
          <cell r="BG75">
            <v>10947295</v>
          </cell>
          <cell r="BH75">
            <v>12805207</v>
          </cell>
          <cell r="BI75">
            <v>10916966</v>
          </cell>
          <cell r="BJ75">
            <v>11331470</v>
          </cell>
          <cell r="BK75">
            <v>12365874</v>
          </cell>
          <cell r="BL75">
            <v>18744941</v>
          </cell>
          <cell r="BM75">
            <v>16249782</v>
          </cell>
          <cell r="BN75">
            <v>19477387</v>
          </cell>
          <cell r="BO75">
            <v>169255231</v>
          </cell>
          <cell r="BT75">
            <v>80168811</v>
          </cell>
          <cell r="BU75">
            <v>103130000</v>
          </cell>
          <cell r="BV75">
            <v>-22961189</v>
          </cell>
        </row>
        <row r="76">
          <cell r="BQ76">
            <v>194141629</v>
          </cell>
          <cell r="BR76">
            <v>10555709</v>
          </cell>
          <cell r="BS76">
            <v>1491964.7601547241</v>
          </cell>
        </row>
        <row r="77">
          <cell r="F77" t="str">
            <v>Otros Egresos</v>
          </cell>
          <cell r="BQ77">
            <v>183585920</v>
          </cell>
        </row>
        <row r="78">
          <cell r="F78" t="str">
            <v>Diversos</v>
          </cell>
          <cell r="G78">
            <v>142933</v>
          </cell>
          <cell r="H78">
            <v>538546</v>
          </cell>
          <cell r="I78">
            <v>320546</v>
          </cell>
          <cell r="J78">
            <v>100502</v>
          </cell>
          <cell r="K78">
            <v>269869</v>
          </cell>
          <cell r="L78">
            <v>9010</v>
          </cell>
          <cell r="M78">
            <v>470115</v>
          </cell>
          <cell r="N78">
            <v>0</v>
          </cell>
          <cell r="O78">
            <v>0</v>
          </cell>
          <cell r="P78">
            <v>0</v>
          </cell>
          <cell r="Q78">
            <v>150000</v>
          </cell>
          <cell r="R78">
            <v>150000</v>
          </cell>
          <cell r="S78">
            <v>172975</v>
          </cell>
          <cell r="T78">
            <v>285172</v>
          </cell>
          <cell r="U78">
            <v>96813</v>
          </cell>
          <cell r="V78">
            <v>193464</v>
          </cell>
          <cell r="W78">
            <v>269326</v>
          </cell>
          <cell r="X78">
            <v>159983</v>
          </cell>
          <cell r="Y78">
            <v>221522</v>
          </cell>
          <cell r="Z78">
            <v>193833</v>
          </cell>
          <cell r="AA78">
            <v>177196</v>
          </cell>
          <cell r="AB78">
            <v>150000</v>
          </cell>
          <cell r="AC78">
            <v>150000</v>
          </cell>
          <cell r="AD78">
            <v>150000</v>
          </cell>
          <cell r="AE78">
            <v>113280</v>
          </cell>
          <cell r="AF78">
            <v>300310</v>
          </cell>
          <cell r="AG78">
            <v>197766</v>
          </cell>
          <cell r="AH78">
            <v>160275</v>
          </cell>
          <cell r="AI78">
            <v>190131</v>
          </cell>
          <cell r="AJ78">
            <v>688427</v>
          </cell>
          <cell r="AK78">
            <v>625275</v>
          </cell>
          <cell r="AL78">
            <v>299616</v>
          </cell>
          <cell r="AM78">
            <v>150000</v>
          </cell>
          <cell r="AN78">
            <v>150000</v>
          </cell>
          <cell r="AO78">
            <v>150000</v>
          </cell>
          <cell r="AP78">
            <v>150000</v>
          </cell>
          <cell r="AQ78">
            <v>461415</v>
          </cell>
          <cell r="AR78">
            <v>71915</v>
          </cell>
          <cell r="AS78">
            <v>33924</v>
          </cell>
          <cell r="AT78">
            <v>82660</v>
          </cell>
          <cell r="AU78">
            <v>254914</v>
          </cell>
          <cell r="AV78">
            <v>28123</v>
          </cell>
          <cell r="AW78">
            <v>120280</v>
          </cell>
          <cell r="AX78">
            <v>188314</v>
          </cell>
          <cell r="AY78">
            <v>104150</v>
          </cell>
          <cell r="AZ78">
            <v>66929</v>
          </cell>
          <cell r="BA78">
            <v>1334196</v>
          </cell>
          <cell r="BB78">
            <v>195075</v>
          </cell>
          <cell r="BC78">
            <v>96321</v>
          </cell>
          <cell r="BD78">
            <v>213465</v>
          </cell>
          <cell r="BE78">
            <v>612396</v>
          </cell>
          <cell r="BF78">
            <v>279973</v>
          </cell>
          <cell r="BG78">
            <v>481717</v>
          </cell>
          <cell r="BH78">
            <v>81283</v>
          </cell>
          <cell r="BI78">
            <v>98383</v>
          </cell>
          <cell r="BJ78">
            <v>120367</v>
          </cell>
          <cell r="BK78">
            <v>178846</v>
          </cell>
          <cell r="BL78">
            <v>226748</v>
          </cell>
          <cell r="BM78">
            <v>156862</v>
          </cell>
          <cell r="BN78">
            <v>338472</v>
          </cell>
          <cell r="BO78">
            <v>2884833</v>
          </cell>
        </row>
        <row r="79">
          <cell r="F79" t="str">
            <v>Seguros</v>
          </cell>
          <cell r="G79">
            <v>119563</v>
          </cell>
          <cell r="H79">
            <v>101864</v>
          </cell>
          <cell r="I79">
            <v>211120</v>
          </cell>
          <cell r="J79">
            <v>93375</v>
          </cell>
          <cell r="K79">
            <v>226723</v>
          </cell>
          <cell r="L79">
            <v>205022</v>
          </cell>
          <cell r="M79">
            <v>48498</v>
          </cell>
          <cell r="N79">
            <v>0</v>
          </cell>
          <cell r="O79">
            <v>0</v>
          </cell>
          <cell r="P79">
            <v>210000</v>
          </cell>
          <cell r="Q79">
            <v>558000</v>
          </cell>
          <cell r="R79">
            <v>156000</v>
          </cell>
          <cell r="S79">
            <v>201163</v>
          </cell>
          <cell r="T79">
            <v>86681</v>
          </cell>
          <cell r="U79">
            <v>89871</v>
          </cell>
          <cell r="V79">
            <v>35512</v>
          </cell>
          <cell r="W79">
            <v>31022</v>
          </cell>
          <cell r="X79">
            <v>46195</v>
          </cell>
          <cell r="Y79">
            <v>60849</v>
          </cell>
          <cell r="Z79">
            <v>15438</v>
          </cell>
          <cell r="AA79">
            <v>63346</v>
          </cell>
          <cell r="AB79">
            <v>156000</v>
          </cell>
          <cell r="AC79">
            <v>156000</v>
          </cell>
          <cell r="AD79">
            <v>156000</v>
          </cell>
          <cell r="AE79">
            <v>152738</v>
          </cell>
          <cell r="AF79">
            <v>96004</v>
          </cell>
          <cell r="AG79">
            <v>109071</v>
          </cell>
          <cell r="AH79">
            <v>138061</v>
          </cell>
          <cell r="AI79">
            <v>150645</v>
          </cell>
          <cell r="AJ79">
            <v>149778</v>
          </cell>
          <cell r="AK79">
            <v>30652</v>
          </cell>
          <cell r="AL79">
            <v>42743</v>
          </cell>
          <cell r="AM79">
            <v>100000</v>
          </cell>
          <cell r="AN79">
            <v>100000</v>
          </cell>
          <cell r="AO79">
            <v>100000</v>
          </cell>
          <cell r="AP79">
            <v>100000</v>
          </cell>
          <cell r="AQ79">
            <v>76857</v>
          </cell>
          <cell r="AR79">
            <v>76151</v>
          </cell>
          <cell r="AS79">
            <v>65516</v>
          </cell>
          <cell r="AT79">
            <v>105052</v>
          </cell>
          <cell r="AU79">
            <v>30490</v>
          </cell>
          <cell r="AV79">
            <v>35006</v>
          </cell>
          <cell r="AW79">
            <v>54179</v>
          </cell>
          <cell r="AX79">
            <v>20041</v>
          </cell>
          <cell r="AY79">
            <v>42643</v>
          </cell>
          <cell r="AZ79">
            <v>47887</v>
          </cell>
          <cell r="BA79">
            <v>41949</v>
          </cell>
          <cell r="BB79">
            <v>23899</v>
          </cell>
          <cell r="BC79">
            <v>15339</v>
          </cell>
          <cell r="BD79">
            <v>18797</v>
          </cell>
          <cell r="BE79">
            <v>20170</v>
          </cell>
          <cell r="BF79">
            <v>24086</v>
          </cell>
          <cell r="BG79">
            <v>27724</v>
          </cell>
          <cell r="BH79">
            <v>72400</v>
          </cell>
          <cell r="BI79">
            <v>42928</v>
          </cell>
          <cell r="BJ79">
            <v>18285</v>
          </cell>
          <cell r="BK79">
            <v>26118</v>
          </cell>
          <cell r="BL79">
            <v>78583</v>
          </cell>
          <cell r="BM79">
            <v>38523</v>
          </cell>
          <cell r="BN79">
            <v>52869</v>
          </cell>
          <cell r="BO79">
            <v>435822</v>
          </cell>
        </row>
        <row r="80">
          <cell r="F80" t="str">
            <v>Comisiones Bancos</v>
          </cell>
          <cell r="G80">
            <v>229851</v>
          </cell>
          <cell r="H80">
            <v>275257</v>
          </cell>
          <cell r="I80">
            <v>43964</v>
          </cell>
          <cell r="J80">
            <v>398884</v>
          </cell>
          <cell r="K80">
            <v>380752</v>
          </cell>
          <cell r="L80">
            <v>490713</v>
          </cell>
          <cell r="M80">
            <v>223967</v>
          </cell>
          <cell r="N80">
            <v>289631.19961411698</v>
          </cell>
          <cell r="O80">
            <v>303083.93588034622</v>
          </cell>
          <cell r="P80">
            <v>312076.93637063599</v>
          </cell>
          <cell r="Q80">
            <v>292948.85232983588</v>
          </cell>
          <cell r="R80">
            <v>282659.3049107496</v>
          </cell>
          <cell r="S80">
            <v>283972</v>
          </cell>
          <cell r="T80">
            <v>381255</v>
          </cell>
          <cell r="U80">
            <v>605896</v>
          </cell>
          <cell r="V80">
            <v>384018</v>
          </cell>
          <cell r="W80">
            <v>419726</v>
          </cell>
          <cell r="X80">
            <v>240533</v>
          </cell>
          <cell r="Y80">
            <v>377214</v>
          </cell>
          <cell r="Z80">
            <v>365929</v>
          </cell>
          <cell r="AA80">
            <v>434457</v>
          </cell>
          <cell r="AB80">
            <v>339719.77205735823</v>
          </cell>
          <cell r="AC80">
            <v>324936.72513730114</v>
          </cell>
          <cell r="AD80">
            <v>300155.52642967604</v>
          </cell>
          <cell r="AE80">
            <v>299580</v>
          </cell>
          <cell r="AF80">
            <v>427800</v>
          </cell>
          <cell r="AG80">
            <v>561770</v>
          </cell>
          <cell r="AH80">
            <v>638802</v>
          </cell>
          <cell r="AI80">
            <v>471270</v>
          </cell>
          <cell r="AJ80">
            <v>410020</v>
          </cell>
          <cell r="AK80">
            <v>525812</v>
          </cell>
          <cell r="AL80">
            <v>370915</v>
          </cell>
          <cell r="AM80">
            <v>396015.88768609625</v>
          </cell>
          <cell r="AN80">
            <v>393734.28252717486</v>
          </cell>
          <cell r="AO80">
            <v>295340.05962252821</v>
          </cell>
          <cell r="AP80">
            <v>290188.75445164269</v>
          </cell>
          <cell r="AQ80">
            <v>474966</v>
          </cell>
          <cell r="AR80">
            <v>300177</v>
          </cell>
          <cell r="AS80">
            <v>507020</v>
          </cell>
          <cell r="AT80">
            <v>350237</v>
          </cell>
          <cell r="AU80">
            <v>204511</v>
          </cell>
          <cell r="AV80">
            <v>462041</v>
          </cell>
          <cell r="AW80">
            <v>482440</v>
          </cell>
          <cell r="AX80">
            <v>265895</v>
          </cell>
          <cell r="AY80">
            <v>530810</v>
          </cell>
          <cell r="AZ80">
            <v>402847</v>
          </cell>
          <cell r="BA80">
            <v>343878</v>
          </cell>
          <cell r="BB80">
            <v>355939</v>
          </cell>
          <cell r="BC80">
            <v>244295</v>
          </cell>
          <cell r="BD80">
            <v>226613</v>
          </cell>
          <cell r="BE80">
            <v>511770</v>
          </cell>
          <cell r="BF80">
            <v>627546</v>
          </cell>
          <cell r="BG80">
            <v>392527</v>
          </cell>
          <cell r="BH80">
            <v>593961</v>
          </cell>
          <cell r="BI80">
            <v>439772</v>
          </cell>
          <cell r="BJ80">
            <v>276462</v>
          </cell>
          <cell r="BK80">
            <v>506865</v>
          </cell>
          <cell r="BL80">
            <v>334142</v>
          </cell>
          <cell r="BM80">
            <v>302152</v>
          </cell>
          <cell r="BN80">
            <v>505748</v>
          </cell>
          <cell r="BO80">
            <v>4961853</v>
          </cell>
        </row>
        <row r="81">
          <cell r="F81" t="str">
            <v>Fee Operador</v>
          </cell>
          <cell r="G81">
            <v>0</v>
          </cell>
          <cell r="H81">
            <v>0</v>
          </cell>
          <cell r="I81">
            <v>0</v>
          </cell>
          <cell r="J81">
            <v>0</v>
          </cell>
          <cell r="K81">
            <v>5478933</v>
          </cell>
          <cell r="L81">
            <v>8455458</v>
          </cell>
          <cell r="M81">
            <v>0</v>
          </cell>
          <cell r="N81">
            <v>4700000</v>
          </cell>
          <cell r="O81">
            <v>0</v>
          </cell>
          <cell r="P81">
            <v>0</v>
          </cell>
          <cell r="Q81">
            <v>6233000</v>
          </cell>
          <cell r="R81">
            <v>0</v>
          </cell>
          <cell r="S81">
            <v>0</v>
          </cell>
          <cell r="T81">
            <v>6262099</v>
          </cell>
          <cell r="U81">
            <v>1977571</v>
          </cell>
          <cell r="V81">
            <v>0</v>
          </cell>
          <cell r="W81">
            <v>8863874</v>
          </cell>
          <cell r="X81">
            <v>0</v>
          </cell>
          <cell r="Y81">
            <v>6325635</v>
          </cell>
          <cell r="Z81">
            <v>1997569</v>
          </cell>
          <cell r="AA81">
            <v>0</v>
          </cell>
          <cell r="AB81">
            <v>5300000</v>
          </cell>
          <cell r="AC81">
            <v>1400000</v>
          </cell>
          <cell r="AD81">
            <v>0</v>
          </cell>
          <cell r="AE81">
            <v>0</v>
          </cell>
          <cell r="AF81">
            <v>6357399</v>
          </cell>
          <cell r="AG81">
            <v>0</v>
          </cell>
          <cell r="AH81">
            <v>0</v>
          </cell>
          <cell r="AI81">
            <v>7059172</v>
          </cell>
          <cell r="AJ81">
            <v>75906</v>
          </cell>
          <cell r="AK81">
            <v>6273992</v>
          </cell>
          <cell r="AL81">
            <v>2286815</v>
          </cell>
          <cell r="AM81">
            <v>0</v>
          </cell>
          <cell r="AN81">
            <v>6500000</v>
          </cell>
          <cell r="AO81">
            <v>2000000</v>
          </cell>
          <cell r="AP81">
            <v>0</v>
          </cell>
          <cell r="AQ81">
            <v>0</v>
          </cell>
          <cell r="AR81">
            <v>10528936</v>
          </cell>
          <cell r="AS81">
            <v>0</v>
          </cell>
          <cell r="AT81">
            <v>0</v>
          </cell>
          <cell r="AU81">
            <v>11204697</v>
          </cell>
          <cell r="AV81">
            <v>0</v>
          </cell>
          <cell r="AW81">
            <v>8550751</v>
          </cell>
          <cell r="AX81">
            <v>3112807</v>
          </cell>
          <cell r="AY81">
            <v>0</v>
          </cell>
          <cell r="AZ81">
            <v>0</v>
          </cell>
          <cell r="BA81">
            <v>10447132</v>
          </cell>
          <cell r="BB81">
            <v>0</v>
          </cell>
          <cell r="BC81">
            <v>0</v>
          </cell>
          <cell r="BD81">
            <v>9301343</v>
          </cell>
          <cell r="BE81">
            <v>27944</v>
          </cell>
          <cell r="BF81">
            <v>0</v>
          </cell>
          <cell r="BG81">
            <v>3317939</v>
          </cell>
          <cell r="BH81">
            <v>0</v>
          </cell>
          <cell r="BI81">
            <v>0</v>
          </cell>
          <cell r="BJ81">
            <v>7599071</v>
          </cell>
          <cell r="BK81">
            <v>2955194</v>
          </cell>
          <cell r="BL81">
            <v>0</v>
          </cell>
          <cell r="BM81">
            <v>9420230</v>
          </cell>
          <cell r="BN81">
            <v>0</v>
          </cell>
          <cell r="BO81">
            <v>32621721</v>
          </cell>
          <cell r="BQ81">
            <v>32707299</v>
          </cell>
          <cell r="BR81">
            <v>85578</v>
          </cell>
          <cell r="BS81">
            <v>-939927</v>
          </cell>
        </row>
        <row r="82">
          <cell r="F82" t="str">
            <v>E.N.R.E. (cuotas y multas)</v>
          </cell>
          <cell r="G82">
            <v>45873</v>
          </cell>
          <cell r="H82">
            <v>0</v>
          </cell>
          <cell r="I82">
            <v>889220</v>
          </cell>
          <cell r="J82">
            <v>355984</v>
          </cell>
          <cell r="K82">
            <v>0</v>
          </cell>
          <cell r="L82">
            <v>0</v>
          </cell>
          <cell r="M82">
            <v>26827</v>
          </cell>
          <cell r="N82">
            <v>0</v>
          </cell>
          <cell r="O82">
            <v>1000000</v>
          </cell>
          <cell r="P82">
            <v>0</v>
          </cell>
          <cell r="Q82">
            <v>0</v>
          </cell>
          <cell r="R82">
            <v>0</v>
          </cell>
          <cell r="S82">
            <v>0</v>
          </cell>
          <cell r="T82">
            <v>0</v>
          </cell>
          <cell r="U82">
            <v>1165422</v>
          </cell>
          <cell r="V82">
            <v>0</v>
          </cell>
          <cell r="W82">
            <v>0</v>
          </cell>
          <cell r="X82">
            <v>0</v>
          </cell>
          <cell r="Y82">
            <v>343</v>
          </cell>
          <cell r="Z82">
            <v>924594</v>
          </cell>
          <cell r="AA82">
            <v>59474</v>
          </cell>
          <cell r="AB82">
            <v>0</v>
          </cell>
          <cell r="AC82">
            <v>0</v>
          </cell>
          <cell r="AD82">
            <v>0</v>
          </cell>
          <cell r="AE82">
            <v>2247528</v>
          </cell>
          <cell r="AF82">
            <v>658657</v>
          </cell>
          <cell r="AG82">
            <v>737316</v>
          </cell>
          <cell r="AH82">
            <v>3526</v>
          </cell>
          <cell r="AI82">
            <v>0</v>
          </cell>
          <cell r="AJ82">
            <v>24044</v>
          </cell>
          <cell r="AK82">
            <v>99167</v>
          </cell>
          <cell r="AL82">
            <v>678363</v>
          </cell>
          <cell r="AM82">
            <v>0</v>
          </cell>
          <cell r="AN82">
            <v>0</v>
          </cell>
          <cell r="AO82">
            <v>0</v>
          </cell>
          <cell r="AP82">
            <v>0</v>
          </cell>
          <cell r="AQ82">
            <v>8493</v>
          </cell>
          <cell r="AR82">
            <v>6493</v>
          </cell>
          <cell r="AS82">
            <v>1957139</v>
          </cell>
          <cell r="AT82">
            <v>58548</v>
          </cell>
          <cell r="AU82">
            <v>109058</v>
          </cell>
          <cell r="AV82">
            <v>1346870</v>
          </cell>
          <cell r="AW82">
            <v>-11059</v>
          </cell>
          <cell r="AX82">
            <v>20295</v>
          </cell>
          <cell r="AY82">
            <v>37222</v>
          </cell>
          <cell r="AZ82">
            <v>42117</v>
          </cell>
          <cell r="BA82">
            <v>49543</v>
          </cell>
          <cell r="BB82">
            <v>2201066</v>
          </cell>
          <cell r="BC82">
            <v>108601</v>
          </cell>
          <cell r="BD82">
            <v>1948525</v>
          </cell>
          <cell r="BE82">
            <v>38647</v>
          </cell>
          <cell r="BF82">
            <v>480783</v>
          </cell>
          <cell r="BG82">
            <v>53658</v>
          </cell>
          <cell r="BH82">
            <v>1333779</v>
          </cell>
          <cell r="BI82">
            <v>805223</v>
          </cell>
          <cell r="BJ82">
            <v>166291</v>
          </cell>
          <cell r="BK82">
            <v>240626</v>
          </cell>
          <cell r="BL82">
            <v>82179</v>
          </cell>
          <cell r="BM82">
            <v>208228</v>
          </cell>
          <cell r="BN82">
            <v>228799</v>
          </cell>
          <cell r="BO82">
            <v>5695339</v>
          </cell>
        </row>
        <row r="84">
          <cell r="F84" t="str">
            <v>Otros Alquileres</v>
          </cell>
          <cell r="G84">
            <v>86191</v>
          </cell>
          <cell r="H84">
            <v>0</v>
          </cell>
          <cell r="I84">
            <v>19759</v>
          </cell>
          <cell r="J84">
            <v>0</v>
          </cell>
          <cell r="K84">
            <v>0</v>
          </cell>
          <cell r="L84">
            <v>14305</v>
          </cell>
          <cell r="M84">
            <v>14305</v>
          </cell>
          <cell r="N84">
            <v>0</v>
          </cell>
          <cell r="O84">
            <v>0</v>
          </cell>
          <cell r="P84">
            <v>0</v>
          </cell>
          <cell r="Q84">
            <v>0</v>
          </cell>
          <cell r="R84">
            <v>0</v>
          </cell>
          <cell r="S84">
            <v>14613</v>
          </cell>
          <cell r="T84">
            <v>16073</v>
          </cell>
          <cell r="U84">
            <v>25529</v>
          </cell>
          <cell r="V84">
            <v>67330</v>
          </cell>
          <cell r="W84">
            <v>64859</v>
          </cell>
          <cell r="X84">
            <v>64859</v>
          </cell>
          <cell r="Y84">
            <v>64859</v>
          </cell>
          <cell r="Z84">
            <v>75439</v>
          </cell>
          <cell r="AA84">
            <v>73789</v>
          </cell>
          <cell r="AB84">
            <v>65000</v>
          </cell>
          <cell r="AC84">
            <v>65000</v>
          </cell>
          <cell r="AD84">
            <v>65000</v>
          </cell>
          <cell r="AE84">
            <v>68100</v>
          </cell>
          <cell r="AF84">
            <v>63178</v>
          </cell>
          <cell r="AG84">
            <v>89438</v>
          </cell>
          <cell r="AH84">
            <v>69762</v>
          </cell>
          <cell r="AI84">
            <v>61430</v>
          </cell>
          <cell r="AJ84">
            <v>59350</v>
          </cell>
          <cell r="AK84">
            <v>56150</v>
          </cell>
          <cell r="AL84">
            <v>49650</v>
          </cell>
          <cell r="AM84">
            <v>75000</v>
          </cell>
          <cell r="AN84">
            <v>75000</v>
          </cell>
          <cell r="AO84">
            <v>75000</v>
          </cell>
          <cell r="AP84">
            <v>75000</v>
          </cell>
          <cell r="AQ84">
            <v>19415</v>
          </cell>
          <cell r="AR84">
            <v>31918</v>
          </cell>
          <cell r="AS84">
            <v>16930</v>
          </cell>
          <cell r="AT84">
            <v>13694</v>
          </cell>
          <cell r="AU84">
            <v>16930</v>
          </cell>
          <cell r="AV84">
            <v>20355</v>
          </cell>
          <cell r="AW84">
            <v>23645</v>
          </cell>
          <cell r="AX84">
            <v>16446</v>
          </cell>
          <cell r="AY84">
            <v>15961</v>
          </cell>
          <cell r="AZ84">
            <v>13335</v>
          </cell>
          <cell r="BA84">
            <v>21110</v>
          </cell>
          <cell r="BB84">
            <v>13335</v>
          </cell>
          <cell r="BC84">
            <v>17283</v>
          </cell>
          <cell r="BD84">
            <v>25218</v>
          </cell>
          <cell r="BE84">
            <v>9523</v>
          </cell>
          <cell r="BF84">
            <v>11508</v>
          </cell>
          <cell r="BG84">
            <v>7395</v>
          </cell>
          <cell r="BH84">
            <v>6850</v>
          </cell>
          <cell r="BI84">
            <v>8835</v>
          </cell>
          <cell r="BJ84">
            <v>8550</v>
          </cell>
          <cell r="BK84">
            <v>16243</v>
          </cell>
          <cell r="BL84">
            <v>10189</v>
          </cell>
          <cell r="BM84">
            <v>0</v>
          </cell>
          <cell r="BN84">
            <v>2000</v>
          </cell>
          <cell r="BO84">
            <v>123594</v>
          </cell>
        </row>
        <row r="85">
          <cell r="F85" t="str">
            <v>Garantías Galicia / IVA Op. Financ.</v>
          </cell>
          <cell r="AE85">
            <v>162145</v>
          </cell>
          <cell r="AF85">
            <v>140012</v>
          </cell>
          <cell r="AG85">
            <v>0</v>
          </cell>
          <cell r="AH85">
            <v>196106</v>
          </cell>
          <cell r="AI85">
            <v>60500</v>
          </cell>
          <cell r="AJ85">
            <v>0</v>
          </cell>
          <cell r="AK85">
            <v>0</v>
          </cell>
          <cell r="AL85">
            <v>89367</v>
          </cell>
          <cell r="AM85">
            <v>0</v>
          </cell>
          <cell r="AN85">
            <v>160000</v>
          </cell>
          <cell r="AO85">
            <v>61000</v>
          </cell>
          <cell r="AP85">
            <v>65000</v>
          </cell>
          <cell r="AQ85">
            <v>0</v>
          </cell>
          <cell r="AR85">
            <v>58365</v>
          </cell>
          <cell r="AS85">
            <v>13349</v>
          </cell>
          <cell r="AT85">
            <v>0</v>
          </cell>
          <cell r="AU85">
            <v>30250</v>
          </cell>
          <cell r="AV85">
            <v>0</v>
          </cell>
          <cell r="AW85">
            <v>0</v>
          </cell>
          <cell r="AX85">
            <v>56091</v>
          </cell>
          <cell r="AY85">
            <v>9120</v>
          </cell>
          <cell r="AZ85">
            <v>4821</v>
          </cell>
          <cell r="BA85">
            <v>35071</v>
          </cell>
          <cell r="BB85">
            <v>16625</v>
          </cell>
          <cell r="BC85">
            <v>14852</v>
          </cell>
          <cell r="BD85">
            <v>30250</v>
          </cell>
          <cell r="BE85">
            <v>21734</v>
          </cell>
          <cell r="BF85">
            <v>8026</v>
          </cell>
          <cell r="BG85">
            <v>54414</v>
          </cell>
          <cell r="BH85">
            <v>11220</v>
          </cell>
          <cell r="BI85">
            <v>1292</v>
          </cell>
          <cell r="BJ85">
            <v>30250</v>
          </cell>
          <cell r="BK85">
            <v>0</v>
          </cell>
          <cell r="BL85">
            <v>0</v>
          </cell>
          <cell r="BM85">
            <v>57210</v>
          </cell>
          <cell r="BN85">
            <v>0</v>
          </cell>
          <cell r="BO85">
            <v>229248</v>
          </cell>
        </row>
        <row r="86">
          <cell r="F86" t="str">
            <v>SUBTOTAL</v>
          </cell>
          <cell r="G86">
            <v>624411</v>
          </cell>
          <cell r="H86">
            <v>915667</v>
          </cell>
          <cell r="I86">
            <v>1484609</v>
          </cell>
          <cell r="J86">
            <v>948745</v>
          </cell>
          <cell r="K86">
            <v>6356277</v>
          </cell>
          <cell r="L86">
            <v>9174508</v>
          </cell>
          <cell r="M86">
            <v>783712</v>
          </cell>
          <cell r="N86">
            <v>4989631.1996141169</v>
          </cell>
          <cell r="O86">
            <v>1303083.9358803462</v>
          </cell>
          <cell r="P86">
            <v>522076.93637063599</v>
          </cell>
          <cell r="Q86">
            <v>7233948.8523298362</v>
          </cell>
          <cell r="R86">
            <v>588659.30491074966</v>
          </cell>
          <cell r="S86">
            <v>672723</v>
          </cell>
          <cell r="T86">
            <v>7031280</v>
          </cell>
          <cell r="U86">
            <v>3961102</v>
          </cell>
          <cell r="V86">
            <v>680324</v>
          </cell>
          <cell r="W86">
            <v>24442995</v>
          </cell>
          <cell r="X86">
            <v>511570</v>
          </cell>
          <cell r="Y86">
            <v>7050422</v>
          </cell>
          <cell r="Z86">
            <v>16638068</v>
          </cell>
          <cell r="AA86">
            <v>808262</v>
          </cell>
          <cell r="AB86">
            <v>6010719.7720573582</v>
          </cell>
          <cell r="AC86">
            <v>10295936.725137301</v>
          </cell>
          <cell r="AD86">
            <v>671155.52642967599</v>
          </cell>
          <cell r="AE86">
            <v>3043371</v>
          </cell>
          <cell r="AF86">
            <v>8043360</v>
          </cell>
          <cell r="AG86">
            <v>1695361</v>
          </cell>
          <cell r="AH86">
            <v>42763423</v>
          </cell>
          <cell r="AI86">
            <v>22373344</v>
          </cell>
          <cell r="AJ86">
            <v>1407525</v>
          </cell>
          <cell r="AK86">
            <v>7771048</v>
          </cell>
          <cell r="AL86">
            <v>19156178</v>
          </cell>
          <cell r="AM86">
            <v>721015.88768609625</v>
          </cell>
          <cell r="AN86">
            <v>7378734.2825271748</v>
          </cell>
          <cell r="AO86">
            <v>16681340.059622528</v>
          </cell>
          <cell r="AP86">
            <v>680188.75445164274</v>
          </cell>
          <cell r="AQ86">
            <v>1041146</v>
          </cell>
          <cell r="AR86">
            <v>11073955</v>
          </cell>
          <cell r="AS86">
            <v>2593878</v>
          </cell>
          <cell r="AT86">
            <v>25221656</v>
          </cell>
          <cell r="AU86">
            <v>32371848</v>
          </cell>
          <cell r="AV86">
            <v>1892395</v>
          </cell>
          <cell r="AW86">
            <v>9220236</v>
          </cell>
          <cell r="AX86">
            <v>25590803</v>
          </cell>
          <cell r="AY86">
            <v>739906</v>
          </cell>
          <cell r="AZ86">
            <v>577936</v>
          </cell>
          <cell r="BA86">
            <v>29403807</v>
          </cell>
          <cell r="BB86">
            <v>2805939</v>
          </cell>
          <cell r="BC86">
            <v>496691</v>
          </cell>
          <cell r="BD86">
            <v>11764211</v>
          </cell>
          <cell r="BE86">
            <v>25875869</v>
          </cell>
          <cell r="BF86">
            <v>2097337</v>
          </cell>
          <cell r="BG86">
            <v>21663881</v>
          </cell>
          <cell r="BH86">
            <v>3935803</v>
          </cell>
          <cell r="BI86">
            <v>1339335</v>
          </cell>
          <cell r="BJ86">
            <v>9393676</v>
          </cell>
          <cell r="BK86">
            <v>4058860</v>
          </cell>
          <cell r="BL86">
            <v>1124231</v>
          </cell>
          <cell r="BM86">
            <v>10267558</v>
          </cell>
          <cell r="BN86">
            <v>30067022</v>
          </cell>
          <cell r="BO86">
            <v>122084474</v>
          </cell>
          <cell r="BT86">
            <v>65833792</v>
          </cell>
          <cell r="BU86">
            <v>81112912.070990846</v>
          </cell>
          <cell r="BV86">
            <v>-15279120.070990846</v>
          </cell>
        </row>
        <row r="88">
          <cell r="F88" t="str">
            <v>Impuestos</v>
          </cell>
        </row>
        <row r="89">
          <cell r="F89" t="str">
            <v>Ganancia Min. presunta</v>
          </cell>
          <cell r="G89">
            <v>0</v>
          </cell>
          <cell r="H89">
            <v>0</v>
          </cell>
          <cell r="I89">
            <v>0</v>
          </cell>
          <cell r="J89">
            <v>12521397</v>
          </cell>
          <cell r="K89">
            <v>249066</v>
          </cell>
          <cell r="L89">
            <v>200926</v>
          </cell>
          <cell r="M89">
            <v>193806</v>
          </cell>
          <cell r="N89">
            <v>200000</v>
          </cell>
          <cell r="O89">
            <v>200000</v>
          </cell>
          <cell r="P89">
            <v>200000</v>
          </cell>
          <cell r="Q89">
            <v>200000</v>
          </cell>
          <cell r="R89">
            <v>200000</v>
          </cell>
          <cell r="S89">
            <v>181350</v>
          </cell>
          <cell r="T89">
            <v>181114</v>
          </cell>
          <cell r="U89">
            <v>174875</v>
          </cell>
          <cell r="V89">
            <v>176954</v>
          </cell>
          <cell r="W89">
            <v>176576</v>
          </cell>
          <cell r="X89">
            <v>171944</v>
          </cell>
          <cell r="Y89">
            <v>171566</v>
          </cell>
          <cell r="Z89">
            <v>172039</v>
          </cell>
          <cell r="AA89">
            <v>168731</v>
          </cell>
          <cell r="AB89">
            <v>185000</v>
          </cell>
          <cell r="AC89">
            <v>185000</v>
          </cell>
          <cell r="AD89">
            <v>185000</v>
          </cell>
          <cell r="AE89">
            <v>165186</v>
          </cell>
          <cell r="AF89">
            <v>160979</v>
          </cell>
          <cell r="AG89">
            <v>158994</v>
          </cell>
          <cell r="AH89">
            <v>159372</v>
          </cell>
          <cell r="AI89">
            <v>157907</v>
          </cell>
          <cell r="AJ89">
            <v>155969</v>
          </cell>
          <cell r="AK89">
            <v>154551</v>
          </cell>
          <cell r="AL89">
            <v>153512</v>
          </cell>
          <cell r="AM89">
            <v>185000</v>
          </cell>
          <cell r="AN89">
            <v>185000</v>
          </cell>
          <cell r="AO89">
            <v>185000</v>
          </cell>
          <cell r="AP89">
            <v>185000</v>
          </cell>
          <cell r="AQ89">
            <v>146328</v>
          </cell>
          <cell r="AR89">
            <v>144626</v>
          </cell>
          <cell r="AS89">
            <v>143114</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row>
        <row r="90">
          <cell r="F90" t="str">
            <v>I.V.A.</v>
          </cell>
          <cell r="G90">
            <v>7217999</v>
          </cell>
          <cell r="H90">
            <v>6528859</v>
          </cell>
          <cell r="I90">
            <v>5863674</v>
          </cell>
          <cell r="J90">
            <v>7349539</v>
          </cell>
          <cell r="K90">
            <v>5612647</v>
          </cell>
          <cell r="L90">
            <v>4931304</v>
          </cell>
          <cell r="M90">
            <v>4342814</v>
          </cell>
          <cell r="N90">
            <v>5077181.9652138799</v>
          </cell>
          <cell r="O90">
            <v>5603379.8494733553</v>
          </cell>
          <cell r="P90">
            <v>5365248.9258507155</v>
          </cell>
          <cell r="Q90">
            <v>5157026.955364692</v>
          </cell>
          <cell r="R90">
            <v>5970115.2392592523</v>
          </cell>
          <cell r="S90">
            <v>5963438</v>
          </cell>
          <cell r="T90">
            <v>7472327</v>
          </cell>
          <cell r="U90">
            <v>7517226</v>
          </cell>
          <cell r="V90">
            <v>10270690</v>
          </cell>
          <cell r="W90">
            <v>4368336</v>
          </cell>
          <cell r="X90">
            <v>7072989</v>
          </cell>
          <cell r="Y90">
            <v>7164654</v>
          </cell>
          <cell r="Z90">
            <v>6169512</v>
          </cell>
          <cell r="AA90">
            <v>5330270</v>
          </cell>
          <cell r="AB90">
            <v>5468991.2811852293</v>
          </cell>
          <cell r="AC90">
            <v>7963017.3174981428</v>
          </cell>
          <cell r="AD90">
            <v>6718691.7768941401</v>
          </cell>
          <cell r="AE90">
            <v>5146119</v>
          </cell>
          <cell r="AF90">
            <v>6978242</v>
          </cell>
          <cell r="AG90">
            <v>7259779</v>
          </cell>
          <cell r="AH90">
            <v>7532621</v>
          </cell>
          <cell r="AI90">
            <v>7754579</v>
          </cell>
          <cell r="AJ90">
            <v>6527112</v>
          </cell>
          <cell r="AK90">
            <v>7127662</v>
          </cell>
          <cell r="AL90">
            <v>7086029</v>
          </cell>
          <cell r="AM90">
            <v>6208936.1689163232</v>
          </cell>
          <cell r="AN90">
            <v>6109074.0616382258</v>
          </cell>
          <cell r="AO90">
            <v>6014246.0541434139</v>
          </cell>
          <cell r="AP90">
            <v>6567518.057921241</v>
          </cell>
          <cell r="AQ90">
            <v>9062688</v>
          </cell>
          <cell r="AR90">
            <v>5852425</v>
          </cell>
          <cell r="AS90">
            <v>7121658</v>
          </cell>
          <cell r="AT90">
            <v>8653146</v>
          </cell>
          <cell r="AU90">
            <v>7646280</v>
          </cell>
          <cell r="AV90">
            <v>8230658</v>
          </cell>
          <cell r="AW90">
            <v>7114486</v>
          </cell>
          <cell r="AX90">
            <v>3383209</v>
          </cell>
          <cell r="AY90">
            <v>5959558</v>
          </cell>
          <cell r="AZ90">
            <v>5233361</v>
          </cell>
          <cell r="BA90">
            <v>6039457</v>
          </cell>
          <cell r="BB90">
            <v>6894824</v>
          </cell>
          <cell r="BC90">
            <v>6385843</v>
          </cell>
          <cell r="BD90">
            <v>6341578</v>
          </cell>
          <cell r="BE90">
            <v>6259837</v>
          </cell>
          <cell r="BF90">
            <v>8333862</v>
          </cell>
          <cell r="BG90">
            <v>6118898</v>
          </cell>
          <cell r="BH90">
            <v>7799850</v>
          </cell>
          <cell r="BI90">
            <v>6081049</v>
          </cell>
          <cell r="BJ90">
            <v>4327134</v>
          </cell>
          <cell r="BK90">
            <v>7270585</v>
          </cell>
          <cell r="BL90">
            <v>5813242</v>
          </cell>
          <cell r="BM90">
            <v>2921194</v>
          </cell>
          <cell r="BN90">
            <v>6625017</v>
          </cell>
          <cell r="BO90">
            <v>74278089</v>
          </cell>
        </row>
        <row r="91">
          <cell r="F91" t="str">
            <v>Ganancias</v>
          </cell>
          <cell r="AQ91">
            <v>0</v>
          </cell>
          <cell r="AR91">
            <v>0</v>
          </cell>
          <cell r="AS91">
            <v>0</v>
          </cell>
          <cell r="AT91">
            <v>0</v>
          </cell>
          <cell r="AU91">
            <v>46314182</v>
          </cell>
          <cell r="AV91">
            <v>7885608</v>
          </cell>
          <cell r="AW91">
            <v>3942804</v>
          </cell>
          <cell r="AX91">
            <v>3942804</v>
          </cell>
          <cell r="AY91">
            <v>3942804</v>
          </cell>
          <cell r="AZ91">
            <v>3942804</v>
          </cell>
          <cell r="BA91">
            <v>3942804</v>
          </cell>
          <cell r="BB91">
            <v>6725960</v>
          </cell>
          <cell r="BC91">
            <v>3942804</v>
          </cell>
          <cell r="BD91">
            <v>5195224</v>
          </cell>
          <cell r="BE91">
            <v>5195224</v>
          </cell>
          <cell r="BF91">
            <v>0</v>
          </cell>
          <cell r="BG91">
            <v>9528246</v>
          </cell>
          <cell r="BH91">
            <v>5236838</v>
          </cell>
          <cell r="BI91">
            <v>5236838</v>
          </cell>
          <cell r="BJ91">
            <v>5236838</v>
          </cell>
          <cell r="BK91">
            <v>5236838</v>
          </cell>
          <cell r="BL91">
            <v>0</v>
          </cell>
          <cell r="BM91">
            <v>2727733</v>
          </cell>
          <cell r="BN91">
            <v>3945848</v>
          </cell>
          <cell r="BO91">
            <v>51482431</v>
          </cell>
        </row>
        <row r="92">
          <cell r="F92" t="str">
            <v>Canon Pcial. y Municipal</v>
          </cell>
          <cell r="G92">
            <v>1076476</v>
          </cell>
          <cell r="H92">
            <v>1241254</v>
          </cell>
          <cell r="I92">
            <v>1133974</v>
          </cell>
          <cell r="J92">
            <v>964592</v>
          </cell>
          <cell r="K92">
            <v>811350</v>
          </cell>
          <cell r="L92">
            <v>642294</v>
          </cell>
          <cell r="M92">
            <v>415426</v>
          </cell>
          <cell r="N92">
            <v>800000</v>
          </cell>
          <cell r="O92">
            <v>800000</v>
          </cell>
          <cell r="P92">
            <v>800000</v>
          </cell>
          <cell r="Q92">
            <v>800000</v>
          </cell>
          <cell r="R92">
            <v>800000</v>
          </cell>
          <cell r="S92">
            <v>329430</v>
          </cell>
          <cell r="T92">
            <v>931484</v>
          </cell>
          <cell r="U92">
            <v>1500833</v>
          </cell>
          <cell r="V92">
            <v>863843</v>
          </cell>
          <cell r="W92">
            <v>812395</v>
          </cell>
          <cell r="X92">
            <v>654302</v>
          </cell>
          <cell r="Y92">
            <v>417596</v>
          </cell>
          <cell r="Z92">
            <v>194830</v>
          </cell>
          <cell r="AA92">
            <v>403132</v>
          </cell>
          <cell r="AB92">
            <v>900000</v>
          </cell>
          <cell r="AC92">
            <v>900000</v>
          </cell>
          <cell r="AD92">
            <v>900000</v>
          </cell>
          <cell r="AE92">
            <v>964273</v>
          </cell>
          <cell r="AF92">
            <v>1124002</v>
          </cell>
          <cell r="AG92">
            <v>1199569</v>
          </cell>
          <cell r="AH92">
            <v>977954</v>
          </cell>
          <cell r="AI92">
            <v>1031429</v>
          </cell>
          <cell r="AJ92">
            <v>556581</v>
          </cell>
          <cell r="AK92">
            <v>506013</v>
          </cell>
          <cell r="AL92">
            <v>571910</v>
          </cell>
          <cell r="AM92">
            <v>900000</v>
          </cell>
          <cell r="AN92">
            <v>900000</v>
          </cell>
          <cell r="AO92">
            <v>900000</v>
          </cell>
          <cell r="AP92">
            <v>900000</v>
          </cell>
          <cell r="AQ92">
            <v>1330969</v>
          </cell>
          <cell r="AR92">
            <v>1069456</v>
          </cell>
          <cell r="AS92">
            <v>1057292</v>
          </cell>
          <cell r="AT92">
            <v>1196385</v>
          </cell>
          <cell r="AU92">
            <v>681741</v>
          </cell>
          <cell r="AV92">
            <v>467522</v>
          </cell>
          <cell r="AW92">
            <v>611345</v>
          </cell>
          <cell r="AX92">
            <v>635755</v>
          </cell>
          <cell r="AY92">
            <v>818195</v>
          </cell>
          <cell r="AZ92">
            <v>809404</v>
          </cell>
          <cell r="BA92">
            <v>731274</v>
          </cell>
          <cell r="BB92">
            <v>643628</v>
          </cell>
          <cell r="BC92">
            <v>1073728</v>
          </cell>
          <cell r="BD92">
            <v>1140504</v>
          </cell>
          <cell r="BE92">
            <v>1355640</v>
          </cell>
          <cell r="BF92">
            <v>1357375</v>
          </cell>
          <cell r="BG92">
            <v>871259</v>
          </cell>
          <cell r="BH92">
            <v>699275</v>
          </cell>
          <cell r="BI92">
            <v>494962</v>
          </cell>
          <cell r="BJ92">
            <v>265523</v>
          </cell>
          <cell r="BK92">
            <v>953234</v>
          </cell>
          <cell r="BL92">
            <v>988125</v>
          </cell>
          <cell r="BM92">
            <v>403635</v>
          </cell>
          <cell r="BN92">
            <v>1119593</v>
          </cell>
          <cell r="BO92">
            <v>10722853</v>
          </cell>
        </row>
        <row r="93">
          <cell r="F93" t="str">
            <v>Otros Impuestos</v>
          </cell>
          <cell r="G93">
            <v>2257683</v>
          </cell>
          <cell r="H93">
            <v>2079898</v>
          </cell>
          <cell r="I93">
            <v>1681319</v>
          </cell>
          <cell r="J93">
            <v>2052247</v>
          </cell>
          <cell r="K93">
            <v>1948720</v>
          </cell>
          <cell r="L93">
            <v>2962877</v>
          </cell>
          <cell r="M93">
            <v>2649213</v>
          </cell>
          <cell r="N93">
            <v>2200000</v>
          </cell>
          <cell r="O93">
            <v>2200000</v>
          </cell>
          <cell r="P93">
            <v>2200000</v>
          </cell>
          <cell r="Q93">
            <v>2200000</v>
          </cell>
          <cell r="R93">
            <v>2200000</v>
          </cell>
          <cell r="S93">
            <v>2166589</v>
          </cell>
          <cell r="T93">
            <v>2373272</v>
          </cell>
          <cell r="U93">
            <v>2779660</v>
          </cell>
          <cell r="V93">
            <v>1891960</v>
          </cell>
          <cell r="W93">
            <v>2007538</v>
          </cell>
          <cell r="X93">
            <v>1937837</v>
          </cell>
          <cell r="Y93">
            <v>1899204</v>
          </cell>
          <cell r="Z93">
            <v>2118011</v>
          </cell>
          <cell r="AA93">
            <v>1867873</v>
          </cell>
          <cell r="AB93">
            <v>2000000</v>
          </cell>
          <cell r="AC93">
            <v>2000000</v>
          </cell>
          <cell r="AD93">
            <v>2000000</v>
          </cell>
          <cell r="AE93">
            <v>2352862</v>
          </cell>
          <cell r="AF93">
            <v>2053033</v>
          </cell>
          <cell r="AG93">
            <v>1956069</v>
          </cell>
          <cell r="AH93">
            <v>2107387</v>
          </cell>
          <cell r="AI93">
            <v>2068133</v>
          </cell>
          <cell r="AJ93">
            <v>2157662</v>
          </cell>
          <cell r="AK93">
            <v>2182625</v>
          </cell>
          <cell r="AL93">
            <v>2235519</v>
          </cell>
          <cell r="AM93">
            <v>2000000</v>
          </cell>
          <cell r="AN93">
            <v>2000000</v>
          </cell>
          <cell r="AO93">
            <v>2000000</v>
          </cell>
          <cell r="AP93">
            <v>2000000</v>
          </cell>
          <cell r="AQ93">
            <v>2349149</v>
          </cell>
          <cell r="AR93">
            <v>2413044</v>
          </cell>
          <cell r="AS93">
            <v>1976819</v>
          </cell>
          <cell r="AT93">
            <v>2691952</v>
          </cell>
          <cell r="AU93">
            <v>2228404</v>
          </cell>
          <cell r="AV93">
            <v>1926883</v>
          </cell>
          <cell r="AW93">
            <v>2109672</v>
          </cell>
          <cell r="AX93">
            <v>1844307</v>
          </cell>
          <cell r="AY93">
            <v>1984358</v>
          </cell>
          <cell r="AZ93">
            <v>2039804</v>
          </cell>
          <cell r="BA93">
            <v>1821762</v>
          </cell>
          <cell r="BB93">
            <v>2375195</v>
          </cell>
          <cell r="BC93">
            <v>2570625</v>
          </cell>
          <cell r="BD93">
            <v>2448065</v>
          </cell>
          <cell r="BE93">
            <v>2196801</v>
          </cell>
          <cell r="BF93">
            <v>4651525</v>
          </cell>
          <cell r="BG93">
            <v>3485943</v>
          </cell>
          <cell r="BH93">
            <v>3292170</v>
          </cell>
          <cell r="BI93">
            <v>3223960</v>
          </cell>
          <cell r="BJ93">
            <v>6189826</v>
          </cell>
          <cell r="BK93">
            <v>3537773</v>
          </cell>
          <cell r="BL93">
            <v>3221879</v>
          </cell>
          <cell r="BM93">
            <v>3614296</v>
          </cell>
          <cell r="BN93">
            <v>3955019</v>
          </cell>
          <cell r="BO93">
            <v>42387882</v>
          </cell>
        </row>
        <row r="94">
          <cell r="F94" t="str">
            <v>Fondos Nacionales</v>
          </cell>
          <cell r="G94">
            <v>801712</v>
          </cell>
          <cell r="H94">
            <v>803616</v>
          </cell>
          <cell r="I94">
            <v>765431</v>
          </cell>
          <cell r="J94">
            <v>782660</v>
          </cell>
          <cell r="K94">
            <v>754922</v>
          </cell>
          <cell r="L94">
            <v>795210</v>
          </cell>
          <cell r="M94">
            <v>758553</v>
          </cell>
          <cell r="N94">
            <v>790870.42824871314</v>
          </cell>
          <cell r="O94">
            <v>826408.30205542909</v>
          </cell>
          <cell r="P94">
            <v>850164.96465870424</v>
          </cell>
          <cell r="Q94">
            <v>799634.61727408622</v>
          </cell>
          <cell r="R94">
            <v>772452.8878124262</v>
          </cell>
          <cell r="S94">
            <v>706141</v>
          </cell>
          <cell r="T94">
            <v>880005</v>
          </cell>
          <cell r="U94">
            <v>868111</v>
          </cell>
          <cell r="V94">
            <v>810099</v>
          </cell>
          <cell r="W94">
            <v>814636</v>
          </cell>
          <cell r="X94">
            <v>811398</v>
          </cell>
          <cell r="Y94">
            <v>790914</v>
          </cell>
          <cell r="Z94">
            <v>834092</v>
          </cell>
          <cell r="AA94">
            <v>817774</v>
          </cell>
          <cell r="AB94">
            <v>783522.90606783086</v>
          </cell>
          <cell r="AC94">
            <v>875077.4217151592</v>
          </cell>
          <cell r="AD94">
            <v>374452.36848575302</v>
          </cell>
          <cell r="AE94">
            <v>390657</v>
          </cell>
          <cell r="AF94">
            <v>411489</v>
          </cell>
          <cell r="AG94">
            <v>412971</v>
          </cell>
          <cell r="AH94">
            <v>404833</v>
          </cell>
          <cell r="AI94">
            <v>432084</v>
          </cell>
          <cell r="AJ94">
            <v>395256</v>
          </cell>
          <cell r="AK94">
            <v>396848</v>
          </cell>
          <cell r="AL94">
            <v>423630</v>
          </cell>
          <cell r="AM94">
            <v>409080.50097852008</v>
          </cell>
          <cell r="AN94">
            <v>443588.02386982675</v>
          </cell>
          <cell r="AO94">
            <v>417703.67305689905</v>
          </cell>
          <cell r="AP94">
            <v>401714.63574567245</v>
          </cell>
          <cell r="AQ94">
            <v>448989</v>
          </cell>
          <cell r="AR94">
            <v>404101</v>
          </cell>
          <cell r="AS94">
            <v>398080</v>
          </cell>
          <cell r="AT94">
            <v>439004</v>
          </cell>
          <cell r="AU94">
            <v>412069</v>
          </cell>
          <cell r="AV94">
            <v>398539</v>
          </cell>
          <cell r="AW94">
            <v>393951</v>
          </cell>
          <cell r="AX94">
            <v>415938</v>
          </cell>
          <cell r="AY94">
            <v>426191</v>
          </cell>
          <cell r="AZ94">
            <v>399419</v>
          </cell>
          <cell r="BA94">
            <v>388289</v>
          </cell>
          <cell r="BB94">
            <v>361900</v>
          </cell>
          <cell r="BC94">
            <v>396497</v>
          </cell>
          <cell r="BD94">
            <v>385205</v>
          </cell>
          <cell r="BE94">
            <v>403157</v>
          </cell>
          <cell r="BF94">
            <v>489331</v>
          </cell>
          <cell r="BG94">
            <v>412102</v>
          </cell>
          <cell r="BH94">
            <v>423098</v>
          </cell>
          <cell r="BI94">
            <v>401721</v>
          </cell>
          <cell r="BJ94">
            <v>389895</v>
          </cell>
          <cell r="BK94">
            <v>475337</v>
          </cell>
          <cell r="BL94">
            <v>433153</v>
          </cell>
          <cell r="BM94">
            <v>340294</v>
          </cell>
          <cell r="BN94">
            <v>425109</v>
          </cell>
          <cell r="BO94">
            <v>4974899</v>
          </cell>
        </row>
        <row r="95">
          <cell r="F95" t="str">
            <v>Fondos Provinciales</v>
          </cell>
          <cell r="G95">
            <v>3618133</v>
          </cell>
          <cell r="H95">
            <v>3659009</v>
          </cell>
          <cell r="I95">
            <v>3506214</v>
          </cell>
          <cell r="J95">
            <v>3600854</v>
          </cell>
          <cell r="K95">
            <v>3546800</v>
          </cell>
          <cell r="L95">
            <v>3509592</v>
          </cell>
          <cell r="M95">
            <v>3495722</v>
          </cell>
          <cell r="N95">
            <v>3753339.2407303508</v>
          </cell>
          <cell r="O95">
            <v>3921996.0668380572</v>
          </cell>
          <cell r="P95">
            <v>4034741.2281094333</v>
          </cell>
          <cell r="Q95">
            <v>3794932.6211466007</v>
          </cell>
          <cell r="R95">
            <v>3665932.6634098059</v>
          </cell>
          <cell r="S95">
            <v>2156259</v>
          </cell>
          <cell r="T95">
            <v>2588110</v>
          </cell>
          <cell r="U95">
            <v>2994951</v>
          </cell>
          <cell r="V95">
            <v>2954378</v>
          </cell>
          <cell r="W95">
            <v>2928965</v>
          </cell>
          <cell r="X95">
            <v>2577951</v>
          </cell>
          <cell r="Y95">
            <v>2708794</v>
          </cell>
          <cell r="Z95">
            <v>2751543</v>
          </cell>
          <cell r="AA95">
            <v>2794532</v>
          </cell>
          <cell r="AB95">
            <v>3434614.5303391539</v>
          </cell>
          <cell r="AC95">
            <v>3892387.1085757962</v>
          </cell>
          <cell r="AD95">
            <v>3285523.6848575301</v>
          </cell>
          <cell r="AE95">
            <v>3403222</v>
          </cell>
          <cell r="AF95">
            <v>3744963</v>
          </cell>
          <cell r="AG95">
            <v>3951967</v>
          </cell>
          <cell r="AH95">
            <v>3525412</v>
          </cell>
          <cell r="AI95">
            <v>3931588</v>
          </cell>
          <cell r="AJ95">
            <v>3372532</v>
          </cell>
          <cell r="AK95">
            <v>3625754</v>
          </cell>
          <cell r="AL95">
            <v>3795780</v>
          </cell>
          <cell r="AM95">
            <v>3392535.5097852009</v>
          </cell>
          <cell r="AN95">
            <v>3719349.7386982674</v>
          </cell>
          <cell r="AO95">
            <v>3458463.2305689901</v>
          </cell>
          <cell r="AP95">
            <v>3256538.3574567246</v>
          </cell>
          <cell r="AQ95">
            <v>4315414</v>
          </cell>
          <cell r="AR95">
            <v>3665617</v>
          </cell>
          <cell r="AS95">
            <v>3728158</v>
          </cell>
          <cell r="AT95">
            <v>4164313</v>
          </cell>
          <cell r="AU95">
            <v>3902894</v>
          </cell>
          <cell r="AV95">
            <v>3792675</v>
          </cell>
          <cell r="AW95">
            <v>3788768</v>
          </cell>
          <cell r="AX95">
            <v>4162954</v>
          </cell>
          <cell r="AY95">
            <v>3920381</v>
          </cell>
          <cell r="AZ95">
            <v>4068818</v>
          </cell>
          <cell r="BA95">
            <v>3736154</v>
          </cell>
          <cell r="BB95">
            <v>3496380</v>
          </cell>
          <cell r="BC95">
            <v>3674666</v>
          </cell>
          <cell r="BD95">
            <v>3786059</v>
          </cell>
          <cell r="BE95">
            <v>4028454</v>
          </cell>
          <cell r="BF95">
            <v>4729867</v>
          </cell>
          <cell r="BG95">
            <v>3794194</v>
          </cell>
          <cell r="BH95">
            <v>4006353</v>
          </cell>
          <cell r="BI95">
            <v>3649387</v>
          </cell>
          <cell r="BJ95">
            <v>3723921</v>
          </cell>
          <cell r="BK95">
            <v>4480492</v>
          </cell>
          <cell r="BL95">
            <v>4167021</v>
          </cell>
          <cell r="BM95">
            <v>3084693</v>
          </cell>
          <cell r="BN95">
            <v>4053688</v>
          </cell>
          <cell r="BO95">
            <v>47178795</v>
          </cell>
        </row>
        <row r="96">
          <cell r="F96" t="str">
            <v>Retención Cobro Terceros</v>
          </cell>
          <cell r="AE96">
            <v>0</v>
          </cell>
          <cell r="AF96">
            <v>0</v>
          </cell>
          <cell r="AG96">
            <v>0</v>
          </cell>
          <cell r="AH96">
            <v>317580</v>
          </cell>
          <cell r="AI96">
            <v>240220</v>
          </cell>
          <cell r="AJ96">
            <v>127487</v>
          </cell>
          <cell r="AK96">
            <v>189942</v>
          </cell>
          <cell r="AL96">
            <v>274190</v>
          </cell>
          <cell r="AM96">
            <v>300000</v>
          </cell>
          <cell r="AN96">
            <v>300000</v>
          </cell>
          <cell r="AO96">
            <v>300000</v>
          </cell>
          <cell r="AP96">
            <v>300000</v>
          </cell>
          <cell r="AQ96">
            <v>453986</v>
          </cell>
          <cell r="AR96">
            <v>392723</v>
          </cell>
          <cell r="AS96">
            <v>388221</v>
          </cell>
          <cell r="AT96">
            <v>416128</v>
          </cell>
          <cell r="AU96">
            <v>346728</v>
          </cell>
          <cell r="AV96">
            <v>308986</v>
          </cell>
          <cell r="AW96">
            <v>402605</v>
          </cell>
          <cell r="AX96">
            <v>431553</v>
          </cell>
          <cell r="AY96">
            <v>390542</v>
          </cell>
          <cell r="AZ96">
            <v>350866</v>
          </cell>
          <cell r="BA96">
            <v>390106</v>
          </cell>
          <cell r="BB96">
            <v>355341</v>
          </cell>
          <cell r="BC96">
            <v>411209</v>
          </cell>
          <cell r="BD96">
            <v>403689</v>
          </cell>
          <cell r="BE96">
            <v>339948</v>
          </cell>
          <cell r="BF96">
            <v>417312</v>
          </cell>
          <cell r="BG96">
            <v>384903</v>
          </cell>
          <cell r="BH96">
            <v>328054</v>
          </cell>
          <cell r="BI96">
            <v>400843</v>
          </cell>
          <cell r="BJ96">
            <v>315321</v>
          </cell>
          <cell r="BK96">
            <v>333191</v>
          </cell>
          <cell r="BL96">
            <v>252042</v>
          </cell>
          <cell r="BM96">
            <v>251298</v>
          </cell>
          <cell r="BN96">
            <v>358326</v>
          </cell>
          <cell r="BO96">
            <v>4196136</v>
          </cell>
        </row>
      </sheetData>
      <sheetData sheetId="1" refreshError="1"/>
      <sheetData sheetId="2"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acolda Project"/>
      <sheetName val="Summary Economics"/>
      <sheetName val="Sensitivities"/>
      <sheetName val="Dashboard"/>
      <sheetName val="VATT and VASTx escal"/>
      <sheetName val="Assum"/>
      <sheetName val="Macro"/>
      <sheetName val="Debt"/>
      <sheetName val="Revenues"/>
      <sheetName val="Costs"/>
      <sheetName val="Depr"/>
      <sheetName val="Ongoing Capex"/>
      <sheetName val="Financials Monthly"/>
      <sheetName val="Financials Annual"/>
      <sheetName val="WACC calc"/>
      <sheetName val="O&amp;M Cost graph"/>
    </sheetNames>
    <sheetDataSet>
      <sheetData sheetId="0"/>
      <sheetData sheetId="1"/>
      <sheetData sheetId="2">
        <row r="36">
          <cell r="G36">
            <v>54122.639114609839</v>
          </cell>
        </row>
        <row r="37">
          <cell r="G37">
            <v>51238.651934289606</v>
          </cell>
        </row>
        <row r="38">
          <cell r="G38">
            <v>48605.144751362765</v>
          </cell>
          <cell r="I38">
            <v>48630.718709452914</v>
          </cell>
        </row>
        <row r="39">
          <cell r="G39">
            <v>46195.172818731597</v>
          </cell>
        </row>
        <row r="40">
          <cell r="G40">
            <v>43985.12212962826</v>
          </cell>
        </row>
      </sheetData>
      <sheetData sheetId="3"/>
      <sheetData sheetId="4"/>
      <sheetData sheetId="5">
        <row r="11">
          <cell r="G11">
            <v>88.435000000000002</v>
          </cell>
        </row>
      </sheetData>
      <sheetData sheetId="6"/>
      <sheetData sheetId="7"/>
      <sheetData sheetId="8"/>
      <sheetData sheetId="9"/>
      <sheetData sheetId="10"/>
      <sheetData sheetId="11"/>
      <sheetData sheetId="12"/>
      <sheetData sheetId="13"/>
      <sheetData sheetId="14"/>
      <sheetData sheetId="15"/>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T"/>
      <sheetName val="dealguy199"/>
      <sheetName val="dealguy599"/>
      <sheetName val="dealguy1099"/>
      <sheetName val="dealguy1299"/>
      <sheetName val="defee1099"/>
      <sheetName val="defee1299"/>
      <sheetName val="distPREQ"/>
      <sheetName val="MEMBER ALLOC."/>
      <sheetName val="DEFERRED"/>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Apartment BOE"/>
      <sheetName val="Fin Assum"/>
      <sheetName val="Mezz calculations"/>
      <sheetName val="Dashboard"/>
      <sheetName val="EMM Matrix"/>
      <sheetName val="HOM Matrix"/>
      <sheetName val="LCM Wet Slip Matrix"/>
      <sheetName val="LCM Dry Stack Matrix"/>
      <sheetName val="I &amp; E Hotel"/>
      <sheetName val="Comp.&amp; Market Penet."/>
    </sheetNames>
    <sheetDataSet>
      <sheetData sheetId="0" refreshError="1">
        <row r="43">
          <cell r="A43" t="str">
            <v>H.F. Holding Corp.</v>
          </cell>
          <cell r="E43">
            <v>1.6247499999999999E-3</v>
          </cell>
          <cell r="F43">
            <v>1.0003E-2</v>
          </cell>
          <cell r="G43">
            <v>2453.61</v>
          </cell>
        </row>
        <row r="44">
          <cell r="A44" t="str">
            <v xml:space="preserve">Madison </v>
          </cell>
          <cell r="B44" t="str">
            <v>Charles I.</v>
          </cell>
          <cell r="E44">
            <v>5.0249999999999996E-2</v>
          </cell>
          <cell r="F44">
            <v>0.30937399999999998</v>
          </cell>
          <cell r="G44">
            <v>75885.45</v>
          </cell>
        </row>
        <row r="45">
          <cell r="A45" t="str">
            <v>Smith</v>
          </cell>
          <cell r="B45" t="str">
            <v>Mark L.</v>
          </cell>
          <cell r="E45">
            <v>4.02E-2</v>
          </cell>
          <cell r="F45">
            <v>0.247499</v>
          </cell>
          <cell r="G45">
            <v>60708.31</v>
          </cell>
        </row>
        <row r="46">
          <cell r="A46" t="str">
            <v>Bowker</v>
          </cell>
          <cell r="B46" t="str">
            <v>Ross E.</v>
          </cell>
          <cell r="E46">
            <v>4.02E-2</v>
          </cell>
          <cell r="F46">
            <v>0.247499</v>
          </cell>
          <cell r="G46">
            <v>60708.31</v>
          </cell>
        </row>
        <row r="47">
          <cell r="A47" t="str">
            <v>Funk</v>
          </cell>
          <cell r="B47" t="str">
            <v>Richard W., Jr.</v>
          </cell>
          <cell r="E47">
            <v>1.6750000000000001E-2</v>
          </cell>
          <cell r="F47">
            <v>0.10312499999999999</v>
          </cell>
          <cell r="G47">
            <v>25295.23</v>
          </cell>
        </row>
        <row r="48">
          <cell r="A48" t="str">
            <v>Paradis</v>
          </cell>
          <cell r="B48" t="str">
            <v>Dianne A.</v>
          </cell>
          <cell r="E48">
            <v>6.6999999999999994E-3</v>
          </cell>
          <cell r="F48">
            <v>4.1250000000000002E-2</v>
          </cell>
          <cell r="G48">
            <v>10118.09</v>
          </cell>
        </row>
        <row r="49">
          <cell r="A49" t="str">
            <v>Wright</v>
          </cell>
          <cell r="B49" t="str">
            <v>Christina V.</v>
          </cell>
          <cell r="E49">
            <v>6.6999999999999994E-3</v>
          </cell>
          <cell r="F49">
            <v>4.1250000000000002E-2</v>
          </cell>
          <cell r="G49">
            <v>10118.09</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T"/>
      <sheetName val="dealguy199"/>
      <sheetName val="dealguy599"/>
      <sheetName val="dealguy1099"/>
      <sheetName val="dealguy1299"/>
      <sheetName val="deffee1099"/>
      <sheetName val="deffee1299"/>
      <sheetName val="distPREQ"/>
      <sheetName val="DEFERRED"/>
      <sheetName val="MEMBER ALLOC."/>
      <sheetName val="Sheet2"/>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 val="Download"/>
      <sheetName val="DIV INC"/>
      <sheetName val="EVABT"/>
      <sheetName val="Exit Strategy"/>
      <sheetName val="Model Assumptions"/>
      <sheetName val="Casino Queen"/>
      <sheetName val="Assum"/>
      <sheetName val="Offsets &amp; Other Costs"/>
    </sheetNames>
    <sheetDataSet>
      <sheetData sheetId="0" refreshError="1">
        <row r="43">
          <cell r="A43" t="str">
            <v>H.F. Holding Corp.</v>
          </cell>
          <cell r="E43">
            <v>1.6247499999999999E-3</v>
          </cell>
          <cell r="F43">
            <v>1.0003E-2</v>
          </cell>
          <cell r="G43">
            <v>1050.72</v>
          </cell>
        </row>
        <row r="44">
          <cell r="A44" t="str">
            <v xml:space="preserve">Madison </v>
          </cell>
          <cell r="B44" t="str">
            <v>Charles I.</v>
          </cell>
          <cell r="E44">
            <v>5.0249999999999996E-2</v>
          </cell>
          <cell r="F44">
            <v>0.30937399999999998</v>
          </cell>
          <cell r="G44">
            <v>32496.720000000001</v>
          </cell>
        </row>
        <row r="45">
          <cell r="A45" t="str">
            <v>Smith</v>
          </cell>
          <cell r="B45" t="str">
            <v>Mark L.</v>
          </cell>
          <cell r="E45">
            <v>4.02E-2</v>
          </cell>
          <cell r="F45">
            <v>0.247499</v>
          </cell>
          <cell r="G45">
            <v>25997.360000000001</v>
          </cell>
        </row>
        <row r="46">
          <cell r="A46" t="str">
            <v>Bowker</v>
          </cell>
          <cell r="B46" t="str">
            <v>Ross E.</v>
          </cell>
          <cell r="E46">
            <v>4.02E-2</v>
          </cell>
          <cell r="F46">
            <v>0.247499</v>
          </cell>
          <cell r="G46">
            <v>25997.360000000001</v>
          </cell>
        </row>
        <row r="47">
          <cell r="A47" t="str">
            <v>Funk</v>
          </cell>
          <cell r="B47" t="str">
            <v>Richard W., Jr.</v>
          </cell>
          <cell r="E47">
            <v>1.6750000000000001E-2</v>
          </cell>
          <cell r="F47">
            <v>0.10312499999999999</v>
          </cell>
          <cell r="G47">
            <v>10832.28</v>
          </cell>
        </row>
        <row r="48">
          <cell r="A48" t="str">
            <v>Paradis</v>
          </cell>
          <cell r="B48" t="str">
            <v>Dianne A.</v>
          </cell>
          <cell r="E48">
            <v>6.6999999999999994E-3</v>
          </cell>
          <cell r="F48">
            <v>4.1250000000000002E-2</v>
          </cell>
          <cell r="G48">
            <v>4332.91</v>
          </cell>
        </row>
        <row r="49">
          <cell r="A49" t="str">
            <v>Wright</v>
          </cell>
          <cell r="B49" t="str">
            <v>Christina V.</v>
          </cell>
          <cell r="E49">
            <v>6.6999999999999994E-3</v>
          </cell>
          <cell r="F49">
            <v>4.1250000000000002E-2</v>
          </cell>
          <cell r="G49">
            <v>4332.91</v>
          </cell>
        </row>
      </sheetData>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Ge"/>
      <sheetName val="PurchaseP"/>
      <sheetName val="ConsolCFUSD"/>
      <sheetName val="ConsolCFMXN"/>
      <sheetName val="ROC"/>
      <sheetName val="Sens"/>
      <sheetName val="BriChUSD"/>
      <sheetName val="BriUSD"/>
      <sheetName val="BriMXN"/>
      <sheetName val="StabNOIBreakdownChart"/>
      <sheetName val="ConsOut"/>
      <sheetName val="MiOut"/>
      <sheetName val="SFOut"/>
      <sheetName val="LagOut"/>
      <sheetName val="LatOut"/>
      <sheetName val="LacOut"/>
      <sheetName val="GasOut"/>
      <sheetName val="OpExOut"/>
      <sheetName val="CapExOut"/>
      <sheetName val="SFGE"/>
      <sheetName val="LagGE"/>
      <sheetName val="LatGe"/>
      <sheetName val="LacGe"/>
      <sheetName val="GasGe"/>
      <sheetName val="ConMo"/>
      <sheetName val="MiMo"/>
      <sheetName val="SFMo"/>
      <sheetName val="LagMo"/>
      <sheetName val="LatMo"/>
      <sheetName val="LacMo"/>
      <sheetName val="GasMo"/>
      <sheetName val="OPEX Analysis"/>
      <sheetName val="Payroll"/>
      <sheetName val="Capex Assumptions"/>
      <sheetName val="HistoricalExpenses"/>
      <sheetName val="Sources DF &gt;&gt;&gt;"/>
      <sheetName val="SFExp"/>
      <sheetName val="LagExp"/>
      <sheetName val="SFCF"/>
      <sheetName val="LagCF"/>
      <sheetName val="SFOcc"/>
      <sheetName val="LagOcc"/>
      <sheetName val="SFMLA"/>
      <sheetName val="LagMLA"/>
      <sheetName val="Sources Mon &gt;&gt;&gt;"/>
      <sheetName val="LatExp"/>
      <sheetName val="LacExp"/>
      <sheetName val="GasExp"/>
      <sheetName val="LatCF"/>
      <sheetName val="LacCF"/>
      <sheetName val="GasCF"/>
      <sheetName val="LatOcc"/>
      <sheetName val="LacOcc"/>
      <sheetName val="GasOcc"/>
      <sheetName val="GasMtM"/>
      <sheetName val="LatMLA"/>
      <sheetName val="LacMLA"/>
      <sheetName val="GasMLA"/>
    </sheetNames>
    <sheetDataSet>
      <sheetData sheetId="0" refreshError="1">
        <row r="6">
          <cell r="E6">
            <v>27947</v>
          </cell>
        </row>
        <row r="39">
          <cell r="E39">
            <v>7.0000000000000007E-2</v>
          </cell>
        </row>
      </sheetData>
      <sheetData sheetId="1" refreshError="1">
        <row r="4">
          <cell r="D4">
            <v>15</v>
          </cell>
        </row>
        <row r="13">
          <cell r="E13">
            <v>0</v>
          </cell>
        </row>
      </sheetData>
      <sheetData sheetId="2"/>
      <sheetData sheetId="3">
        <row r="4">
          <cell r="D4">
            <v>15</v>
          </cell>
        </row>
      </sheetData>
      <sheetData sheetId="4">
        <row r="13">
          <cell r="O13">
            <v>1</v>
          </cell>
        </row>
      </sheetData>
      <sheetData sheetId="5">
        <row r="13">
          <cell r="O13">
            <v>1</v>
          </cell>
        </row>
      </sheetData>
      <sheetData sheetId="6"/>
      <sheetData sheetId="7"/>
      <sheetData sheetId="8"/>
      <sheetData sheetId="9"/>
      <sheetData sheetId="10"/>
      <sheetData sheetId="11"/>
      <sheetData sheetId="12"/>
      <sheetData sheetId="13"/>
      <sheetData sheetId="14"/>
      <sheetData sheetId="15"/>
      <sheetData sheetId="16"/>
      <sheetData sheetId="17"/>
      <sheetData sheetId="18">
        <row r="6">
          <cell r="E6">
            <v>27947</v>
          </cell>
        </row>
      </sheetData>
      <sheetData sheetId="19"/>
      <sheetData sheetId="20">
        <row r="6">
          <cell r="E6">
            <v>22361</v>
          </cell>
        </row>
      </sheetData>
      <sheetData sheetId="21">
        <row r="6">
          <cell r="E6">
            <v>17553.059999999998</v>
          </cell>
        </row>
      </sheetData>
      <sheetData sheetId="22">
        <row r="6">
          <cell r="E6">
            <v>10268.980000000001</v>
          </cell>
        </row>
      </sheetData>
      <sheetData sheetId="23">
        <row r="6">
          <cell r="E6">
            <v>19362</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Ge"/>
      <sheetName val="PurchaseP"/>
      <sheetName val="ConsolCFUSD"/>
      <sheetName val="ConsolCFMXN"/>
      <sheetName val="ROC"/>
      <sheetName val="Sens"/>
      <sheetName val="BriChUSD"/>
      <sheetName val="BriUSD"/>
      <sheetName val="BriMXN"/>
      <sheetName val="StabNOIBreakdownChart"/>
      <sheetName val="ConsOut"/>
      <sheetName val="MiOut"/>
      <sheetName val="SFOut"/>
      <sheetName val="LagOut"/>
      <sheetName val="LatOut"/>
      <sheetName val="LacOut"/>
      <sheetName val="GasOut"/>
      <sheetName val="OpExOut"/>
      <sheetName val="CapExOut"/>
      <sheetName val="SFGE"/>
      <sheetName val="LagGE"/>
      <sheetName val="LatGe"/>
      <sheetName val="LacGe"/>
      <sheetName val="GasGe"/>
      <sheetName val="ConMo"/>
      <sheetName val="MiMo"/>
      <sheetName val="SFMo"/>
      <sheetName val="LagMo"/>
      <sheetName val="LatMo"/>
      <sheetName val="LacMo"/>
      <sheetName val="GasMo"/>
      <sheetName val="OPEX Analysis"/>
      <sheetName val="Payroll"/>
      <sheetName val="Capex Assumptions"/>
      <sheetName val="HistoricalExpenses"/>
      <sheetName val="Sources DF &gt;&gt;&gt;"/>
      <sheetName val="SFExp"/>
      <sheetName val="LagExp"/>
      <sheetName val="SFCF"/>
      <sheetName val="LagCF"/>
      <sheetName val="SFOcc"/>
      <sheetName val="LagOcc"/>
      <sheetName val="SFMLA"/>
      <sheetName val="LagMLA"/>
      <sheetName val="Sources Mon &gt;&gt;&gt;"/>
      <sheetName val="LatExp"/>
      <sheetName val="LacExp"/>
      <sheetName val="GasExp"/>
      <sheetName val="LatCF"/>
      <sheetName val="LacCF"/>
      <sheetName val="GasCF"/>
      <sheetName val="LatOcc"/>
      <sheetName val="LacOcc"/>
      <sheetName val="GasOcc"/>
      <sheetName val="GasMtM"/>
      <sheetName val="LatMLA"/>
      <sheetName val="LacMLA"/>
      <sheetName val="GasMLA"/>
    </sheetNames>
    <sheetDataSet>
      <sheetData sheetId="0" refreshError="1">
        <row r="6">
          <cell r="E6">
            <v>27947</v>
          </cell>
        </row>
        <row r="39">
          <cell r="E39">
            <v>7.0000000000000007E-2</v>
          </cell>
        </row>
      </sheetData>
      <sheetData sheetId="1" refreshError="1">
        <row r="4">
          <cell r="D4">
            <v>15</v>
          </cell>
        </row>
        <row r="13">
          <cell r="E13">
            <v>0</v>
          </cell>
        </row>
      </sheetData>
      <sheetData sheetId="2"/>
      <sheetData sheetId="3">
        <row r="4">
          <cell r="D4">
            <v>15</v>
          </cell>
        </row>
      </sheetData>
      <sheetData sheetId="4">
        <row r="13">
          <cell r="O13">
            <v>1</v>
          </cell>
        </row>
      </sheetData>
      <sheetData sheetId="5">
        <row r="13">
          <cell r="O13">
            <v>1</v>
          </cell>
        </row>
      </sheetData>
      <sheetData sheetId="6"/>
      <sheetData sheetId="7"/>
      <sheetData sheetId="8"/>
      <sheetData sheetId="9"/>
      <sheetData sheetId="10"/>
      <sheetData sheetId="11"/>
      <sheetData sheetId="12"/>
      <sheetData sheetId="13"/>
      <sheetData sheetId="14"/>
      <sheetData sheetId="15"/>
      <sheetData sheetId="16"/>
      <sheetData sheetId="17"/>
      <sheetData sheetId="18">
        <row r="6">
          <cell r="E6">
            <v>27947</v>
          </cell>
        </row>
      </sheetData>
      <sheetData sheetId="19"/>
      <sheetData sheetId="20">
        <row r="6">
          <cell r="E6">
            <v>22361</v>
          </cell>
        </row>
      </sheetData>
      <sheetData sheetId="21">
        <row r="6">
          <cell r="E6">
            <v>17553.059999999998</v>
          </cell>
        </row>
      </sheetData>
      <sheetData sheetId="22">
        <row r="6">
          <cell r="E6">
            <v>10268.980000000001</v>
          </cell>
        </row>
      </sheetData>
      <sheetData sheetId="23">
        <row r="6">
          <cell r="E6">
            <v>19362</v>
          </cell>
        </row>
      </sheetData>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NG.SERV"/>
      <sheetName val="DATOS"/>
    </sheetNames>
    <sheetDataSet>
      <sheetData sheetId="0"/>
      <sheetData sheetId="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COMBINED_SUMMARY"/>
      <sheetName val="COMBINED_WATERFALL"/>
      <sheetName val="COMBINED_OUTPUT"/>
      <sheetName val="Parking and Retail NOI"/>
      <sheetName val="RET_Inputs"/>
      <sheetName val="RET_CF"/>
      <sheetName val="Returns out"/>
      <sheetName val="RET_CoinvWaterfall"/>
      <sheetName val="Retail_Summary"/>
      <sheetName val="RET_ROC_CoIn"/>
      <sheetName val="RET_Ass"/>
      <sheetName val="RET_Gen_Out"/>
      <sheetName val="GAR_Ass"/>
      <sheetName val="Retail Comps"/>
      <sheetName val="RET_ROC_Out "/>
      <sheetName val="RET_Out_CoIn"/>
      <sheetName val="ROCs"/>
      <sheetName val="OUTPUT"/>
      <sheetName val="BLOCKG_Inputs"/>
      <sheetName val="BLOCKG_Budget"/>
      <sheetName val="BLOCKG_Sens (2)"/>
      <sheetName val="BLOCKG_Sens"/>
      <sheetName val="BLOCKG_ICcharts"/>
      <sheetName val="BLOCKG_CoinvCharts"/>
      <sheetName val="BLOCKG_OpEX"/>
      <sheetName val="BLOCKG_Annual"/>
      <sheetName val="BLOCKG_Monthly"/>
      <sheetName val="BLOCKG_CoinvWaterfall"/>
      <sheetName val="1 mos LIBOR"/>
      <sheetName val="SubTrend Futures"/>
      <sheetName val="SubTrend Futures Retail"/>
      <sheetName val="Sheet1"/>
      <sheetName val="ConstCurve"/>
    </sheetNames>
    <sheetDataSet>
      <sheetData sheetId="0"/>
      <sheetData sheetId="1"/>
      <sheetData sheetId="2"/>
      <sheetData sheetId="3"/>
      <sheetData sheetId="4"/>
      <sheetData sheetId="5">
        <row r="50">
          <cell r="C50">
            <v>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73">
          <cell r="C73">
            <v>1</v>
          </cell>
        </row>
      </sheetData>
      <sheetData sheetId="20"/>
      <sheetData sheetId="21"/>
      <sheetData sheetId="22"/>
      <sheetData sheetId="23"/>
      <sheetData sheetId="24"/>
      <sheetData sheetId="25"/>
      <sheetData sheetId="26"/>
      <sheetData sheetId="27"/>
      <sheetData sheetId="28">
        <row r="5">
          <cell r="F5">
            <v>1</v>
          </cell>
        </row>
      </sheetData>
      <sheetData sheetId="29"/>
      <sheetData sheetId="30"/>
      <sheetData sheetId="31"/>
      <sheetData sheetId="32"/>
      <sheetData sheetId="33"/>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_UF"/>
      <sheetName val="Disclaimer"/>
      <sheetName val="CF_Out_USD"/>
      <sheetName val="CF_Out_UF"/>
      <sheetName val="InvOut"/>
      <sheetName val="Inputs"/>
      <sheetName val="Budget"/>
      <sheetName val="Hard Costs"/>
      <sheetName val="Opex"/>
      <sheetName val="Model_USD"/>
      <sheetName val="Model_UF (Napoleon)"/>
      <sheetName val="Hoja1"/>
      <sheetName val="ConstCurve"/>
      <sheetName val="UnitMix"/>
      <sheetName val="GenAss"/>
      <sheetName val="Project Layout"/>
    </sheetNames>
    <sheetDataSet>
      <sheetData sheetId="0"/>
      <sheetData sheetId="1"/>
      <sheetData sheetId="2"/>
      <sheetData sheetId="3"/>
      <sheetData sheetId="4"/>
      <sheetData sheetId="5">
        <row r="16">
          <cell r="C16">
            <v>16.25</v>
          </cell>
        </row>
      </sheetData>
      <sheetData sheetId="6"/>
      <sheetData sheetId="7"/>
      <sheetData sheetId="8"/>
      <sheetData sheetId="9"/>
      <sheetData sheetId="10"/>
      <sheetData sheetId="11"/>
      <sheetData sheetId="12"/>
      <sheetData sheetId="13"/>
      <sheetData sheetId="14">
        <row r="6">
          <cell r="E6">
            <v>39.428571428571431</v>
          </cell>
        </row>
        <row r="11">
          <cell r="E11">
            <v>0.19</v>
          </cell>
        </row>
      </sheetData>
      <sheetData sheetId="15">
        <row r="8">
          <cell r="G8">
            <v>380</v>
          </cell>
        </row>
      </sheetData>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sheetName val="Price Yield"/>
      <sheetName val="Argus"/>
      <sheetName val="In-place"/>
      <sheetName val="Annual Report"/>
      <sheetName val="Gross Sales"/>
      <sheetName val="Annual Report (2)"/>
      <sheetName val="Occu Cost"/>
      <sheetName val="Rent"/>
      <sheetName val="Monthly Calc"/>
      <sheetName val="Annual Calc"/>
      <sheetName val="PASTE_IN_PLACE_RENT"/>
      <sheetName val="PRESENTATION_CF"/>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stions"/>
      <sheetName val="Investment Summary"/>
      <sheetName val="Scenarios"/>
      <sheetName val="Income Summary"/>
      <sheetName val="Block Summary"/>
      <sheetName val="Rent Roll"/>
      <sheetName val="Retail Sales"/>
      <sheetName val="Total CDD Expenses"/>
      <sheetName val="Taxes"/>
      <sheetName val="CDD Bonds"/>
      <sheetName val="CDD O&amp;M Exp"/>
      <sheetName val="HSBC Loans"/>
      <sheetName val="CIM MARGIN"/>
    </sheetNames>
    <sheetDataSet>
      <sheetData sheetId="0" refreshError="1"/>
      <sheetData sheetId="1" refreshError="1"/>
      <sheetData sheetId="2" refreshError="1"/>
      <sheetData sheetId="3" refreshError="1">
        <row r="9">
          <cell r="C9">
            <v>129811</v>
          </cell>
        </row>
        <row r="128">
          <cell r="C128">
            <v>0.02</v>
          </cell>
        </row>
        <row r="227">
          <cell r="C227">
            <v>0.6</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IC Update"/>
      <sheetName val="Dev Budget"/>
      <sheetName val="Annual CF - SMW"/>
      <sheetName val="Annual CF - R3"/>
      <sheetName val="Monthly CF"/>
      <sheetName val="CIV Waterfall"/>
      <sheetName val="ROC"/>
      <sheetName val="Sensitivities"/>
      <sheetName val="Draw Schedule"/>
      <sheetName val="Actuals"/>
      <sheetName val="Balfour"/>
      <sheetName val="SMW_SC"/>
      <sheetName val="C2_SumBudgets"/>
      <sheetName val="R3_SumBudget"/>
      <sheetName val="R3_HardCosts"/>
      <sheetName val="Land_Alloc"/>
      <sheetName val="Summary_Unit"/>
      <sheetName val="C2_Unit"/>
      <sheetName val="C2West_Unit"/>
      <sheetName val="R3_Unit"/>
      <sheetName val="CIV Charts"/>
      <sheetName val="Timeline"/>
      <sheetName val="Dev. Budgets"/>
      <sheetName val="RetailLease"/>
      <sheetName val="RetailTI"/>
      <sheetName val="RetailSale"/>
      <sheetName val="ResiLease"/>
      <sheetName val="ResiSale"/>
      <sheetName val="ResiLeaseCompsData"/>
      <sheetName val="11950"/>
      <sheetName val="CoStarComps"/>
      <sheetName val="HC Curves"/>
      <sheetName val="1 mos LIBOR"/>
    </sheetNames>
    <sheetDataSet>
      <sheetData sheetId="0">
        <row r="7">
          <cell r="E7">
            <v>389129.43959968048</v>
          </cell>
        </row>
        <row r="10">
          <cell r="E10">
            <v>330231</v>
          </cell>
        </row>
        <row r="23">
          <cell r="E23">
            <v>40000</v>
          </cell>
        </row>
        <row r="24">
          <cell r="E24">
            <v>40000</v>
          </cell>
        </row>
        <row r="28">
          <cell r="E28">
            <v>126947</v>
          </cell>
        </row>
        <row r="30">
          <cell r="E30">
            <v>103601</v>
          </cell>
        </row>
        <row r="31">
          <cell r="E31">
            <v>147</v>
          </cell>
        </row>
        <row r="37">
          <cell r="E37">
            <v>166947</v>
          </cell>
        </row>
        <row r="38">
          <cell r="E38">
            <v>143601</v>
          </cell>
        </row>
        <row r="52">
          <cell r="E52">
            <v>15000</v>
          </cell>
        </row>
        <row r="53">
          <cell r="E53">
            <v>15000</v>
          </cell>
        </row>
        <row r="57">
          <cell r="E57">
            <v>157468.43959968051</v>
          </cell>
        </row>
        <row r="59">
          <cell r="E59">
            <v>132000</v>
          </cell>
        </row>
        <row r="60">
          <cell r="E60">
            <v>160</v>
          </cell>
        </row>
        <row r="66">
          <cell r="E66">
            <v>172468.43959968051</v>
          </cell>
        </row>
        <row r="67">
          <cell r="E67">
            <v>147000</v>
          </cell>
        </row>
        <row r="79">
          <cell r="E79">
            <v>37</v>
          </cell>
        </row>
        <row r="83">
          <cell r="E83">
            <v>49714</v>
          </cell>
        </row>
        <row r="85">
          <cell r="E85">
            <v>39630</v>
          </cell>
        </row>
      </sheetData>
      <sheetData sheetId="1"/>
      <sheetData sheetId="2"/>
      <sheetData sheetId="3"/>
      <sheetData sheetId="4"/>
      <sheetData sheetId="5">
        <row r="4">
          <cell r="I4">
            <v>1</v>
          </cell>
        </row>
      </sheetData>
      <sheetData sheetId="6"/>
      <sheetData sheetId="7"/>
      <sheetData sheetId="8">
        <row r="9">
          <cell r="Q9">
            <v>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ecast %"/>
      <sheetName val="dlgChooseHotel"/>
      <sheetName val="Procedures"/>
      <sheetName val="Welcome"/>
      <sheetName val="Perfclaus"/>
      <sheetName val="05AMF-YE Proj"/>
      <sheetName val="AFC - Variances"/>
      <sheetName val="Total"/>
      <sheetName val="Rooms"/>
      <sheetName val="F&amp;B"/>
      <sheetName val="Casino"/>
      <sheetName val="PBX"/>
      <sheetName val="Spa"/>
      <sheetName val="Garage"/>
      <sheetName val="Liquor"/>
      <sheetName val="Valet"/>
      <sheetName val="Condo"/>
      <sheetName val="ExibHall"/>
      <sheetName val="BizCenter"/>
      <sheetName val="Rentals"/>
      <sheetName val="Gift"/>
      <sheetName val="Flower"/>
      <sheetName val="GuestSvc"/>
      <sheetName val="Recreation"/>
      <sheetName val="Golf"/>
      <sheetName val="Catamaran"/>
      <sheetName val="Tennis"/>
      <sheetName val="Stables"/>
      <sheetName val="UnionStation"/>
      <sheetName val="Tower"/>
      <sheetName val="Other"/>
      <sheetName val="A&amp;G"/>
      <sheetName val="Marketing"/>
      <sheetName val="HL&amp;P"/>
      <sheetName val="R&amp;M"/>
      <sheetName val="PT&amp;EB"/>
      <sheetName val="Laundry"/>
      <sheetName val="Mall"/>
      <sheetName val="EST1"/>
      <sheetName val="LocalMktg"/>
      <sheetName val="F&amp;BRevenueFactors"/>
      <sheetName val="Expenses"/>
      <sheetName val="Lists"/>
      <sheetName val="market potent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_UF"/>
      <sheetName val="Disclaimer"/>
      <sheetName val="CF_Out_USD"/>
      <sheetName val="CF_Out_UF"/>
      <sheetName val="InvOut"/>
      <sheetName val="Inputs"/>
      <sheetName val="Budget"/>
      <sheetName val="Hard Costs"/>
      <sheetName val="Opex"/>
      <sheetName val="Model_USD"/>
      <sheetName val="Model_UF (Napoleon)"/>
      <sheetName val="Hoja1"/>
      <sheetName val="ConstCurve"/>
      <sheetName val="UnitMix"/>
      <sheetName val="GenAss"/>
      <sheetName val="Project Layo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Log"/>
      <sheetName val="Outputs"/>
      <sheetName val="MacroHist"/>
      <sheetName val="MacroYear"/>
      <sheetName val="MacroMonth"/>
      <sheetName val="CF Unlev"/>
      <sheetName val="CF Lev"/>
      <sheetName val="Scenarios"/>
      <sheetName val="Val Details"/>
      <sheetName val="Val Sensitivites"/>
      <sheetName val="FinLev"/>
      <sheetName val="FinUnlev"/>
      <sheetName val="PPT"/>
      <sheetName val="Graph"/>
      <sheetName val="Oper"/>
      <sheetName val="PP&amp;E"/>
      <sheetName val="Tax"/>
      <sheetName val="Capex"/>
      <sheetName val="Flying Bricks"/>
      <sheetName val="Model Comp"/>
      <sheetName val="Hist Fin"/>
      <sheetName val="Op Model"/>
      <sheetName val="Forwards"/>
      <sheetName val="Santander BP (old)"/>
      <sheetName val="Capex Comp"/>
      <sheetName val="ETT Sempra"/>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78">
          <cell r="B78" t="str">
            <v>DSCR</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Inputs"/>
      <sheetName val="MP Monthly USD Model"/>
      <sheetName val="Monthly USD Model Ph3"/>
      <sheetName val="Monthly USD Model Ph2"/>
      <sheetName val="Monthly USD Model Ph1"/>
      <sheetName val="MP Monthly UF Model"/>
      <sheetName val="Monthly UF Model Ph3"/>
      <sheetName val="Monthly UF Model Ph2"/>
      <sheetName val="Monthly UF Model Ph1"/>
      <sheetName val="MP OpEx Budget"/>
      <sheetName val="OpEx Budget Ph3"/>
      <sheetName val="OpEx Budget Ph2"/>
      <sheetName val="OpEx Budget Ph1"/>
      <sheetName val="MP Const.Curve"/>
      <sheetName val="MP CapEx Budget"/>
      <sheetName val="CapEx Budget Ph3"/>
      <sheetName val="CapEx Budget Ph2"/>
      <sheetName val="CapEx Budget Ph1"/>
      <sheetName val="MP P.S. Cont."/>
      <sheetName val="MP IMIV"/>
      <sheetName val="MP UnitMix"/>
      <sheetName val="MP Project Layout"/>
      <sheetName val="Project Layout Ph3"/>
      <sheetName val="Project Layout Ph2"/>
      <sheetName val="Project Layout Ph1"/>
      <sheetName val="Performance"/>
    </sheetNames>
    <sheetDataSet>
      <sheetData sheetId="0"/>
      <sheetData sheetId="1"/>
      <sheetData sheetId="2">
        <row r="124">
          <cell r="T124">
            <v>608088</v>
          </cell>
        </row>
        <row r="127">
          <cell r="T127">
            <v>0.19</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
      <sheetName val="Qtrly Summary"/>
      <sheetName val="Cover Sheet"/>
      <sheetName val="Detailed Budget"/>
      <sheetName val="Model"/>
      <sheetName val="Construction Bell Curve"/>
      <sheetName val="In Place Income"/>
      <sheetName val="Chart"/>
      <sheetName val="CoInvest Waterfall"/>
    </sheetNames>
    <sheetDataSet>
      <sheetData sheetId="0" refreshError="1">
        <row r="9">
          <cell r="C9">
            <v>4</v>
          </cell>
        </row>
        <row r="11">
          <cell r="C11">
            <v>67</v>
          </cell>
        </row>
      </sheetData>
      <sheetData sheetId="1" refreshError="1"/>
      <sheetData sheetId="2" refreshError="1"/>
      <sheetData sheetId="3" refreshError="1"/>
      <sheetData sheetId="4">
        <row r="228">
          <cell r="J228">
            <v>-81000000</v>
          </cell>
        </row>
      </sheetData>
      <sheetData sheetId="5" refreshError="1"/>
      <sheetData sheetId="6" refreshError="1"/>
      <sheetData sheetId="7" refreshError="1"/>
      <sheetData sheetId="8"/>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ETS"/>
      <sheetName val="ASSETS (2)"/>
      <sheetName val="COM"/>
      <sheetName val="COC"/>
      <sheetName val="TIS"/>
      <sheetName val="RLE"/>
      <sheetName val="7000 ACC LANDSCAPE"/>
      <sheetName val="7000 ACCT12-97  1-98"/>
    </sheetNames>
    <sheetDataSet>
      <sheetData sheetId="0"/>
      <sheetData sheetId="1"/>
      <sheetData sheetId="2"/>
      <sheetData sheetId="3"/>
      <sheetData sheetId="4"/>
      <sheetData sheetId="5"/>
      <sheetData sheetId="6"/>
      <sheetData sheetId="7"/>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shboard"/>
      <sheetName val="Dev Budget"/>
      <sheetName val="Monthly CF"/>
      <sheetName val="CIV Waterfall"/>
      <sheetName val="ROC"/>
      <sheetName val="Sensitivities"/>
      <sheetName val="Draw Schedule"/>
      <sheetName val="Actuals"/>
      <sheetName val="Balfour"/>
      <sheetName val="SMW_SC"/>
      <sheetName val="C2_SumBudgets"/>
      <sheetName val="R3_SumBudget"/>
      <sheetName val="R3_HardCosts"/>
      <sheetName val="Land_Alloc"/>
      <sheetName val="Summary_Unit"/>
      <sheetName val="C2_Unit"/>
      <sheetName val="C2West_Unit"/>
      <sheetName val="R3_Unit"/>
      <sheetName val="CIV Charts"/>
      <sheetName val="Timeline"/>
      <sheetName val="Dev. Budgets"/>
      <sheetName val="IC Charts 1"/>
      <sheetName val="IC Charts 2"/>
      <sheetName val="IC Charts 3"/>
      <sheetName val="Annual CF - SMW"/>
      <sheetName val="Annual CF - R3"/>
      <sheetName val="RetailLease"/>
      <sheetName val="RetailTI"/>
      <sheetName val="RetailSale"/>
      <sheetName val="ResiLease"/>
      <sheetName val="ResiSale"/>
      <sheetName val="ResiLeaseCompsData"/>
      <sheetName val="11950"/>
      <sheetName val="CoStarComps"/>
      <sheetName val="HC Curves"/>
      <sheetName val="1 mos LIBOR"/>
    </sheetNames>
    <sheetDataSet>
      <sheetData sheetId="0">
        <row r="7">
          <cell r="E7">
            <v>389129.43959968048</v>
          </cell>
        </row>
        <row r="9">
          <cell r="E9">
            <v>55000</v>
          </cell>
        </row>
        <row r="11">
          <cell r="E11">
            <v>275231</v>
          </cell>
        </row>
        <row r="12">
          <cell r="E12">
            <v>55000</v>
          </cell>
        </row>
        <row r="14">
          <cell r="E14">
            <v>782</v>
          </cell>
        </row>
        <row r="85">
          <cell r="I85">
            <v>1</v>
          </cell>
        </row>
      </sheetData>
      <sheetData sheetId="1" refreshError="1"/>
      <sheetData sheetId="2">
        <row r="4">
          <cell r="I4">
            <v>1</v>
          </cell>
        </row>
      </sheetData>
      <sheetData sheetId="3" refreshError="1"/>
      <sheetData sheetId="4" refreshError="1"/>
      <sheetData sheetId="5">
        <row r="9">
          <cell r="O9">
            <v>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eat Sheet Final IC"/>
      <sheetName val="Co-Invest Cheat Sheet"/>
      <sheetName val="Assumptions"/>
      <sheetName val="IC Charts"/>
      <sheetName val="Annual CF Summary"/>
      <sheetName val="Rollup Summary"/>
      <sheetName val="Waterfall Summary"/>
      <sheetName val="Waterfall"/>
      <sheetName val="Co-Invest True Up"/>
      <sheetName val="Co-Invest Waterfall"/>
      <sheetName val="25-30 Col - Assumptions"/>
      <sheetName val="25-30 Col - Model"/>
      <sheetName val="25-30 Col - Charts"/>
      <sheetName val="25-30 Col - Staffing Plan"/>
      <sheetName val="25-30 Col - BOE"/>
      <sheetName val="25-30 Col - CF Summary (IC)"/>
      <sheetName val="25-30 - CF Summary"/>
      <sheetName val="25-30 Col - Taxes"/>
      <sheetName val="25-30 Col - Soft Costs"/>
      <sheetName val="25-30 Col - Hard Costs"/>
      <sheetName val="25-30 - Opex"/>
      <sheetName val="25-30 - Tax Backup 25 Columbia"/>
      <sheetName val="25-30 - Tax Backup 30 Columbia"/>
      <sheetName val="25-30 Col - SF Detail"/>
      <sheetName val="25-30 - Comm Ops Sum"/>
      <sheetName val="Sheet1"/>
      <sheetName val="85 Jay - Assumptions"/>
      <sheetName val="85 Jay - Model"/>
      <sheetName val="85 Jay - Charts"/>
      <sheetName val="85 Jay - BOE"/>
      <sheetName val="85 Jay - Staffing Plan"/>
      <sheetName val="85 Jay - Financing Summary"/>
      <sheetName val="85 Jay - Soft Costs"/>
      <sheetName val="85 Jay - Hard Costs"/>
      <sheetName val="85 Jay - Taxes"/>
      <sheetName val="85 Jay - Apt. Opex"/>
      <sheetName val="85 Jay - Apt. Payroll"/>
      <sheetName val="85 Jay - CF Summary (IC)"/>
      <sheetName val="85 Jay - CF Summary"/>
      <sheetName val="Office Leasing Comps"/>
      <sheetName val="Office Sales Comps"/>
      <sheetName val="Office Pipeline"/>
      <sheetName val="Apt. Leasing Comps"/>
      <sheetName val="Apt. Sales Comps"/>
      <sheetName val="Land Sales Comps"/>
      <sheetName val="Condo Sales Comps"/>
      <sheetName val="Retail Leasing Comps"/>
      <sheetName val="Cheat Sheet Prelim IC"/>
    </sheetNames>
    <sheetDataSet>
      <sheetData sheetId="0" refreshError="1"/>
      <sheetData sheetId="1" refreshError="1"/>
      <sheetData sheetId="2" refreshError="1"/>
      <sheetData sheetId="3" refreshError="1"/>
      <sheetData sheetId="4" refreshError="1"/>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ow r="2">
          <cell r="B2" t="str">
            <v>MARKET UNDERWRITTEN RETURNS</v>
          </cell>
        </row>
        <row r="3">
          <cell r="C3" t="str">
            <v>Project Unlevered</v>
          </cell>
          <cell r="D3" t="str">
            <v>Project Levered</v>
          </cell>
          <cell r="E3" t="str">
            <v>CIM</v>
          </cell>
          <cell r="F3" t="str">
            <v>Partner</v>
          </cell>
        </row>
        <row r="4">
          <cell r="B4" t="str">
            <v>IRR</v>
          </cell>
          <cell r="C4">
            <v>0.16804314255714417</v>
          </cell>
          <cell r="D4">
            <v>0.19124353528022769</v>
          </cell>
          <cell r="E4">
            <v>0.18183462023735047</v>
          </cell>
          <cell r="F4">
            <v>0.32445930838584902</v>
          </cell>
        </row>
        <row r="5">
          <cell r="B5" t="str">
            <v>Multiple</v>
          </cell>
          <cell r="C5">
            <v>1.5862142756341389</v>
          </cell>
          <cell r="D5">
            <v>2.1159213016993585</v>
          </cell>
          <cell r="E5">
            <v>2.0346410308292047</v>
          </cell>
          <cell r="F5">
            <v>3.6625316045615652</v>
          </cell>
        </row>
        <row r="6">
          <cell r="B6" t="str">
            <v>Investment</v>
          </cell>
          <cell r="C6">
            <v>943419067.88412619</v>
          </cell>
          <cell r="D6">
            <v>376727592.76862955</v>
          </cell>
          <cell r="E6">
            <v>357889276.27445132</v>
          </cell>
          <cell r="F6">
            <v>18836277.698655363</v>
          </cell>
        </row>
        <row r="7">
          <cell r="B7" t="str">
            <v>Profit</v>
          </cell>
          <cell r="C7">
            <v>553251918.38001657</v>
          </cell>
          <cell r="D7">
            <v>420391032.10781777</v>
          </cell>
          <cell r="E7">
            <v>370258916.67141795</v>
          </cell>
          <cell r="F7">
            <v>50139429.037017211</v>
          </cell>
        </row>
        <row r="29">
          <cell r="B29" t="str">
            <v>MARKET UNDERWRITTEN SOURCES AND USES</v>
          </cell>
        </row>
        <row r="30">
          <cell r="B30" t="str">
            <v>Sources</v>
          </cell>
          <cell r="C30" t="str">
            <v>$</v>
          </cell>
          <cell r="D30" t="str">
            <v>%</v>
          </cell>
          <cell r="E30" t="str">
            <v>per gsf</v>
          </cell>
          <cell r="F30" t="str">
            <v>per nsf</v>
          </cell>
        </row>
        <row r="31">
          <cell r="B31" t="str">
            <v>Construction Loan</v>
          </cell>
          <cell r="C31">
            <v>645799676.8916471</v>
          </cell>
          <cell r="D31">
            <v>0.59999830707818858</v>
          </cell>
          <cell r="E31">
            <v>537.270945833317</v>
          </cell>
          <cell r="F31">
            <v>769.8172331525177</v>
          </cell>
        </row>
        <row r="32">
          <cell r="B32" t="str">
            <v>Mezzanine Financing</v>
          </cell>
          <cell r="C32">
            <v>53816639.740970597</v>
          </cell>
          <cell r="D32">
            <v>4.9999858923182386E-2</v>
          </cell>
          <cell r="E32">
            <v>44.77257881944309</v>
          </cell>
          <cell r="F32">
            <v>64.151436096043142</v>
          </cell>
        </row>
        <row r="33">
          <cell r="B33" t="str">
            <v>CIM Equity (95.0%)</v>
          </cell>
          <cell r="C33">
            <v>357883539.35209721</v>
          </cell>
          <cell r="D33">
            <v>0.33250174229869756</v>
          </cell>
          <cell r="E33">
            <v>297.74004937778471</v>
          </cell>
          <cell r="F33">
            <v>426.6104891549615</v>
          </cell>
        </row>
        <row r="34">
          <cell r="B34" t="str">
            <v>Partner Equity (5.0%)</v>
          </cell>
          <cell r="C34">
            <v>18835975.755373552</v>
          </cell>
          <cell r="D34">
            <v>1.7500091699931466E-2</v>
          </cell>
          <cell r="E34">
            <v>15.67052891462026</v>
          </cell>
          <cell r="F34">
            <v>22.453183639734835</v>
          </cell>
        </row>
        <row r="35">
          <cell r="B35" t="str">
            <v>Total Sources of Capital</v>
          </cell>
          <cell r="C35">
            <v>1076335831.7400885</v>
          </cell>
          <cell r="D35">
            <v>1</v>
          </cell>
          <cell r="E35">
            <v>895.45410294516512</v>
          </cell>
          <cell r="F35">
            <v>1283.0323420432571</v>
          </cell>
        </row>
        <row r="37">
          <cell r="B37" t="str">
            <v>Uses</v>
          </cell>
          <cell r="C37" t="str">
            <v>$</v>
          </cell>
          <cell r="D37" t="str">
            <v>%</v>
          </cell>
          <cell r="E37" t="str">
            <v>per gsf</v>
          </cell>
          <cell r="F37" t="str">
            <v>per nsf</v>
          </cell>
        </row>
        <row r="38">
          <cell r="B38" t="str">
            <v>Acquisition</v>
          </cell>
          <cell r="C38">
            <v>345000000</v>
          </cell>
          <cell r="D38">
            <v>0.32053192862886121</v>
          </cell>
          <cell r="E38">
            <v>287.02163061564062</v>
          </cell>
          <cell r="F38">
            <v>411.25283108832997</v>
          </cell>
        </row>
        <row r="39">
          <cell r="B39" t="str">
            <v>Closing Costs</v>
          </cell>
          <cell r="C39">
            <v>1397297.9999999998</v>
          </cell>
          <cell r="D39">
            <v>1.2981989066934796E-3</v>
          </cell>
          <cell r="E39">
            <v>1.1624775374376037</v>
          </cell>
          <cell r="F39">
            <v>1.665631183692931</v>
          </cell>
        </row>
        <row r="40">
          <cell r="B40" t="str">
            <v>Hard Costs</v>
          </cell>
          <cell r="C40">
            <v>529008700</v>
          </cell>
          <cell r="D40">
            <v>0.49149037354332364</v>
          </cell>
          <cell r="E40">
            <v>440.10707154742096</v>
          </cell>
          <cell r="F40">
            <v>630.59804505900581</v>
          </cell>
        </row>
        <row r="41">
          <cell r="B41" t="str">
            <v xml:space="preserve">Soft Costs </v>
          </cell>
          <cell r="C41">
            <v>78638734.655664265</v>
          </cell>
          <cell r="D41">
            <v>7.3061522562647335E-2</v>
          </cell>
          <cell r="E41">
            <v>65.423240146143314</v>
          </cell>
          <cell r="F41">
            <v>93.7402964067997</v>
          </cell>
        </row>
        <row r="42">
          <cell r="B42" t="str">
            <v>Financing Costs</v>
          </cell>
          <cell r="C42">
            <v>122291099.08442426</v>
          </cell>
          <cell r="D42">
            <v>0.11361797635847441</v>
          </cell>
          <cell r="E42">
            <v>101.73968309852268</v>
          </cell>
          <cell r="F42">
            <v>145.77553830542885</v>
          </cell>
        </row>
        <row r="43">
          <cell r="B43" t="str">
            <v>Total Uses of Capital</v>
          </cell>
          <cell r="C43">
            <v>1076335831.7400885</v>
          </cell>
          <cell r="D43">
            <v>1</v>
          </cell>
          <cell r="E43">
            <v>895.45410294516512</v>
          </cell>
          <cell r="F43">
            <v>1283.0323420432571</v>
          </cell>
        </row>
        <row r="44">
          <cell r="B44" t="str">
            <v>Note: Hard costs include contingency.  Soft costs include contingency, development fees and leasing costs.</v>
          </cell>
        </row>
        <row r="377">
          <cell r="B377" t="str">
            <v>SINGLE ASSET EQUITY CUSHION 1</v>
          </cell>
        </row>
        <row r="378">
          <cell r="B378" t="str">
            <v>Maximum CIM Equity (95%)</v>
          </cell>
          <cell r="F378">
            <v>357882269.81495613</v>
          </cell>
        </row>
        <row r="379">
          <cell r="B379" t="str">
            <v>Fund Limit Cushion</v>
          </cell>
          <cell r="F379">
            <v>6791810.6479027867</v>
          </cell>
        </row>
        <row r="380">
          <cell r="B380" t="str">
            <v>Maximum Equity Date</v>
          </cell>
          <cell r="F380">
            <v>43069</v>
          </cell>
        </row>
        <row r="381">
          <cell r="B381" t="str">
            <v>Bridge Loan Amount</v>
          </cell>
          <cell r="F381">
            <v>188564890.20118752</v>
          </cell>
        </row>
      </sheetData>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Output"/>
      <sheetName val="New Debt"/>
      <sheetName val="Cash Flow"/>
    </sheetNames>
    <sheetDataSet>
      <sheetData sheetId="0"/>
      <sheetData sheetId="1" refreshError="1"/>
      <sheetData sheetId="2"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seExp"/>
      <sheetName val="Lease &amp; Occup"/>
      <sheetName val="RR"/>
      <sheetName val="I&amp;E Summary"/>
      <sheetName val="I&amp;E Detail"/>
      <sheetName val="Base Rent"/>
      <sheetName val="CAM"/>
      <sheetName val="Misc.Inc."/>
      <sheetName val="Vacancy Rnt"/>
      <sheetName val="2004 Op Exp"/>
      <sheetName val="Debt"/>
      <sheetName val="Capital"/>
      <sheetName val="2004 Parking"/>
      <sheetName val="225 Parking Budget"/>
      <sheetName val="225 Broadway"/>
      <sheetName val="TCTTOC"/>
      <sheetName val="225 Budget"/>
      <sheetName val="Summary Output"/>
      <sheetName val="1st Buyer Analysis"/>
      <sheetName val="lead schs"/>
      <sheetName val="Misc. Income"/>
      <sheetName val="1 - Overall COA"/>
      <sheetName val="Rent Sprea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Inputs"/>
      <sheetName val="Dev_Budget"/>
      <sheetName val="Monthly"/>
      <sheetName val="Coinv_Waterfall"/>
      <sheetName val="MWC_BlockG_TrueUp_Calc"/>
      <sheetName val="BlockG_NearTerm"/>
      <sheetName val="Predev costs-Phase 1"/>
      <sheetName val="Acquisition Costs"/>
      <sheetName val="Annual"/>
      <sheetName val="OpEx"/>
      <sheetName val="LIBOR"/>
      <sheetName val="ConstCurve"/>
    </sheetNames>
    <sheetDataSet>
      <sheetData sheetId="0"/>
      <sheetData sheetId="1"/>
      <sheetData sheetId="2"/>
      <sheetData sheetId="3"/>
      <sheetData sheetId="4"/>
      <sheetData sheetId="5">
        <row r="8">
          <cell r="E8">
            <v>0.09</v>
          </cell>
        </row>
      </sheetData>
      <sheetData sheetId="6"/>
      <sheetData sheetId="7"/>
      <sheetData sheetId="8"/>
      <sheetData sheetId="9"/>
      <sheetData sheetId="10"/>
      <sheetData sheetId="11"/>
      <sheetData sheetId="12"/>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ontents"/>
      <sheetName val="Regional Offices"/>
      <sheetName val="PARKING"/>
      <sheetName val="ACCESS"/>
      <sheetName val="Kards"/>
      <sheetName val="REVENUE"/>
      <sheetName val="ScanNet"/>
      <sheetName val="SCAN FMS"/>
      <sheetName val="PORT_COMM"/>
      <sheetName val="AUTOREAD"/>
      <sheetName val="Credit Card"/>
      <sheetName val="ValueCard"/>
      <sheetName val="ValuePass"/>
      <sheetName val="LPI"/>
      <sheetName val="IND. GATE"/>
      <sheetName val="Appendix A"/>
      <sheetName val="Appendix B"/>
      <sheetName val="Appendix C"/>
      <sheetName val="Form #346-00"/>
      <sheetName val="#346_Gate Orientation"/>
      <sheetName val="#346_Lane Listing"/>
      <sheetName val="#346_Lane Type"/>
      <sheetName val="SCAN Form #123"/>
      <sheetName val="APS"/>
      <sheetName val="APS 2"/>
      <sheetName val="Instructions"/>
      <sheetName val="Price Book"/>
      <sheetName val="PB100 Desc"/>
      <sheetName val="Parts Book"/>
      <sheetName val="Parts Desc"/>
      <sheetName val="License"/>
      <sheetName val="PB100_Y2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2">
          <cell r="A2" t="str">
            <v>00-0000</v>
          </cell>
          <cell r="B2" t="str">
            <v>OUTSIDE LABOR CHARGE</v>
          </cell>
          <cell r="C2" t="str">
            <v>A</v>
          </cell>
          <cell r="D2">
            <v>133</v>
          </cell>
        </row>
        <row r="3">
          <cell r="A3" t="str">
            <v>00-6993</v>
          </cell>
          <cell r="B3" t="str">
            <v>HOURS,REPAIR TIME LABOR</v>
          </cell>
          <cell r="C3" t="str">
            <v>Z</v>
          </cell>
          <cell r="D3">
            <v>75</v>
          </cell>
        </row>
        <row r="4">
          <cell r="A4" t="str">
            <v>00-6995</v>
          </cell>
          <cell r="B4" t="str">
            <v>EXPEDITED REPAIR SERVICE</v>
          </cell>
          <cell r="C4" t="str">
            <v>Z</v>
          </cell>
          <cell r="D4">
            <v>100</v>
          </cell>
        </row>
        <row r="5">
          <cell r="A5" t="str">
            <v>01-6729</v>
          </cell>
          <cell r="B5" t="str">
            <v>PAINT,SPITTER WHITE SMOOTH POWDER</v>
          </cell>
          <cell r="C5" t="str">
            <v>A</v>
          </cell>
          <cell r="D5">
            <v>161</v>
          </cell>
        </row>
        <row r="6">
          <cell r="A6" t="str">
            <v>01-6730</v>
          </cell>
          <cell r="B6" t="str">
            <v>PAINT,SST WHITE SMOOTH POWDER</v>
          </cell>
          <cell r="C6" t="str">
            <v>A</v>
          </cell>
          <cell r="D6">
            <v>161</v>
          </cell>
        </row>
        <row r="7">
          <cell r="A7" t="str">
            <v>01-6731</v>
          </cell>
          <cell r="B7" t="str">
            <v>PAINT,GATE WHITE SMOOTH POWDER</v>
          </cell>
          <cell r="C7" t="str">
            <v>A</v>
          </cell>
          <cell r="D7">
            <v>161</v>
          </cell>
        </row>
        <row r="8">
          <cell r="A8" t="str">
            <v>01-6732</v>
          </cell>
          <cell r="B8" t="str">
            <v>PAINT,PASSPORT WHITE SMOOTH POWDER</v>
          </cell>
          <cell r="C8" t="str">
            <v>A</v>
          </cell>
          <cell r="D8">
            <v>161</v>
          </cell>
        </row>
        <row r="9">
          <cell r="A9" t="str">
            <v>01-6733</v>
          </cell>
          <cell r="B9" t="str">
            <v>PAINT,ACCEPTOR WHITE SMOOTH POWDER</v>
          </cell>
          <cell r="C9" t="str">
            <v>A</v>
          </cell>
          <cell r="D9">
            <v>161</v>
          </cell>
        </row>
        <row r="10">
          <cell r="A10" t="str">
            <v>01-6734</v>
          </cell>
          <cell r="B10" t="str">
            <v>PAINT,GOOSENECK WHITE SMOOTH POWDER</v>
          </cell>
          <cell r="C10" t="str">
            <v>A</v>
          </cell>
          <cell r="D10">
            <v>161</v>
          </cell>
        </row>
        <row r="11">
          <cell r="A11" t="str">
            <v>01-6735</v>
          </cell>
          <cell r="B11" t="str">
            <v>PAINT,OTHER WHITE SMOOTH POWDER</v>
          </cell>
          <cell r="C11" t="str">
            <v>A</v>
          </cell>
          <cell r="D11">
            <v>161</v>
          </cell>
        </row>
        <row r="12">
          <cell r="A12" t="str">
            <v>01-6736</v>
          </cell>
          <cell r="B12" t="str">
            <v>PAINT,FULL SIGN WHITE SMOOTH POWDER</v>
          </cell>
          <cell r="C12" t="str">
            <v>A</v>
          </cell>
          <cell r="D12">
            <v>161</v>
          </cell>
        </row>
        <row r="13">
          <cell r="A13" t="str">
            <v>01-6737</v>
          </cell>
          <cell r="B13" t="str">
            <v>PAINT,SPITTER YELLOW SMOOTH POWDER</v>
          </cell>
          <cell r="C13" t="str">
            <v>A</v>
          </cell>
          <cell r="D13">
            <v>161</v>
          </cell>
        </row>
        <row r="14">
          <cell r="A14" t="str">
            <v>01-6738</v>
          </cell>
          <cell r="B14" t="str">
            <v>PAINT,SST YELLOW SMOOTH POWDER</v>
          </cell>
          <cell r="C14" t="str">
            <v>A</v>
          </cell>
          <cell r="D14">
            <v>161</v>
          </cell>
        </row>
        <row r="15">
          <cell r="A15" t="str">
            <v>01-6739</v>
          </cell>
          <cell r="B15" t="str">
            <v>PAINT,GATE YELLOW SMOOTH POWDER</v>
          </cell>
          <cell r="C15" t="str">
            <v>A</v>
          </cell>
          <cell r="D15">
            <v>161</v>
          </cell>
        </row>
        <row r="16">
          <cell r="A16" t="str">
            <v>01-6740</v>
          </cell>
          <cell r="B16" t="str">
            <v>PAINT,PASSPORT YELLOW SMOOTH POWDER</v>
          </cell>
          <cell r="C16" t="str">
            <v>A</v>
          </cell>
          <cell r="D16">
            <v>161</v>
          </cell>
        </row>
        <row r="17">
          <cell r="A17" t="str">
            <v>01-6741</v>
          </cell>
          <cell r="B17" t="str">
            <v>PAINT,ACCEPTOR YELLOW SMOOTH POWDER</v>
          </cell>
          <cell r="C17" t="str">
            <v>A</v>
          </cell>
          <cell r="D17">
            <v>161</v>
          </cell>
        </row>
        <row r="18">
          <cell r="A18" t="str">
            <v>01-6742</v>
          </cell>
          <cell r="B18" t="str">
            <v>PAINT,GOOSENECK YELLOW SMOOTH POWDER</v>
          </cell>
          <cell r="C18" t="str">
            <v>A</v>
          </cell>
          <cell r="D18">
            <v>161</v>
          </cell>
        </row>
        <row r="19">
          <cell r="A19" t="str">
            <v>01-6743</v>
          </cell>
          <cell r="B19" t="str">
            <v>PAINT,OTHER YELLOW SMOOTH POWDER</v>
          </cell>
          <cell r="C19" t="str">
            <v>A</v>
          </cell>
          <cell r="D19">
            <v>161</v>
          </cell>
        </row>
        <row r="20">
          <cell r="A20" t="str">
            <v>01-6744</v>
          </cell>
          <cell r="B20" t="str">
            <v>PAINT,FULL SIGN YELLOW SMOOTH POWDER</v>
          </cell>
          <cell r="C20" t="str">
            <v>A</v>
          </cell>
          <cell r="D20">
            <v>161</v>
          </cell>
        </row>
        <row r="21">
          <cell r="A21" t="str">
            <v>01-6917</v>
          </cell>
          <cell r="B21" t="str">
            <v>PAINT,SPITTER WHITE</v>
          </cell>
          <cell r="C21" t="str">
            <v>A</v>
          </cell>
          <cell r="D21">
            <v>0</v>
          </cell>
        </row>
        <row r="22">
          <cell r="A22" t="str">
            <v>01-6919</v>
          </cell>
          <cell r="B22" t="str">
            <v>PAINT,GATE WHITE</v>
          </cell>
          <cell r="C22" t="str">
            <v>A</v>
          </cell>
          <cell r="D22">
            <v>0</v>
          </cell>
        </row>
        <row r="23">
          <cell r="A23" t="str">
            <v>01-6921</v>
          </cell>
          <cell r="B23" t="str">
            <v>PAINT,PASSPORT WHITE</v>
          </cell>
          <cell r="C23" t="str">
            <v>A</v>
          </cell>
          <cell r="D23">
            <v>0</v>
          </cell>
        </row>
        <row r="24">
          <cell r="A24" t="str">
            <v>01-6923</v>
          </cell>
          <cell r="B24" t="str">
            <v>PAINT,ACCEPTOR WHITE</v>
          </cell>
          <cell r="C24" t="str">
            <v>A</v>
          </cell>
          <cell r="D24">
            <v>0</v>
          </cell>
        </row>
        <row r="25">
          <cell r="A25" t="str">
            <v>01-6924</v>
          </cell>
          <cell r="B25" t="str">
            <v>PAINT,GOOSENECK WHITE</v>
          </cell>
          <cell r="C25" t="str">
            <v>A</v>
          </cell>
          <cell r="D25">
            <v>0</v>
          </cell>
        </row>
        <row r="26">
          <cell r="A26" t="str">
            <v>01-6925</v>
          </cell>
          <cell r="B26" t="str">
            <v>PAINT,OTHER WHITE</v>
          </cell>
          <cell r="C26" t="str">
            <v>A</v>
          </cell>
          <cell r="D26">
            <v>0</v>
          </cell>
        </row>
        <row r="27">
          <cell r="A27" t="str">
            <v>01-6927</v>
          </cell>
          <cell r="B27" t="str">
            <v>PAINT,FULL SIGN WHITE</v>
          </cell>
          <cell r="C27" t="str">
            <v>A</v>
          </cell>
          <cell r="D27">
            <v>0</v>
          </cell>
        </row>
        <row r="28">
          <cell r="A28" t="str">
            <v>01-6976</v>
          </cell>
          <cell r="B28" t="str">
            <v>PAINT,SST WHITE</v>
          </cell>
          <cell r="C28" t="str">
            <v>A</v>
          </cell>
          <cell r="D28">
            <v>0</v>
          </cell>
        </row>
        <row r="29">
          <cell r="A29" t="str">
            <v>10-0171</v>
          </cell>
          <cell r="B29" t="str">
            <v>POST,GATE MOUNT FULL SIGN</v>
          </cell>
          <cell r="C29" t="str">
            <v>A</v>
          </cell>
          <cell r="D29">
            <v>176</v>
          </cell>
        </row>
        <row r="30">
          <cell r="A30" t="str">
            <v>10-0436</v>
          </cell>
          <cell r="B30" t="str">
            <v>TRANSMITTER,PVD</v>
          </cell>
          <cell r="C30" t="str">
            <v>A</v>
          </cell>
          <cell r="D30">
            <v>409</v>
          </cell>
        </row>
        <row r="31">
          <cell r="A31" t="str">
            <v>10-11131</v>
          </cell>
          <cell r="B31" t="str">
            <v>STAND,FULL SIGN ALUMINUM</v>
          </cell>
          <cell r="C31" t="str">
            <v>A</v>
          </cell>
          <cell r="D31">
            <v>276</v>
          </cell>
        </row>
        <row r="32">
          <cell r="A32" t="str">
            <v>10-11133</v>
          </cell>
          <cell r="B32" t="str">
            <v>GASKET,FULL SIGN STAND BASE</v>
          </cell>
          <cell r="C32" t="str">
            <v>A</v>
          </cell>
          <cell r="D32">
            <v>8</v>
          </cell>
        </row>
        <row r="33">
          <cell r="A33" t="str">
            <v>10-1371</v>
          </cell>
          <cell r="B33" t="str">
            <v>ENCLOSURE,26" X 14" X 10" WALL MOUNT</v>
          </cell>
          <cell r="C33" t="str">
            <v>A</v>
          </cell>
          <cell r="D33">
            <v>591</v>
          </cell>
        </row>
        <row r="34">
          <cell r="A34" t="str">
            <v>10-1685</v>
          </cell>
          <cell r="B34" t="str">
            <v>TREADLE FRAME,FLUSH MT</v>
          </cell>
          <cell r="C34" t="str">
            <v>A</v>
          </cell>
          <cell r="D34">
            <v>2427</v>
          </cell>
        </row>
        <row r="35">
          <cell r="A35" t="str">
            <v>10-1984</v>
          </cell>
          <cell r="B35" t="str">
            <v>ENCLOSURE,30" X 30" X 10" WALL MOUNT</v>
          </cell>
          <cell r="C35" t="str">
            <v>A</v>
          </cell>
          <cell r="D35">
            <v>1121</v>
          </cell>
        </row>
        <row r="36">
          <cell r="A36" t="str">
            <v>10-2208</v>
          </cell>
          <cell r="B36" t="str">
            <v>TREADLE FRAME,8' SURFACE MOUNT</v>
          </cell>
          <cell r="C36" t="str">
            <v>A</v>
          </cell>
          <cell r="D36">
            <v>3119</v>
          </cell>
        </row>
        <row r="37">
          <cell r="A37" t="str">
            <v>10-4096</v>
          </cell>
          <cell r="B37" t="str">
            <v>BRACKET,DETECTOR HANGER</v>
          </cell>
          <cell r="C37" t="str">
            <v>A</v>
          </cell>
          <cell r="D37">
            <v>60</v>
          </cell>
        </row>
        <row r="38">
          <cell r="A38" t="str">
            <v>11-0173</v>
          </cell>
          <cell r="B38" t="str">
            <v>TRANSFORMER,FULL SIGN</v>
          </cell>
          <cell r="C38" t="str">
            <v>A</v>
          </cell>
          <cell r="D38">
            <v>216</v>
          </cell>
        </row>
        <row r="39">
          <cell r="A39" t="str">
            <v>11-0385</v>
          </cell>
          <cell r="B39" t="str">
            <v>TIMER,7 DAY</v>
          </cell>
          <cell r="C39" t="str">
            <v>A</v>
          </cell>
          <cell r="D39">
            <v>360</v>
          </cell>
        </row>
        <row r="40">
          <cell r="A40" t="str">
            <v>11-0429</v>
          </cell>
          <cell r="B40" t="str">
            <v>RECEIVER,PVD</v>
          </cell>
          <cell r="C40" t="str">
            <v>A</v>
          </cell>
          <cell r="D40">
            <v>1490</v>
          </cell>
        </row>
        <row r="41">
          <cell r="A41" t="str">
            <v>11-0951</v>
          </cell>
          <cell r="B41" t="str">
            <v>COUNTER,24 VDC NON-RESETTABLE</v>
          </cell>
          <cell r="C41" t="str">
            <v>A</v>
          </cell>
          <cell r="D41">
            <v>103</v>
          </cell>
        </row>
        <row r="42">
          <cell r="A42" t="str">
            <v>11-11299</v>
          </cell>
          <cell r="B42" t="str">
            <v>FLASHER,24 V 2 AMP</v>
          </cell>
          <cell r="C42" t="str">
            <v>A</v>
          </cell>
          <cell r="D42">
            <v>78</v>
          </cell>
        </row>
        <row r="43">
          <cell r="A43" t="str">
            <v>11-11338</v>
          </cell>
          <cell r="B43" t="str">
            <v>DETECTOR,DLD-10B DIGITAL LOOP 115 VOLT</v>
          </cell>
          <cell r="C43" t="str">
            <v>A</v>
          </cell>
          <cell r="D43">
            <v>532</v>
          </cell>
        </row>
        <row r="44">
          <cell r="A44" t="str">
            <v>11-11349</v>
          </cell>
          <cell r="B44" t="str">
            <v>DETECTOR,DLD-10B DIGITAL LOOP 220 VOLT</v>
          </cell>
          <cell r="C44" t="str">
            <v>A</v>
          </cell>
          <cell r="D44">
            <v>532</v>
          </cell>
        </row>
        <row r="45">
          <cell r="A45" t="str">
            <v>11-11466</v>
          </cell>
          <cell r="B45" t="str">
            <v>CABLE,15 COND 22 AWG SHIELDED</v>
          </cell>
          <cell r="C45" t="str">
            <v>A</v>
          </cell>
          <cell r="D45">
            <v>139</v>
          </cell>
        </row>
        <row r="46">
          <cell r="A46" t="str">
            <v>11-11558</v>
          </cell>
          <cell r="B46" t="str">
            <v>PAINT,YELLOW TOUCH-UP SPRAY</v>
          </cell>
          <cell r="C46" t="str">
            <v>A</v>
          </cell>
          <cell r="D46">
            <v>46</v>
          </cell>
        </row>
        <row r="47">
          <cell r="A47" t="str">
            <v>11-11559</v>
          </cell>
          <cell r="B47" t="str">
            <v>PAINT,WHITE TOUCH-UP SPRAY</v>
          </cell>
          <cell r="C47" t="str">
            <v>A</v>
          </cell>
          <cell r="D47">
            <v>46</v>
          </cell>
        </row>
        <row r="48">
          <cell r="A48" t="str">
            <v>11-11571</v>
          </cell>
          <cell r="B48" t="str">
            <v>CLIP,RADIO TRANSMITTER</v>
          </cell>
          <cell r="C48" t="str">
            <v>A</v>
          </cell>
          <cell r="D48">
            <v>12</v>
          </cell>
        </row>
        <row r="49">
          <cell r="A49" t="str">
            <v>11-11599</v>
          </cell>
          <cell r="B49" t="str">
            <v>UPS,ASG1250</v>
          </cell>
          <cell r="C49" t="str">
            <v>A</v>
          </cell>
          <cell r="D49">
            <v>3404</v>
          </cell>
        </row>
        <row r="50">
          <cell r="A50" t="str">
            <v>11-11659</v>
          </cell>
          <cell r="B50" t="str">
            <v>***REPLACED BY 11-11558***</v>
          </cell>
          <cell r="C50" t="str">
            <v>A</v>
          </cell>
          <cell r="D50">
            <v>46</v>
          </cell>
        </row>
        <row r="51">
          <cell r="A51" t="str">
            <v>11-11660</v>
          </cell>
          <cell r="B51" t="str">
            <v>***REPLACED BY 11-11559***</v>
          </cell>
          <cell r="C51" t="str">
            <v>A</v>
          </cell>
          <cell r="D51">
            <v>46</v>
          </cell>
        </row>
        <row r="52">
          <cell r="A52" t="str">
            <v>11-11684</v>
          </cell>
          <cell r="B52" t="str">
            <v>FAN,115 VOLT</v>
          </cell>
          <cell r="C52" t="str">
            <v>A</v>
          </cell>
          <cell r="D52">
            <v>0</v>
          </cell>
        </row>
        <row r="53">
          <cell r="A53" t="str">
            <v>11-11692</v>
          </cell>
          <cell r="B53" t="str">
            <v>HARNESS,DB9F TO DB9F</v>
          </cell>
          <cell r="C53" t="str">
            <v>A</v>
          </cell>
          <cell r="D53">
            <v>233</v>
          </cell>
        </row>
        <row r="54">
          <cell r="A54" t="str">
            <v>11-11737</v>
          </cell>
          <cell r="B54" t="str">
            <v>BATTERY,3.3 V LITHIUM</v>
          </cell>
          <cell r="C54" t="str">
            <v>A</v>
          </cell>
          <cell r="D54">
            <v>11</v>
          </cell>
        </row>
        <row r="55">
          <cell r="A55" t="str">
            <v>11-11741</v>
          </cell>
          <cell r="B55" t="str">
            <v>POWER SUPPLY,MASTER INTERCOM 220 VOLT</v>
          </cell>
          <cell r="C55" t="str">
            <v>A</v>
          </cell>
          <cell r="D55">
            <v>0</v>
          </cell>
        </row>
        <row r="56">
          <cell r="A56" t="str">
            <v>11-11742</v>
          </cell>
          <cell r="B56" t="str">
            <v>INTERCOM,40 STATION MASTER</v>
          </cell>
          <cell r="C56" t="str">
            <v>A</v>
          </cell>
          <cell r="D56">
            <v>0</v>
          </cell>
        </row>
        <row r="57">
          <cell r="A57" t="str">
            <v>11-11758</v>
          </cell>
          <cell r="B57" t="str">
            <v>CABLE ASSY,APS RECEIPT PRINTER VERSION 2</v>
          </cell>
          <cell r="C57" t="str">
            <v>A</v>
          </cell>
          <cell r="D57">
            <v>0</v>
          </cell>
        </row>
        <row r="58">
          <cell r="A58" t="str">
            <v>11-11759</v>
          </cell>
          <cell r="B58" t="str">
            <v>FLASHER,24 VDC 1.5 AMP</v>
          </cell>
          <cell r="C58" t="str">
            <v>A</v>
          </cell>
          <cell r="D58">
            <v>150</v>
          </cell>
        </row>
        <row r="59">
          <cell r="A59" t="str">
            <v>11-11786</v>
          </cell>
          <cell r="B59" t="str">
            <v>CABLE,COMMUNICATION (1000' SPOOL)</v>
          </cell>
          <cell r="C59" t="str">
            <v>A</v>
          </cell>
          <cell r="D59">
            <v>1664</v>
          </cell>
        </row>
        <row r="60">
          <cell r="A60" t="str">
            <v>11-11844</v>
          </cell>
          <cell r="B60" t="str">
            <v>CD,INTRODUCTION TO FEDERAL APD DEVICES</v>
          </cell>
          <cell r="C60" t="str">
            <v>Z</v>
          </cell>
          <cell r="D60">
            <v>0</v>
          </cell>
        </row>
        <row r="61">
          <cell r="A61" t="str">
            <v>11-1234</v>
          </cell>
          <cell r="B61" t="str">
            <v>INTERCOM,LEA CALL STATION</v>
          </cell>
          <cell r="C61" t="str">
            <v>A</v>
          </cell>
          <cell r="D61">
            <v>297</v>
          </cell>
        </row>
        <row r="62">
          <cell r="A62" t="str">
            <v>11-1569</v>
          </cell>
          <cell r="B62" t="str">
            <v>AUDIT COUNTER,NON-RESETTABLE 115 VOLT</v>
          </cell>
          <cell r="C62" t="str">
            <v>A</v>
          </cell>
          <cell r="D62">
            <v>123</v>
          </cell>
        </row>
        <row r="63">
          <cell r="A63" t="str">
            <v>11-1966</v>
          </cell>
          <cell r="B63" t="str">
            <v>SONALERT</v>
          </cell>
          <cell r="C63" t="str">
            <v>A</v>
          </cell>
          <cell r="D63">
            <v>207</v>
          </cell>
        </row>
        <row r="64">
          <cell r="A64" t="str">
            <v>11-2476</v>
          </cell>
          <cell r="B64" t="str">
            <v>RADIO TRANSMITTER,SINGLE CHANNEL</v>
          </cell>
          <cell r="C64" t="str">
            <v>A</v>
          </cell>
          <cell r="D64">
            <v>55</v>
          </cell>
        </row>
        <row r="65">
          <cell r="A65" t="str">
            <v>11-2477</v>
          </cell>
          <cell r="B65" t="str">
            <v>RADIO RECEIVER,SINGLE CHANNEL W/ANTENNA</v>
          </cell>
          <cell r="C65" t="str">
            <v>A</v>
          </cell>
          <cell r="D65">
            <v>101</v>
          </cell>
        </row>
        <row r="66">
          <cell r="A66" t="str">
            <v>11-2478</v>
          </cell>
          <cell r="B66" t="str">
            <v>RADIO COAX CABLE ASSY,5'</v>
          </cell>
          <cell r="C66" t="str">
            <v>A</v>
          </cell>
          <cell r="D66">
            <v>101</v>
          </cell>
        </row>
        <row r="67">
          <cell r="A67" t="str">
            <v>11-3282</v>
          </cell>
          <cell r="B67" t="str">
            <v>TRANSFORMER,230/25.2 VAC @ 2.8 AMP C.T.</v>
          </cell>
          <cell r="C67" t="str">
            <v>A</v>
          </cell>
          <cell r="D67">
            <v>149</v>
          </cell>
        </row>
        <row r="68">
          <cell r="A68" t="str">
            <v>11-3439</v>
          </cell>
          <cell r="B68" t="str">
            <v>TRANSFORMER,12 VAC PLUG IN</v>
          </cell>
          <cell r="C68" t="str">
            <v>A</v>
          </cell>
          <cell r="D68">
            <v>178</v>
          </cell>
        </row>
        <row r="69">
          <cell r="A69" t="str">
            <v>11-3536</v>
          </cell>
          <cell r="B69" t="str">
            <v>CABLE,COMMUNICATION (500' SPOOL)</v>
          </cell>
          <cell r="C69" t="str">
            <v>A</v>
          </cell>
          <cell r="D69">
            <v>790</v>
          </cell>
        </row>
        <row r="70">
          <cell r="A70" t="str">
            <v>11-3718</v>
          </cell>
          <cell r="B70" t="str">
            <v>RADIO RECEIVER,TRIPLE CHANNEL W/ANTENNA</v>
          </cell>
          <cell r="C70" t="str">
            <v>A</v>
          </cell>
          <cell r="D70">
            <v>151</v>
          </cell>
        </row>
        <row r="71">
          <cell r="A71" t="str">
            <v>11-3719</v>
          </cell>
          <cell r="B71" t="str">
            <v>RADIO RECEIVER,DOUBLE CHANNEL W/ANTENNA</v>
          </cell>
          <cell r="C71" t="str">
            <v>A</v>
          </cell>
          <cell r="D71">
            <v>110</v>
          </cell>
        </row>
        <row r="72">
          <cell r="A72" t="str">
            <v>11-3723</v>
          </cell>
          <cell r="B72" t="str">
            <v>RECEIVER,1 CHANNEL COMMERCIAL RADIO</v>
          </cell>
          <cell r="C72" t="str">
            <v>A</v>
          </cell>
          <cell r="D72">
            <v>360</v>
          </cell>
        </row>
        <row r="73">
          <cell r="A73" t="str">
            <v>11-3724</v>
          </cell>
          <cell r="B73" t="str">
            <v>TRANSMITTER,1 CHANNEL COMMERCIAL RADIO</v>
          </cell>
          <cell r="C73" t="str">
            <v>A</v>
          </cell>
          <cell r="D73">
            <v>149</v>
          </cell>
        </row>
        <row r="74">
          <cell r="A74" t="str">
            <v>11-3725</v>
          </cell>
          <cell r="B74" t="str">
            <v>TRANSMITTER,3 CHANNEL COMMERCIAL RADIO</v>
          </cell>
          <cell r="C74" t="str">
            <v>A</v>
          </cell>
          <cell r="D74">
            <v>180</v>
          </cell>
        </row>
        <row r="75">
          <cell r="A75" t="str">
            <v>11-3882</v>
          </cell>
          <cell r="B75" t="str">
            <v>DIFF COUNTER,EDC-1000 MODULE</v>
          </cell>
          <cell r="C75" t="str">
            <v>A</v>
          </cell>
          <cell r="D75">
            <v>1332</v>
          </cell>
        </row>
        <row r="76">
          <cell r="A76" t="str">
            <v>11-3897</v>
          </cell>
          <cell r="B76" t="str">
            <v>ANTENNA,RADIO RECEIVER</v>
          </cell>
          <cell r="C76" t="str">
            <v>A</v>
          </cell>
          <cell r="D76">
            <v>29</v>
          </cell>
        </row>
        <row r="77">
          <cell r="A77" t="str">
            <v>11-3929</v>
          </cell>
          <cell r="B77" t="str">
            <v>CASH DRAWER INSERT,PLASTIC 5 BILL</v>
          </cell>
          <cell r="C77" t="str">
            <v>A</v>
          </cell>
          <cell r="D77">
            <v>109</v>
          </cell>
        </row>
        <row r="78">
          <cell r="A78" t="str">
            <v>11-3930</v>
          </cell>
          <cell r="B78" t="str">
            <v>TRANSFORMER,120/24 VAC @ 100 MA RADIO RE</v>
          </cell>
          <cell r="C78" t="str">
            <v>A</v>
          </cell>
          <cell r="D78">
            <v>55</v>
          </cell>
        </row>
        <row r="79">
          <cell r="A79" t="str">
            <v>11-3931</v>
          </cell>
          <cell r="B79" t="str">
            <v>RADIO TRANSMITTER,DUAL CHANNEL</v>
          </cell>
          <cell r="C79" t="str">
            <v>A</v>
          </cell>
          <cell r="D79">
            <v>61</v>
          </cell>
        </row>
        <row r="80">
          <cell r="A80" t="str">
            <v>11-3932</v>
          </cell>
          <cell r="B80" t="str">
            <v>RADIO TRANSMITTER,TRIPLE CHANNEL</v>
          </cell>
          <cell r="C80" t="str">
            <v>A</v>
          </cell>
          <cell r="D80">
            <v>65</v>
          </cell>
        </row>
        <row r="81">
          <cell r="A81" t="str">
            <v>11-4264</v>
          </cell>
          <cell r="B81" t="str">
            <v>INTERCOM,CALL STATION LE-D</v>
          </cell>
          <cell r="C81" t="str">
            <v>A</v>
          </cell>
          <cell r="D81">
            <v>142</v>
          </cell>
        </row>
        <row r="82">
          <cell r="A82" t="str">
            <v>11-4518</v>
          </cell>
          <cell r="B82" t="str">
            <v>WIRE,16 AWG THHN LOOP</v>
          </cell>
          <cell r="C82" t="str">
            <v>A</v>
          </cell>
          <cell r="D82">
            <v>2</v>
          </cell>
        </row>
        <row r="83">
          <cell r="A83" t="str">
            <v>11-7050</v>
          </cell>
          <cell r="B83" t="str">
            <v>LED,BAR CODE,HBCS-1100</v>
          </cell>
          <cell r="C83" t="str">
            <v>A</v>
          </cell>
          <cell r="D83">
            <v>208</v>
          </cell>
        </row>
        <row r="84">
          <cell r="A84" t="str">
            <v>11-7580</v>
          </cell>
          <cell r="B84" t="str">
            <v>SONALERT MALLORY #SNP428</v>
          </cell>
          <cell r="C84" t="str">
            <v>A</v>
          </cell>
          <cell r="D84">
            <v>65</v>
          </cell>
        </row>
        <row r="85">
          <cell r="A85" t="str">
            <v>11-9171</v>
          </cell>
          <cell r="B85" t="str">
            <v>IC,SN75174N TRANSMITTER</v>
          </cell>
          <cell r="C85" t="str">
            <v>A</v>
          </cell>
          <cell r="D85">
            <v>12</v>
          </cell>
        </row>
        <row r="86">
          <cell r="A86" t="str">
            <v>11-9214</v>
          </cell>
          <cell r="B86" t="str">
            <v>IC,UA3486/UA96175 RECEIVER</v>
          </cell>
          <cell r="C86" t="str">
            <v>A</v>
          </cell>
          <cell r="D86">
            <v>7</v>
          </cell>
        </row>
        <row r="87">
          <cell r="A87" t="str">
            <v>12-0128</v>
          </cell>
          <cell r="B87" t="str">
            <v>HARNESS,DETECTOR</v>
          </cell>
          <cell r="C87" t="str">
            <v>A</v>
          </cell>
          <cell r="D87">
            <v>110</v>
          </cell>
        </row>
        <row r="88">
          <cell r="A88" t="str">
            <v>12-10286</v>
          </cell>
          <cell r="B88" t="str">
            <v>TRAINING PACKAGE,WORKSHOP #1</v>
          </cell>
          <cell r="C88" t="str">
            <v>Z</v>
          </cell>
          <cell r="D88">
            <v>630</v>
          </cell>
        </row>
        <row r="89">
          <cell r="A89" t="str">
            <v>12-10287</v>
          </cell>
          <cell r="B89" t="str">
            <v>STUDENT CERTIFICATION PROG,WORKSHOP #1</v>
          </cell>
          <cell r="C89" t="str">
            <v>Z</v>
          </cell>
          <cell r="D89">
            <v>525</v>
          </cell>
        </row>
        <row r="90">
          <cell r="A90" t="str">
            <v>12-10288</v>
          </cell>
          <cell r="B90" t="str">
            <v>INSTRUCTOR CERTIFICATION PROGRAM</v>
          </cell>
          <cell r="C90" t="str">
            <v>Z</v>
          </cell>
          <cell r="D90">
            <v>473</v>
          </cell>
        </row>
        <row r="91">
          <cell r="A91" t="str">
            <v>12-10289</v>
          </cell>
          <cell r="B91" t="str">
            <v>PROGRAM UPDATE,WORKSHOP #1</v>
          </cell>
          <cell r="C91" t="str">
            <v>Z</v>
          </cell>
          <cell r="D91">
            <v>105</v>
          </cell>
        </row>
        <row r="92">
          <cell r="A92" t="str">
            <v>12-10293</v>
          </cell>
          <cell r="B92" t="str">
            <v>STUDENT CERTIFICATION PROG,WORKSHOP #2</v>
          </cell>
          <cell r="C92" t="str">
            <v>Z</v>
          </cell>
          <cell r="D92">
            <v>525</v>
          </cell>
        </row>
        <row r="93">
          <cell r="A93" t="str">
            <v>12-10294</v>
          </cell>
          <cell r="B93" t="str">
            <v>STUDENT CERTIFICATION PROG,WORKSHOP #3</v>
          </cell>
          <cell r="C93" t="str">
            <v>Z</v>
          </cell>
          <cell r="D93">
            <v>525</v>
          </cell>
        </row>
        <row r="94">
          <cell r="A94" t="str">
            <v>12-10295</v>
          </cell>
          <cell r="B94" t="str">
            <v>STUDENT CERTIFICATION PROG,WORKSHOP #4</v>
          </cell>
          <cell r="C94" t="str">
            <v>Z</v>
          </cell>
          <cell r="D94">
            <v>525</v>
          </cell>
        </row>
        <row r="95">
          <cell r="A95" t="str">
            <v>12-10296</v>
          </cell>
          <cell r="B95" t="str">
            <v>STUDENT CERTIFICATION PROG,WORKSHOP #5</v>
          </cell>
          <cell r="C95" t="str">
            <v>Z</v>
          </cell>
          <cell r="D95">
            <v>525</v>
          </cell>
        </row>
        <row r="96">
          <cell r="A96" t="str">
            <v>12-8847</v>
          </cell>
          <cell r="B96" t="str">
            <v>SWITCH PACKAGE,DAY/NIGHT OVERHEAD DOOR</v>
          </cell>
          <cell r="C96" t="str">
            <v>A</v>
          </cell>
          <cell r="D96">
            <v>107</v>
          </cell>
        </row>
        <row r="97">
          <cell r="A97" t="str">
            <v>12-8964</v>
          </cell>
          <cell r="B97" t="str">
            <v>COUNTER,KEY RESETTABLE</v>
          </cell>
          <cell r="C97" t="str">
            <v>A</v>
          </cell>
          <cell r="D97">
            <v>368</v>
          </cell>
        </row>
        <row r="98">
          <cell r="A98" t="str">
            <v>13-0594</v>
          </cell>
          <cell r="B98" t="str">
            <v>ENCLOSURE ASSY,SINGLE DETECTOR</v>
          </cell>
          <cell r="C98" t="str">
            <v>A</v>
          </cell>
          <cell r="D98">
            <v>424</v>
          </cell>
        </row>
        <row r="99">
          <cell r="A99" t="str">
            <v>13-10023</v>
          </cell>
          <cell r="B99" t="str">
            <v>DIFF COUNTER,EDC-1000 BOOTH MOUNT 220 V</v>
          </cell>
          <cell r="C99" t="str">
            <v>A</v>
          </cell>
          <cell r="D99">
            <v>1600</v>
          </cell>
        </row>
        <row r="100">
          <cell r="A100" t="str">
            <v>13-10226</v>
          </cell>
          <cell r="B100" t="str">
            <v>MASTER INTERCOM OPTION,220 VOLT</v>
          </cell>
          <cell r="C100" t="str">
            <v>A</v>
          </cell>
          <cell r="D100">
            <v>0</v>
          </cell>
        </row>
        <row r="101">
          <cell r="A101" t="str">
            <v>13-10227</v>
          </cell>
          <cell r="B101" t="str">
            <v>INTERCOM W/PS,40 STATION MASTER</v>
          </cell>
          <cell r="C101" t="str">
            <v>A</v>
          </cell>
          <cell r="D101">
            <v>0</v>
          </cell>
        </row>
        <row r="102">
          <cell r="A102" t="str">
            <v>13-1117</v>
          </cell>
          <cell r="B102" t="str">
            <v>ENCLOSURE ASSY,DOUBLE DETECTOR</v>
          </cell>
          <cell r="C102" t="str">
            <v>A</v>
          </cell>
          <cell r="D102">
            <v>549</v>
          </cell>
        </row>
        <row r="103">
          <cell r="A103" t="str">
            <v>13-2525</v>
          </cell>
          <cell r="B103" t="str">
            <v>INTERCOM CALL STATION W/STAND &amp; ENCL.</v>
          </cell>
          <cell r="C103" t="str">
            <v>A</v>
          </cell>
          <cell r="D103">
            <v>653</v>
          </cell>
        </row>
        <row r="104">
          <cell r="A104" t="str">
            <v>13-2738</v>
          </cell>
          <cell r="B104" t="str">
            <v>FULL SIGN,GATE MOUNTED</v>
          </cell>
          <cell r="C104" t="str">
            <v>A</v>
          </cell>
          <cell r="D104">
            <v>688</v>
          </cell>
        </row>
        <row r="105">
          <cell r="A105" t="str">
            <v>13-2743</v>
          </cell>
          <cell r="B105" t="str">
            <v>FULL SIGN,PEDESTAL MOUNTED W/STAND</v>
          </cell>
          <cell r="C105" t="str">
            <v>A</v>
          </cell>
          <cell r="D105">
            <v>942</v>
          </cell>
        </row>
        <row r="106">
          <cell r="A106" t="str">
            <v>13-7325</v>
          </cell>
          <cell r="B106" t="str">
            <v>SWITCH PACKAGE,REMOTE RAISE/LOWER</v>
          </cell>
          <cell r="C106" t="str">
            <v>A</v>
          </cell>
          <cell r="D106">
            <v>146</v>
          </cell>
        </row>
        <row r="107">
          <cell r="A107" t="str">
            <v>13-7331</v>
          </cell>
          <cell r="B107" t="str">
            <v>SELECTRONIC 320,W/STAND &amp; INTERCOM</v>
          </cell>
          <cell r="C107" t="str">
            <v>A</v>
          </cell>
          <cell r="D107">
            <v>2001</v>
          </cell>
        </row>
        <row r="108">
          <cell r="A108" t="str">
            <v>13-7334</v>
          </cell>
          <cell r="B108" t="str">
            <v>KEY SWITCH ASSY</v>
          </cell>
          <cell r="C108" t="str">
            <v>A</v>
          </cell>
          <cell r="D108">
            <v>178</v>
          </cell>
        </row>
        <row r="109">
          <cell r="A109" t="str">
            <v>13-7340</v>
          </cell>
          <cell r="B109" t="str">
            <v>SELECTRONIC 320 UNIVERSAL MOUNT</v>
          </cell>
          <cell r="C109" t="str">
            <v>A</v>
          </cell>
          <cell r="D109">
            <v>733</v>
          </cell>
        </row>
        <row r="110">
          <cell r="A110" t="str">
            <v>13-7423</v>
          </cell>
          <cell r="B110" t="str">
            <v>COLD WEATHER OPTION</v>
          </cell>
          <cell r="C110" t="str">
            <v>A</v>
          </cell>
          <cell r="D110">
            <v>136</v>
          </cell>
        </row>
        <row r="111">
          <cell r="A111" t="str">
            <v>13-7433</v>
          </cell>
          <cell r="B111" t="str">
            <v>INTERCOM ADDITIVE,DYNA</v>
          </cell>
          <cell r="C111" t="str">
            <v>A</v>
          </cell>
          <cell r="D111">
            <v>240</v>
          </cell>
        </row>
        <row r="112">
          <cell r="A112" t="str">
            <v>13-7470</v>
          </cell>
          <cell r="B112" t="str">
            <v>INTERCOM W/PS,5 STATION MASTER</v>
          </cell>
          <cell r="C112" t="str">
            <v>A</v>
          </cell>
          <cell r="D112">
            <v>1116</v>
          </cell>
        </row>
        <row r="113">
          <cell r="A113" t="str">
            <v>13-7471</v>
          </cell>
          <cell r="B113" t="str">
            <v>INTERCOM W/PS,10 STATION MASTER</v>
          </cell>
          <cell r="C113" t="str">
            <v>A</v>
          </cell>
          <cell r="D113">
            <v>1282</v>
          </cell>
        </row>
        <row r="114">
          <cell r="A114" t="str">
            <v>13-7472</v>
          </cell>
          <cell r="B114" t="str">
            <v>INTERCOM W/PS,1 STATION MASTER</v>
          </cell>
          <cell r="C114" t="str">
            <v>A</v>
          </cell>
          <cell r="D114">
            <v>486</v>
          </cell>
        </row>
        <row r="115">
          <cell r="A115" t="str">
            <v>13-7535</v>
          </cell>
          <cell r="B115" t="str">
            <v>DETECTOR,LD-20</v>
          </cell>
          <cell r="C115" t="str">
            <v>A</v>
          </cell>
          <cell r="D115">
            <v>661</v>
          </cell>
        </row>
        <row r="116">
          <cell r="A116" t="str">
            <v>13-7749</v>
          </cell>
          <cell r="B116" t="str">
            <v>FULL SIGN,WALL MOUNTED</v>
          </cell>
          <cell r="C116" t="str">
            <v>A</v>
          </cell>
          <cell r="D116">
            <v>680</v>
          </cell>
        </row>
        <row r="117">
          <cell r="A117" t="str">
            <v>13-7763</v>
          </cell>
          <cell r="B117" t="str">
            <v>DETECTOR,LD-21</v>
          </cell>
          <cell r="C117" t="str">
            <v>A</v>
          </cell>
          <cell r="D117">
            <v>874</v>
          </cell>
        </row>
        <row r="118">
          <cell r="A118" t="str">
            <v>13-7764</v>
          </cell>
          <cell r="B118" t="str">
            <v>DETECTOR,LD-22</v>
          </cell>
          <cell r="C118" t="str">
            <v>A</v>
          </cell>
          <cell r="D118">
            <v>874</v>
          </cell>
        </row>
        <row r="119">
          <cell r="A119" t="str">
            <v>13-7913</v>
          </cell>
          <cell r="B119" t="str">
            <v>DIFF COUNTER,EDC-1000 BOOTH MOUNT 115 V</v>
          </cell>
          <cell r="C119" t="str">
            <v>A</v>
          </cell>
          <cell r="D119">
            <v>1600</v>
          </cell>
        </row>
        <row r="120">
          <cell r="A120" t="str">
            <v>13-7943</v>
          </cell>
          <cell r="B120" t="str">
            <v>INTERCOM W/PS,20 STATION MASTER</v>
          </cell>
          <cell r="C120" t="str">
            <v>A</v>
          </cell>
          <cell r="D120">
            <v>2070</v>
          </cell>
        </row>
        <row r="121">
          <cell r="A121" t="str">
            <v>13-7971</v>
          </cell>
          <cell r="B121" t="str">
            <v>DETECTOR,LD-23</v>
          </cell>
          <cell r="C121" t="str">
            <v>A</v>
          </cell>
          <cell r="D121">
            <v>874</v>
          </cell>
        </row>
        <row r="122">
          <cell r="A122" t="str">
            <v>13-8586</v>
          </cell>
          <cell r="B122" t="str">
            <v>AUDIT COUNTER,NON-RESETTABLE 115 VOLT</v>
          </cell>
          <cell r="C122" t="str">
            <v>A</v>
          </cell>
          <cell r="D122">
            <v>240</v>
          </cell>
        </row>
        <row r="123">
          <cell r="A123" t="str">
            <v>13-8587</v>
          </cell>
          <cell r="B123" t="str">
            <v>AUDIT COUNTER,24 VDC INSTALLED</v>
          </cell>
          <cell r="C123" t="str">
            <v>A</v>
          </cell>
          <cell r="D123">
            <v>225</v>
          </cell>
        </row>
        <row r="124">
          <cell r="A124" t="str">
            <v>13-8633</v>
          </cell>
          <cell r="B124" t="str">
            <v>INTERCOM CALL STATION W/ENCLOSURE</v>
          </cell>
          <cell r="C124" t="str">
            <v>A</v>
          </cell>
          <cell r="D124">
            <v>440</v>
          </cell>
        </row>
        <row r="125">
          <cell r="A125" t="str">
            <v>13-8644</v>
          </cell>
          <cell r="B125" t="str">
            <v>DETECTOR,LD-24</v>
          </cell>
          <cell r="C125" t="str">
            <v>A</v>
          </cell>
          <cell r="D125">
            <v>874</v>
          </cell>
        </row>
        <row r="126">
          <cell r="A126" t="str">
            <v>13-8838</v>
          </cell>
          <cell r="B126" t="str">
            <v>FULL SIGN,GATE MOUNT SPANISH</v>
          </cell>
          <cell r="C126" t="str">
            <v>A</v>
          </cell>
          <cell r="D126">
            <v>688</v>
          </cell>
        </row>
        <row r="127">
          <cell r="A127" t="str">
            <v>13-8840</v>
          </cell>
          <cell r="B127" t="str">
            <v>FULL SIGN,PEDESTAL MOUNT SPANISH</v>
          </cell>
          <cell r="C127" t="str">
            <v>A</v>
          </cell>
          <cell r="D127">
            <v>942</v>
          </cell>
        </row>
        <row r="128">
          <cell r="A128" t="str">
            <v>13-8841</v>
          </cell>
          <cell r="B128" t="str">
            <v>FULL SIGN,WALL MOUNTED SPANISH</v>
          </cell>
          <cell r="C128" t="str">
            <v>A</v>
          </cell>
          <cell r="D128">
            <v>680</v>
          </cell>
        </row>
        <row r="129">
          <cell r="A129" t="str">
            <v>13-8846</v>
          </cell>
          <cell r="B129" t="str">
            <v>OVERHEAD DOOR INTERFACE ASSY</v>
          </cell>
          <cell r="C129" t="str">
            <v>A</v>
          </cell>
          <cell r="D129">
            <v>1303</v>
          </cell>
        </row>
        <row r="130">
          <cell r="A130" t="str">
            <v>13-8880</v>
          </cell>
          <cell r="B130" t="str">
            <v>DETECTOR,LD-20 220 VOLT</v>
          </cell>
          <cell r="C130" t="str">
            <v>A</v>
          </cell>
          <cell r="D130">
            <v>661</v>
          </cell>
        </row>
        <row r="131">
          <cell r="A131" t="str">
            <v>13-8881</v>
          </cell>
          <cell r="B131" t="str">
            <v>DETECTOR,LD-21 220 VOLT</v>
          </cell>
          <cell r="C131" t="str">
            <v>A</v>
          </cell>
          <cell r="D131">
            <v>874</v>
          </cell>
        </row>
        <row r="132">
          <cell r="A132" t="str">
            <v>13-8882</v>
          </cell>
          <cell r="B132" t="str">
            <v>DETECTOR,LD-22 220 VOLT</v>
          </cell>
          <cell r="C132" t="str">
            <v>A</v>
          </cell>
          <cell r="D132">
            <v>874</v>
          </cell>
        </row>
        <row r="133">
          <cell r="A133" t="str">
            <v>13-8883</v>
          </cell>
          <cell r="B133" t="str">
            <v>DETECTOR,LD-23 220 VOLT</v>
          </cell>
          <cell r="C133" t="str">
            <v>A</v>
          </cell>
          <cell r="D133">
            <v>874</v>
          </cell>
        </row>
        <row r="134">
          <cell r="A134" t="str">
            <v>13-8884</v>
          </cell>
          <cell r="B134" t="str">
            <v>DETECTOR,LD-24 220 VOLT</v>
          </cell>
          <cell r="C134" t="str">
            <v>A</v>
          </cell>
          <cell r="D134">
            <v>874</v>
          </cell>
        </row>
        <row r="135">
          <cell r="A135" t="str">
            <v>13-8982</v>
          </cell>
          <cell r="B135" t="str">
            <v>DIFFERENTIAL COUNT MODULE</v>
          </cell>
          <cell r="C135" t="str">
            <v>A</v>
          </cell>
          <cell r="D135">
            <v>1576</v>
          </cell>
        </row>
        <row r="136">
          <cell r="A136" t="str">
            <v>13-8984</v>
          </cell>
          <cell r="B136" t="str">
            <v>ANTI-COINCIDENCE PACKAGE,6-10 INPUTS</v>
          </cell>
          <cell r="C136" t="str">
            <v>A</v>
          </cell>
          <cell r="D136">
            <v>1766</v>
          </cell>
        </row>
        <row r="137">
          <cell r="A137" t="str">
            <v>13-8985</v>
          </cell>
          <cell r="B137" t="str">
            <v>ANTI-COINCIDENCE PACKAGE,11-20 INPUTS</v>
          </cell>
          <cell r="C137" t="str">
            <v>A</v>
          </cell>
          <cell r="D137">
            <v>2135</v>
          </cell>
        </row>
        <row r="138">
          <cell r="A138" t="str">
            <v>20-1127</v>
          </cell>
          <cell r="B138" t="str">
            <v>BRACKET,REVERSE FOLDING ARM PIVOT</v>
          </cell>
          <cell r="C138" t="str">
            <v>A</v>
          </cell>
          <cell r="D138">
            <v>106</v>
          </cell>
        </row>
        <row r="139">
          <cell r="A139" t="str">
            <v>20-11679</v>
          </cell>
          <cell r="B139" t="str">
            <v>LABEL,CAUTION GATE POST TURKISH</v>
          </cell>
          <cell r="C139" t="str">
            <v>A</v>
          </cell>
          <cell r="D139">
            <v>0</v>
          </cell>
        </row>
        <row r="140">
          <cell r="A140" t="str">
            <v>20-11680</v>
          </cell>
          <cell r="B140" t="str">
            <v>LABEL,GATE ARM CAUTION TURKISH</v>
          </cell>
          <cell r="C140" t="str">
            <v>A</v>
          </cell>
          <cell r="D140">
            <v>0</v>
          </cell>
        </row>
        <row r="141">
          <cell r="A141" t="str">
            <v>20-11761</v>
          </cell>
          <cell r="B141" t="str">
            <v>CONNECTIONS PANEL ADAPTOR,G-90 CD/SST</v>
          </cell>
          <cell r="C141" t="str">
            <v>A</v>
          </cell>
          <cell r="D141">
            <v>55</v>
          </cell>
        </row>
        <row r="142">
          <cell r="A142" t="str">
            <v>20-11762</v>
          </cell>
          <cell r="B142" t="str">
            <v>CONNECTIONS PANEL COVER,G-90 CD/SST</v>
          </cell>
          <cell r="C142" t="str">
            <v>A</v>
          </cell>
          <cell r="D142">
            <v>42</v>
          </cell>
        </row>
        <row r="143">
          <cell r="A143" t="str">
            <v>20-11776</v>
          </cell>
          <cell r="B143" t="str">
            <v>PC BOARD,CD GATE/SST CONFIG MODULE</v>
          </cell>
          <cell r="C143" t="str">
            <v>A</v>
          </cell>
          <cell r="D143">
            <v>0</v>
          </cell>
        </row>
        <row r="144">
          <cell r="A144" t="str">
            <v>20-11788</v>
          </cell>
          <cell r="B144" t="str">
            <v>LABEL,G-90 CD 14 PIN CONNECTOR</v>
          </cell>
          <cell r="C144" t="str">
            <v>A</v>
          </cell>
          <cell r="D144">
            <v>0</v>
          </cell>
        </row>
        <row r="145">
          <cell r="A145" t="str">
            <v>20-11789</v>
          </cell>
          <cell r="B145" t="str">
            <v>NAMEPLATE,G-90 "SERIES" CE</v>
          </cell>
          <cell r="C145" t="str">
            <v>A</v>
          </cell>
          <cell r="D145">
            <v>0</v>
          </cell>
        </row>
        <row r="146">
          <cell r="A146" t="str">
            <v>20-11791</v>
          </cell>
          <cell r="B146" t="str">
            <v>LABEL,G-90 CD SWITCH</v>
          </cell>
          <cell r="C146" t="str">
            <v>A</v>
          </cell>
          <cell r="D146">
            <v>0</v>
          </cell>
        </row>
        <row r="147">
          <cell r="A147" t="str">
            <v>20-11792</v>
          </cell>
          <cell r="B147" t="str">
            <v>LABEL,G-90 CD INSTRUCTION PLATE</v>
          </cell>
          <cell r="C147" t="str">
            <v>A</v>
          </cell>
          <cell r="D147">
            <v>0</v>
          </cell>
        </row>
        <row r="148">
          <cell r="A148" t="str">
            <v>20-11793</v>
          </cell>
          <cell r="B148" t="str">
            <v>LABEL,G-90 CD INSTRUCTION PLATE 220 VOLT</v>
          </cell>
          <cell r="C148" t="str">
            <v>A</v>
          </cell>
          <cell r="D148">
            <v>0</v>
          </cell>
        </row>
        <row r="149">
          <cell r="A149" t="str">
            <v>20-11815</v>
          </cell>
          <cell r="B149" t="str">
            <v>LABEL,GATE ARM CAUTION SPANISH</v>
          </cell>
          <cell r="C149" t="str">
            <v>A</v>
          </cell>
          <cell r="D149">
            <v>18</v>
          </cell>
        </row>
        <row r="150">
          <cell r="A150" t="str">
            <v>20-1292</v>
          </cell>
          <cell r="B150" t="str">
            <v>***DO NOT USE***</v>
          </cell>
          <cell r="C150" t="str">
            <v>A</v>
          </cell>
          <cell r="D150">
            <v>999999.99990000005</v>
          </cell>
        </row>
        <row r="151">
          <cell r="A151" t="str">
            <v>20-13572</v>
          </cell>
          <cell r="B151" t="str">
            <v>CABINET ASSY,500 GATE</v>
          </cell>
          <cell r="C151" t="str">
            <v>A</v>
          </cell>
          <cell r="D151">
            <v>0</v>
          </cell>
        </row>
        <row r="152">
          <cell r="A152" t="str">
            <v>20-3469</v>
          </cell>
          <cell r="B152" t="str">
            <v>LABEL,GATE POST WARNING</v>
          </cell>
          <cell r="C152" t="str">
            <v>A</v>
          </cell>
          <cell r="D152">
            <v>29</v>
          </cell>
        </row>
        <row r="153">
          <cell r="A153" t="str">
            <v>20-3951</v>
          </cell>
          <cell r="B153" t="str">
            <v>GASKET,GATE CABINET MOUNTING</v>
          </cell>
          <cell r="C153" t="str">
            <v>A</v>
          </cell>
          <cell r="D153">
            <v>29</v>
          </cell>
        </row>
        <row r="154">
          <cell r="A154" t="str">
            <v>20-4348</v>
          </cell>
          <cell r="B154" t="str">
            <v>LABEL,GATE ARM CAUTION FOLDOVER</v>
          </cell>
          <cell r="C154" t="str">
            <v>A</v>
          </cell>
          <cell r="D154">
            <v>18</v>
          </cell>
        </row>
        <row r="155">
          <cell r="A155" t="str">
            <v>20-4505</v>
          </cell>
          <cell r="B155" t="str">
            <v>GATE ARM,500 GATE</v>
          </cell>
          <cell r="C155" t="str">
            <v>A</v>
          </cell>
          <cell r="D155">
            <v>518</v>
          </cell>
        </row>
        <row r="156">
          <cell r="A156" t="str">
            <v>20-4506</v>
          </cell>
          <cell r="B156" t="str">
            <v>GATE ARM,NN GATE WISHBONE 14'-18'</v>
          </cell>
          <cell r="C156" t="str">
            <v>C</v>
          </cell>
          <cell r="D156">
            <v>768</v>
          </cell>
        </row>
        <row r="157">
          <cell r="A157" t="str">
            <v>20-4507</v>
          </cell>
          <cell r="B157" t="str">
            <v>GATE ARM,NN GATE WISHBONE 19'-24-</v>
          </cell>
          <cell r="C157" t="str">
            <v>C</v>
          </cell>
          <cell r="D157">
            <v>833</v>
          </cell>
        </row>
        <row r="158">
          <cell r="A158" t="str">
            <v>20-4508</v>
          </cell>
          <cell r="B158" t="str">
            <v>GATE ARM,NN GATE WISHBONE 25'-30'</v>
          </cell>
          <cell r="C158" t="str">
            <v>C</v>
          </cell>
          <cell r="D158">
            <v>1111</v>
          </cell>
        </row>
        <row r="159">
          <cell r="A159" t="str">
            <v>20-4509</v>
          </cell>
          <cell r="B159" t="str">
            <v>GATE ARM,NN GATE WISHBONE 31'-34'</v>
          </cell>
          <cell r="C159" t="str">
            <v>C</v>
          </cell>
          <cell r="D159">
            <v>2032</v>
          </cell>
        </row>
        <row r="160">
          <cell r="A160" t="str">
            <v>20-4510</v>
          </cell>
          <cell r="B160" t="str">
            <v>GATE ARM,NN GATE WISHBONE 35'-38'</v>
          </cell>
          <cell r="C160" t="str">
            <v>C</v>
          </cell>
          <cell r="D160">
            <v>2200</v>
          </cell>
        </row>
        <row r="161">
          <cell r="A161" t="str">
            <v>21-13074</v>
          </cell>
          <cell r="B161" t="str">
            <v>RELAY,120 VAC LATCHING</v>
          </cell>
          <cell r="C161" t="str">
            <v>A</v>
          </cell>
          <cell r="D161">
            <v>138</v>
          </cell>
        </row>
        <row r="162">
          <cell r="A162" t="str">
            <v>21-3672</v>
          </cell>
          <cell r="B162" t="str">
            <v>TIMER,ARTISAN  438USA</v>
          </cell>
          <cell r="C162" t="str">
            <v>A</v>
          </cell>
          <cell r="D162">
            <v>226</v>
          </cell>
        </row>
        <row r="163">
          <cell r="A163" t="str">
            <v>21-3712</v>
          </cell>
          <cell r="B163" t="str">
            <v>BUFFER ROD,GATE ARM TIP SUPPORT</v>
          </cell>
          <cell r="C163" t="str">
            <v>B</v>
          </cell>
          <cell r="D163">
            <v>146</v>
          </cell>
        </row>
        <row r="164">
          <cell r="A164" t="str">
            <v>21-3715</v>
          </cell>
          <cell r="B164" t="str">
            <v>SWITCH,HAND CRANK DISCONNECT ASSY NN</v>
          </cell>
          <cell r="C164" t="str">
            <v>B</v>
          </cell>
          <cell r="D164">
            <v>708</v>
          </cell>
        </row>
        <row r="165">
          <cell r="A165" t="str">
            <v>21-3890</v>
          </cell>
          <cell r="B165" t="str">
            <v>TRANSFORMER,480 X 240/120 VAC 100 VA</v>
          </cell>
          <cell r="C165" t="str">
            <v>A</v>
          </cell>
          <cell r="D165">
            <v>216</v>
          </cell>
        </row>
        <row r="166">
          <cell r="A166" t="str">
            <v>21-4148</v>
          </cell>
          <cell r="B166" t="str">
            <v>TRANSFORMER,220 VOLT 50 HZ 24 V</v>
          </cell>
          <cell r="C166" t="str">
            <v>A</v>
          </cell>
          <cell r="D166">
            <v>170</v>
          </cell>
        </row>
        <row r="167">
          <cell r="A167" t="str">
            <v>21-4149</v>
          </cell>
          <cell r="B167" t="str">
            <v>TRANSFORMER,220 V 50 HZ 12 V</v>
          </cell>
          <cell r="C167" t="str">
            <v>A</v>
          </cell>
          <cell r="D167">
            <v>150</v>
          </cell>
        </row>
        <row r="168">
          <cell r="A168" t="str">
            <v>21-4514</v>
          </cell>
          <cell r="B168" t="str">
            <v>LOOP SEALANT (ONE GALLON)</v>
          </cell>
          <cell r="C168" t="str">
            <v>A</v>
          </cell>
          <cell r="D168">
            <v>86</v>
          </cell>
        </row>
        <row r="169">
          <cell r="A169" t="str">
            <v>21-4516</v>
          </cell>
          <cell r="B169" t="str">
            <v>GATE ARM,12' ADDITIVE</v>
          </cell>
          <cell r="C169" t="str">
            <v>A</v>
          </cell>
          <cell r="D169">
            <v>37</v>
          </cell>
        </row>
        <row r="170">
          <cell r="A170" t="str">
            <v>21-4517</v>
          </cell>
          <cell r="B170" t="str">
            <v>GATE ARM,14' ADDITIVE</v>
          </cell>
          <cell r="C170" t="str">
            <v>A</v>
          </cell>
          <cell r="D170">
            <v>71</v>
          </cell>
        </row>
        <row r="171">
          <cell r="A171" t="str">
            <v>22-0797</v>
          </cell>
          <cell r="B171" t="str">
            <v>GATE,G-89 RAISE LOWER U/L</v>
          </cell>
          <cell r="C171" t="str">
            <v>A</v>
          </cell>
          <cell r="D171">
            <v>2552</v>
          </cell>
        </row>
        <row r="172">
          <cell r="A172" t="str">
            <v>22-10038</v>
          </cell>
          <cell r="B172" t="str">
            <v>OMEGA LCD TESTER</v>
          </cell>
          <cell r="C172" t="str">
            <v>A</v>
          </cell>
          <cell r="D172">
            <v>2115</v>
          </cell>
        </row>
        <row r="173">
          <cell r="A173" t="str">
            <v>22-10258</v>
          </cell>
          <cell r="B173" t="str">
            <v>FOLDING ARM,RIGHT HAND ADAPTER PACKAGE</v>
          </cell>
          <cell r="C173" t="str">
            <v>A</v>
          </cell>
          <cell r="D173">
            <v>44</v>
          </cell>
        </row>
        <row r="174">
          <cell r="A174" t="str">
            <v>22-13841</v>
          </cell>
          <cell r="B174" t="str">
            <v>HAND CRANK,500 GATE W/DISCONNECT</v>
          </cell>
          <cell r="C174" t="str">
            <v>A</v>
          </cell>
          <cell r="D174">
            <v>461</v>
          </cell>
        </row>
        <row r="175">
          <cell r="A175" t="str">
            <v>22-13845</v>
          </cell>
          <cell r="B175" t="str">
            <v>TIME DELAY PACKAGE,RAISE LOWER 220 VOLT</v>
          </cell>
          <cell r="C175" t="str">
            <v>A</v>
          </cell>
          <cell r="D175">
            <v>260</v>
          </cell>
        </row>
        <row r="176">
          <cell r="A176" t="str">
            <v>22-2562</v>
          </cell>
          <cell r="B176" t="str">
            <v>SENSITIVE REVERSING EDGE LINK ASSY</v>
          </cell>
          <cell r="C176" t="str">
            <v>A</v>
          </cell>
          <cell r="D176">
            <v>306</v>
          </cell>
        </row>
        <row r="177">
          <cell r="A177" t="str">
            <v>22-2750</v>
          </cell>
          <cell r="B177" t="str">
            <v>REDUCER</v>
          </cell>
          <cell r="C177" t="str">
            <v>A</v>
          </cell>
          <cell r="D177">
            <v>745</v>
          </cell>
        </row>
        <row r="178">
          <cell r="A178" t="str">
            <v>22-7455</v>
          </cell>
          <cell r="B178" t="str">
            <v>GATE ARM ASSY,10' FOLDING G-89</v>
          </cell>
          <cell r="C178" t="str">
            <v>A</v>
          </cell>
          <cell r="D178">
            <v>350</v>
          </cell>
        </row>
        <row r="179">
          <cell r="A179" t="str">
            <v>22-7591</v>
          </cell>
          <cell r="B179" t="str">
            <v>GATE ARM,10' FOLDING G-90</v>
          </cell>
          <cell r="C179" t="str">
            <v>A</v>
          </cell>
          <cell r="D179">
            <v>350</v>
          </cell>
        </row>
        <row r="180">
          <cell r="A180" t="str">
            <v>22-8867</v>
          </cell>
          <cell r="B180" t="str">
            <v>G-90 FOLDING ARM ASSY,ADA SPEC</v>
          </cell>
          <cell r="C180" t="str">
            <v>A</v>
          </cell>
          <cell r="D180">
            <v>350</v>
          </cell>
        </row>
        <row r="181">
          <cell r="A181" t="str">
            <v>22-8913</v>
          </cell>
          <cell r="B181" t="str">
            <v>UPGRADE,G-90 TO G-90 LCD</v>
          </cell>
          <cell r="C181" t="str">
            <v>A</v>
          </cell>
          <cell r="D181">
            <v>999999.99990000005</v>
          </cell>
        </row>
        <row r="182">
          <cell r="A182" t="str">
            <v>23-0791</v>
          </cell>
          <cell r="B182" t="str">
            <v>GATE,G-89  PAY U/L</v>
          </cell>
          <cell r="C182" t="str">
            <v>A</v>
          </cell>
          <cell r="D182">
            <v>2893</v>
          </cell>
        </row>
        <row r="183">
          <cell r="A183" t="str">
            <v>23-0793</v>
          </cell>
          <cell r="B183" t="str">
            <v>GATE,G-89 FREE U/L</v>
          </cell>
          <cell r="C183" t="str">
            <v>A</v>
          </cell>
          <cell r="D183">
            <v>2893</v>
          </cell>
        </row>
        <row r="184">
          <cell r="A184" t="str">
            <v>23-0795</v>
          </cell>
          <cell r="B184" t="str">
            <v>GATE,G-89 TWO-WAY U/L</v>
          </cell>
          <cell r="C184" t="str">
            <v>A</v>
          </cell>
          <cell r="D184">
            <v>3002</v>
          </cell>
        </row>
        <row r="185">
          <cell r="A185" t="str">
            <v>23-0843</v>
          </cell>
          <cell r="B185" t="str">
            <v>GATE,REVERSE (DOOR ON DRIVEWAY SD)</v>
          </cell>
          <cell r="C185" t="str">
            <v>A</v>
          </cell>
          <cell r="D185">
            <v>233</v>
          </cell>
        </row>
        <row r="186">
          <cell r="A186" t="str">
            <v>23-10024</v>
          </cell>
          <cell r="B186" t="str">
            <v>DIFF COUNTER,EDC-1000 GATE MOUNT 220 V</v>
          </cell>
          <cell r="C186" t="str">
            <v>A</v>
          </cell>
          <cell r="D186">
            <v>1600</v>
          </cell>
        </row>
        <row r="187">
          <cell r="A187" t="str">
            <v>23-10047</v>
          </cell>
          <cell r="B187" t="str">
            <v>SMART GATE SENSITIVE REV SYSTEM ASSY</v>
          </cell>
          <cell r="C187" t="str">
            <v>A</v>
          </cell>
          <cell r="D187">
            <v>836</v>
          </cell>
        </row>
        <row r="188">
          <cell r="A188" t="str">
            <v>23-10059</v>
          </cell>
          <cell r="B188" t="str">
            <v>GATE,G-90 L/ARM 220 VOLT</v>
          </cell>
          <cell r="C188" t="str">
            <v>A</v>
          </cell>
          <cell r="D188">
            <v>3624</v>
          </cell>
        </row>
        <row r="189">
          <cell r="A189" t="str">
            <v>23-10117</v>
          </cell>
          <cell r="B189" t="str">
            <v>GATE,G-90 W/S.R.E. &amp; FLD ARM 220 VOLT</v>
          </cell>
          <cell r="C189" t="str">
            <v>A</v>
          </cell>
          <cell r="D189">
            <v>4410</v>
          </cell>
        </row>
        <row r="190">
          <cell r="A190" t="str">
            <v>23-10129</v>
          </cell>
          <cell r="B190" t="str">
            <v>GATE,G-89 TWO-WAY U/L 220 VOLT</v>
          </cell>
          <cell r="C190" t="str">
            <v>A</v>
          </cell>
          <cell r="D190">
            <v>3002</v>
          </cell>
        </row>
        <row r="191">
          <cell r="A191" t="str">
            <v>23-10144</v>
          </cell>
          <cell r="B191" t="str">
            <v>SMART GATE REVERSING SYSTEM,PAY GATE</v>
          </cell>
          <cell r="C191" t="str">
            <v>A</v>
          </cell>
          <cell r="D191">
            <v>2527</v>
          </cell>
        </row>
        <row r="192">
          <cell r="A192" t="str">
            <v>23-10145</v>
          </cell>
          <cell r="B192" t="str">
            <v>SMART GATE REVERSING SYSTEM,FREE GATE</v>
          </cell>
          <cell r="C192" t="str">
            <v>A</v>
          </cell>
          <cell r="D192">
            <v>2527</v>
          </cell>
        </row>
        <row r="193">
          <cell r="A193" t="str">
            <v>23-10146</v>
          </cell>
          <cell r="B193" t="str">
            <v>SMART GATE REVERSING SYSTEM,DIR GATE</v>
          </cell>
          <cell r="C193" t="str">
            <v>A</v>
          </cell>
          <cell r="D193">
            <v>1923</v>
          </cell>
        </row>
        <row r="194">
          <cell r="A194" t="str">
            <v>23-10159</v>
          </cell>
          <cell r="B194" t="str">
            <v>GATE,G-89 PAY W/SRE 220 VOLT</v>
          </cell>
          <cell r="C194" t="str">
            <v>A</v>
          </cell>
          <cell r="D194">
            <v>3248</v>
          </cell>
        </row>
        <row r="195">
          <cell r="A195" t="str">
            <v>23-10166</v>
          </cell>
          <cell r="B195" t="str">
            <v>GATE,G-90 LCD W/CONFIG &amp; FOLDING ARM</v>
          </cell>
          <cell r="C195" t="str">
            <v>A</v>
          </cell>
          <cell r="D195">
            <v>3781</v>
          </cell>
        </row>
        <row r="196">
          <cell r="A196" t="str">
            <v>23-10202</v>
          </cell>
          <cell r="B196" t="str">
            <v>ADDITIVE,GATE CHINESE</v>
          </cell>
          <cell r="C196" t="str">
            <v>A</v>
          </cell>
          <cell r="D196">
            <v>0</v>
          </cell>
        </row>
        <row r="197">
          <cell r="A197" t="str">
            <v>23-10204</v>
          </cell>
          <cell r="B197" t="str">
            <v>ADDITIVE,GATE TURKISH</v>
          </cell>
          <cell r="C197" t="str">
            <v>A</v>
          </cell>
          <cell r="D197">
            <v>0</v>
          </cell>
        </row>
        <row r="198">
          <cell r="A198" t="str">
            <v>23-10215</v>
          </cell>
          <cell r="B198" t="str">
            <v>GATE,G-90 LCD W/CONFIG &amp; FLD ARM 220 V</v>
          </cell>
          <cell r="C198" t="str">
            <v>A</v>
          </cell>
          <cell r="D198">
            <v>3781</v>
          </cell>
        </row>
        <row r="199">
          <cell r="A199" t="str">
            <v>23-10224</v>
          </cell>
          <cell r="B199" t="str">
            <v>GATE,G-90 W/FOLDING ARM 220 VOLT</v>
          </cell>
          <cell r="C199" t="str">
            <v>A</v>
          </cell>
          <cell r="D199">
            <v>0</v>
          </cell>
        </row>
        <row r="200">
          <cell r="A200" t="str">
            <v>23-10235</v>
          </cell>
          <cell r="B200" t="str">
            <v>PC ASSY,G-90 CD CONNECTIONS PANEL</v>
          </cell>
          <cell r="C200" t="str">
            <v>A</v>
          </cell>
          <cell r="D200">
            <v>583</v>
          </cell>
        </row>
        <row r="201">
          <cell r="A201" t="str">
            <v>23-10249</v>
          </cell>
          <cell r="B201" t="str">
            <v>CONFIG MODULE,CD GATE W/BASIC SOFTWARE</v>
          </cell>
          <cell r="C201" t="str">
            <v>A</v>
          </cell>
          <cell r="D201">
            <v>121</v>
          </cell>
        </row>
        <row r="202">
          <cell r="A202" t="str">
            <v>23-10278</v>
          </cell>
          <cell r="B202" t="str">
            <v>UPGRADE,G-90 TO G-90 CD</v>
          </cell>
          <cell r="C202" t="str">
            <v>A</v>
          </cell>
          <cell r="D202">
            <v>1468</v>
          </cell>
        </row>
        <row r="203">
          <cell r="A203" t="str">
            <v>23-10279</v>
          </cell>
          <cell r="B203" t="str">
            <v>UPGRADE,G-90 LCD TO G-90 CD</v>
          </cell>
          <cell r="C203" t="str">
            <v>A</v>
          </cell>
          <cell r="D203">
            <v>618</v>
          </cell>
        </row>
        <row r="204">
          <cell r="A204" t="str">
            <v>23-12019</v>
          </cell>
          <cell r="B204" t="str">
            <v>GATE,CG-90 STANDARD</v>
          </cell>
          <cell r="C204" t="str">
            <v>A</v>
          </cell>
          <cell r="D204">
            <v>4027</v>
          </cell>
        </row>
        <row r="205">
          <cell r="A205" t="str">
            <v>23-12020</v>
          </cell>
          <cell r="B205" t="str">
            <v>GATE,CG-90 SENSITIVE REVERSING EDGE</v>
          </cell>
          <cell r="C205" t="str">
            <v>A</v>
          </cell>
          <cell r="D205">
            <v>4316</v>
          </cell>
        </row>
        <row r="206">
          <cell r="A206" t="str">
            <v>23-12021</v>
          </cell>
          <cell r="B206" t="str">
            <v>GATE,CG-90 W/FOLDING GATE ARM</v>
          </cell>
          <cell r="C206" t="str">
            <v>A</v>
          </cell>
          <cell r="D206">
            <v>4337</v>
          </cell>
        </row>
        <row r="207">
          <cell r="A207" t="str">
            <v>23-12022</v>
          </cell>
          <cell r="B207" t="str">
            <v>GATE,CG-90 SENSITIVE REV EDGE W/FLD ARM</v>
          </cell>
          <cell r="C207" t="str">
            <v>A</v>
          </cell>
          <cell r="D207">
            <v>4625</v>
          </cell>
        </row>
        <row r="208">
          <cell r="A208" t="str">
            <v>23-12023</v>
          </cell>
          <cell r="B208" t="str">
            <v>CONTROLLER,OMEGA W/COMMUNICATIONS</v>
          </cell>
          <cell r="C208" t="str">
            <v>A</v>
          </cell>
          <cell r="D208">
            <v>1834</v>
          </cell>
        </row>
        <row r="209">
          <cell r="A209" t="str">
            <v>23-12024</v>
          </cell>
          <cell r="B209" t="str">
            <v>UPGRADE,COMMUNICATIVE ADDITIVE G-90</v>
          </cell>
          <cell r="C209" t="str">
            <v>A</v>
          </cell>
          <cell r="D209">
            <v>964</v>
          </cell>
        </row>
        <row r="210">
          <cell r="A210" t="str">
            <v>23-12145</v>
          </cell>
          <cell r="B210" t="str">
            <v>GATE,CG-90 STANDARD 220 VOLT</v>
          </cell>
          <cell r="C210" t="str">
            <v>A</v>
          </cell>
          <cell r="D210">
            <v>4027</v>
          </cell>
        </row>
        <row r="211">
          <cell r="A211" t="str">
            <v>23-12146</v>
          </cell>
          <cell r="B211" t="str">
            <v>GATE,CG-90 SENSITIVE REV. EDGE 220 VOLT</v>
          </cell>
          <cell r="C211" t="str">
            <v>A</v>
          </cell>
          <cell r="D211">
            <v>4316</v>
          </cell>
        </row>
        <row r="212">
          <cell r="A212" t="str">
            <v>23-12147</v>
          </cell>
          <cell r="B212" t="str">
            <v>GATE,CG-90 W/FOLDING GATE ARM 220 VOLT</v>
          </cell>
          <cell r="C212" t="str">
            <v>A</v>
          </cell>
          <cell r="D212">
            <v>4337</v>
          </cell>
        </row>
        <row r="213">
          <cell r="A213" t="str">
            <v>23-12148</v>
          </cell>
          <cell r="B213" t="str">
            <v>GATE,CG-90 S.R.E. W/FOLDING ARM 220 VOLT</v>
          </cell>
          <cell r="C213" t="str">
            <v>A</v>
          </cell>
          <cell r="D213">
            <v>4625</v>
          </cell>
        </row>
        <row r="214">
          <cell r="A214" t="str">
            <v>23-13802</v>
          </cell>
          <cell r="B214" t="str">
            <v>COUNTERWEIGHT ASSY,500 GATE (5974-12)</v>
          </cell>
          <cell r="C214" t="str">
            <v>A</v>
          </cell>
          <cell r="D214">
            <v>488</v>
          </cell>
        </row>
        <row r="215">
          <cell r="A215" t="str">
            <v>23-13833</v>
          </cell>
          <cell r="B215" t="str">
            <v>GATE,500 RAISE/LOWER W/S.R.E.</v>
          </cell>
          <cell r="C215" t="str">
            <v>A</v>
          </cell>
          <cell r="D215">
            <v>4961</v>
          </cell>
        </row>
        <row r="216">
          <cell r="A216" t="str">
            <v>23-13834</v>
          </cell>
          <cell r="B216" t="str">
            <v>GATE,500  FREE</v>
          </cell>
          <cell r="C216" t="str">
            <v>A</v>
          </cell>
          <cell r="D216">
            <v>5135</v>
          </cell>
        </row>
        <row r="217">
          <cell r="A217" t="str">
            <v>23-13835</v>
          </cell>
          <cell r="B217" t="str">
            <v>GATE,500  PAY</v>
          </cell>
          <cell r="C217" t="str">
            <v>A</v>
          </cell>
          <cell r="D217">
            <v>5853</v>
          </cell>
        </row>
        <row r="218">
          <cell r="A218" t="str">
            <v>23-13836</v>
          </cell>
          <cell r="B218" t="str">
            <v>GATE,500  TWO-WAY</v>
          </cell>
          <cell r="C218" t="str">
            <v>A</v>
          </cell>
          <cell r="D218">
            <v>5853</v>
          </cell>
        </row>
        <row r="219">
          <cell r="A219" t="str">
            <v>23-13846</v>
          </cell>
          <cell r="B219" t="str">
            <v>GATE,500 R/L W/S.R.E. 220 VOLT</v>
          </cell>
          <cell r="C219" t="str">
            <v>A</v>
          </cell>
          <cell r="D219">
            <v>4961</v>
          </cell>
        </row>
        <row r="220">
          <cell r="A220" t="str">
            <v>23-13847</v>
          </cell>
          <cell r="B220" t="str">
            <v>GATE,500 FREE 220 VOLT</v>
          </cell>
          <cell r="C220" t="str">
            <v>A</v>
          </cell>
          <cell r="D220">
            <v>5135</v>
          </cell>
        </row>
        <row r="221">
          <cell r="A221" t="str">
            <v>23-13848</v>
          </cell>
          <cell r="B221" t="str">
            <v>GATE,500 PAY 220 VOLT</v>
          </cell>
          <cell r="C221" t="str">
            <v>A</v>
          </cell>
          <cell r="D221">
            <v>5853</v>
          </cell>
        </row>
        <row r="222">
          <cell r="A222" t="str">
            <v>23-16000</v>
          </cell>
          <cell r="B222" t="str">
            <v>GATE,G-90 LCD RAISE/LOWER 120 VOLT</v>
          </cell>
          <cell r="C222" t="str">
            <v>A</v>
          </cell>
          <cell r="D222">
            <v>3351</v>
          </cell>
        </row>
        <row r="223">
          <cell r="A223" t="str">
            <v>23-16001</v>
          </cell>
          <cell r="B223" t="str">
            <v>GATE,G-90 LCD RAISE/LOWER 220 VOLT</v>
          </cell>
          <cell r="C223" t="str">
            <v>A</v>
          </cell>
          <cell r="D223">
            <v>3351</v>
          </cell>
        </row>
        <row r="224">
          <cell r="A224" t="str">
            <v>23-16002</v>
          </cell>
          <cell r="B224" t="str">
            <v>GATE,G-90 LCD W/O CONFIG 120 VOLT</v>
          </cell>
          <cell r="C224" t="str">
            <v>A</v>
          </cell>
          <cell r="D224">
            <v>3693</v>
          </cell>
        </row>
        <row r="225">
          <cell r="A225" t="str">
            <v>23-16003</v>
          </cell>
          <cell r="B225" t="str">
            <v>GATE,G-90 LCD W/O CONFIG 220 VOLT</v>
          </cell>
          <cell r="C225" t="str">
            <v>A</v>
          </cell>
          <cell r="D225">
            <v>3693</v>
          </cell>
        </row>
        <row r="226">
          <cell r="A226" t="str">
            <v>23-16004</v>
          </cell>
          <cell r="B226" t="str">
            <v>GATE,G-90 LCD W/CONFIG MODULE 120 VOLT</v>
          </cell>
          <cell r="C226" t="str">
            <v>A</v>
          </cell>
          <cell r="D226">
            <v>3746</v>
          </cell>
        </row>
        <row r="227">
          <cell r="A227" t="str">
            <v>23-16005</v>
          </cell>
          <cell r="B227" t="str">
            <v>GATE,G-90 LCD W/CONFIG MODULE 220 VOLT</v>
          </cell>
          <cell r="C227" t="str">
            <v>A</v>
          </cell>
          <cell r="D227">
            <v>3746</v>
          </cell>
        </row>
        <row r="228">
          <cell r="A228" t="str">
            <v>23-16007</v>
          </cell>
          <cell r="B228" t="str">
            <v>BUFFER RELAY,HIGH VOLT USED W/FULL SIGN</v>
          </cell>
          <cell r="C228" t="str">
            <v>A</v>
          </cell>
          <cell r="D228">
            <v>185</v>
          </cell>
        </row>
        <row r="229">
          <cell r="A229" t="str">
            <v>23-16008</v>
          </cell>
          <cell r="B229" t="str">
            <v>ANTI-COINCIDENCE,LCD (8 INPUTS)</v>
          </cell>
          <cell r="C229" t="str">
            <v>A</v>
          </cell>
          <cell r="D229">
            <v>608</v>
          </cell>
        </row>
        <row r="230">
          <cell r="A230" t="str">
            <v>23-16009</v>
          </cell>
          <cell r="B230" t="str">
            <v>CD GATE DOOR SWITCH &amp; BULB ASSY</v>
          </cell>
          <cell r="C230" t="str">
            <v>A</v>
          </cell>
          <cell r="D230">
            <v>196</v>
          </cell>
        </row>
        <row r="231">
          <cell r="A231" t="str">
            <v>23-16010</v>
          </cell>
          <cell r="B231" t="str">
            <v>CONFIG OPTION,SINGLE DIFF COUNTER</v>
          </cell>
          <cell r="C231" t="str">
            <v>A</v>
          </cell>
          <cell r="D231">
            <v>912</v>
          </cell>
        </row>
        <row r="232">
          <cell r="A232" t="str">
            <v>23-16011</v>
          </cell>
          <cell r="B232" t="str">
            <v>CONFIG OPTION,DUAL DIFF COUNTER W/ACP</v>
          </cell>
          <cell r="C232" t="str">
            <v>A</v>
          </cell>
          <cell r="D232">
            <v>1940</v>
          </cell>
        </row>
        <row r="233">
          <cell r="A233" t="str">
            <v>23-16012</v>
          </cell>
          <cell r="B233" t="str">
            <v>CONFIG OPTION,DUAL DIRECTION</v>
          </cell>
          <cell r="C233" t="str">
            <v>A</v>
          </cell>
          <cell r="D233">
            <v>237</v>
          </cell>
        </row>
        <row r="234">
          <cell r="A234" t="str">
            <v>23-16013</v>
          </cell>
          <cell r="B234" t="str">
            <v>CONFIG OPTION,DIRECTIONAL ARMING</v>
          </cell>
          <cell r="C234" t="str">
            <v>A</v>
          </cell>
          <cell r="D234">
            <v>472</v>
          </cell>
        </row>
        <row r="235">
          <cell r="A235" t="str">
            <v>23-16014</v>
          </cell>
          <cell r="B235" t="str">
            <v>CONFIG OPTION,COMMUNICATION PACKAGE</v>
          </cell>
          <cell r="C235" t="str">
            <v>A</v>
          </cell>
          <cell r="D235">
            <v>296</v>
          </cell>
        </row>
        <row r="236">
          <cell r="A236" t="str">
            <v>23-16015</v>
          </cell>
          <cell r="B236" t="str">
            <v>CONFIG OPTION,THIRD DETECTOR (LOOP C)</v>
          </cell>
          <cell r="C236" t="str">
            <v>A</v>
          </cell>
          <cell r="D236">
            <v>237</v>
          </cell>
        </row>
        <row r="237">
          <cell r="A237" t="str">
            <v>23-16016</v>
          </cell>
          <cell r="B237" t="str">
            <v>CONFIG OPTION,BROKEN ARM MONITOR</v>
          </cell>
          <cell r="C237" t="str">
            <v>A</v>
          </cell>
          <cell r="D237">
            <v>120</v>
          </cell>
        </row>
        <row r="238">
          <cell r="A238" t="str">
            <v>23-16017</v>
          </cell>
          <cell r="B238" t="str">
            <v>OUTPUT,TIME ZONE 1</v>
          </cell>
          <cell r="C238" t="str">
            <v>A</v>
          </cell>
          <cell r="D238">
            <v>120</v>
          </cell>
        </row>
        <row r="239">
          <cell r="A239" t="str">
            <v>23-16018</v>
          </cell>
          <cell r="B239" t="str">
            <v>OUTPUT,TIME ZONE 2</v>
          </cell>
          <cell r="C239" t="str">
            <v>A</v>
          </cell>
          <cell r="D239">
            <v>120</v>
          </cell>
        </row>
        <row r="240">
          <cell r="A240" t="str">
            <v>23-16019</v>
          </cell>
          <cell r="B240" t="str">
            <v>CONFIG OPTION,TIME ZONE OVERRIDE</v>
          </cell>
          <cell r="C240" t="str">
            <v>A</v>
          </cell>
          <cell r="D240">
            <v>73</v>
          </cell>
        </row>
        <row r="241">
          <cell r="A241" t="str">
            <v>23-16020</v>
          </cell>
          <cell r="B241" t="str">
            <v>CONFIG OPTION,TIME ZONE RAISE/LOWER</v>
          </cell>
          <cell r="C241" t="str">
            <v>A</v>
          </cell>
          <cell r="D241">
            <v>73</v>
          </cell>
        </row>
        <row r="242">
          <cell r="A242" t="str">
            <v>23-16022</v>
          </cell>
          <cell r="B242" t="str">
            <v>CONFIG OPTION,TIME ZONE TRANS. DISABLE</v>
          </cell>
          <cell r="C242" t="str">
            <v>A</v>
          </cell>
          <cell r="D242">
            <v>73</v>
          </cell>
        </row>
        <row r="243">
          <cell r="A243" t="str">
            <v>23-16024</v>
          </cell>
          <cell r="B243" t="str">
            <v>CONFIG OPTION,CUSTOM</v>
          </cell>
          <cell r="C243" t="str">
            <v>A</v>
          </cell>
          <cell r="D243">
            <v>73</v>
          </cell>
        </row>
        <row r="244">
          <cell r="A244" t="str">
            <v>23-16025</v>
          </cell>
          <cell r="B244" t="str">
            <v>CONFIG OPTION,DUAL DIRECTION W/COMM</v>
          </cell>
          <cell r="C244" t="str">
            <v>A</v>
          </cell>
          <cell r="D244">
            <v>547</v>
          </cell>
        </row>
        <row r="245">
          <cell r="A245" t="str">
            <v>23-16030</v>
          </cell>
          <cell r="B245" t="str">
            <v>COUNT,RESET MONTHLY FORWARD</v>
          </cell>
          <cell r="C245" t="str">
            <v>A</v>
          </cell>
          <cell r="D245">
            <v>73</v>
          </cell>
        </row>
        <row r="246">
          <cell r="A246" t="str">
            <v>23-16031</v>
          </cell>
          <cell r="B246" t="str">
            <v>COUNT,NON-RESET MONTHLY FORWARD</v>
          </cell>
          <cell r="C246" t="str">
            <v>A</v>
          </cell>
          <cell r="D246">
            <v>73</v>
          </cell>
        </row>
        <row r="247">
          <cell r="A247" t="str">
            <v>23-16032</v>
          </cell>
          <cell r="B247" t="str">
            <v>COUNT,RESET MONTHLY FORWARD BACKOUT</v>
          </cell>
          <cell r="C247" t="str">
            <v>A</v>
          </cell>
          <cell r="D247">
            <v>73</v>
          </cell>
        </row>
        <row r="248">
          <cell r="A248" t="str">
            <v>23-16038</v>
          </cell>
          <cell r="B248" t="str">
            <v>COUNT,RESET TRANSIENT FORWARD</v>
          </cell>
          <cell r="C248" t="str">
            <v>A</v>
          </cell>
          <cell r="D248">
            <v>73</v>
          </cell>
        </row>
        <row r="249">
          <cell r="A249" t="str">
            <v>23-16039</v>
          </cell>
          <cell r="B249" t="str">
            <v>COUNT,NON-RESET TRANSIENT FORWARD</v>
          </cell>
          <cell r="C249" t="str">
            <v>A</v>
          </cell>
          <cell r="D249">
            <v>73</v>
          </cell>
        </row>
        <row r="250">
          <cell r="A250" t="str">
            <v>23-16040</v>
          </cell>
          <cell r="B250" t="str">
            <v>COUNT,RESET TRANSIENT FORWARD BACKOUT</v>
          </cell>
          <cell r="C250" t="str">
            <v>A</v>
          </cell>
          <cell r="D250">
            <v>73</v>
          </cell>
        </row>
        <row r="251">
          <cell r="A251" t="str">
            <v>23-16041</v>
          </cell>
          <cell r="B251" t="str">
            <v>COUNT,NON-RESET TRANS. FORWARD BACKOUT</v>
          </cell>
          <cell r="C251" t="str">
            <v>A</v>
          </cell>
          <cell r="D251">
            <v>73</v>
          </cell>
        </row>
        <row r="252">
          <cell r="A252" t="str">
            <v>23-16046</v>
          </cell>
          <cell r="B252" t="str">
            <v>COUNT,RESET TOTAL FORWARD</v>
          </cell>
          <cell r="C252" t="str">
            <v>A</v>
          </cell>
          <cell r="D252">
            <v>73</v>
          </cell>
        </row>
        <row r="253">
          <cell r="A253" t="str">
            <v>23-16047</v>
          </cell>
          <cell r="B253" t="str">
            <v>COUNT,NON-RESET TOTAL FORWARD</v>
          </cell>
          <cell r="C253" t="str">
            <v>A</v>
          </cell>
          <cell r="D253">
            <v>73</v>
          </cell>
        </row>
        <row r="254">
          <cell r="A254" t="str">
            <v>23-16048</v>
          </cell>
          <cell r="B254" t="str">
            <v>COUNT,RESET TOTAL REVERSE</v>
          </cell>
          <cell r="C254" t="str">
            <v>A</v>
          </cell>
          <cell r="D254">
            <v>73</v>
          </cell>
        </row>
        <row r="255">
          <cell r="A255" t="str">
            <v>23-16049</v>
          </cell>
          <cell r="B255" t="str">
            <v>COUNT,NON-RESET TOTAL REVERSE</v>
          </cell>
          <cell r="C255" t="str">
            <v>A</v>
          </cell>
          <cell r="D255">
            <v>73</v>
          </cell>
        </row>
        <row r="256">
          <cell r="A256" t="str">
            <v>23-16052</v>
          </cell>
          <cell r="B256" t="str">
            <v>COUNT,RESET ILLEGAL FORWARD</v>
          </cell>
          <cell r="C256" t="str">
            <v>A</v>
          </cell>
          <cell r="D256">
            <v>73</v>
          </cell>
        </row>
        <row r="257">
          <cell r="A257" t="str">
            <v>23-16053</v>
          </cell>
          <cell r="B257" t="str">
            <v>COUNT,NON-RESET ILLEGAL FORWARD</v>
          </cell>
          <cell r="C257" t="str">
            <v>A</v>
          </cell>
          <cell r="D257">
            <v>73</v>
          </cell>
        </row>
        <row r="258">
          <cell r="A258" t="str">
            <v>23-16058</v>
          </cell>
          <cell r="B258" t="str">
            <v>COUNT,RESET PRESENCE B</v>
          </cell>
          <cell r="C258" t="str">
            <v>A</v>
          </cell>
          <cell r="D258">
            <v>73</v>
          </cell>
        </row>
        <row r="259">
          <cell r="A259" t="str">
            <v>23-16059</v>
          </cell>
          <cell r="B259" t="str">
            <v>COUNT,NON-RESET PRESENCE B</v>
          </cell>
          <cell r="C259" t="str">
            <v>A</v>
          </cell>
          <cell r="D259">
            <v>73</v>
          </cell>
        </row>
        <row r="260">
          <cell r="A260" t="str">
            <v>23-16078</v>
          </cell>
          <cell r="B260" t="str">
            <v>COUNT,RESET ILLEGAL FORWARD TAILGATE</v>
          </cell>
          <cell r="C260" t="str">
            <v>A</v>
          </cell>
          <cell r="D260">
            <v>73</v>
          </cell>
        </row>
        <row r="261">
          <cell r="A261" t="str">
            <v>23-16079</v>
          </cell>
          <cell r="B261" t="str">
            <v>COUNT,NON-RESET ILLEGAL FORWARD TAILGATE</v>
          </cell>
          <cell r="C261" t="str">
            <v>A</v>
          </cell>
          <cell r="D261">
            <v>73</v>
          </cell>
        </row>
        <row r="262">
          <cell r="A262" t="str">
            <v>23-16082</v>
          </cell>
          <cell r="B262" t="str">
            <v>COUNT,RESET REBOUND INPUT</v>
          </cell>
          <cell r="C262" t="str">
            <v>A</v>
          </cell>
          <cell r="D262">
            <v>73</v>
          </cell>
        </row>
        <row r="263">
          <cell r="A263" t="str">
            <v>23-16083</v>
          </cell>
          <cell r="B263" t="str">
            <v>COUNT,NON-RESET REBOUND INPUT</v>
          </cell>
          <cell r="C263" t="str">
            <v>A</v>
          </cell>
          <cell r="D263">
            <v>73</v>
          </cell>
        </row>
        <row r="264">
          <cell r="A264" t="str">
            <v>23-16090</v>
          </cell>
          <cell r="B264" t="str">
            <v>COUNT,RESET GATE ARM UPS</v>
          </cell>
          <cell r="C264" t="str">
            <v>A</v>
          </cell>
          <cell r="D264">
            <v>73</v>
          </cell>
        </row>
        <row r="265">
          <cell r="A265" t="str">
            <v>23-16091</v>
          </cell>
          <cell r="B265" t="str">
            <v>COUNT,NON-RESET GATE ARM UPS</v>
          </cell>
          <cell r="C265" t="str">
            <v>A</v>
          </cell>
          <cell r="D265">
            <v>73</v>
          </cell>
        </row>
        <row r="266">
          <cell r="A266" t="str">
            <v>23-16092</v>
          </cell>
          <cell r="B266" t="str">
            <v>COUNT,RESET MANUAL GATE UPS</v>
          </cell>
          <cell r="C266" t="str">
            <v>A</v>
          </cell>
          <cell r="D266">
            <v>73</v>
          </cell>
        </row>
        <row r="267">
          <cell r="A267" t="str">
            <v>23-16093</v>
          </cell>
          <cell r="B267" t="str">
            <v>COUNT,NON-RESET MANUAL GATE UPS</v>
          </cell>
          <cell r="C267" t="str">
            <v>A</v>
          </cell>
          <cell r="D267">
            <v>73</v>
          </cell>
        </row>
        <row r="268">
          <cell r="A268" t="str">
            <v>23-16098</v>
          </cell>
          <cell r="B268" t="str">
            <v>REPORT,MONTHLY FORWARD</v>
          </cell>
          <cell r="C268" t="str">
            <v>A</v>
          </cell>
          <cell r="D268">
            <v>73</v>
          </cell>
        </row>
        <row r="269">
          <cell r="A269" t="str">
            <v>23-16106</v>
          </cell>
          <cell r="B269" t="str">
            <v>REPORT,TRANSIENT FORWARD</v>
          </cell>
          <cell r="C269" t="str">
            <v>A</v>
          </cell>
          <cell r="D269">
            <v>73</v>
          </cell>
        </row>
        <row r="270">
          <cell r="A270" t="str">
            <v>23-16108</v>
          </cell>
          <cell r="B270" t="str">
            <v>REPORT,TRANSIENT FORWARD BACKOUT</v>
          </cell>
          <cell r="C270" t="str">
            <v>A</v>
          </cell>
          <cell r="D270">
            <v>73</v>
          </cell>
        </row>
        <row r="271">
          <cell r="A271" t="str">
            <v>23-16114</v>
          </cell>
          <cell r="B271" t="str">
            <v>REPORT,TOTAL FORWARD</v>
          </cell>
          <cell r="C271" t="str">
            <v>A</v>
          </cell>
          <cell r="D271">
            <v>73</v>
          </cell>
        </row>
        <row r="272">
          <cell r="A272" t="str">
            <v>23-16116</v>
          </cell>
          <cell r="B272" t="str">
            <v>REPORT,TOTAL REVERSE</v>
          </cell>
          <cell r="C272" t="str">
            <v>A</v>
          </cell>
          <cell r="D272">
            <v>73</v>
          </cell>
        </row>
        <row r="273">
          <cell r="A273" t="str">
            <v>23-16120</v>
          </cell>
          <cell r="B273" t="str">
            <v>REPORT,ILLEGAL FORWARD</v>
          </cell>
          <cell r="C273" t="str">
            <v>A</v>
          </cell>
          <cell r="D273">
            <v>73</v>
          </cell>
        </row>
        <row r="274">
          <cell r="A274" t="str">
            <v>23-16126</v>
          </cell>
          <cell r="B274" t="str">
            <v>REPORT,PRESENCE B</v>
          </cell>
          <cell r="C274" t="str">
            <v>A</v>
          </cell>
          <cell r="D274">
            <v>73</v>
          </cell>
        </row>
        <row r="275">
          <cell r="A275" t="str">
            <v>23-16146</v>
          </cell>
          <cell r="B275" t="str">
            <v>REPORT,ILLEGAL FORWARD TAILGATE</v>
          </cell>
          <cell r="C275" t="str">
            <v>A</v>
          </cell>
          <cell r="D275">
            <v>73</v>
          </cell>
        </row>
        <row r="276">
          <cell r="A276" t="str">
            <v>23-16150</v>
          </cell>
          <cell r="B276" t="str">
            <v>REPORT,REBOUND INPUT</v>
          </cell>
          <cell r="C276" t="str">
            <v>A</v>
          </cell>
          <cell r="D276">
            <v>73</v>
          </cell>
        </row>
        <row r="277">
          <cell r="A277" t="str">
            <v>23-16158</v>
          </cell>
          <cell r="B277" t="str">
            <v>REPORT,GATE ARM UPS</v>
          </cell>
          <cell r="C277" t="str">
            <v>A</v>
          </cell>
          <cell r="D277">
            <v>73</v>
          </cell>
        </row>
        <row r="278">
          <cell r="A278" t="str">
            <v>23-16160</v>
          </cell>
          <cell r="B278" t="str">
            <v>REPORT,MANUAL GATE UPS</v>
          </cell>
          <cell r="C278" t="str">
            <v>A</v>
          </cell>
          <cell r="D278">
            <v>73</v>
          </cell>
        </row>
        <row r="279">
          <cell r="A279" t="str">
            <v>23-16168</v>
          </cell>
          <cell r="B279" t="str">
            <v>REPORT,DIFFERENTIAL COUNT 1 MAXIMUM</v>
          </cell>
          <cell r="C279" t="str">
            <v>A</v>
          </cell>
          <cell r="D279">
            <v>73</v>
          </cell>
        </row>
        <row r="280">
          <cell r="A280" t="str">
            <v>23-16172</v>
          </cell>
          <cell r="B280" t="str">
            <v>REPORT,DIFFERENTIAL COUNT 2 MAXIMUM</v>
          </cell>
          <cell r="C280" t="str">
            <v>A</v>
          </cell>
          <cell r="D280">
            <v>73</v>
          </cell>
        </row>
        <row r="281">
          <cell r="A281" t="str">
            <v>23-16175</v>
          </cell>
          <cell r="B281" t="str">
            <v>INPUT,MONITOR</v>
          </cell>
          <cell r="C281" t="str">
            <v>A</v>
          </cell>
          <cell r="D281">
            <v>73</v>
          </cell>
        </row>
        <row r="282">
          <cell r="A282" t="str">
            <v>23-16176</v>
          </cell>
          <cell r="B282" t="str">
            <v>INPUT,LOW TICKET SWITCH</v>
          </cell>
          <cell r="C282" t="str">
            <v>A</v>
          </cell>
          <cell r="D282">
            <v>73</v>
          </cell>
        </row>
        <row r="283">
          <cell r="A283" t="str">
            <v>23-16178</v>
          </cell>
          <cell r="B283" t="str">
            <v>INPUT,LOOP A EMULATOR</v>
          </cell>
          <cell r="C283" t="str">
            <v>A</v>
          </cell>
          <cell r="D283">
            <v>73</v>
          </cell>
        </row>
        <row r="284">
          <cell r="A284" t="str">
            <v>23-16179</v>
          </cell>
          <cell r="B284" t="str">
            <v>INPUT,LOOP B EMULATOR</v>
          </cell>
          <cell r="C284" t="str">
            <v>A</v>
          </cell>
          <cell r="D284">
            <v>73</v>
          </cell>
        </row>
        <row r="285">
          <cell r="A285" t="str">
            <v>23-16181</v>
          </cell>
          <cell r="B285" t="str">
            <v>INPUT,VEND A</v>
          </cell>
          <cell r="C285" t="str">
            <v>A</v>
          </cell>
          <cell r="D285">
            <v>73</v>
          </cell>
        </row>
        <row r="286">
          <cell r="A286" t="str">
            <v>23-16182</v>
          </cell>
          <cell r="B286" t="str">
            <v>INPUT,VEND B</v>
          </cell>
          <cell r="C286" t="str">
            <v>A</v>
          </cell>
          <cell r="D286">
            <v>73</v>
          </cell>
        </row>
        <row r="287">
          <cell r="A287" t="str">
            <v>23-16195</v>
          </cell>
          <cell r="B287" t="str">
            <v>INPUT,GATE UP</v>
          </cell>
          <cell r="C287" t="str">
            <v>A</v>
          </cell>
          <cell r="D287">
            <v>73</v>
          </cell>
        </row>
        <row r="288">
          <cell r="A288" t="str">
            <v>23-16197</v>
          </cell>
          <cell r="B288" t="str">
            <v>OUTPUT,PRESENCE A</v>
          </cell>
          <cell r="C288" t="str">
            <v>A</v>
          </cell>
          <cell r="D288">
            <v>73</v>
          </cell>
        </row>
        <row r="289">
          <cell r="A289" t="str">
            <v>23-16198</v>
          </cell>
          <cell r="B289" t="str">
            <v>OUTPUT,PRESENCE B</v>
          </cell>
          <cell r="C289" t="str">
            <v>A</v>
          </cell>
          <cell r="D289">
            <v>73</v>
          </cell>
        </row>
        <row r="290">
          <cell r="A290" t="str">
            <v>23-16199</v>
          </cell>
          <cell r="B290" t="str">
            <v>OUTPUT,PRESENCE C</v>
          </cell>
          <cell r="C290" t="str">
            <v>A</v>
          </cell>
          <cell r="D290">
            <v>73</v>
          </cell>
        </row>
        <row r="291">
          <cell r="A291" t="str">
            <v>23-16211</v>
          </cell>
          <cell r="B291" t="str">
            <v>OUTPUT,BROKEN GATE ARM</v>
          </cell>
          <cell r="C291" t="str">
            <v>A</v>
          </cell>
          <cell r="D291">
            <v>73</v>
          </cell>
        </row>
        <row r="292">
          <cell r="A292" t="str">
            <v>23-16212</v>
          </cell>
          <cell r="B292" t="str">
            <v>OUTPUT,MONTHLY FORWARD COUNT</v>
          </cell>
          <cell r="C292" t="str">
            <v>A</v>
          </cell>
          <cell r="D292">
            <v>73</v>
          </cell>
        </row>
        <row r="293">
          <cell r="A293" t="str">
            <v>23-16216</v>
          </cell>
          <cell r="B293" t="str">
            <v>OUTPUT,TRANSIENT FORWARD COUNT</v>
          </cell>
          <cell r="C293" t="str">
            <v>A</v>
          </cell>
          <cell r="D293">
            <v>73</v>
          </cell>
        </row>
        <row r="294">
          <cell r="A294" t="str">
            <v>23-16217</v>
          </cell>
          <cell r="B294" t="str">
            <v>OUTPUT,TRANSIENT FORWARD BACKOUT COUNT</v>
          </cell>
          <cell r="C294" t="str">
            <v>A</v>
          </cell>
          <cell r="D294">
            <v>73</v>
          </cell>
        </row>
        <row r="295">
          <cell r="A295" t="str">
            <v>23-16220</v>
          </cell>
          <cell r="B295" t="str">
            <v>OUTPUT,TOTAL FORWARD COUNT</v>
          </cell>
          <cell r="C295" t="str">
            <v>A</v>
          </cell>
          <cell r="D295">
            <v>73</v>
          </cell>
        </row>
        <row r="296">
          <cell r="A296" t="str">
            <v>23-16226</v>
          </cell>
          <cell r="B296" t="str">
            <v>INPUT,OVERRIDE</v>
          </cell>
          <cell r="C296" t="str">
            <v>A</v>
          </cell>
          <cell r="D296">
            <v>73</v>
          </cell>
        </row>
        <row r="297">
          <cell r="A297" t="str">
            <v>23-16229</v>
          </cell>
          <cell r="B297" t="str">
            <v>OUTPUT,GATE UP</v>
          </cell>
          <cell r="C297" t="str">
            <v>A</v>
          </cell>
          <cell r="D297">
            <v>73</v>
          </cell>
        </row>
        <row r="298">
          <cell r="A298" t="str">
            <v>23-16268</v>
          </cell>
          <cell r="B298" t="str">
            <v>GATE,G-90 LCD W/CONFIG L/ARM 220 VOLT</v>
          </cell>
          <cell r="C298" t="str">
            <v>A</v>
          </cell>
          <cell r="D298">
            <v>3746</v>
          </cell>
        </row>
        <row r="299">
          <cell r="A299" t="str">
            <v>23-16269</v>
          </cell>
          <cell r="B299" t="str">
            <v>CONFIG OPTION,COMMUNICATION ONLY</v>
          </cell>
          <cell r="C299" t="str">
            <v>A</v>
          </cell>
          <cell r="D299">
            <v>295</v>
          </cell>
        </row>
        <row r="300">
          <cell r="A300" t="str">
            <v>23-16270</v>
          </cell>
          <cell r="B300" t="str">
            <v>BUFFER RELAY,H.V. USED W/FULL SIGN 220 V</v>
          </cell>
          <cell r="C300" t="str">
            <v>A</v>
          </cell>
          <cell r="D300">
            <v>185</v>
          </cell>
        </row>
        <row r="301">
          <cell r="A301" t="str">
            <v>23-16276</v>
          </cell>
          <cell r="B301" t="str">
            <v>CONFIG OPTION,LCD GATE VALUECARD</v>
          </cell>
          <cell r="C301" t="str">
            <v>A</v>
          </cell>
          <cell r="D301">
            <v>73</v>
          </cell>
        </row>
        <row r="302">
          <cell r="A302" t="str">
            <v>23-16281</v>
          </cell>
          <cell r="B302" t="str">
            <v>UPGRADE,G-90 LCD VALUECARD KIT</v>
          </cell>
          <cell r="C302" t="str">
            <v>A</v>
          </cell>
          <cell r="D302">
            <v>167</v>
          </cell>
        </row>
        <row r="303">
          <cell r="A303" t="str">
            <v>23-16284</v>
          </cell>
          <cell r="B303" t="str">
            <v>CONFIG OPTION,CREDIT CARD G-90 CD/LCD</v>
          </cell>
          <cell r="C303" t="str">
            <v>A</v>
          </cell>
          <cell r="D303">
            <v>296</v>
          </cell>
        </row>
        <row r="304">
          <cell r="A304" t="str">
            <v>23-16500</v>
          </cell>
          <cell r="B304" t="str">
            <v>GATE,G-90 CD W/CONFIG MODULE 120 VOLT</v>
          </cell>
          <cell r="C304" t="str">
            <v>A</v>
          </cell>
          <cell r="D304">
            <v>3746</v>
          </cell>
        </row>
        <row r="305">
          <cell r="A305" t="str">
            <v>23-16501</v>
          </cell>
          <cell r="B305" t="str">
            <v>GATE,G-90 CD W/CONFIG MODULE 220 VOLT</v>
          </cell>
          <cell r="C305" t="str">
            <v>A</v>
          </cell>
          <cell r="D305">
            <v>3746</v>
          </cell>
        </row>
        <row r="306">
          <cell r="A306" t="str">
            <v>23-16502</v>
          </cell>
          <cell r="B306" t="str">
            <v>GATE,G-90 CD W/CONFIG L/ARM 220 VOLT</v>
          </cell>
          <cell r="C306" t="str">
            <v>A</v>
          </cell>
          <cell r="D306">
            <v>3746</v>
          </cell>
        </row>
        <row r="307">
          <cell r="A307" t="str">
            <v>23-16503</v>
          </cell>
          <cell r="B307" t="str">
            <v>GATE,G-90 CD W/CONFIG &amp; FLD ARM 120 VOLT</v>
          </cell>
          <cell r="C307" t="str">
            <v>A</v>
          </cell>
          <cell r="D307">
            <v>3781</v>
          </cell>
        </row>
        <row r="308">
          <cell r="A308" t="str">
            <v>23-16504</v>
          </cell>
          <cell r="B308" t="str">
            <v>GATE,G-90 CD W/CONFIG &amp; FLD ARM 220 VOLT</v>
          </cell>
          <cell r="C308" t="str">
            <v>A</v>
          </cell>
          <cell r="D308">
            <v>3781</v>
          </cell>
        </row>
        <row r="309">
          <cell r="A309" t="str">
            <v>23-16505</v>
          </cell>
          <cell r="B309" t="str">
            <v>GATE,G-90 CD W/O CONFIG MODULE 120 VOLT</v>
          </cell>
          <cell r="C309" t="str">
            <v>A</v>
          </cell>
          <cell r="D309">
            <v>3693</v>
          </cell>
        </row>
        <row r="310">
          <cell r="A310" t="str">
            <v>23-16506</v>
          </cell>
          <cell r="B310" t="str">
            <v>GATE,G-90 CD W/CONFIG L/ARM 120 VOLT</v>
          </cell>
          <cell r="C310" t="str">
            <v>A</v>
          </cell>
          <cell r="D310">
            <v>3746</v>
          </cell>
        </row>
        <row r="311">
          <cell r="A311" t="str">
            <v>23-16507</v>
          </cell>
          <cell r="B311" t="str">
            <v>GATE,G-90 CD W/O CONFIG MODULE 220 VOLT</v>
          </cell>
          <cell r="C311" t="str">
            <v>A</v>
          </cell>
          <cell r="D311">
            <v>3693</v>
          </cell>
        </row>
        <row r="312">
          <cell r="A312" t="str">
            <v>23-16508</v>
          </cell>
          <cell r="B312" t="str">
            <v>GATE,G-90 CD RAISE/LOWER 220 VOLT</v>
          </cell>
          <cell r="C312" t="str">
            <v>A</v>
          </cell>
          <cell r="D312">
            <v>3351</v>
          </cell>
        </row>
        <row r="313">
          <cell r="A313" t="str">
            <v>23-16509</v>
          </cell>
          <cell r="B313" t="str">
            <v>GATE,G-90 CD RAISE/LOWER 120 VOLT</v>
          </cell>
          <cell r="C313" t="str">
            <v>A</v>
          </cell>
          <cell r="D313">
            <v>3351</v>
          </cell>
        </row>
        <row r="314">
          <cell r="A314" t="str">
            <v>23-16510</v>
          </cell>
          <cell r="B314" t="str">
            <v>BUFFER RELAY,HIGH VOLTAGE CD GATE/SST</v>
          </cell>
          <cell r="C314" t="str">
            <v>A</v>
          </cell>
          <cell r="D314">
            <v>185</v>
          </cell>
        </row>
        <row r="315">
          <cell r="A315" t="str">
            <v>23-16511</v>
          </cell>
          <cell r="B315" t="str">
            <v>FULL SIGN TRANSFORMER PKG,CD GATE 220 V</v>
          </cell>
          <cell r="C315" t="str">
            <v>A</v>
          </cell>
          <cell r="D315">
            <v>93</v>
          </cell>
        </row>
        <row r="316">
          <cell r="A316" t="str">
            <v>23-16512</v>
          </cell>
          <cell r="B316" t="str">
            <v>CE OPTION,G-90 CD GATE</v>
          </cell>
          <cell r="C316" t="str">
            <v>A</v>
          </cell>
          <cell r="D316">
            <v>0</v>
          </cell>
        </row>
        <row r="317">
          <cell r="A317" t="str">
            <v>23-2512</v>
          </cell>
          <cell r="B317" t="str">
            <v>OPERATOR KIT,VTS</v>
          </cell>
          <cell r="C317" t="str">
            <v>A</v>
          </cell>
          <cell r="D317">
            <v>144</v>
          </cell>
        </row>
        <row r="318">
          <cell r="A318" t="str">
            <v>23-2513</v>
          </cell>
          <cell r="B318" t="str">
            <v>OPERATOR KIT,RAISE/LOWER PUSHBUTTONS</v>
          </cell>
          <cell r="C318" t="str">
            <v>A</v>
          </cell>
          <cell r="D318">
            <v>322</v>
          </cell>
        </row>
        <row r="319">
          <cell r="A319" t="str">
            <v>23-2514</v>
          </cell>
          <cell r="B319" t="str">
            <v>OPERATOR KIT,SINGLE BUTTON</v>
          </cell>
          <cell r="C319" t="str">
            <v>A</v>
          </cell>
          <cell r="D319">
            <v>272</v>
          </cell>
        </row>
        <row r="320">
          <cell r="A320" t="str">
            <v>23-2724</v>
          </cell>
          <cell r="B320" t="str">
            <v>GATE ARM,FLASHING LIGHT ASSY</v>
          </cell>
          <cell r="C320" t="str">
            <v>A</v>
          </cell>
          <cell r="D320">
            <v>450</v>
          </cell>
        </row>
        <row r="321">
          <cell r="A321" t="str">
            <v>23-3020</v>
          </cell>
          <cell r="B321" t="str">
            <v>GATE ARM,10' FINISHED</v>
          </cell>
          <cell r="C321" t="str">
            <v>A</v>
          </cell>
          <cell r="D321">
            <v>113</v>
          </cell>
        </row>
        <row r="322">
          <cell r="A322" t="str">
            <v>23-3021</v>
          </cell>
          <cell r="B322" t="str">
            <v>GATE ARM,12' FINISHED</v>
          </cell>
          <cell r="C322" t="str">
            <v>A</v>
          </cell>
          <cell r="D322">
            <v>144</v>
          </cell>
        </row>
        <row r="323">
          <cell r="A323" t="str">
            <v>23-3028</v>
          </cell>
          <cell r="B323" t="str">
            <v>GATE ARM,14' FINISHED</v>
          </cell>
          <cell r="C323" t="str">
            <v>A</v>
          </cell>
          <cell r="D323">
            <v>170</v>
          </cell>
        </row>
        <row r="324">
          <cell r="A324" t="str">
            <v>23-3223</v>
          </cell>
          <cell r="B324" t="str">
            <v>COUNTERBALANCE,W/3 WEIGHTS FOR 14' ARM</v>
          </cell>
          <cell r="C324" t="str">
            <v>A</v>
          </cell>
          <cell r="D324">
            <v>433</v>
          </cell>
        </row>
        <row r="325">
          <cell r="A325" t="str">
            <v>23-7351</v>
          </cell>
          <cell r="B325" t="str">
            <v>GATE,G-89 W/DIRECTIONAL RESET</v>
          </cell>
          <cell r="C325" t="str">
            <v>A</v>
          </cell>
          <cell r="D325">
            <v>3002</v>
          </cell>
        </row>
        <row r="326">
          <cell r="A326" t="str">
            <v>23-7461</v>
          </cell>
          <cell r="B326" t="str">
            <v>SENSITIVE REVERSING EDGE KIT,PAY GATE</v>
          </cell>
          <cell r="C326" t="str">
            <v>A</v>
          </cell>
          <cell r="D326">
            <v>1616</v>
          </cell>
        </row>
        <row r="327">
          <cell r="A327" t="str">
            <v>23-7462</v>
          </cell>
          <cell r="B327" t="str">
            <v>SENSITIVE REVERSING EDGE KIT,FREE GATE</v>
          </cell>
          <cell r="C327" t="str">
            <v>A</v>
          </cell>
          <cell r="D327">
            <v>1616</v>
          </cell>
        </row>
        <row r="328">
          <cell r="A328" t="str">
            <v>23-7463</v>
          </cell>
          <cell r="B328" t="str">
            <v>SENSITIVE REVERSING EDGE KIT,DIR GATE</v>
          </cell>
          <cell r="C328" t="str">
            <v>A</v>
          </cell>
          <cell r="D328">
            <v>1044</v>
          </cell>
        </row>
        <row r="329">
          <cell r="A329" t="str">
            <v>23-7493</v>
          </cell>
          <cell r="B329" t="str">
            <v>GATE,G-89 PAY W/SENSITIVE REVERSING EDGE</v>
          </cell>
          <cell r="C329" t="str">
            <v>A</v>
          </cell>
          <cell r="D329">
            <v>3248</v>
          </cell>
        </row>
        <row r="330">
          <cell r="A330" t="str">
            <v>23-7495</v>
          </cell>
          <cell r="B330" t="str">
            <v>GATE,G-89 FREE W/SENSITIVE REV EDGE</v>
          </cell>
          <cell r="C330" t="str">
            <v>A</v>
          </cell>
          <cell r="D330">
            <v>3248</v>
          </cell>
        </row>
        <row r="331">
          <cell r="A331" t="str">
            <v>23-7496</v>
          </cell>
          <cell r="B331" t="str">
            <v>GATE,G-89 TWO-WAY W/SENSITIVE REV EDGE</v>
          </cell>
          <cell r="C331" t="str">
            <v>A</v>
          </cell>
          <cell r="D331">
            <v>3404</v>
          </cell>
        </row>
        <row r="332">
          <cell r="A332" t="str">
            <v>23-7688</v>
          </cell>
          <cell r="B332" t="str">
            <v>GATE,G-90 STANDARD 120 VOLT</v>
          </cell>
          <cell r="C332" t="str">
            <v>A</v>
          </cell>
          <cell r="D332">
            <v>3731</v>
          </cell>
        </row>
        <row r="333">
          <cell r="A333" t="str">
            <v>23-7689</v>
          </cell>
          <cell r="B333" t="str">
            <v>GATE,G-90 W/FOLDING ARM</v>
          </cell>
          <cell r="C333" t="str">
            <v>A</v>
          </cell>
          <cell r="D333">
            <v>4088</v>
          </cell>
        </row>
        <row r="334">
          <cell r="A334" t="str">
            <v>23-7690</v>
          </cell>
          <cell r="B334" t="str">
            <v>GATE,G-90 W/SENSITIVE REV. EDGE 120 VOLT</v>
          </cell>
          <cell r="C334" t="str">
            <v>A</v>
          </cell>
          <cell r="D334">
            <v>4060</v>
          </cell>
        </row>
        <row r="335">
          <cell r="A335" t="str">
            <v>23-7691</v>
          </cell>
          <cell r="B335" t="str">
            <v>GATE,G-90 W/S.R.E. &amp; FOLDING ARM</v>
          </cell>
          <cell r="C335" t="str">
            <v>A</v>
          </cell>
          <cell r="D335">
            <v>4410</v>
          </cell>
        </row>
        <row r="336">
          <cell r="A336" t="str">
            <v>23-7752</v>
          </cell>
          <cell r="B336" t="str">
            <v>CONVERSION KIT,LH TO RH</v>
          </cell>
          <cell r="C336" t="str">
            <v>A</v>
          </cell>
          <cell r="D336">
            <v>386</v>
          </cell>
        </row>
        <row r="337">
          <cell r="A337" t="str">
            <v>23-7769</v>
          </cell>
          <cell r="B337" t="str">
            <v>GATE,500 RAISE/LOWER</v>
          </cell>
          <cell r="C337" t="str">
            <v>A</v>
          </cell>
          <cell r="D337">
            <v>4868</v>
          </cell>
        </row>
        <row r="338">
          <cell r="A338" t="str">
            <v>23-7770</v>
          </cell>
          <cell r="B338" t="str">
            <v>GATE,500 MANUAL</v>
          </cell>
          <cell r="C338" t="str">
            <v>A</v>
          </cell>
          <cell r="D338">
            <v>3799</v>
          </cell>
        </row>
        <row r="339">
          <cell r="A339" t="str">
            <v>23-7780</v>
          </cell>
          <cell r="B339" t="str">
            <v>RECEIVER,INSTALLED SINGLE CHANNEL</v>
          </cell>
          <cell r="C339" t="str">
            <v>A</v>
          </cell>
          <cell r="D339">
            <v>206</v>
          </cell>
        </row>
        <row r="340">
          <cell r="A340" t="str">
            <v>23-7781</v>
          </cell>
          <cell r="B340" t="str">
            <v>RECEIVER,INSTALLED DOUBLE CHANNEL</v>
          </cell>
          <cell r="C340" t="str">
            <v>A</v>
          </cell>
          <cell r="D340">
            <v>287</v>
          </cell>
        </row>
        <row r="341">
          <cell r="A341" t="str">
            <v>23-7782</v>
          </cell>
          <cell r="B341" t="str">
            <v>RECEIVER,INSTALLED TRIPLE CHANNEL</v>
          </cell>
          <cell r="C341" t="str">
            <v>A</v>
          </cell>
          <cell r="D341">
            <v>316</v>
          </cell>
        </row>
        <row r="342">
          <cell r="A342" t="str">
            <v>23-7783</v>
          </cell>
          <cell r="B342" t="str">
            <v>RECEIVER,INSTALLED 1 CHANNEL COMMERCIAL</v>
          </cell>
          <cell r="C342" t="str">
            <v>A</v>
          </cell>
          <cell r="D342">
            <v>565</v>
          </cell>
        </row>
        <row r="343">
          <cell r="A343" t="str">
            <v>23-7784</v>
          </cell>
          <cell r="B343" t="str">
            <v>RECEIVER,INSTALLED 3 CHANNEL COMMERCIAL</v>
          </cell>
          <cell r="C343" t="str">
            <v>A</v>
          </cell>
          <cell r="D343">
            <v>591</v>
          </cell>
        </row>
        <row r="344">
          <cell r="A344" t="str">
            <v>23-7837</v>
          </cell>
          <cell r="B344" t="str">
            <v>GATE,G-89 RAISE/LOWER U/L 220 VOLT</v>
          </cell>
          <cell r="C344" t="str">
            <v>A</v>
          </cell>
          <cell r="D344">
            <v>2552</v>
          </cell>
        </row>
        <row r="345">
          <cell r="A345" t="str">
            <v>23-7838</v>
          </cell>
          <cell r="B345" t="str">
            <v>GATE,G-89 PAY U/L 220 VOLT</v>
          </cell>
          <cell r="C345" t="str">
            <v>A</v>
          </cell>
          <cell r="D345">
            <v>2893</v>
          </cell>
        </row>
        <row r="346">
          <cell r="A346" t="str">
            <v>23-7864</v>
          </cell>
          <cell r="B346" t="str">
            <v>GATE,G-90 RAISE/LOWER LESS CONTROLLER</v>
          </cell>
          <cell r="C346" t="str">
            <v>A</v>
          </cell>
          <cell r="D346">
            <v>3386</v>
          </cell>
        </row>
        <row r="347">
          <cell r="A347" t="str">
            <v>23-7865</v>
          </cell>
          <cell r="B347" t="str">
            <v>JUMPER ASSY,G-90 RAISE LOWER</v>
          </cell>
          <cell r="C347" t="str">
            <v>A</v>
          </cell>
          <cell r="D347">
            <v>95</v>
          </cell>
        </row>
        <row r="348">
          <cell r="A348" t="str">
            <v>23-7903</v>
          </cell>
          <cell r="B348" t="str">
            <v>2 SECOND DELAY PACKAGE,150/500 GATE</v>
          </cell>
          <cell r="C348" t="str">
            <v>A</v>
          </cell>
          <cell r="D348">
            <v>241</v>
          </cell>
        </row>
        <row r="349">
          <cell r="A349" t="str">
            <v>23-7904</v>
          </cell>
          <cell r="B349" t="str">
            <v>CONTROLLER,OMEGA W/O COMMUNICATION</v>
          </cell>
          <cell r="C349" t="str">
            <v>A</v>
          </cell>
          <cell r="D349">
            <v>1254</v>
          </cell>
        </row>
        <row r="350">
          <cell r="A350" t="str">
            <v>23-7905C</v>
          </cell>
          <cell r="B350" t="str">
            <v>PC BOARD ASSY,OMEGA CONTROLLER</v>
          </cell>
          <cell r="C350" t="str">
            <v>A</v>
          </cell>
          <cell r="D350">
            <v>0</v>
          </cell>
        </row>
        <row r="351">
          <cell r="A351" t="str">
            <v>23-7911</v>
          </cell>
          <cell r="B351" t="str">
            <v>LOOP KIT</v>
          </cell>
          <cell r="C351" t="str">
            <v>A</v>
          </cell>
          <cell r="D351">
            <v>334</v>
          </cell>
        </row>
        <row r="352">
          <cell r="A352" t="str">
            <v>23-7912</v>
          </cell>
          <cell r="B352" t="str">
            <v>DIFF COUNTER,EDC-1000 GATE MOUNT 120 V</v>
          </cell>
          <cell r="C352" t="str">
            <v>A</v>
          </cell>
          <cell r="D352">
            <v>1600</v>
          </cell>
        </row>
        <row r="353">
          <cell r="A353" t="str">
            <v>23-8594</v>
          </cell>
          <cell r="B353" t="str">
            <v>GATE,G-90 RAISE/LOWER L/CONTROLLER 220 V</v>
          </cell>
          <cell r="C353" t="str">
            <v>A</v>
          </cell>
          <cell r="D353">
            <v>3386</v>
          </cell>
        </row>
        <row r="354">
          <cell r="A354" t="str">
            <v>23-8595</v>
          </cell>
          <cell r="B354" t="str">
            <v>GATE,G-90 STANDARD 220 VOLT</v>
          </cell>
          <cell r="C354" t="str">
            <v>A</v>
          </cell>
          <cell r="D354">
            <v>3731</v>
          </cell>
        </row>
        <row r="355">
          <cell r="A355" t="str">
            <v>23-8677</v>
          </cell>
          <cell r="B355" t="str">
            <v>GATE,G-90 W/BACKOUT &amp; OMEGA CONTROLLER</v>
          </cell>
          <cell r="C355" t="str">
            <v>A</v>
          </cell>
          <cell r="D355">
            <v>3860</v>
          </cell>
        </row>
        <row r="356">
          <cell r="A356" t="str">
            <v>23-8678</v>
          </cell>
          <cell r="B356" t="str">
            <v>GATE,G-90 W/BACKOUT &amp; SENSITIVE REV EDGE</v>
          </cell>
          <cell r="C356" t="str">
            <v>A</v>
          </cell>
          <cell r="D356">
            <v>4185</v>
          </cell>
        </row>
        <row r="357">
          <cell r="A357" t="str">
            <v>23-8700</v>
          </cell>
          <cell r="B357" t="str">
            <v>CONFIG MODULE W/BASIC SOFTWARE</v>
          </cell>
          <cell r="C357" t="str">
            <v>A</v>
          </cell>
          <cell r="D357">
            <v>120</v>
          </cell>
        </row>
        <row r="358">
          <cell r="A358" t="str">
            <v>23-8703</v>
          </cell>
          <cell r="B358" t="str">
            <v>OMEGA LCD CONTROLLER</v>
          </cell>
          <cell r="C358" t="str">
            <v>A</v>
          </cell>
          <cell r="D358">
            <v>1034</v>
          </cell>
        </row>
        <row r="359">
          <cell r="A359" t="str">
            <v>23-8894</v>
          </cell>
          <cell r="B359" t="str">
            <v>GATE,500 RAISE/LOWER 220 VOLT</v>
          </cell>
          <cell r="C359" t="str">
            <v>A</v>
          </cell>
          <cell r="D359">
            <v>4868</v>
          </cell>
        </row>
        <row r="360">
          <cell r="A360" t="str">
            <v>23-8965</v>
          </cell>
          <cell r="B360" t="str">
            <v>GATE,G-90 W/SENSITIVE REV. EDGE 220 VOLT</v>
          </cell>
          <cell r="C360" t="str">
            <v>A</v>
          </cell>
          <cell r="D360">
            <v>4060</v>
          </cell>
        </row>
        <row r="361">
          <cell r="A361" t="str">
            <v>30-0088</v>
          </cell>
          <cell r="B361" t="str">
            <v>GUIDE,RAIL-TICKET</v>
          </cell>
          <cell r="C361" t="str">
            <v>A</v>
          </cell>
          <cell r="D361">
            <v>41</v>
          </cell>
        </row>
        <row r="362">
          <cell r="A362" t="str">
            <v>30-0677</v>
          </cell>
          <cell r="B362" t="str">
            <v>***OBSOLETE***</v>
          </cell>
          <cell r="C362" t="str">
            <v>A</v>
          </cell>
          <cell r="D362">
            <v>999999.99990000005</v>
          </cell>
        </row>
        <row r="363">
          <cell r="A363" t="str">
            <v>30-0994</v>
          </cell>
          <cell r="B363" t="str">
            <v>TICKET,2" X 4" SIDEFEED</v>
          </cell>
          <cell r="C363" t="str">
            <v>A</v>
          </cell>
          <cell r="D363">
            <v>18</v>
          </cell>
        </row>
        <row r="364">
          <cell r="A364" t="str">
            <v>30-11119</v>
          </cell>
          <cell r="B364" t="str">
            <v>HOOD,TICKET SPITTER REVERSE ALUMINUM</v>
          </cell>
          <cell r="C364" t="str">
            <v>A</v>
          </cell>
          <cell r="D364">
            <v>1148</v>
          </cell>
        </row>
        <row r="365">
          <cell r="A365" t="str">
            <v>30-11188</v>
          </cell>
          <cell r="B365" t="str">
            <v>HOOD,T.S. REVERSE PULL FRONT ALUMINUM</v>
          </cell>
          <cell r="C365" t="str">
            <v>A</v>
          </cell>
          <cell r="D365">
            <v>1560</v>
          </cell>
        </row>
        <row r="366">
          <cell r="A366" t="str">
            <v>30-11825</v>
          </cell>
          <cell r="B366" t="str">
            <v>SIGN,PLEASE TAKE TICKET (PORTUGUESE)</v>
          </cell>
          <cell r="C366" t="str">
            <v>A</v>
          </cell>
          <cell r="D366">
            <v>0</v>
          </cell>
        </row>
        <row r="367">
          <cell r="A367" t="str">
            <v>30-1636</v>
          </cell>
          <cell r="B367" t="str">
            <v>HOOD,TICKET SPITTER PULL FRONT STEEL</v>
          </cell>
          <cell r="C367" t="str">
            <v>A</v>
          </cell>
          <cell r="D367">
            <v>999999.99990000005</v>
          </cell>
        </row>
        <row r="368">
          <cell r="A368" t="str">
            <v>31-0827</v>
          </cell>
          <cell r="B368" t="str">
            <v>CASHIER OUT CLOCK, 0-23 HRS</v>
          </cell>
          <cell r="C368" t="str">
            <v>A</v>
          </cell>
          <cell r="D368">
            <v>1005</v>
          </cell>
        </row>
        <row r="369">
          <cell r="A369" t="str">
            <v>31-0828</v>
          </cell>
          <cell r="B369" t="str">
            <v>CASHIER CLOCK,APCC AM-PM DASH TS</v>
          </cell>
          <cell r="C369" t="str">
            <v>A</v>
          </cell>
          <cell r="D369">
            <v>1005</v>
          </cell>
        </row>
        <row r="370">
          <cell r="A370" t="str">
            <v>31-0829</v>
          </cell>
          <cell r="B370" t="str">
            <v>CASHIER CLOCK,APCC AM-PM PRINT TS</v>
          </cell>
          <cell r="C370" t="str">
            <v>A</v>
          </cell>
          <cell r="D370">
            <v>1005</v>
          </cell>
        </row>
        <row r="371">
          <cell r="A371" t="str">
            <v>31-11843</v>
          </cell>
          <cell r="B371" t="str">
            <v>VIDEO,TD249 MAINTENANCE/LOOP INSTALL</v>
          </cell>
          <cell r="C371" t="str">
            <v>Z</v>
          </cell>
          <cell r="D371">
            <v>37</v>
          </cell>
        </row>
        <row r="372">
          <cell r="A372" t="str">
            <v>31-3063</v>
          </cell>
          <cell r="B372" t="str">
            <v>FEED WHEEL,METAL SIDE</v>
          </cell>
          <cell r="C372" t="str">
            <v>A</v>
          </cell>
          <cell r="D372">
            <v>447</v>
          </cell>
        </row>
        <row r="373">
          <cell r="A373" t="str">
            <v>31-4850</v>
          </cell>
          <cell r="B373" t="str">
            <v>LED DISPLAY,MILITARY TIME</v>
          </cell>
          <cell r="C373" t="str">
            <v>A</v>
          </cell>
          <cell r="D373">
            <v>449</v>
          </cell>
        </row>
        <row r="374">
          <cell r="A374" t="str">
            <v>32-10008</v>
          </cell>
          <cell r="B374" t="str">
            <v>ADDITIVE,TICKET SPITTER SPANISH</v>
          </cell>
          <cell r="C374" t="str">
            <v>A</v>
          </cell>
          <cell r="D374">
            <v>0</v>
          </cell>
        </row>
        <row r="375">
          <cell r="A375" t="str">
            <v>32-10254</v>
          </cell>
          <cell r="B375" t="str">
            <v>TICKET SPITTER,B.C. PS/INTERFACE 120 V</v>
          </cell>
          <cell r="C375" t="str">
            <v>A</v>
          </cell>
          <cell r="D375">
            <v>0</v>
          </cell>
        </row>
        <row r="376">
          <cell r="A376" t="str">
            <v>32-10255</v>
          </cell>
          <cell r="B376" t="str">
            <v>TICKET SPITTER,B.C. PS/INTERFACE 220 V</v>
          </cell>
          <cell r="C376" t="str">
            <v>A</v>
          </cell>
          <cell r="D376">
            <v>0</v>
          </cell>
        </row>
        <row r="377">
          <cell r="A377" t="str">
            <v>32-10273</v>
          </cell>
          <cell r="B377" t="str">
            <v>ADDITIVE,TICKET SPITTER PORTUGUESE</v>
          </cell>
          <cell r="C377" t="str">
            <v>A</v>
          </cell>
          <cell r="D377">
            <v>0</v>
          </cell>
        </row>
        <row r="378">
          <cell r="A378" t="str">
            <v>32-8588</v>
          </cell>
          <cell r="B378" t="str">
            <v>WIRE HARNESS,LED</v>
          </cell>
          <cell r="C378" t="str">
            <v>A</v>
          </cell>
          <cell r="D378">
            <v>57</v>
          </cell>
        </row>
        <row r="379">
          <cell r="A379" t="str">
            <v>32-8601</v>
          </cell>
          <cell r="B379" t="str">
            <v>TICKET SPITTER,READ HEAD ASSY</v>
          </cell>
          <cell r="C379" t="str">
            <v>A</v>
          </cell>
          <cell r="D379">
            <v>709</v>
          </cell>
        </row>
        <row r="380">
          <cell r="A380" t="str">
            <v>32-8603</v>
          </cell>
          <cell r="B380" t="str">
            <v>INTERLOCK BRACKET ASSY,T.S. BAR CODE</v>
          </cell>
          <cell r="C380" t="str">
            <v>A</v>
          </cell>
          <cell r="D380">
            <v>284</v>
          </cell>
        </row>
        <row r="381">
          <cell r="A381" t="str">
            <v>32-8637</v>
          </cell>
          <cell r="B381" t="str">
            <v>INTERCOM CALL STATION,TS MNT</v>
          </cell>
          <cell r="C381" t="str">
            <v>A</v>
          </cell>
          <cell r="D381">
            <v>259</v>
          </cell>
        </row>
        <row r="382">
          <cell r="A382" t="str">
            <v>32-8680</v>
          </cell>
          <cell r="B382" t="str">
            <v>SINGLE TICKET PACKAGE ASSY</v>
          </cell>
          <cell r="C382" t="str">
            <v>A</v>
          </cell>
          <cell r="D382">
            <v>50</v>
          </cell>
        </row>
        <row r="383">
          <cell r="A383" t="str">
            <v>32-8895</v>
          </cell>
          <cell r="B383" t="str">
            <v>TICKET TRAY,SIDE PANEL PACKAGE</v>
          </cell>
          <cell r="C383" t="str">
            <v>A</v>
          </cell>
          <cell r="D383">
            <v>71</v>
          </cell>
        </row>
        <row r="384">
          <cell r="A384" t="str">
            <v>32-8923</v>
          </cell>
          <cell r="B384" t="str">
            <v>TICKET SPITTER,BAR CODE INTERFACE ASSY</v>
          </cell>
          <cell r="C384" t="str">
            <v>A</v>
          </cell>
          <cell r="D384">
            <v>150</v>
          </cell>
        </row>
        <row r="385">
          <cell r="A385" t="str">
            <v>33-0751</v>
          </cell>
          <cell r="B385" t="str">
            <v>TICKET SPITTER,TD-249 0-23 HR U/L</v>
          </cell>
          <cell r="C385" t="str">
            <v>A</v>
          </cell>
          <cell r="D385">
            <v>5936</v>
          </cell>
        </row>
        <row r="386">
          <cell r="A386" t="str">
            <v>33-0753</v>
          </cell>
          <cell r="B386" t="str">
            <v>TICKET SPITTER,TD-249 AM-PM DASH U/L</v>
          </cell>
          <cell r="C386" t="str">
            <v>A</v>
          </cell>
          <cell r="D386">
            <v>5936</v>
          </cell>
        </row>
        <row r="387">
          <cell r="A387" t="str">
            <v>33-0755</v>
          </cell>
          <cell r="B387" t="str">
            <v>TICKET SPITTER,TD-249 AM-PM PRINT U/L</v>
          </cell>
          <cell r="C387" t="str">
            <v>A</v>
          </cell>
          <cell r="D387">
            <v>5936</v>
          </cell>
        </row>
        <row r="388">
          <cell r="A388" t="str">
            <v>33-0765</v>
          </cell>
          <cell r="B388" t="str">
            <v>PUSHBUTTON OPERATION</v>
          </cell>
          <cell r="C388" t="str">
            <v>A</v>
          </cell>
          <cell r="D388">
            <v>272</v>
          </cell>
        </row>
        <row r="389">
          <cell r="A389" t="str">
            <v>33-0766</v>
          </cell>
          <cell r="B389" t="str">
            <v>PUSHBUTTON OPERATION,W/DET. INTERLOCK</v>
          </cell>
          <cell r="C389" t="str">
            <v>A</v>
          </cell>
          <cell r="D389">
            <v>272</v>
          </cell>
        </row>
        <row r="390">
          <cell r="A390" t="str">
            <v>33-0777</v>
          </cell>
          <cell r="B390" t="str">
            <v>KARD BYPASS INTERLOCK</v>
          </cell>
          <cell r="C390" t="str">
            <v>A</v>
          </cell>
          <cell r="D390">
            <v>55</v>
          </cell>
        </row>
        <row r="391">
          <cell r="A391" t="str">
            <v>33-0911</v>
          </cell>
          <cell r="B391" t="str">
            <v>LOW TICKET LIGHT ASSY</v>
          </cell>
          <cell r="C391" t="str">
            <v>A</v>
          </cell>
          <cell r="D391">
            <v>207</v>
          </cell>
        </row>
        <row r="392">
          <cell r="A392" t="str">
            <v>33-10143</v>
          </cell>
          <cell r="B392" t="str">
            <v>PUSHBUTTON OPERATION,SPANISH</v>
          </cell>
          <cell r="C392" t="str">
            <v>A</v>
          </cell>
          <cell r="D392">
            <v>272</v>
          </cell>
        </row>
        <row r="393">
          <cell r="A393" t="str">
            <v>33-11775</v>
          </cell>
          <cell r="B393" t="str">
            <v>HAMMER ASSY,AP (BRASS)</v>
          </cell>
          <cell r="C393" t="str">
            <v>A</v>
          </cell>
          <cell r="D393">
            <v>70</v>
          </cell>
        </row>
        <row r="394">
          <cell r="A394" t="str">
            <v>33-7848</v>
          </cell>
          <cell r="B394" t="str">
            <v>TICKET SPITTER,TD-249 0-23 220 VAC</v>
          </cell>
          <cell r="C394" t="str">
            <v>A</v>
          </cell>
          <cell r="D394">
            <v>5936</v>
          </cell>
        </row>
        <row r="395">
          <cell r="A395" t="str">
            <v>33-8600</v>
          </cell>
          <cell r="B395" t="str">
            <v>TICKET SPITTER BAR CODE ADDITIVE</v>
          </cell>
          <cell r="C395" t="str">
            <v>A</v>
          </cell>
          <cell r="D395">
            <v>4753</v>
          </cell>
        </row>
        <row r="396">
          <cell r="A396" t="str">
            <v>33-8850</v>
          </cell>
          <cell r="B396" t="str">
            <v>TICKET SPITTER,TD-249 0-23 BAR CODE 220V</v>
          </cell>
          <cell r="C396" t="str">
            <v>A</v>
          </cell>
          <cell r="D396">
            <v>9609</v>
          </cell>
        </row>
        <row r="397">
          <cell r="A397" t="str">
            <v>33-8877</v>
          </cell>
          <cell r="B397" t="str">
            <v>TICKET SPITTER,BAR CODE TD-249 0-23 120V</v>
          </cell>
          <cell r="C397" t="str">
            <v>A</v>
          </cell>
          <cell r="D397">
            <v>9609</v>
          </cell>
        </row>
        <row r="398">
          <cell r="A398" t="str">
            <v>40-0408</v>
          </cell>
          <cell r="B398" t="str">
            <v>TOKEN,1" SIZE</v>
          </cell>
          <cell r="C398" t="str">
            <v>A</v>
          </cell>
          <cell r="D398">
            <v>2</v>
          </cell>
        </row>
        <row r="399">
          <cell r="A399" t="str">
            <v>40-17073</v>
          </cell>
          <cell r="B399" t="str">
            <v>COIN VAULT,AUTOMATIC PAY STATION</v>
          </cell>
          <cell r="C399" t="str">
            <v>A</v>
          </cell>
          <cell r="D399">
            <v>631</v>
          </cell>
        </row>
        <row r="400">
          <cell r="A400" t="str">
            <v>40-17088</v>
          </cell>
          <cell r="B400" t="str">
            <v>DOOR TOOL,AUTOMATIC PAY STATION</v>
          </cell>
          <cell r="C400" t="str">
            <v>A</v>
          </cell>
          <cell r="D400">
            <v>188</v>
          </cell>
        </row>
        <row r="401">
          <cell r="A401" t="str">
            <v>40-17091</v>
          </cell>
          <cell r="B401" t="str">
            <v>BASE,ADA AUTOMATIC PAY STATION</v>
          </cell>
          <cell r="C401" t="str">
            <v>A</v>
          </cell>
          <cell r="D401">
            <v>1769</v>
          </cell>
        </row>
        <row r="402">
          <cell r="A402" t="str">
            <v>40-17199</v>
          </cell>
          <cell r="B402" t="str">
            <v>BASE,AUTOMATIC PAY STATION</v>
          </cell>
          <cell r="C402" t="str">
            <v>A</v>
          </cell>
          <cell r="D402">
            <v>1873</v>
          </cell>
        </row>
        <row r="403">
          <cell r="A403" t="str">
            <v>40-17304</v>
          </cell>
          <cell r="B403" t="str">
            <v>GASKET,BNA NOTE ACCEPTOR</v>
          </cell>
          <cell r="C403" t="str">
            <v>A</v>
          </cell>
          <cell r="D403">
            <v>0</v>
          </cell>
        </row>
        <row r="404">
          <cell r="A404" t="str">
            <v>40-17367</v>
          </cell>
          <cell r="B404" t="str">
            <v>DOOR INSERT,U.S. W/CREDIT CARD APS</v>
          </cell>
          <cell r="C404" t="str">
            <v>A</v>
          </cell>
          <cell r="D404">
            <v>0</v>
          </cell>
        </row>
        <row r="405">
          <cell r="A405" t="str">
            <v>40-17368</v>
          </cell>
          <cell r="B405" t="str">
            <v>DOOR INSERT,ITALIAN APS</v>
          </cell>
          <cell r="C405" t="str">
            <v>A</v>
          </cell>
          <cell r="D405">
            <v>0</v>
          </cell>
        </row>
        <row r="406">
          <cell r="A406" t="str">
            <v>40-17369</v>
          </cell>
          <cell r="B406" t="str">
            <v>DOOR INSERT,SPANISH APS</v>
          </cell>
          <cell r="C406" t="str">
            <v>A</v>
          </cell>
          <cell r="D406">
            <v>0</v>
          </cell>
        </row>
        <row r="407">
          <cell r="A407" t="str">
            <v>40-17372</v>
          </cell>
          <cell r="B407" t="str">
            <v>COVER PLATE,NOTE ACCEPTOR APS</v>
          </cell>
          <cell r="C407" t="str">
            <v>A</v>
          </cell>
          <cell r="D407">
            <v>0</v>
          </cell>
        </row>
        <row r="408">
          <cell r="A408" t="str">
            <v>40-17378</v>
          </cell>
          <cell r="B408" t="str">
            <v>NAMEPLATE,AUTOMATIC PAY STATION CE</v>
          </cell>
          <cell r="C408" t="str">
            <v>A</v>
          </cell>
          <cell r="D408">
            <v>0</v>
          </cell>
        </row>
        <row r="409">
          <cell r="A409" t="str">
            <v>40-2622</v>
          </cell>
          <cell r="B409" t="str">
            <v>TOKEN,.882" SIZE</v>
          </cell>
          <cell r="C409" t="str">
            <v>A</v>
          </cell>
          <cell r="D409">
            <v>2</v>
          </cell>
        </row>
        <row r="410">
          <cell r="A410" t="str">
            <v>40-3180</v>
          </cell>
          <cell r="B410" t="str">
            <v>REJECTOR,1" SIZE TOKEN</v>
          </cell>
          <cell r="C410" t="str">
            <v>A</v>
          </cell>
          <cell r="D410">
            <v>133</v>
          </cell>
        </row>
        <row r="411">
          <cell r="A411" t="str">
            <v>41-17001</v>
          </cell>
          <cell r="B411" t="str">
            <v>ESCROW UNIT,AUTOMATIC PAY STATION</v>
          </cell>
          <cell r="C411" t="str">
            <v>A</v>
          </cell>
          <cell r="D411">
            <v>7859</v>
          </cell>
        </row>
        <row r="412">
          <cell r="A412" t="str">
            <v>41-17002</v>
          </cell>
          <cell r="B412" t="str">
            <v>NOTE VAULT,AUTOMATIC PAY STATION</v>
          </cell>
          <cell r="C412" t="str">
            <v>A</v>
          </cell>
          <cell r="D412">
            <v>3088</v>
          </cell>
        </row>
        <row r="413">
          <cell r="A413" t="str">
            <v>41-17003</v>
          </cell>
          <cell r="B413" t="str">
            <v>NOTE DISPENSER,AUTOMATIC PAY STATION</v>
          </cell>
          <cell r="C413" t="str">
            <v>A</v>
          </cell>
          <cell r="D413">
            <v>8240</v>
          </cell>
        </row>
        <row r="414">
          <cell r="A414" t="str">
            <v>41-17028</v>
          </cell>
          <cell r="B414" t="str">
            <v>U.S. COIN ACCEPTOR,AUTOMATIC PAY STATION</v>
          </cell>
          <cell r="C414" t="str">
            <v>A</v>
          </cell>
          <cell r="D414">
            <v>1041</v>
          </cell>
        </row>
        <row r="415">
          <cell r="A415" t="str">
            <v>41-17029</v>
          </cell>
          <cell r="B415" t="str">
            <v>COIN HOPPER,APS (STANDARD COIN)</v>
          </cell>
          <cell r="C415" t="str">
            <v>A</v>
          </cell>
          <cell r="D415">
            <v>1041</v>
          </cell>
        </row>
        <row r="416">
          <cell r="A416" t="str">
            <v>41-17030</v>
          </cell>
          <cell r="B416" t="str">
            <v>COIN HOPPER,APS (SMALL COIN)</v>
          </cell>
          <cell r="C416" t="str">
            <v>A</v>
          </cell>
          <cell r="D416">
            <v>1041</v>
          </cell>
        </row>
        <row r="417">
          <cell r="A417" t="str">
            <v>41-17098</v>
          </cell>
          <cell r="B417" t="str">
            <v>NOTE DISPENSER CASSETTE 2000,APS</v>
          </cell>
          <cell r="C417" t="str">
            <v>A</v>
          </cell>
          <cell r="D417">
            <v>1006</v>
          </cell>
        </row>
        <row r="418">
          <cell r="A418" t="str">
            <v>41-17099</v>
          </cell>
          <cell r="B418" t="str">
            <v>NOTE DISPENSER CASS. UNLOCK PLATE,APS</v>
          </cell>
          <cell r="C418" t="str">
            <v>A</v>
          </cell>
          <cell r="D418">
            <v>121</v>
          </cell>
        </row>
        <row r="419">
          <cell r="A419" t="str">
            <v>41-17100</v>
          </cell>
          <cell r="B419" t="str">
            <v>DOOR LOCK CYLINDER,AUTOMATIC PAY STATION</v>
          </cell>
          <cell r="C419" t="str">
            <v>A</v>
          </cell>
          <cell r="D419">
            <v>86</v>
          </cell>
        </row>
        <row r="420">
          <cell r="A420" t="str">
            <v>41-17102</v>
          </cell>
          <cell r="B420" t="str">
            <v>POWER SUPPLY,24 VDC 10 AMP</v>
          </cell>
          <cell r="C420" t="str">
            <v>A</v>
          </cell>
          <cell r="D420">
            <v>2050</v>
          </cell>
        </row>
        <row r="421">
          <cell r="A421" t="str">
            <v>41-17103</v>
          </cell>
          <cell r="B421" t="str">
            <v>POWER SUPPLY,36 VDC 3.4 AMP</v>
          </cell>
          <cell r="C421" t="str">
            <v>A</v>
          </cell>
          <cell r="D421">
            <v>1128</v>
          </cell>
        </row>
        <row r="422">
          <cell r="A422" t="str">
            <v>41-17104</v>
          </cell>
          <cell r="B422" t="str">
            <v>PRINTER,JOURNAL AUTOMATIC PAY STATION</v>
          </cell>
          <cell r="C422" t="str">
            <v>A</v>
          </cell>
          <cell r="D422">
            <v>1384</v>
          </cell>
        </row>
        <row r="423">
          <cell r="A423" t="str">
            <v>41-17105</v>
          </cell>
          <cell r="B423" t="str">
            <v>PRINTER,RECEIPT AUTOMATIC PAY STATION</v>
          </cell>
          <cell r="C423" t="str">
            <v>A</v>
          </cell>
          <cell r="D423">
            <v>1977</v>
          </cell>
        </row>
        <row r="424">
          <cell r="A424" t="str">
            <v>41-17121</v>
          </cell>
          <cell r="B424" t="str">
            <v>THERMAL RECEIPT PAPER,APS</v>
          </cell>
          <cell r="C424" t="str">
            <v>A</v>
          </cell>
          <cell r="D424">
            <v>14</v>
          </cell>
        </row>
        <row r="425">
          <cell r="A425" t="str">
            <v>41-17123</v>
          </cell>
          <cell r="B425" t="str">
            <v>PAPER,JOURNAL PRINTER APS</v>
          </cell>
          <cell r="C425" t="str">
            <v>A</v>
          </cell>
          <cell r="D425">
            <v>5</v>
          </cell>
        </row>
        <row r="426">
          <cell r="A426" t="str">
            <v>41-17287</v>
          </cell>
          <cell r="B426" t="str">
            <v>CLEANING KIT,NOTE ACCEPTOR APS</v>
          </cell>
          <cell r="C426" t="str">
            <v>A</v>
          </cell>
          <cell r="D426">
            <v>454</v>
          </cell>
        </row>
        <row r="427">
          <cell r="A427" t="str">
            <v>41-17306</v>
          </cell>
          <cell r="B427" t="str">
            <v>NOTE ACC,13 BILL W/STACKER &amp; ESC BNA 52</v>
          </cell>
          <cell r="C427" t="str">
            <v>A</v>
          </cell>
          <cell r="D427">
            <v>0</v>
          </cell>
        </row>
        <row r="428">
          <cell r="A428" t="str">
            <v>41-17307</v>
          </cell>
          <cell r="B428" t="str">
            <v>NOTE ACC,6 BILL W/STACKER &amp; ESC BNA 52</v>
          </cell>
          <cell r="C428" t="str">
            <v>A</v>
          </cell>
          <cell r="D428">
            <v>0</v>
          </cell>
        </row>
        <row r="429">
          <cell r="A429" t="str">
            <v>41-17308</v>
          </cell>
          <cell r="B429" t="str">
            <v>NOTE ACC,4 BILL W/STACKER &amp; ESC BNA 52</v>
          </cell>
          <cell r="C429" t="str">
            <v>A</v>
          </cell>
          <cell r="D429">
            <v>0</v>
          </cell>
        </row>
        <row r="430">
          <cell r="A430" t="str">
            <v>41-17309</v>
          </cell>
          <cell r="B430" t="str">
            <v>NOTE ACCEPTOR,13 BILL W/STACKER BNA 51</v>
          </cell>
          <cell r="C430" t="str">
            <v>A</v>
          </cell>
          <cell r="D430">
            <v>0</v>
          </cell>
        </row>
        <row r="431">
          <cell r="A431" t="str">
            <v>41-17310</v>
          </cell>
          <cell r="B431" t="str">
            <v>NOTE ACCEPTOR,6 BILL W/STACKER BNA 51</v>
          </cell>
          <cell r="C431" t="str">
            <v>A</v>
          </cell>
          <cell r="D431">
            <v>0</v>
          </cell>
        </row>
        <row r="432">
          <cell r="A432" t="str">
            <v>41-17311</v>
          </cell>
          <cell r="B432" t="str">
            <v>NOTE ACCEPTOR,4 BILL W/STACKER BNA 51</v>
          </cell>
          <cell r="C432" t="str">
            <v>A</v>
          </cell>
          <cell r="D432">
            <v>0</v>
          </cell>
        </row>
        <row r="433">
          <cell r="A433" t="str">
            <v>41-17312</v>
          </cell>
          <cell r="B433" t="str">
            <v>NOTE ACCEPTOR,13 BILL BNA 50</v>
          </cell>
          <cell r="C433" t="str">
            <v>A</v>
          </cell>
          <cell r="D433">
            <v>0</v>
          </cell>
        </row>
        <row r="434">
          <cell r="A434" t="str">
            <v>41-17313</v>
          </cell>
          <cell r="B434" t="str">
            <v>NOTE ACCEPTOR,6 BILL BNA 50</v>
          </cell>
          <cell r="C434" t="str">
            <v>A</v>
          </cell>
          <cell r="D434">
            <v>0</v>
          </cell>
        </row>
        <row r="435">
          <cell r="A435" t="str">
            <v>41-17314</v>
          </cell>
          <cell r="B435" t="str">
            <v>NOTE ACCEPTOR,4 BILL BNA 50</v>
          </cell>
          <cell r="C435" t="str">
            <v>A</v>
          </cell>
          <cell r="D435">
            <v>0</v>
          </cell>
        </row>
        <row r="436">
          <cell r="A436" t="str">
            <v>41-17315</v>
          </cell>
          <cell r="B436" t="str">
            <v>CASH VAULT,2000 NOTE CAPACITY W/LOCK</v>
          </cell>
          <cell r="C436" t="str">
            <v>A</v>
          </cell>
          <cell r="D436">
            <v>6232</v>
          </cell>
        </row>
        <row r="437">
          <cell r="A437" t="str">
            <v>41-17316</v>
          </cell>
          <cell r="B437" t="str">
            <v>CASH VAULT,1000 NOTE CAPACITY W/LOCK</v>
          </cell>
          <cell r="C437" t="str">
            <v>A</v>
          </cell>
          <cell r="D437">
            <v>4048</v>
          </cell>
        </row>
        <row r="438">
          <cell r="A438" t="str">
            <v>41-17317</v>
          </cell>
          <cell r="B438" t="str">
            <v>CASH VAULT SHIELD,BNA 50 SERIES ONLY</v>
          </cell>
          <cell r="C438" t="str">
            <v>A</v>
          </cell>
          <cell r="D438">
            <v>0</v>
          </cell>
        </row>
        <row r="439">
          <cell r="A439" t="str">
            <v>41-17318</v>
          </cell>
          <cell r="B439" t="str">
            <v>CASH VAULT,NON-STACKING BNA 50 SERIES</v>
          </cell>
          <cell r="C439" t="str">
            <v>A</v>
          </cell>
          <cell r="D439">
            <v>0</v>
          </cell>
        </row>
        <row r="440">
          <cell r="A440" t="str">
            <v>41-17319</v>
          </cell>
          <cell r="B440" t="str">
            <v>SOFTWARE,NOTE ACCEPTOR BNA ARGENTINA</v>
          </cell>
          <cell r="C440" t="str">
            <v>A</v>
          </cell>
          <cell r="D440">
            <v>0</v>
          </cell>
        </row>
        <row r="441">
          <cell r="A441" t="str">
            <v>41-17320</v>
          </cell>
          <cell r="B441" t="str">
            <v>SOFTWARE,NOTE ACCEPTOR BNA AUSTRALIA</v>
          </cell>
          <cell r="C441" t="str">
            <v>A</v>
          </cell>
          <cell r="D441">
            <v>0</v>
          </cell>
        </row>
        <row r="442">
          <cell r="A442" t="str">
            <v>41-17321</v>
          </cell>
          <cell r="B442" t="str">
            <v>SOFTWARE,NOTE ACCEPTOR BNA AUSTRIA</v>
          </cell>
          <cell r="C442" t="str">
            <v>A</v>
          </cell>
          <cell r="D442">
            <v>0</v>
          </cell>
        </row>
        <row r="443">
          <cell r="A443" t="str">
            <v>41-17322</v>
          </cell>
          <cell r="B443" t="str">
            <v>SOFTWARE,NOTE ACCEPTOR BNA BELGIUM</v>
          </cell>
          <cell r="C443" t="str">
            <v>A</v>
          </cell>
          <cell r="D443">
            <v>0</v>
          </cell>
        </row>
        <row r="444">
          <cell r="A444" t="str">
            <v>41-17323</v>
          </cell>
          <cell r="B444" t="str">
            <v>SOFTWARE,NOTE ACCEPTOR BNA BRAZIL</v>
          </cell>
          <cell r="C444" t="str">
            <v>A</v>
          </cell>
          <cell r="D444">
            <v>0</v>
          </cell>
        </row>
        <row r="445">
          <cell r="A445" t="str">
            <v>41-17324</v>
          </cell>
          <cell r="B445" t="str">
            <v>SOFTWARE,NOTE ACCEPTOR BNA CANADA</v>
          </cell>
          <cell r="C445" t="str">
            <v>A</v>
          </cell>
          <cell r="D445">
            <v>0</v>
          </cell>
        </row>
        <row r="446">
          <cell r="A446" t="str">
            <v>41-17325</v>
          </cell>
          <cell r="B446" t="str">
            <v>SOFTWARE,NOTE ACCEPTOR BNA CHINA</v>
          </cell>
          <cell r="C446" t="str">
            <v>A</v>
          </cell>
          <cell r="D446">
            <v>0</v>
          </cell>
        </row>
        <row r="447">
          <cell r="A447" t="str">
            <v>41-17326</v>
          </cell>
          <cell r="B447" t="str">
            <v>SOFTWATE,NOTE ACCEPTOR BNA COLUMBIA</v>
          </cell>
          <cell r="C447" t="str">
            <v>A</v>
          </cell>
          <cell r="D447">
            <v>0</v>
          </cell>
        </row>
        <row r="448">
          <cell r="A448" t="str">
            <v>41-17327</v>
          </cell>
          <cell r="B448" t="str">
            <v>SOFTWARE,NOTE ACCEPTOR BNA CROATIA</v>
          </cell>
          <cell r="C448" t="str">
            <v>A</v>
          </cell>
          <cell r="D448">
            <v>0</v>
          </cell>
        </row>
        <row r="449">
          <cell r="A449" t="str">
            <v>41-17328</v>
          </cell>
          <cell r="B449" t="str">
            <v>SOFTWARE,NOTE ACCEPTOR BNA CYPRUS</v>
          </cell>
          <cell r="C449" t="str">
            <v>A</v>
          </cell>
          <cell r="D449">
            <v>0</v>
          </cell>
        </row>
        <row r="450">
          <cell r="A450" t="str">
            <v>41-17329</v>
          </cell>
          <cell r="B450" t="str">
            <v>SOFTWARE,NOTE ACC BNA CZECH REPUBLIC</v>
          </cell>
          <cell r="C450" t="str">
            <v>A</v>
          </cell>
          <cell r="D450">
            <v>0</v>
          </cell>
        </row>
        <row r="451">
          <cell r="A451" t="str">
            <v>41-17330</v>
          </cell>
          <cell r="B451" t="str">
            <v>SOFTWARE,NOTE ACCEPTOR BNA DENMARK</v>
          </cell>
          <cell r="C451" t="str">
            <v>A</v>
          </cell>
          <cell r="D451">
            <v>0</v>
          </cell>
        </row>
        <row r="452">
          <cell r="A452" t="str">
            <v>41-17331</v>
          </cell>
          <cell r="B452" t="str">
            <v>SOFTWARE,NOTE ACCEPTOR BNA ENGLAND</v>
          </cell>
          <cell r="C452" t="str">
            <v>A</v>
          </cell>
          <cell r="D452">
            <v>0</v>
          </cell>
        </row>
        <row r="453">
          <cell r="A453" t="str">
            <v>41-17332</v>
          </cell>
          <cell r="B453" t="str">
            <v>SOFTWARE,NOTE ACCEPTOR BNA FINLAND</v>
          </cell>
          <cell r="C453" t="str">
            <v>A</v>
          </cell>
          <cell r="D453">
            <v>0</v>
          </cell>
        </row>
        <row r="454">
          <cell r="A454" t="str">
            <v>41-17333</v>
          </cell>
          <cell r="B454" t="str">
            <v>SOFTWARE,NOTE ACCEPTOR BNA FRANCE</v>
          </cell>
          <cell r="C454" t="str">
            <v>A</v>
          </cell>
          <cell r="D454">
            <v>0</v>
          </cell>
        </row>
        <row r="455">
          <cell r="A455" t="str">
            <v>41-17334</v>
          </cell>
          <cell r="B455" t="str">
            <v>SOFTWARE,NOTE ACCEPTOR BNA GERMANY</v>
          </cell>
          <cell r="C455" t="str">
            <v>A</v>
          </cell>
          <cell r="D455">
            <v>0</v>
          </cell>
        </row>
        <row r="456">
          <cell r="A456" t="str">
            <v>41-17335</v>
          </cell>
          <cell r="B456" t="str">
            <v>SOFTWARE,NOTE ACCEPTOR BNA GREECE</v>
          </cell>
          <cell r="C456" t="str">
            <v>A</v>
          </cell>
          <cell r="D456">
            <v>0</v>
          </cell>
        </row>
        <row r="457">
          <cell r="A457" t="str">
            <v>41-17336</v>
          </cell>
          <cell r="B457" t="str">
            <v>SOFTWARE,NOTE ACCEPTOR BNA HONG KONG</v>
          </cell>
          <cell r="C457" t="str">
            <v>A</v>
          </cell>
          <cell r="D457">
            <v>0</v>
          </cell>
        </row>
        <row r="458">
          <cell r="A458" t="str">
            <v>41-17337</v>
          </cell>
          <cell r="B458" t="str">
            <v>SOFTWARE,NOTE ACCEPTOR BNA IRELAND</v>
          </cell>
          <cell r="C458" t="str">
            <v>A</v>
          </cell>
          <cell r="D458">
            <v>0</v>
          </cell>
        </row>
        <row r="459">
          <cell r="A459" t="str">
            <v>41-17338</v>
          </cell>
          <cell r="B459" t="str">
            <v>SOFTWARE,NOTE ACCEPTOR BNA ITALY</v>
          </cell>
          <cell r="C459" t="str">
            <v>A</v>
          </cell>
          <cell r="D459">
            <v>0</v>
          </cell>
        </row>
        <row r="460">
          <cell r="A460" t="str">
            <v>41-17339</v>
          </cell>
          <cell r="B460" t="str">
            <v>SOFTWARE,NOTE ACCEPTOR BNA JAPAN</v>
          </cell>
          <cell r="C460" t="str">
            <v>A</v>
          </cell>
          <cell r="D460">
            <v>0</v>
          </cell>
        </row>
        <row r="461">
          <cell r="A461" t="str">
            <v>41-17340</v>
          </cell>
          <cell r="B461" t="str">
            <v>SOFTWARE,NOTE ACCEPTOR BNA KOREA</v>
          </cell>
          <cell r="C461" t="str">
            <v>A</v>
          </cell>
          <cell r="D461">
            <v>0</v>
          </cell>
        </row>
        <row r="462">
          <cell r="A462" t="str">
            <v>41-17341</v>
          </cell>
          <cell r="B462" t="str">
            <v>SOFTWARE,NOTE ACCEPTOR BNA LUXEMBURG</v>
          </cell>
          <cell r="C462" t="str">
            <v>A</v>
          </cell>
          <cell r="D462">
            <v>0</v>
          </cell>
        </row>
        <row r="463">
          <cell r="A463" t="str">
            <v>41-17342</v>
          </cell>
          <cell r="B463" t="str">
            <v>SOFTWARE,NOTE ACCEPTOR BNA MALAYSIA</v>
          </cell>
          <cell r="C463" t="str">
            <v>A</v>
          </cell>
          <cell r="D463">
            <v>0</v>
          </cell>
        </row>
        <row r="464">
          <cell r="A464" t="str">
            <v>41-17343</v>
          </cell>
          <cell r="B464" t="str">
            <v>SOFTWARE,NOTE ACCEPTOR BNA MEXICO</v>
          </cell>
          <cell r="C464" t="str">
            <v>A</v>
          </cell>
          <cell r="D464">
            <v>0</v>
          </cell>
        </row>
        <row r="465">
          <cell r="A465" t="str">
            <v>41-17344</v>
          </cell>
          <cell r="B465" t="str">
            <v>SOFTWARE,NOTE ACCEPTOR BNA NETHERLANDS</v>
          </cell>
          <cell r="C465" t="str">
            <v>A</v>
          </cell>
          <cell r="D465">
            <v>0</v>
          </cell>
        </row>
        <row r="466">
          <cell r="A466" t="str">
            <v>41-17345</v>
          </cell>
          <cell r="B466" t="str">
            <v>SOFTWARE, NOTE ACCEPTOR BNA NEW ZEALAND</v>
          </cell>
          <cell r="C466" t="str">
            <v>A</v>
          </cell>
          <cell r="D466">
            <v>0</v>
          </cell>
        </row>
        <row r="467">
          <cell r="A467" t="str">
            <v>41-17346</v>
          </cell>
          <cell r="B467" t="str">
            <v>SOFTWARE,NOTE ACCEPTOR BNA NORWAY</v>
          </cell>
          <cell r="C467" t="str">
            <v>A</v>
          </cell>
          <cell r="D467">
            <v>0</v>
          </cell>
        </row>
        <row r="468">
          <cell r="A468" t="str">
            <v>41-17347</v>
          </cell>
          <cell r="B468" t="str">
            <v>SOFTWARE,NOTE ACCEPTOR BNA OMAN</v>
          </cell>
          <cell r="C468" t="str">
            <v>A</v>
          </cell>
          <cell r="D468">
            <v>0</v>
          </cell>
        </row>
        <row r="469">
          <cell r="A469" t="str">
            <v>41-17348</v>
          </cell>
          <cell r="B469" t="str">
            <v>SOFTWARE,NOTE ACCEPTOR BNA PORTUGAL</v>
          </cell>
          <cell r="C469" t="str">
            <v>A</v>
          </cell>
          <cell r="D469">
            <v>0</v>
          </cell>
        </row>
        <row r="470">
          <cell r="A470" t="str">
            <v>41-17349</v>
          </cell>
          <cell r="B470" t="str">
            <v>SOFTWARE,NOTE ACCEPTOR BNA SCOTLAND</v>
          </cell>
          <cell r="C470" t="str">
            <v>A</v>
          </cell>
          <cell r="D470">
            <v>0</v>
          </cell>
        </row>
        <row r="471">
          <cell r="A471" t="str">
            <v>41-17350</v>
          </cell>
          <cell r="B471" t="str">
            <v>SOFTWARE,NOTE ACCEPTOR BNA SINGAPORE</v>
          </cell>
          <cell r="C471" t="str">
            <v>A</v>
          </cell>
          <cell r="D471">
            <v>0</v>
          </cell>
        </row>
        <row r="472">
          <cell r="A472" t="str">
            <v>41-17351</v>
          </cell>
          <cell r="B472" t="str">
            <v>SOFTWARE,NOTE ACCEPTOR BNA SOUTH AFRICA</v>
          </cell>
          <cell r="C472" t="str">
            <v>A</v>
          </cell>
          <cell r="D472">
            <v>0</v>
          </cell>
        </row>
        <row r="473">
          <cell r="A473" t="str">
            <v>41-17352</v>
          </cell>
          <cell r="B473" t="str">
            <v>SOFTWARE,NOTE ACCEPTOR BNA SPAIN</v>
          </cell>
          <cell r="C473" t="str">
            <v>A</v>
          </cell>
          <cell r="D473">
            <v>0</v>
          </cell>
        </row>
        <row r="474">
          <cell r="A474" t="str">
            <v>41-17353</v>
          </cell>
          <cell r="B474" t="str">
            <v>SOFTWARE,NOTE ACCEPTOR BNA SWEDEN</v>
          </cell>
          <cell r="C474" t="str">
            <v>A</v>
          </cell>
          <cell r="D474">
            <v>0</v>
          </cell>
        </row>
        <row r="475">
          <cell r="A475" t="str">
            <v>41-17354</v>
          </cell>
          <cell r="B475" t="str">
            <v>SOFTWARE,NOTE ACCEPTOR BNA SWITZERLAND</v>
          </cell>
          <cell r="C475" t="str">
            <v>A</v>
          </cell>
          <cell r="D475">
            <v>0</v>
          </cell>
        </row>
        <row r="476">
          <cell r="A476" t="str">
            <v>41-17355</v>
          </cell>
          <cell r="B476" t="str">
            <v>SOFTWARE,NOTE ACCEPTOR BNA TAIWAN</v>
          </cell>
          <cell r="C476" t="str">
            <v>A</v>
          </cell>
          <cell r="D476">
            <v>0</v>
          </cell>
        </row>
        <row r="477">
          <cell r="A477" t="str">
            <v>41-17356</v>
          </cell>
          <cell r="B477" t="str">
            <v>SOFTWARE,NOTE ACCEPTOR BNA TURKEY</v>
          </cell>
          <cell r="C477" t="str">
            <v>A</v>
          </cell>
          <cell r="D477">
            <v>0</v>
          </cell>
        </row>
        <row r="478">
          <cell r="A478" t="str">
            <v>41-17357</v>
          </cell>
          <cell r="B478" t="str">
            <v>SOFTWARE,NOTE ACCEPTOR BNA UNITED STATES</v>
          </cell>
          <cell r="C478" t="str">
            <v>A</v>
          </cell>
          <cell r="D478">
            <v>0</v>
          </cell>
        </row>
        <row r="479">
          <cell r="A479" t="str">
            <v>41-17381</v>
          </cell>
          <cell r="B479" t="str">
            <v>NOTE ACCEPTOR,HONG KONG BNA 52-5000</v>
          </cell>
          <cell r="C479" t="str">
            <v>A</v>
          </cell>
          <cell r="D479">
            <v>0</v>
          </cell>
        </row>
        <row r="480">
          <cell r="A480" t="str">
            <v>41-1792</v>
          </cell>
          <cell r="B480" t="str">
            <v>CASH BOX,$200 CAPACITY</v>
          </cell>
          <cell r="C480" t="str">
            <v>A</v>
          </cell>
          <cell r="D480">
            <v>165</v>
          </cell>
        </row>
        <row r="481">
          <cell r="A481" t="str">
            <v>41-1794</v>
          </cell>
          <cell r="B481" t="str">
            <v>SELF LOCKING LID,CASH BOX</v>
          </cell>
          <cell r="C481" t="str">
            <v>A</v>
          </cell>
          <cell r="D481">
            <v>93</v>
          </cell>
        </row>
        <row r="482">
          <cell r="A482" t="str">
            <v>41-2235</v>
          </cell>
          <cell r="B482" t="str">
            <v>CASH BOX FUNNEL</v>
          </cell>
          <cell r="C482" t="str">
            <v>A</v>
          </cell>
          <cell r="D482">
            <v>207</v>
          </cell>
        </row>
        <row r="483">
          <cell r="A483" t="str">
            <v>41-2526</v>
          </cell>
          <cell r="B483" t="str">
            <v>CASH BOX,$300 CAPACITY</v>
          </cell>
          <cell r="C483" t="str">
            <v>A</v>
          </cell>
          <cell r="D483">
            <v>219</v>
          </cell>
        </row>
        <row r="484">
          <cell r="A484" t="str">
            <v>41-3311</v>
          </cell>
          <cell r="B484" t="str">
            <v>REJECTOR,QUARTER COIN</v>
          </cell>
          <cell r="C484" t="str">
            <v>A</v>
          </cell>
          <cell r="D484">
            <v>133</v>
          </cell>
        </row>
        <row r="485">
          <cell r="A485" t="str">
            <v>41-3312</v>
          </cell>
          <cell r="B485" t="str">
            <v>REJECTOR,.882" SIZE TOKEN</v>
          </cell>
          <cell r="C485" t="str">
            <v>A</v>
          </cell>
          <cell r="D485">
            <v>144</v>
          </cell>
        </row>
        <row r="486">
          <cell r="A486" t="str">
            <v>41-4376</v>
          </cell>
          <cell r="B486" t="str">
            <v>COIN CHANGER,ELECTRONIC ACCEPTOR 3</v>
          </cell>
          <cell r="C486" t="str">
            <v>A</v>
          </cell>
          <cell r="D486">
            <v>1565</v>
          </cell>
        </row>
        <row r="487">
          <cell r="A487" t="str">
            <v>41-4541</v>
          </cell>
          <cell r="B487" t="str">
            <v>COIN CHANGER,ELECTRONIC ACCEPTOR 2D</v>
          </cell>
          <cell r="C487" t="str">
            <v>A</v>
          </cell>
          <cell r="D487">
            <v>1825</v>
          </cell>
        </row>
        <row r="488">
          <cell r="A488" t="str">
            <v>42-0790</v>
          </cell>
          <cell r="B488" t="str">
            <v>INTERCOM ADDITIVE,TOKEN</v>
          </cell>
          <cell r="C488" t="str">
            <v>A</v>
          </cell>
          <cell r="D488">
            <v>332</v>
          </cell>
        </row>
        <row r="489">
          <cell r="A489" t="str">
            <v>42-17024</v>
          </cell>
          <cell r="B489" t="str">
            <v>KEYPAD ASSY,AUTOMATIC PAY STATION</v>
          </cell>
          <cell r="C489" t="str">
            <v>A</v>
          </cell>
          <cell r="D489">
            <v>4141</v>
          </cell>
        </row>
        <row r="490">
          <cell r="A490" t="str">
            <v>42-17031</v>
          </cell>
          <cell r="B490" t="str">
            <v>PC BOARD ASSY,AUTOMATIC PAY STATION CPU</v>
          </cell>
          <cell r="C490" t="str">
            <v>A</v>
          </cell>
          <cell r="D490">
            <v>1857</v>
          </cell>
        </row>
        <row r="491">
          <cell r="A491" t="str">
            <v>42-17140</v>
          </cell>
          <cell r="B491" t="str">
            <v>SOFTWARE,APS SCAN COMM OPTION</v>
          </cell>
          <cell r="C491" t="str">
            <v>A</v>
          </cell>
          <cell r="D491">
            <v>643</v>
          </cell>
        </row>
        <row r="492">
          <cell r="A492" t="str">
            <v>42-17143</v>
          </cell>
          <cell r="B492" t="str">
            <v>SOFTWARE,APS VALUECARD OPTION</v>
          </cell>
          <cell r="C492" t="str">
            <v>A</v>
          </cell>
          <cell r="D492">
            <v>0</v>
          </cell>
        </row>
        <row r="493">
          <cell r="A493" t="str">
            <v>42-17157</v>
          </cell>
          <cell r="B493" t="str">
            <v>SOFTWARE,APS 200 ATTENDANT OPTION</v>
          </cell>
          <cell r="C493" t="str">
            <v>A</v>
          </cell>
          <cell r="D493">
            <v>857</v>
          </cell>
        </row>
        <row r="494">
          <cell r="A494" t="str">
            <v>42-17158</v>
          </cell>
          <cell r="B494" t="str">
            <v>SOFTWARE,APS 208 MERCHANT OPTION</v>
          </cell>
          <cell r="C494" t="str">
            <v>A</v>
          </cell>
          <cell r="D494">
            <v>965</v>
          </cell>
        </row>
        <row r="495">
          <cell r="A495" t="str">
            <v>42-17159</v>
          </cell>
          <cell r="B495" t="str">
            <v>SOFTWARE,APS NON RESET YTD TOTAL</v>
          </cell>
          <cell r="C495" t="str">
            <v>A</v>
          </cell>
          <cell r="D495">
            <v>0</v>
          </cell>
        </row>
        <row r="496">
          <cell r="A496" t="str">
            <v>42-17160</v>
          </cell>
          <cell r="B496" t="str">
            <v>SOFTWARE,APS 1000 TXN BUFFER</v>
          </cell>
          <cell r="C496" t="str">
            <v>A</v>
          </cell>
          <cell r="D496">
            <v>857</v>
          </cell>
        </row>
        <row r="497">
          <cell r="A497" t="str">
            <v>42-17167</v>
          </cell>
          <cell r="B497" t="str">
            <v>AUTOMATIC PAY STATION,VOUCHER OPTION</v>
          </cell>
          <cell r="C497" t="str">
            <v>A</v>
          </cell>
          <cell r="D497">
            <v>2572</v>
          </cell>
        </row>
        <row r="498">
          <cell r="A498" t="str">
            <v>42-17168</v>
          </cell>
          <cell r="B498" t="str">
            <v>AUTOMATIC PAY STATION,LOST TICKET OPTION</v>
          </cell>
          <cell r="C498" t="str">
            <v>A</v>
          </cell>
          <cell r="D498">
            <v>3621</v>
          </cell>
        </row>
        <row r="499">
          <cell r="A499" t="str">
            <v>42-17288</v>
          </cell>
          <cell r="B499" t="str">
            <v>AUTOMATIC PAY STATION,CREDIT CARD OPTION</v>
          </cell>
          <cell r="C499" t="str">
            <v>A</v>
          </cell>
          <cell r="D499">
            <v>2472</v>
          </cell>
        </row>
        <row r="500">
          <cell r="A500" t="str">
            <v>42-17302</v>
          </cell>
          <cell r="B500" t="str">
            <v>CABLE ASSY,NOTE DISPENSER 1 APS</v>
          </cell>
          <cell r="C500" t="str">
            <v>A</v>
          </cell>
          <cell r="D500">
            <v>93</v>
          </cell>
        </row>
        <row r="501">
          <cell r="A501" t="str">
            <v>42-17303</v>
          </cell>
          <cell r="B501" t="str">
            <v>CABLE ASSY,NOTE DISPENSER 2 APS</v>
          </cell>
          <cell r="C501" t="str">
            <v>A</v>
          </cell>
          <cell r="D501">
            <v>93</v>
          </cell>
        </row>
        <row r="502">
          <cell r="A502" t="str">
            <v>42-17371</v>
          </cell>
          <cell r="B502" t="str">
            <v>SOFTWARE,APS CREDIT CARD NT BATCH</v>
          </cell>
          <cell r="C502" t="str">
            <v>A</v>
          </cell>
          <cell r="D502">
            <v>0</v>
          </cell>
        </row>
        <row r="503">
          <cell r="A503" t="str">
            <v>42-2362</v>
          </cell>
          <cell r="B503" t="str">
            <v>ACCEPTOR 3 W/1" TOKEN &amp; CARD READER KIT</v>
          </cell>
          <cell r="C503" t="str">
            <v>A</v>
          </cell>
          <cell r="D503">
            <v>4543</v>
          </cell>
        </row>
        <row r="504">
          <cell r="A504" t="str">
            <v>42-8611</v>
          </cell>
          <cell r="B504" t="str">
            <v>STEPPER ASSY,ELECTRONIC</v>
          </cell>
          <cell r="C504" t="str">
            <v>A</v>
          </cell>
          <cell r="D504">
            <v>369</v>
          </cell>
        </row>
        <row r="505">
          <cell r="A505" t="str">
            <v>43-0457</v>
          </cell>
          <cell r="B505" t="str">
            <v>TOKEN ACCEPTOR L/STAND 1"</v>
          </cell>
          <cell r="C505" t="str">
            <v>A</v>
          </cell>
          <cell r="D505">
            <v>661</v>
          </cell>
        </row>
        <row r="506">
          <cell r="A506" t="str">
            <v>43-10206</v>
          </cell>
          <cell r="B506" t="str">
            <v>REJECTOR OPTION PACKAGE,.882" SIZE TOKEN</v>
          </cell>
          <cell r="C506" t="str">
            <v>A</v>
          </cell>
          <cell r="D506">
            <v>0</v>
          </cell>
        </row>
        <row r="507">
          <cell r="A507" t="str">
            <v>43-17078</v>
          </cell>
          <cell r="B507" t="str">
            <v>AUTOMATIC PAY STATION</v>
          </cell>
          <cell r="C507" t="str">
            <v>A</v>
          </cell>
          <cell r="D507">
            <v>46814</v>
          </cell>
        </row>
        <row r="508">
          <cell r="A508" t="str">
            <v>43-17080</v>
          </cell>
          <cell r="B508" t="str">
            <v>NOTE DISPENSER OPTION,APS</v>
          </cell>
          <cell r="C508" t="str">
            <v>A</v>
          </cell>
          <cell r="D508">
            <v>9363</v>
          </cell>
        </row>
        <row r="509">
          <cell r="A509" t="str">
            <v>43-17081</v>
          </cell>
          <cell r="B509" t="str">
            <v>STANDARD COIN HOPPER OPTION,APS</v>
          </cell>
          <cell r="C509" t="str">
            <v>A</v>
          </cell>
          <cell r="D509">
            <v>0</v>
          </cell>
        </row>
        <row r="510">
          <cell r="A510" t="str">
            <v>43-17082</v>
          </cell>
          <cell r="B510" t="str">
            <v>SMALL COIN HOPPER OPTION,APS</v>
          </cell>
          <cell r="C510" t="str">
            <v>A</v>
          </cell>
          <cell r="D510">
            <v>0</v>
          </cell>
        </row>
        <row r="511">
          <cell r="A511" t="str">
            <v>43-17083</v>
          </cell>
          <cell r="B511" t="str">
            <v>***REPLACED BY 43-17358***</v>
          </cell>
          <cell r="C511" t="str">
            <v>A</v>
          </cell>
          <cell r="D511">
            <v>24968</v>
          </cell>
        </row>
        <row r="512">
          <cell r="A512" t="str">
            <v>43-17139</v>
          </cell>
          <cell r="B512" t="str">
            <v>JOURNAL PRINTER OPTION,APS</v>
          </cell>
          <cell r="C512" t="str">
            <v>A</v>
          </cell>
          <cell r="D512">
            <v>1384</v>
          </cell>
        </row>
        <row r="513">
          <cell r="A513" t="str">
            <v>43-17164</v>
          </cell>
          <cell r="B513" t="str">
            <v>NOTE DISPENSER OPTION SECOND ( #2 ),APS</v>
          </cell>
          <cell r="C513" t="str">
            <v>A</v>
          </cell>
          <cell r="D513">
            <v>9363</v>
          </cell>
        </row>
        <row r="514">
          <cell r="A514" t="str">
            <v>43-17222</v>
          </cell>
          <cell r="B514" t="str">
            <v>AUTOMATIC PAY STATION,220 VOLT</v>
          </cell>
          <cell r="C514" t="str">
            <v>A</v>
          </cell>
          <cell r="D514">
            <v>46814</v>
          </cell>
        </row>
        <row r="515">
          <cell r="A515" t="str">
            <v>43-17358</v>
          </cell>
          <cell r="B515" t="str">
            <v>APS NOTE ACCEPTOR OPTION,BNA 52 SERIES</v>
          </cell>
          <cell r="C515" t="str">
            <v>A</v>
          </cell>
          <cell r="D515">
            <v>24968</v>
          </cell>
        </row>
        <row r="516">
          <cell r="A516" t="str">
            <v>43-17382</v>
          </cell>
          <cell r="B516" t="str">
            <v>CE OPTION,AUTOMATIC PAY STATION</v>
          </cell>
          <cell r="C516" t="str">
            <v>A</v>
          </cell>
          <cell r="D516">
            <v>0</v>
          </cell>
        </row>
        <row r="517">
          <cell r="A517" t="str">
            <v>43-2517</v>
          </cell>
          <cell r="B517" t="str">
            <v>ACCEPTOR 3 W/CASH BOX</v>
          </cell>
          <cell r="C517" t="str">
            <v>A</v>
          </cell>
          <cell r="D517">
            <v>3969</v>
          </cell>
        </row>
        <row r="518">
          <cell r="A518" t="str">
            <v>43-2518</v>
          </cell>
          <cell r="B518" t="str">
            <v>ACCEPTOR 3 W/CARD READER KIT</v>
          </cell>
          <cell r="C518" t="str">
            <v>A</v>
          </cell>
          <cell r="D518">
            <v>4081</v>
          </cell>
        </row>
        <row r="519">
          <cell r="A519" t="str">
            <v>43-2521</v>
          </cell>
          <cell r="B519" t="str">
            <v>ACCEPTOR 3 W/1" TOKEN ACCEPTOR</v>
          </cell>
          <cell r="C519" t="str">
            <v>A</v>
          </cell>
          <cell r="D519">
            <v>4429</v>
          </cell>
        </row>
        <row r="520">
          <cell r="A520" t="str">
            <v>43-3210</v>
          </cell>
          <cell r="B520" t="str">
            <v>ENCLOSURE ASSY,TOKEN</v>
          </cell>
          <cell r="C520" t="str">
            <v>A</v>
          </cell>
          <cell r="D520">
            <v>613</v>
          </cell>
        </row>
        <row r="521">
          <cell r="A521" t="str">
            <v>43-7465</v>
          </cell>
          <cell r="B521" t="str">
            <v>TOKEN ACCEPTOR W/STAND 1"</v>
          </cell>
          <cell r="C521" t="str">
            <v>A</v>
          </cell>
          <cell r="D521">
            <v>881</v>
          </cell>
        </row>
        <row r="522">
          <cell r="A522" t="str">
            <v>43-7466</v>
          </cell>
          <cell r="B522" t="str">
            <v>TOKEN W/CARD RDR. PROVISIONS &amp; STAND 1"</v>
          </cell>
          <cell r="C522" t="str">
            <v>A</v>
          </cell>
          <cell r="D522">
            <v>1028</v>
          </cell>
        </row>
        <row r="523">
          <cell r="A523" t="str">
            <v>43-7467</v>
          </cell>
          <cell r="B523" t="str">
            <v>QUARTER UNIT W/STAND</v>
          </cell>
          <cell r="C523" t="str">
            <v>A</v>
          </cell>
          <cell r="D523">
            <v>909</v>
          </cell>
        </row>
        <row r="524">
          <cell r="A524" t="str">
            <v>43-7469</v>
          </cell>
          <cell r="B524" t="str">
            <v>QUARTER UNIT W/CARD READER PROV &amp; STAND</v>
          </cell>
          <cell r="C524" t="str">
            <v>A</v>
          </cell>
          <cell r="D524">
            <v>1060</v>
          </cell>
        </row>
        <row r="525">
          <cell r="A525" t="str">
            <v>43-7474</v>
          </cell>
          <cell r="B525" t="str">
            <v>ENCLOSURE ASSY,TOKEN/CARD</v>
          </cell>
          <cell r="C525" t="str">
            <v>A</v>
          </cell>
          <cell r="D525">
            <v>845</v>
          </cell>
        </row>
        <row r="526">
          <cell r="A526" t="str">
            <v>43-7808</v>
          </cell>
          <cell r="B526" t="str">
            <v>1" TOKEN/QUARTER UNIT WITH STAND</v>
          </cell>
          <cell r="C526" t="str">
            <v>A</v>
          </cell>
          <cell r="D526">
            <v>1711</v>
          </cell>
        </row>
        <row r="527">
          <cell r="A527" t="str">
            <v>43-7809</v>
          </cell>
          <cell r="B527" t="str">
            <v>1" TOKEN/QUARTER UNIT LESS STAND</v>
          </cell>
          <cell r="C527" t="str">
            <v>A</v>
          </cell>
          <cell r="D527">
            <v>1489</v>
          </cell>
        </row>
        <row r="528">
          <cell r="A528" t="str">
            <v>43-7886</v>
          </cell>
          <cell r="B528" t="str">
            <v>ACCEPTOR 2 D W/DOLLAR BILL</v>
          </cell>
          <cell r="C528" t="str">
            <v>A</v>
          </cell>
          <cell r="D528">
            <v>8686</v>
          </cell>
        </row>
        <row r="529">
          <cell r="A529" t="str">
            <v>43-8582</v>
          </cell>
          <cell r="B529" t="str">
            <v>QUARTER UNIT L/STAND</v>
          </cell>
          <cell r="C529" t="str">
            <v>A</v>
          </cell>
          <cell r="D529">
            <v>681</v>
          </cell>
        </row>
        <row r="530">
          <cell r="A530" t="str">
            <v>70-14051</v>
          </cell>
          <cell r="B530" t="str">
            <v>BELL ADAPTOR BRACKET</v>
          </cell>
          <cell r="C530" t="str">
            <v>A</v>
          </cell>
          <cell r="D530">
            <v>232</v>
          </cell>
        </row>
        <row r="531">
          <cell r="A531" t="str">
            <v>70-14277</v>
          </cell>
          <cell r="B531" t="str">
            <v>LENS,8" 180 DEG CLEAR (K5910-180C)</v>
          </cell>
          <cell r="C531" t="str">
            <v>C</v>
          </cell>
          <cell r="D531">
            <v>122</v>
          </cell>
        </row>
        <row r="532">
          <cell r="A532" t="str">
            <v>70-14278</v>
          </cell>
          <cell r="B532" t="str">
            <v>LENS,8" 180 DEG GREEN (K5910-180G)</v>
          </cell>
          <cell r="C532" t="str">
            <v>C</v>
          </cell>
          <cell r="D532">
            <v>122</v>
          </cell>
        </row>
        <row r="533">
          <cell r="A533" t="str">
            <v>70-14279</v>
          </cell>
          <cell r="B533" t="str">
            <v>LENS,8" 180 DEG RED (K5910-180R)</v>
          </cell>
          <cell r="C533" t="str">
            <v>C</v>
          </cell>
          <cell r="D533">
            <v>122</v>
          </cell>
        </row>
        <row r="534">
          <cell r="A534" t="str">
            <v>70-14282</v>
          </cell>
          <cell r="B534" t="str">
            <v>LENS,8" 360 DEG GREEN (K5910-360G)</v>
          </cell>
          <cell r="C534" t="str">
            <v>C</v>
          </cell>
          <cell r="D534">
            <v>178</v>
          </cell>
        </row>
        <row r="535">
          <cell r="A535" t="str">
            <v>70-14283</v>
          </cell>
          <cell r="B535" t="str">
            <v>LENS,8" 360 DEG RED (K5910-360R)</v>
          </cell>
          <cell r="C535" t="str">
            <v>C</v>
          </cell>
          <cell r="D535">
            <v>178</v>
          </cell>
        </row>
        <row r="536">
          <cell r="A536" t="str">
            <v>70-14288</v>
          </cell>
          <cell r="B536" t="str">
            <v>LENS,8" 90 DEG RED (K5910-90R)</v>
          </cell>
          <cell r="C536" t="str">
            <v>C</v>
          </cell>
          <cell r="D536">
            <v>122</v>
          </cell>
        </row>
        <row r="537">
          <cell r="A537" t="str">
            <v>71-14044</v>
          </cell>
          <cell r="B537" t="str">
            <v>LITES  (K1565-20MG)</v>
          </cell>
          <cell r="C537" t="str">
            <v>B</v>
          </cell>
          <cell r="D537">
            <v>207</v>
          </cell>
        </row>
        <row r="538">
          <cell r="A538" t="str">
            <v>71-14048</v>
          </cell>
          <cell r="B538" t="str">
            <v>LIGHT,GATE ARM (K1590B)</v>
          </cell>
          <cell r="C538" t="str">
            <v>B</v>
          </cell>
          <cell r="D538">
            <v>154</v>
          </cell>
        </row>
        <row r="539">
          <cell r="A539" t="str">
            <v>71-14055</v>
          </cell>
          <cell r="B539" t="str">
            <v>PUSHBUTTON STATION,INDOOR (K3HB*)</v>
          </cell>
          <cell r="C539" t="str">
            <v>B</v>
          </cell>
          <cell r="D539">
            <v>321</v>
          </cell>
        </row>
        <row r="540">
          <cell r="A540" t="str">
            <v>71-14056</v>
          </cell>
          <cell r="B540" t="str">
            <v>PUSHBUTTON STATION,OUTDOOR (K3HB-4)</v>
          </cell>
          <cell r="C540" t="str">
            <v>B</v>
          </cell>
          <cell r="D540">
            <v>482</v>
          </cell>
        </row>
        <row r="541">
          <cell r="A541" t="str">
            <v>71-14130</v>
          </cell>
          <cell r="B541" t="str">
            <v>BULB  (K5901-100A-19CL)</v>
          </cell>
          <cell r="C541" t="str">
            <v>C</v>
          </cell>
          <cell r="D541">
            <v>21</v>
          </cell>
        </row>
        <row r="542">
          <cell r="A542" t="str">
            <v>71-14443</v>
          </cell>
          <cell r="B542" t="str">
            <v>BELL,MOTOR DRIVEN W/COVER</v>
          </cell>
          <cell r="C542" t="str">
            <v>B</v>
          </cell>
          <cell r="D542">
            <v>1935</v>
          </cell>
        </row>
        <row r="543">
          <cell r="A543" t="str">
            <v>71-14447</v>
          </cell>
          <cell r="B543" t="str">
            <v>CONTACTOR,REVERSING  (91172-11)</v>
          </cell>
          <cell r="C543" t="str">
            <v>A</v>
          </cell>
          <cell r="D543">
            <v>1466</v>
          </cell>
        </row>
        <row r="544">
          <cell r="A544" t="str">
            <v>71-14553</v>
          </cell>
          <cell r="B544" t="str">
            <v>LIGHT BULB,GATE ARM LIGHT  (GE3011)</v>
          </cell>
          <cell r="C544" t="str">
            <v>A</v>
          </cell>
          <cell r="D544">
            <v>14</v>
          </cell>
        </row>
        <row r="545">
          <cell r="A545" t="str">
            <v>72-15004</v>
          </cell>
          <cell r="B545" t="str">
            <v>MOTOR VOLTAGE OPT,NN 120/240 V 1PH 60 HZ</v>
          </cell>
          <cell r="C545" t="str">
            <v>B</v>
          </cell>
          <cell r="D545">
            <v>1919</v>
          </cell>
        </row>
        <row r="546">
          <cell r="A546" t="str">
            <v>72-15005</v>
          </cell>
          <cell r="B546" t="str">
            <v>MOTOR VOLTAGE OPT,NN 208/220 V 3PH 60 HZ</v>
          </cell>
          <cell r="C546" t="str">
            <v>B</v>
          </cell>
          <cell r="D546">
            <v>1545</v>
          </cell>
        </row>
        <row r="547">
          <cell r="A547" t="str">
            <v>72-15006</v>
          </cell>
          <cell r="B547" t="str">
            <v>MOTOR VOLTAGE OPTION,NN 440 V 3PH 60 HZ</v>
          </cell>
          <cell r="C547" t="str">
            <v>B</v>
          </cell>
          <cell r="D547">
            <v>1545</v>
          </cell>
        </row>
        <row r="548">
          <cell r="A548" t="str">
            <v>73-14801</v>
          </cell>
          <cell r="B548" t="str">
            <v>PIER LIGHT,TYPE 1 ALUMINUM CLEAR</v>
          </cell>
          <cell r="C548" t="str">
            <v>C</v>
          </cell>
          <cell r="D548">
            <v>492</v>
          </cell>
        </row>
        <row r="549">
          <cell r="A549" t="str">
            <v>73-14802</v>
          </cell>
          <cell r="B549" t="str">
            <v>PIER LIGHT,TYPE 1 ALUMINUM GREEN</v>
          </cell>
          <cell r="C549" t="str">
            <v>C</v>
          </cell>
          <cell r="D549">
            <v>492</v>
          </cell>
        </row>
        <row r="550">
          <cell r="A550" t="str">
            <v>73-14803</v>
          </cell>
          <cell r="B550" t="str">
            <v>PIER LIGHT,TYPE 1 ALUMINUM RED</v>
          </cell>
          <cell r="C550" t="str">
            <v>C</v>
          </cell>
          <cell r="D550">
            <v>492</v>
          </cell>
        </row>
        <row r="551">
          <cell r="A551" t="str">
            <v>73-14809</v>
          </cell>
          <cell r="B551" t="str">
            <v>PIER LIGHT,TYPE 1 BRONZE RED</v>
          </cell>
          <cell r="C551" t="str">
            <v>C</v>
          </cell>
          <cell r="D551">
            <v>649</v>
          </cell>
        </row>
        <row r="552">
          <cell r="A552" t="str">
            <v>73-14812</v>
          </cell>
          <cell r="B552" t="str">
            <v>CHANNEL LIGHT,TYPE 6 PSU ALUMINUM RED</v>
          </cell>
          <cell r="C552" t="str">
            <v>C</v>
          </cell>
          <cell r="D552">
            <v>826</v>
          </cell>
        </row>
        <row r="553">
          <cell r="A553" t="str">
            <v>73-14815</v>
          </cell>
          <cell r="B553" t="str">
            <v>CHANNEL LIGHT,TYPE 6 PSU ALUMINUM GREEN</v>
          </cell>
          <cell r="C553" t="str">
            <v>C</v>
          </cell>
          <cell r="D553">
            <v>826</v>
          </cell>
        </row>
        <row r="554">
          <cell r="A554" t="str">
            <v>73-14820</v>
          </cell>
          <cell r="B554" t="str">
            <v>PIER LIGHT,TYPE 1A ALUMINUM RED</v>
          </cell>
          <cell r="C554" t="str">
            <v>C</v>
          </cell>
          <cell r="D554">
            <v>521</v>
          </cell>
        </row>
        <row r="555">
          <cell r="A555" t="str">
            <v>73-14822</v>
          </cell>
          <cell r="B555" t="str">
            <v>PIER LIGHT,TYPE 1A ALUMINUM CLEAR</v>
          </cell>
          <cell r="C555" t="str">
            <v>C</v>
          </cell>
          <cell r="D555">
            <v>521</v>
          </cell>
        </row>
        <row r="556">
          <cell r="A556" t="str">
            <v>73-14823</v>
          </cell>
          <cell r="B556" t="str">
            <v>PIER LIGHT,TYPE 1A ALUMINUM GREEN</v>
          </cell>
          <cell r="C556" t="str">
            <v>C</v>
          </cell>
          <cell r="D556">
            <v>521</v>
          </cell>
        </row>
        <row r="557">
          <cell r="A557" t="str">
            <v>73-14825</v>
          </cell>
          <cell r="B557" t="str">
            <v>NAV LIGHT,PIVOT TYPE 1P BRONZE GREEN</v>
          </cell>
          <cell r="C557" t="str">
            <v>C</v>
          </cell>
          <cell r="D557">
            <v>1025</v>
          </cell>
        </row>
        <row r="558">
          <cell r="A558" t="str">
            <v>73-14828</v>
          </cell>
          <cell r="B558" t="str">
            <v>NAV LIGHT,PIVOT TYPE 1P BRONZE RED</v>
          </cell>
          <cell r="C558" t="str">
            <v>C</v>
          </cell>
          <cell r="D558">
            <v>1025</v>
          </cell>
        </row>
        <row r="559">
          <cell r="A559" t="str">
            <v>73-14833</v>
          </cell>
          <cell r="B559" t="str">
            <v>CHANNEL LIGHT,TYPE 6 PSU BRONZE GREEN</v>
          </cell>
          <cell r="C559" t="str">
            <v>C</v>
          </cell>
          <cell r="D559">
            <v>1139</v>
          </cell>
        </row>
        <row r="560">
          <cell r="A560" t="str">
            <v>73-14848</v>
          </cell>
          <cell r="B560" t="str">
            <v>LIGHT SAVER KIT 16"</v>
          </cell>
          <cell r="C560" t="str">
            <v>C</v>
          </cell>
          <cell r="D560">
            <v>193</v>
          </cell>
        </row>
        <row r="561">
          <cell r="A561" t="str">
            <v>73-14849</v>
          </cell>
          <cell r="B561" t="str">
            <v>LIGHT SAVER KIT 8"</v>
          </cell>
          <cell r="C561" t="str">
            <v>C</v>
          </cell>
          <cell r="D561">
            <v>129</v>
          </cell>
        </row>
        <row r="562">
          <cell r="A562" t="str">
            <v>73-14864</v>
          </cell>
          <cell r="B562" t="str">
            <v>NAV LIGHT,PIVOT TYPE 9 ALUMINUM</v>
          </cell>
          <cell r="C562" t="str">
            <v>C</v>
          </cell>
          <cell r="D562">
            <v>1221</v>
          </cell>
        </row>
        <row r="563">
          <cell r="A563" t="str">
            <v>73-14865</v>
          </cell>
          <cell r="B563" t="str">
            <v>DRAWBRIDGE LIGHT,TYPE 5 ALUMINUM</v>
          </cell>
          <cell r="C563" t="str">
            <v>C</v>
          </cell>
          <cell r="D563">
            <v>790</v>
          </cell>
        </row>
        <row r="564">
          <cell r="A564" t="str">
            <v>73-14868</v>
          </cell>
          <cell r="B564" t="str">
            <v>DRAWBRIDGE LIGHT,TYPE 5 BRONZE</v>
          </cell>
          <cell r="C564" t="str">
            <v>C</v>
          </cell>
          <cell r="D564">
            <v>993</v>
          </cell>
        </row>
        <row r="565">
          <cell r="A565" t="str">
            <v>73-14870</v>
          </cell>
          <cell r="B565" t="str">
            <v>NAV LIGHT,STATIONARY TYPE 3 ALUMINUM</v>
          </cell>
          <cell r="C565" t="str">
            <v>C</v>
          </cell>
          <cell r="D565">
            <v>1437</v>
          </cell>
        </row>
        <row r="566">
          <cell r="A566" t="str">
            <v>73-14874</v>
          </cell>
          <cell r="B566" t="str">
            <v>BRIDGE LIGHT,PIVOT TYPE 2 ALUMINUM</v>
          </cell>
          <cell r="C566" t="str">
            <v>C</v>
          </cell>
          <cell r="D566">
            <v>993</v>
          </cell>
        </row>
        <row r="567">
          <cell r="A567" t="str">
            <v>73-14876</v>
          </cell>
          <cell r="B567" t="str">
            <v>BRIDGE LIGHT,PIVOT TYPE 2 BRONZE</v>
          </cell>
          <cell r="C567" t="str">
            <v>C</v>
          </cell>
          <cell r="D567">
            <v>1259</v>
          </cell>
        </row>
        <row r="568">
          <cell r="A568" t="str">
            <v>73-14880</v>
          </cell>
          <cell r="B568" t="str">
            <v>CHANNEL MARKER,TYPE 6 BRONZE RED</v>
          </cell>
          <cell r="C568" t="str">
            <v>C</v>
          </cell>
          <cell r="D568">
            <v>766</v>
          </cell>
        </row>
        <row r="569">
          <cell r="A569" t="str">
            <v>73-14884</v>
          </cell>
          <cell r="B569" t="str">
            <v>CHANNEL MARKER,TYPE 6 ALUMINUM GREEN</v>
          </cell>
          <cell r="C569" t="str">
            <v>C</v>
          </cell>
          <cell r="D569">
            <v>613</v>
          </cell>
        </row>
        <row r="570">
          <cell r="A570" t="str">
            <v>73-14885</v>
          </cell>
          <cell r="B570" t="str">
            <v>CHANNEL MARKER,TYPE 6 ALUMINUM RED</v>
          </cell>
          <cell r="C570" t="str">
            <v>C</v>
          </cell>
          <cell r="D570">
            <v>613</v>
          </cell>
        </row>
        <row r="571">
          <cell r="A571" t="str">
            <v>73-14887</v>
          </cell>
          <cell r="B571" t="str">
            <v>CHANNEL MARKER,TYPE 6 ALUMINUM CLEAR</v>
          </cell>
          <cell r="C571" t="str">
            <v>C</v>
          </cell>
          <cell r="D571">
            <v>613</v>
          </cell>
        </row>
        <row r="572">
          <cell r="A572" t="str">
            <v>73-14889</v>
          </cell>
          <cell r="B572" t="str">
            <v>NAV LIGHT,PIVOT TYPE 1P ALUMINUM RED</v>
          </cell>
          <cell r="C572" t="str">
            <v>C</v>
          </cell>
          <cell r="D572">
            <v>803</v>
          </cell>
        </row>
        <row r="573">
          <cell r="A573" t="str">
            <v>73-14891</v>
          </cell>
          <cell r="B573" t="str">
            <v>NAV LIGHT,PIVOT TYPE 1P ALUMINUM GREEN</v>
          </cell>
          <cell r="C573" t="str">
            <v>C</v>
          </cell>
          <cell r="D573">
            <v>803</v>
          </cell>
        </row>
        <row r="574">
          <cell r="A574" t="str">
            <v>73-14894</v>
          </cell>
          <cell r="B574" t="str">
            <v>PIER LIGHT,TYPE 1A BRONZE RED</v>
          </cell>
          <cell r="C574" t="str">
            <v>C</v>
          </cell>
          <cell r="D574">
            <v>666</v>
          </cell>
        </row>
        <row r="575">
          <cell r="A575" t="str">
            <v>73-14947</v>
          </cell>
          <cell r="B575" t="str">
            <v>LIMIT SWITCH ASSY  (5921-500)</v>
          </cell>
          <cell r="C575" t="str">
            <v>B</v>
          </cell>
          <cell r="D575">
            <v>77</v>
          </cell>
        </row>
        <row r="576">
          <cell r="A576" t="str">
            <v>73-14949</v>
          </cell>
          <cell r="B576" t="str">
            <v>TRANSFORMER ASSY 440/240-120 (5921-502)</v>
          </cell>
          <cell r="C576" t="str">
            <v>B</v>
          </cell>
          <cell r="D576">
            <v>376</v>
          </cell>
        </row>
        <row r="577">
          <cell r="A577" t="str">
            <v>73-14951</v>
          </cell>
          <cell r="B577" t="str">
            <v>FLASHER ASSY,NN GATE  (5921-504)</v>
          </cell>
          <cell r="C577" t="str">
            <v>B</v>
          </cell>
          <cell r="D577">
            <v>353</v>
          </cell>
        </row>
        <row r="578">
          <cell r="A578" t="str">
            <v>73-14960</v>
          </cell>
          <cell r="B578" t="str">
            <v>PLUNGER LIMIT SWITCH  (5907*211B)</v>
          </cell>
          <cell r="C578" t="str">
            <v>C</v>
          </cell>
          <cell r="D578">
            <v>1195</v>
          </cell>
        </row>
        <row r="579">
          <cell r="A579" t="str">
            <v>73-14965</v>
          </cell>
          <cell r="B579" t="str">
            <v>PLUNGER LIMIT SWITCH  (5907*212B)</v>
          </cell>
          <cell r="C579" t="str">
            <v>C</v>
          </cell>
          <cell r="D579">
            <v>1194</v>
          </cell>
        </row>
        <row r="580">
          <cell r="A580" t="str">
            <v>73-14967</v>
          </cell>
          <cell r="B580" t="str">
            <v>PLUNGER LIMIT SWITCH  (5907*213B)</v>
          </cell>
          <cell r="C580" t="str">
            <v>C</v>
          </cell>
          <cell r="D580">
            <v>1195</v>
          </cell>
        </row>
        <row r="581">
          <cell r="A581" t="str">
            <v>73-14969</v>
          </cell>
          <cell r="B581" t="str">
            <v>PLUNGER LIMIT SWITCH  (5907*214B)</v>
          </cell>
          <cell r="C581" t="str">
            <v>C</v>
          </cell>
          <cell r="D581">
            <v>1622</v>
          </cell>
        </row>
        <row r="582">
          <cell r="A582" t="str">
            <v>73-14972</v>
          </cell>
          <cell r="B582" t="str">
            <v>PLUNGER LIMIT SWITCH  (5907*215B)</v>
          </cell>
          <cell r="C582" t="str">
            <v>C</v>
          </cell>
          <cell r="D582">
            <v>1622</v>
          </cell>
        </row>
        <row r="583">
          <cell r="A583" t="str">
            <v>73-14974</v>
          </cell>
          <cell r="B583" t="str">
            <v>PLUNGER LIMIT SWITCH  (5907*216B)</v>
          </cell>
          <cell r="C583" t="str">
            <v>C</v>
          </cell>
          <cell r="D583">
            <v>1622</v>
          </cell>
        </row>
        <row r="584">
          <cell r="A584" t="str">
            <v>80-19002</v>
          </cell>
          <cell r="B584" t="str">
            <v>TICKET,SST AUTOREAD .25 INCHES</v>
          </cell>
          <cell r="C584" t="str">
            <v>A</v>
          </cell>
          <cell r="D584">
            <v>42</v>
          </cell>
        </row>
        <row r="585">
          <cell r="A585" t="str">
            <v>80-19159</v>
          </cell>
          <cell r="B585" t="str">
            <v>MOTOR,PARKING UNIT</v>
          </cell>
          <cell r="C585" t="str">
            <v>A</v>
          </cell>
          <cell r="D585">
            <v>350</v>
          </cell>
        </row>
        <row r="586">
          <cell r="A586" t="str">
            <v>80-19210</v>
          </cell>
          <cell r="B586" t="str">
            <v>SST,EXIT VERIFIER TICKET BIN</v>
          </cell>
          <cell r="C586" t="str">
            <v>A</v>
          </cell>
          <cell r="D586">
            <v>238</v>
          </cell>
        </row>
        <row r="587">
          <cell r="A587" t="str">
            <v>80-19222</v>
          </cell>
          <cell r="B587" t="str">
            <v>SST,TICKET VALIDATOR TRAY/VAULT</v>
          </cell>
          <cell r="C587" t="str">
            <v>A</v>
          </cell>
          <cell r="D587">
            <v>906</v>
          </cell>
        </row>
        <row r="588">
          <cell r="A588" t="str">
            <v>80-19515</v>
          </cell>
          <cell r="B588" t="str">
            <v>LABEL,SST CREDIT CARD TS PICTO W/INT</v>
          </cell>
          <cell r="C588" t="str">
            <v>A</v>
          </cell>
          <cell r="D588">
            <v>0</v>
          </cell>
        </row>
        <row r="589">
          <cell r="A589" t="str">
            <v>80-19516</v>
          </cell>
          <cell r="B589" t="str">
            <v>LABEL,SST CREDIT CARD TS PICTO W/O INT</v>
          </cell>
          <cell r="C589" t="str">
            <v>A</v>
          </cell>
          <cell r="D589">
            <v>0</v>
          </cell>
        </row>
        <row r="590">
          <cell r="A590" t="str">
            <v>80-19517</v>
          </cell>
          <cell r="B590" t="str">
            <v>***REPLACED WITH 80-19716***</v>
          </cell>
          <cell r="C590" t="str">
            <v>A</v>
          </cell>
          <cell r="D590">
            <v>0</v>
          </cell>
        </row>
        <row r="591">
          <cell r="A591" t="str">
            <v>80-19518</v>
          </cell>
          <cell r="B591" t="str">
            <v>LABEL,SST CCEV PICTOGRAPH W/O INTERCOM</v>
          </cell>
          <cell r="C591" t="str">
            <v>A</v>
          </cell>
          <cell r="D591">
            <v>0</v>
          </cell>
        </row>
        <row r="592">
          <cell r="A592" t="str">
            <v>80-19519</v>
          </cell>
          <cell r="B592" t="str">
            <v>LABEL,SST CC TS PICTO W/INTERCOM ON SIDE</v>
          </cell>
          <cell r="C592" t="str">
            <v>A</v>
          </cell>
          <cell r="D592">
            <v>0</v>
          </cell>
        </row>
        <row r="593">
          <cell r="A593" t="str">
            <v>80-19520</v>
          </cell>
          <cell r="B593" t="str">
            <v>LABEL,SST CC TS PICTO W/O INT ON SIDE</v>
          </cell>
          <cell r="C593" t="str">
            <v>A</v>
          </cell>
          <cell r="D593">
            <v>0</v>
          </cell>
        </row>
        <row r="594">
          <cell r="A594" t="str">
            <v>80-19561</v>
          </cell>
          <cell r="B594" t="str">
            <v>LABEL,SST CCEV PICTO W/INTERCOM ON SIDE</v>
          </cell>
          <cell r="C594" t="str">
            <v>A</v>
          </cell>
          <cell r="D594">
            <v>0</v>
          </cell>
        </row>
        <row r="595">
          <cell r="A595" t="str">
            <v>80-19562</v>
          </cell>
          <cell r="B595" t="str">
            <v>LABEL,SST CCEV PICTO W/O INT ON SIDE</v>
          </cell>
          <cell r="C595" t="str">
            <v>A</v>
          </cell>
          <cell r="D595">
            <v>0</v>
          </cell>
        </row>
        <row r="596">
          <cell r="A596" t="str">
            <v>80-19666</v>
          </cell>
          <cell r="B596" t="str">
            <v>THERMAL PRINT HEAD,MITANI</v>
          </cell>
          <cell r="C596" t="str">
            <v>A</v>
          </cell>
          <cell r="D596">
            <v>897</v>
          </cell>
        </row>
        <row r="597">
          <cell r="A597" t="str">
            <v>80-19690</v>
          </cell>
          <cell r="B597" t="str">
            <v>EXTENDED LOWER BELT PULLEY,SST HP-4</v>
          </cell>
          <cell r="C597" t="str">
            <v>A</v>
          </cell>
          <cell r="D597">
            <v>0</v>
          </cell>
        </row>
        <row r="598">
          <cell r="A598" t="str">
            <v>81-12522</v>
          </cell>
          <cell r="B598" t="str">
            <v>SYBASE SQL ANYWHERE</v>
          </cell>
          <cell r="C598" t="str">
            <v>Z</v>
          </cell>
          <cell r="D598">
            <v>319</v>
          </cell>
        </row>
        <row r="599">
          <cell r="A599" t="str">
            <v>81-12531</v>
          </cell>
          <cell r="B599" t="str">
            <v>ScanNet COMPUTER</v>
          </cell>
          <cell r="C599" t="str">
            <v>Z</v>
          </cell>
          <cell r="D599">
            <v>6600</v>
          </cell>
        </row>
        <row r="600">
          <cell r="A600" t="str">
            <v>81-12532</v>
          </cell>
          <cell r="B600" t="str">
            <v>SYBASE SQL ANYWHERE OEM</v>
          </cell>
          <cell r="C600" t="str">
            <v>Z</v>
          </cell>
          <cell r="D600">
            <v>0</v>
          </cell>
        </row>
        <row r="601">
          <cell r="A601" t="str">
            <v>81-12533</v>
          </cell>
          <cell r="B601" t="str">
            <v>CRYSTAL REPORTS PROFESSIONAL 7.0</v>
          </cell>
          <cell r="C601" t="str">
            <v>Z</v>
          </cell>
          <cell r="D601">
            <v>341</v>
          </cell>
        </row>
        <row r="602">
          <cell r="A602" t="str">
            <v>81-12534</v>
          </cell>
          <cell r="B602" t="str">
            <v>ROCKET PORT,8 PORT PCI W/RJ11 CONNECTORS</v>
          </cell>
          <cell r="C602" t="str">
            <v>A</v>
          </cell>
          <cell r="D602">
            <v>0</v>
          </cell>
        </row>
        <row r="603">
          <cell r="A603" t="str">
            <v>81-12535</v>
          </cell>
          <cell r="B603" t="str">
            <v>ROCKET PORT,INTERFACE PCI PANEL</v>
          </cell>
          <cell r="C603" t="str">
            <v>A</v>
          </cell>
          <cell r="D603">
            <v>0</v>
          </cell>
        </row>
        <row r="604">
          <cell r="A604" t="str">
            <v>81-19402</v>
          </cell>
          <cell r="B604" t="str">
            <v>VIDEO,SST PREVENTIVE MAINTENANCE</v>
          </cell>
          <cell r="C604" t="str">
            <v>Z</v>
          </cell>
          <cell r="D604">
            <v>37</v>
          </cell>
        </row>
        <row r="605">
          <cell r="A605" t="str">
            <v>81-19414</v>
          </cell>
          <cell r="B605" t="str">
            <v>CARD,10 PT POLYESTER BLANK VALUECARD</v>
          </cell>
          <cell r="C605" t="str">
            <v>A</v>
          </cell>
          <cell r="D605">
            <v>0</v>
          </cell>
        </row>
        <row r="606">
          <cell r="A606" t="str">
            <v>81-19726</v>
          </cell>
          <cell r="B606" t="str">
            <v>ROYAL MARK RED INKING FLUID</v>
          </cell>
          <cell r="C606" t="str">
            <v>A</v>
          </cell>
          <cell r="D606">
            <v>10</v>
          </cell>
        </row>
        <row r="607">
          <cell r="A607" t="str">
            <v>87-19021</v>
          </cell>
          <cell r="B607" t="str">
            <v>SST,TRANSPORT ASSY</v>
          </cell>
          <cell r="C607" t="str">
            <v>A</v>
          </cell>
          <cell r="D607">
            <v>7681</v>
          </cell>
        </row>
        <row r="608">
          <cell r="A608" t="str">
            <v>87-19169</v>
          </cell>
          <cell r="B608" t="str">
            <v>PC BOARD ASSY,SST CPU</v>
          </cell>
          <cell r="C608" t="str">
            <v>A</v>
          </cell>
          <cell r="D608">
            <v>1370</v>
          </cell>
        </row>
        <row r="609">
          <cell r="A609" t="str">
            <v>87-19172</v>
          </cell>
          <cell r="B609" t="str">
            <v>SST VALIDATOR ASSY,AUDITOR POWERPAD</v>
          </cell>
          <cell r="C609" t="str">
            <v>A</v>
          </cell>
          <cell r="D609">
            <v>10194</v>
          </cell>
        </row>
        <row r="610">
          <cell r="A610" t="str">
            <v>87-19174</v>
          </cell>
          <cell r="B610" t="str">
            <v>TICKET SPITTER,MG 1000 SST</v>
          </cell>
          <cell r="C610" t="str">
            <v>A</v>
          </cell>
          <cell r="D610">
            <v>16802</v>
          </cell>
        </row>
        <row r="611">
          <cell r="A611" t="str">
            <v>87-19212</v>
          </cell>
          <cell r="B611" t="str">
            <v>EXIT VERIFIER,ML 3000 SST</v>
          </cell>
          <cell r="C611" t="str">
            <v>A</v>
          </cell>
          <cell r="D611">
            <v>14562</v>
          </cell>
        </row>
        <row r="612">
          <cell r="A612" t="str">
            <v>87-19213</v>
          </cell>
          <cell r="B612" t="str">
            <v>SST,TICKET SPITTER MONTHLY ACCESS OPTION</v>
          </cell>
          <cell r="C612" t="str">
            <v>A</v>
          </cell>
          <cell r="D612">
            <v>1209</v>
          </cell>
        </row>
        <row r="613">
          <cell r="A613" t="str">
            <v>87-19214</v>
          </cell>
          <cell r="B613" t="str">
            <v>SST,TICKET RETRACT OPTION</v>
          </cell>
          <cell r="C613" t="str">
            <v>A</v>
          </cell>
          <cell r="D613">
            <v>567</v>
          </cell>
        </row>
        <row r="614">
          <cell r="A614" t="str">
            <v>87-19215</v>
          </cell>
          <cell r="B614" t="str">
            <v>SST,INTERCOM OPTION</v>
          </cell>
          <cell r="C614" t="str">
            <v>A</v>
          </cell>
          <cell r="D614">
            <v>341</v>
          </cell>
        </row>
        <row r="615">
          <cell r="A615" t="str">
            <v>87-19216</v>
          </cell>
          <cell r="B615" t="str">
            <v>SST,COMMUNICATION OPTION ONLY</v>
          </cell>
          <cell r="C615" t="str">
            <v>A</v>
          </cell>
          <cell r="D615">
            <v>567</v>
          </cell>
        </row>
        <row r="616">
          <cell r="A616" t="str">
            <v>87-19217</v>
          </cell>
          <cell r="B616" t="str">
            <v>SST,TKT TRACK BACK-OUT TICKET ID OPTION</v>
          </cell>
          <cell r="C616" t="str">
            <v>A</v>
          </cell>
          <cell r="D616">
            <v>454</v>
          </cell>
        </row>
        <row r="617">
          <cell r="A617" t="str">
            <v>87-19218</v>
          </cell>
          <cell r="B617" t="str">
            <v>SST,TWO LOOP DETECTOR OPTION</v>
          </cell>
          <cell r="C617" t="str">
            <v>A</v>
          </cell>
          <cell r="D617">
            <v>454</v>
          </cell>
        </row>
        <row r="618">
          <cell r="A618" t="str">
            <v>87-19219</v>
          </cell>
          <cell r="B618" t="str">
            <v>SST,THIRD LOOP DETECTOR OPTION</v>
          </cell>
          <cell r="C618" t="str">
            <v>A</v>
          </cell>
          <cell r="D618">
            <v>228</v>
          </cell>
        </row>
        <row r="619">
          <cell r="A619" t="str">
            <v>87-19228</v>
          </cell>
          <cell r="B619" t="str">
            <v>CONFIG MODULE,SST TICKET SPITTER/E.V.</v>
          </cell>
          <cell r="C619" t="str">
            <v>A</v>
          </cell>
          <cell r="D619">
            <v>125</v>
          </cell>
        </row>
        <row r="620">
          <cell r="A620" t="str">
            <v>87-19244</v>
          </cell>
          <cell r="B620" t="str">
            <v>OUTPUT,SST VEND</v>
          </cell>
          <cell r="C620" t="str">
            <v>A</v>
          </cell>
          <cell r="D620">
            <v>69</v>
          </cell>
        </row>
        <row r="621">
          <cell r="A621" t="str">
            <v>87-19245</v>
          </cell>
          <cell r="B621" t="str">
            <v>OUTPUT,SST TICKET IN THROAT</v>
          </cell>
          <cell r="C621" t="str">
            <v>A</v>
          </cell>
          <cell r="D621">
            <v>69</v>
          </cell>
        </row>
        <row r="622">
          <cell r="A622" t="str">
            <v>87-19246</v>
          </cell>
          <cell r="B622" t="str">
            <v>OUTPUT,SST BAD TICKET PULSE</v>
          </cell>
          <cell r="C622" t="str">
            <v>A</v>
          </cell>
          <cell r="D622">
            <v>69</v>
          </cell>
        </row>
        <row r="623">
          <cell r="A623" t="str">
            <v>87-19247</v>
          </cell>
          <cell r="B623" t="str">
            <v>INPUT,SST DEVICE ENABLE</v>
          </cell>
          <cell r="C623" t="str">
            <v>A</v>
          </cell>
          <cell r="D623">
            <v>69</v>
          </cell>
        </row>
        <row r="624">
          <cell r="A624" t="str">
            <v>87-19248</v>
          </cell>
          <cell r="B624" t="str">
            <v>INPUT,SST ISSUE TICKET FEE #1</v>
          </cell>
          <cell r="C624" t="str">
            <v>A</v>
          </cell>
          <cell r="D624">
            <v>69</v>
          </cell>
        </row>
        <row r="625">
          <cell r="A625" t="str">
            <v>87-19253</v>
          </cell>
          <cell r="B625" t="str">
            <v>SST,PUSH BUTTON OPTION</v>
          </cell>
          <cell r="C625" t="str">
            <v>A</v>
          </cell>
          <cell r="D625">
            <v>138</v>
          </cell>
        </row>
        <row r="626">
          <cell r="A626" t="str">
            <v>87-19254</v>
          </cell>
          <cell r="B626" t="str">
            <v>TICKET SPITTER,MG 1000 SST 220 VOLT</v>
          </cell>
          <cell r="C626" t="str">
            <v>A</v>
          </cell>
          <cell r="D626">
            <v>16802</v>
          </cell>
        </row>
        <row r="627">
          <cell r="A627" t="str">
            <v>87-19255</v>
          </cell>
          <cell r="B627" t="str">
            <v>EXIT VERIFIER,ML 3000 SST 220 VOLT</v>
          </cell>
          <cell r="C627" t="str">
            <v>A</v>
          </cell>
          <cell r="D627">
            <v>14562</v>
          </cell>
        </row>
        <row r="628">
          <cell r="A628" t="str">
            <v>87-19264</v>
          </cell>
          <cell r="B628" t="str">
            <v>SST,SINGLE DIFFERENTIAL COUNTER OPTION</v>
          </cell>
          <cell r="C628" t="str">
            <v>A</v>
          </cell>
          <cell r="D628">
            <v>876</v>
          </cell>
        </row>
        <row r="629">
          <cell r="A629" t="str">
            <v>87-19265</v>
          </cell>
          <cell r="B629" t="str">
            <v>SST,DUAL DIFFERENTIAL COUNTER OPTION</v>
          </cell>
          <cell r="C629" t="str">
            <v>A</v>
          </cell>
          <cell r="D629">
            <v>1865</v>
          </cell>
        </row>
        <row r="630">
          <cell r="A630" t="str">
            <v>87-19266</v>
          </cell>
          <cell r="B630" t="str">
            <v>SST,DUAL DIRECTION OPERATION OPTION</v>
          </cell>
          <cell r="C630" t="str">
            <v>A</v>
          </cell>
          <cell r="D630">
            <v>228</v>
          </cell>
        </row>
        <row r="631">
          <cell r="A631" t="str">
            <v>87-19267</v>
          </cell>
          <cell r="B631" t="str">
            <v>SST,DUAL DIRECTION COMMUNICATION OPTION</v>
          </cell>
          <cell r="C631" t="str">
            <v>A</v>
          </cell>
          <cell r="D631">
            <v>510</v>
          </cell>
        </row>
        <row r="632">
          <cell r="A632" t="str">
            <v>87-19268</v>
          </cell>
          <cell r="B632" t="str">
            <v>OUTPUT,SST LOW TICKET</v>
          </cell>
          <cell r="C632" t="str">
            <v>A</v>
          </cell>
          <cell r="D632">
            <v>69</v>
          </cell>
        </row>
        <row r="633">
          <cell r="A633" t="str">
            <v>87-19269</v>
          </cell>
          <cell r="B633" t="str">
            <v>DISPLAY ASSY,LCD</v>
          </cell>
          <cell r="C633" t="str">
            <v>A</v>
          </cell>
          <cell r="D633">
            <v>467</v>
          </cell>
        </row>
        <row r="634">
          <cell r="A634" t="str">
            <v>87-19283</v>
          </cell>
          <cell r="B634" t="str">
            <v>UPGRADE,POWERPAD SST AUTOREAD</v>
          </cell>
          <cell r="C634" t="str">
            <v>A</v>
          </cell>
          <cell r="D634">
            <v>11654</v>
          </cell>
        </row>
        <row r="635">
          <cell r="A635" t="str">
            <v>87-19297</v>
          </cell>
          <cell r="B635" t="str">
            <v>SST PARKING UNIT ASSEMBLY</v>
          </cell>
          <cell r="C635" t="str">
            <v>A</v>
          </cell>
          <cell r="D635">
            <v>748</v>
          </cell>
        </row>
        <row r="636">
          <cell r="A636" t="str">
            <v>87-19367</v>
          </cell>
          <cell r="B636" t="str">
            <v>SST,TICKET SPITTER VALUECARD OPTION</v>
          </cell>
          <cell r="C636" t="str">
            <v>A</v>
          </cell>
          <cell r="D636">
            <v>2197</v>
          </cell>
        </row>
        <row r="637">
          <cell r="A637" t="str">
            <v>87-19376</v>
          </cell>
          <cell r="B637" t="str">
            <v>SST HEATER ASSY,220 VOLT</v>
          </cell>
          <cell r="C637" t="str">
            <v>A</v>
          </cell>
          <cell r="D637">
            <v>491</v>
          </cell>
        </row>
        <row r="638">
          <cell r="A638" t="str">
            <v>87-19378</v>
          </cell>
          <cell r="B638" t="str">
            <v>SST,EXIT VERIFIER MONTHLY OPTION</v>
          </cell>
          <cell r="C638" t="str">
            <v>A</v>
          </cell>
          <cell r="D638">
            <v>1209</v>
          </cell>
        </row>
        <row r="639">
          <cell r="A639" t="str">
            <v>87-19379</v>
          </cell>
          <cell r="B639" t="str">
            <v>SST,EXIT VERIFIER VALUECARD OPTION</v>
          </cell>
          <cell r="C639" t="str">
            <v>A</v>
          </cell>
          <cell r="D639">
            <v>2197</v>
          </cell>
        </row>
        <row r="640">
          <cell r="A640" t="str">
            <v>87-19400</v>
          </cell>
          <cell r="B640" t="str">
            <v>MAINTENANCE KIT,SST</v>
          </cell>
          <cell r="C640" t="str">
            <v>A</v>
          </cell>
          <cell r="D640">
            <v>1517</v>
          </cell>
        </row>
        <row r="641">
          <cell r="A641" t="str">
            <v>87-19440</v>
          </cell>
          <cell r="B641" t="str">
            <v>UPGRADE,SST TICKET SPITTER VALUECARD KIT</v>
          </cell>
          <cell r="C641" t="str">
            <v>A</v>
          </cell>
          <cell r="D641">
            <v>2440</v>
          </cell>
        </row>
        <row r="642">
          <cell r="A642" t="str">
            <v>87-19441</v>
          </cell>
          <cell r="B642" t="str">
            <v>UPGRADE,SST TICKET SPITTER MONTHLY KIT</v>
          </cell>
          <cell r="C642" t="str">
            <v>A</v>
          </cell>
          <cell r="D642">
            <v>1442</v>
          </cell>
        </row>
        <row r="643">
          <cell r="A643" t="str">
            <v>87-19442</v>
          </cell>
          <cell r="B643" t="str">
            <v>UPGRADE,SST EXIT VERIFIER VALUECARD KIT</v>
          </cell>
          <cell r="C643" t="str">
            <v>A</v>
          </cell>
          <cell r="D643">
            <v>2440</v>
          </cell>
        </row>
        <row r="644">
          <cell r="A644" t="str">
            <v>87-19443</v>
          </cell>
          <cell r="B644" t="str">
            <v>UPGRADE,SST EXIT VERIFIER MONTHLY KIT</v>
          </cell>
          <cell r="C644" t="str">
            <v>A</v>
          </cell>
          <cell r="D644">
            <v>1442</v>
          </cell>
        </row>
        <row r="645">
          <cell r="A645" t="str">
            <v>87-19444</v>
          </cell>
          <cell r="B645" t="str">
            <v>UPGRADE,SST T.S. VALUECARD W/P.B. KIT</v>
          </cell>
          <cell r="C645" t="str">
            <v>A</v>
          </cell>
          <cell r="D645">
            <v>2661</v>
          </cell>
        </row>
        <row r="646">
          <cell r="A646" t="str">
            <v>87-19445</v>
          </cell>
          <cell r="B646" t="str">
            <v>UPGRADE,SST T.S. MONTHLY W/P.B. KIT</v>
          </cell>
          <cell r="C646" t="str">
            <v>A</v>
          </cell>
          <cell r="D646">
            <v>1664</v>
          </cell>
        </row>
        <row r="647">
          <cell r="A647" t="str">
            <v>87-19446</v>
          </cell>
          <cell r="B647" t="str">
            <v>CONTROLLER,SST VALUECARD</v>
          </cell>
          <cell r="C647" t="str">
            <v>A</v>
          </cell>
          <cell r="D647">
            <v>1132</v>
          </cell>
        </row>
        <row r="648">
          <cell r="A648" t="str">
            <v>87-19458</v>
          </cell>
          <cell r="B648" t="str">
            <v>SST,TRANSPORT BENT LEVER ASSY</v>
          </cell>
          <cell r="C648" t="str">
            <v>A</v>
          </cell>
          <cell r="D648">
            <v>86</v>
          </cell>
        </row>
        <row r="649">
          <cell r="A649" t="str">
            <v>87-19469</v>
          </cell>
          <cell r="B649" t="str">
            <v>SST BURSTER ASSY,OPTION</v>
          </cell>
          <cell r="C649" t="str">
            <v>A</v>
          </cell>
          <cell r="D649">
            <v>2949</v>
          </cell>
        </row>
        <row r="650">
          <cell r="A650" t="str">
            <v>87-19470</v>
          </cell>
          <cell r="B650" t="str">
            <v>SST PARKING UNIT ASSY,OPTION</v>
          </cell>
          <cell r="C650" t="str">
            <v>A</v>
          </cell>
          <cell r="D650">
            <v>754</v>
          </cell>
        </row>
        <row r="651">
          <cell r="A651" t="str">
            <v>87-19474</v>
          </cell>
          <cell r="B651" t="str">
            <v>EXIT VERIFIER,CREDIT CARD SST</v>
          </cell>
          <cell r="C651" t="str">
            <v>A</v>
          </cell>
          <cell r="D651">
            <v>38007</v>
          </cell>
        </row>
        <row r="652">
          <cell r="A652" t="str">
            <v>87-19480</v>
          </cell>
          <cell r="B652" t="str">
            <v>EXIT VERIFIER,CREDIT CARD SST 220 VOLT</v>
          </cell>
          <cell r="C652" t="str">
            <v>A</v>
          </cell>
          <cell r="D652">
            <v>38007</v>
          </cell>
        </row>
        <row r="653">
          <cell r="A653" t="str">
            <v>87-19491</v>
          </cell>
          <cell r="B653" t="str">
            <v>SST,TICKET SPITTER CREDIT CARD OPTION</v>
          </cell>
          <cell r="C653" t="str">
            <v>A</v>
          </cell>
          <cell r="D653">
            <v>640</v>
          </cell>
        </row>
        <row r="654">
          <cell r="A654" t="str">
            <v>87-19492</v>
          </cell>
          <cell r="B654" t="str">
            <v>SST,CROSS OVER OPTION</v>
          </cell>
          <cell r="C654" t="str">
            <v>A</v>
          </cell>
          <cell r="D654">
            <v>1248</v>
          </cell>
        </row>
        <row r="655">
          <cell r="A655" t="str">
            <v>87-19511</v>
          </cell>
          <cell r="B655" t="str">
            <v>SST,INTERCOM OPTION CCEV</v>
          </cell>
          <cell r="C655" t="str">
            <v>A</v>
          </cell>
          <cell r="D655">
            <v>330</v>
          </cell>
        </row>
        <row r="656">
          <cell r="A656" t="str">
            <v>87-19522</v>
          </cell>
          <cell r="B656" t="str">
            <v>SST HOLE PUNCH VALIDATION UNIT</v>
          </cell>
          <cell r="C656" t="str">
            <v>A</v>
          </cell>
          <cell r="D656">
            <v>1479</v>
          </cell>
        </row>
        <row r="657">
          <cell r="A657" t="str">
            <v>87-19524</v>
          </cell>
          <cell r="B657" t="str">
            <v>SST,CREDIT CARD EV CREDIT IN/OUT OPTION</v>
          </cell>
          <cell r="C657" t="str">
            <v>A</v>
          </cell>
          <cell r="D657">
            <v>0</v>
          </cell>
        </row>
        <row r="658">
          <cell r="A658" t="str">
            <v>87-19525</v>
          </cell>
          <cell r="B658" t="str">
            <v>PC BOARD ASSY,SST TRANS. P01 &amp; P02 KIT</v>
          </cell>
          <cell r="C658" t="str">
            <v>A</v>
          </cell>
          <cell r="D658">
            <v>150</v>
          </cell>
        </row>
        <row r="659">
          <cell r="A659" t="str">
            <v>87-19556</v>
          </cell>
          <cell r="B659" t="str">
            <v>SST,SINGLE INFEED BURSTER ASSY</v>
          </cell>
          <cell r="C659" t="str">
            <v>A</v>
          </cell>
          <cell r="D659">
            <v>2453</v>
          </cell>
        </row>
        <row r="660">
          <cell r="A660" t="str">
            <v>87-19557</v>
          </cell>
          <cell r="B660" t="str">
            <v>PC BOARD ASSY,SST SINGLE BURSTER KIT</v>
          </cell>
          <cell r="C660" t="str">
            <v>A</v>
          </cell>
          <cell r="D660">
            <v>0</v>
          </cell>
        </row>
        <row r="661">
          <cell r="A661" t="str">
            <v>87-19558</v>
          </cell>
          <cell r="B661" t="str">
            <v>SST,T.S. DUAL INFEED BURSTER OPTION</v>
          </cell>
          <cell r="C661" t="str">
            <v>A</v>
          </cell>
          <cell r="D661">
            <v>0</v>
          </cell>
        </row>
        <row r="662">
          <cell r="A662" t="str">
            <v>87-19560</v>
          </cell>
          <cell r="B662" t="str">
            <v>PC BOARD ASSY,SST SINGLE INFEED BURSTER</v>
          </cell>
          <cell r="C662" t="str">
            <v>A</v>
          </cell>
          <cell r="D662">
            <v>0</v>
          </cell>
        </row>
        <row r="663">
          <cell r="A663" t="str">
            <v>87-19567</v>
          </cell>
          <cell r="B663" t="str">
            <v>SST,TRANSPORT ASSY HP-1</v>
          </cell>
          <cell r="C663" t="str">
            <v>A</v>
          </cell>
          <cell r="D663">
            <v>7681</v>
          </cell>
        </row>
        <row r="664">
          <cell r="A664" t="str">
            <v>87-19568</v>
          </cell>
          <cell r="B664" t="str">
            <v>CABLE ASSY,HP-1 SST PRINTHEAD T.S.</v>
          </cell>
          <cell r="C664" t="str">
            <v>A</v>
          </cell>
          <cell r="D664">
            <v>0</v>
          </cell>
        </row>
        <row r="665">
          <cell r="A665" t="str">
            <v>87-19569</v>
          </cell>
          <cell r="B665" t="str">
            <v>CABLE ASSY,J2 TO J4 SST RIBBON</v>
          </cell>
          <cell r="C665" t="str">
            <v>A</v>
          </cell>
          <cell r="D665">
            <v>0</v>
          </cell>
        </row>
        <row r="666">
          <cell r="A666" t="str">
            <v>87-19570</v>
          </cell>
          <cell r="B666" t="str">
            <v>CABLE ASSY,J3 TO J5 SST RIBBON</v>
          </cell>
          <cell r="C666" t="str">
            <v>A</v>
          </cell>
          <cell r="D666">
            <v>0</v>
          </cell>
        </row>
        <row r="667">
          <cell r="A667" t="str">
            <v>87-19574</v>
          </cell>
          <cell r="B667" t="str">
            <v>SST,CPU UPDATE KIT</v>
          </cell>
          <cell r="C667" t="str">
            <v>A</v>
          </cell>
          <cell r="D667">
            <v>55</v>
          </cell>
        </row>
        <row r="668">
          <cell r="A668" t="str">
            <v>87-19577</v>
          </cell>
          <cell r="B668" t="str">
            <v>CABLE ASSY,HP-1 SST PRINTHEAD VAL.</v>
          </cell>
          <cell r="C668" t="str">
            <v>A</v>
          </cell>
          <cell r="D668">
            <v>0</v>
          </cell>
        </row>
        <row r="669">
          <cell r="A669" t="str">
            <v>87-19610</v>
          </cell>
          <cell r="B669" t="str">
            <v>INPUT,SST ISSUE TICKET FEE #2</v>
          </cell>
          <cell r="C669" t="str">
            <v>A</v>
          </cell>
          <cell r="D669">
            <v>69</v>
          </cell>
        </row>
        <row r="670">
          <cell r="A670" t="str">
            <v>87-19622</v>
          </cell>
          <cell r="B670" t="str">
            <v>SST,CREDIT CARD INTERCOM OPTION</v>
          </cell>
          <cell r="C670" t="str">
            <v>A</v>
          </cell>
          <cell r="D670">
            <v>55</v>
          </cell>
        </row>
        <row r="671">
          <cell r="A671" t="str">
            <v>87-19623</v>
          </cell>
          <cell r="B671" t="str">
            <v>PC ASSY,G-90 CD CONNECTIONS PANEL SST</v>
          </cell>
          <cell r="C671" t="str">
            <v>A</v>
          </cell>
          <cell r="D671">
            <v>0</v>
          </cell>
        </row>
        <row r="672">
          <cell r="A672" t="str">
            <v>87-19678</v>
          </cell>
          <cell r="B672" t="str">
            <v>CONFIG MODULE,CD SST TICKET SPITTER/E.V.</v>
          </cell>
          <cell r="C672" t="str">
            <v>A</v>
          </cell>
          <cell r="D672">
            <v>125</v>
          </cell>
        </row>
        <row r="673">
          <cell r="A673" t="str">
            <v>87-19709</v>
          </cell>
          <cell r="B673" t="str">
            <v>UPDATE,DUAL TO SING INFEED S.L. BURSTER</v>
          </cell>
          <cell r="C673" t="str">
            <v>A</v>
          </cell>
          <cell r="D673">
            <v>0</v>
          </cell>
        </row>
        <row r="674">
          <cell r="A674" t="str">
            <v>87-19710</v>
          </cell>
          <cell r="B674" t="str">
            <v>CE OPTION,SST TICKET SPITTER</v>
          </cell>
          <cell r="C674" t="str">
            <v>A</v>
          </cell>
          <cell r="D674">
            <v>0</v>
          </cell>
        </row>
        <row r="675">
          <cell r="A675" t="str">
            <v>87-19711</v>
          </cell>
          <cell r="B675" t="str">
            <v>AUTOMATIC CASHIER TERMINAL</v>
          </cell>
          <cell r="C675" t="str">
            <v>A</v>
          </cell>
          <cell r="D675">
            <v>26499</v>
          </cell>
        </row>
        <row r="676">
          <cell r="A676" t="str">
            <v>87-19715</v>
          </cell>
          <cell r="B676" t="str">
            <v>SST,TRANSPORT HP-4 OPTION</v>
          </cell>
          <cell r="C676" t="str">
            <v>A</v>
          </cell>
          <cell r="D676">
            <v>1456</v>
          </cell>
        </row>
        <row r="677">
          <cell r="A677" t="str">
            <v>87-19717</v>
          </cell>
          <cell r="B677" t="str">
            <v>CE OPTION,SST EXIT VERIFIER</v>
          </cell>
          <cell r="C677" t="str">
            <v>A</v>
          </cell>
          <cell r="D677">
            <v>0</v>
          </cell>
        </row>
        <row r="678">
          <cell r="A678" t="str">
            <v>87-19719</v>
          </cell>
          <cell r="B678" t="str">
            <v>SST,HP-4 VALIDATOR UPDATE KIT</v>
          </cell>
          <cell r="C678" t="str">
            <v>A</v>
          </cell>
          <cell r="D678">
            <v>188</v>
          </cell>
        </row>
        <row r="679">
          <cell r="A679" t="str">
            <v>87-19720</v>
          </cell>
          <cell r="B679" t="str">
            <v>SST,HP-4 TS/EV UPDATE KIT</v>
          </cell>
          <cell r="C679" t="str">
            <v>A</v>
          </cell>
          <cell r="D679">
            <v>208</v>
          </cell>
        </row>
        <row r="680">
          <cell r="A680" t="str">
            <v>87-8986</v>
          </cell>
          <cell r="B680" t="str">
            <v>PC BOARD ASSY,AUTOMATIC PAY STATION I/O</v>
          </cell>
          <cell r="C680" t="str">
            <v>A</v>
          </cell>
          <cell r="D680">
            <v>1634</v>
          </cell>
        </row>
        <row r="681">
          <cell r="A681" t="str">
            <v>88-10243</v>
          </cell>
          <cell r="B681" t="str">
            <v>PORT CONTROLLER,SCAN Net</v>
          </cell>
          <cell r="C681" t="str">
            <v>A</v>
          </cell>
          <cell r="D681">
            <v>2851</v>
          </cell>
        </row>
        <row r="682">
          <cell r="A682" t="str">
            <v>88-12000</v>
          </cell>
          <cell r="B682" t="str">
            <v>SOFTWARE,SCAN PARKING</v>
          </cell>
          <cell r="C682" t="str">
            <v>A</v>
          </cell>
          <cell r="D682">
            <v>6091</v>
          </cell>
        </row>
        <row r="683">
          <cell r="A683" t="str">
            <v>88-12001</v>
          </cell>
          <cell r="B683" t="str">
            <v>SOFTWARE,SCAN ACCESS</v>
          </cell>
          <cell r="C683" t="str">
            <v>A</v>
          </cell>
          <cell r="D683">
            <v>6091</v>
          </cell>
        </row>
        <row r="684">
          <cell r="A684" t="str">
            <v>88-12002</v>
          </cell>
          <cell r="B684" t="str">
            <v>SOFTWARE,SCAN REVENUE</v>
          </cell>
          <cell r="C684" t="str">
            <v>A</v>
          </cell>
          <cell r="D684">
            <v>6091</v>
          </cell>
        </row>
        <row r="685">
          <cell r="A685" t="str">
            <v>88-12003</v>
          </cell>
          <cell r="B685" t="str">
            <v>SOFTWARE,SCAN COUNT CONTROL</v>
          </cell>
          <cell r="C685" t="str">
            <v>A</v>
          </cell>
          <cell r="D685">
            <v>610</v>
          </cell>
        </row>
        <row r="686">
          <cell r="A686" t="str">
            <v>88-12004</v>
          </cell>
          <cell r="B686" t="str">
            <v>SOFTWARE,SCAN AREA COUNTING</v>
          </cell>
          <cell r="C686" t="str">
            <v>A</v>
          </cell>
          <cell r="D686">
            <v>610</v>
          </cell>
        </row>
        <row r="687">
          <cell r="A687" t="str">
            <v>88-12005</v>
          </cell>
          <cell r="B687" t="str">
            <v>SOFTWARE,SCAN COUNT DATA MANAGER</v>
          </cell>
          <cell r="C687" t="str">
            <v>A</v>
          </cell>
          <cell r="D687">
            <v>2437</v>
          </cell>
        </row>
        <row r="688">
          <cell r="A688" t="str">
            <v>88-12006</v>
          </cell>
          <cell r="B688" t="str">
            <v>SOFTWARE,SCAN CARD LOG DATA MANAGER</v>
          </cell>
          <cell r="C688" t="str">
            <v>A</v>
          </cell>
          <cell r="D688">
            <v>2437</v>
          </cell>
        </row>
        <row r="689">
          <cell r="A689" t="str">
            <v>88-12007</v>
          </cell>
          <cell r="B689" t="str">
            <v>SOFTWARE,SCAN PEAK COUNT DATA MANAGER</v>
          </cell>
          <cell r="C689" t="str">
            <v>A</v>
          </cell>
          <cell r="D689">
            <v>2437</v>
          </cell>
        </row>
        <row r="690">
          <cell r="A690" t="str">
            <v>88-12008</v>
          </cell>
          <cell r="B690" t="str">
            <v>SOFTWARE,SCAN REVENUE DATA MANAGER</v>
          </cell>
          <cell r="C690" t="str">
            <v>A</v>
          </cell>
          <cell r="D690">
            <v>2437</v>
          </cell>
        </row>
        <row r="691">
          <cell r="A691" t="str">
            <v>88-12009</v>
          </cell>
          <cell r="B691" t="str">
            <v>SOFTWARE,SCAN REVENUE AUDIT TRANS MGR.</v>
          </cell>
          <cell r="C691" t="str">
            <v>A</v>
          </cell>
          <cell r="D691">
            <v>2437</v>
          </cell>
        </row>
        <row r="692">
          <cell r="A692" t="str">
            <v>88-12025</v>
          </cell>
          <cell r="B692" t="str">
            <v>SOFTWARE,SCAN AUXILIARY COUNT SYSTEM</v>
          </cell>
          <cell r="C692" t="str">
            <v>A</v>
          </cell>
          <cell r="D692">
            <v>2437</v>
          </cell>
        </row>
        <row r="693">
          <cell r="A693" t="str">
            <v>88-12026</v>
          </cell>
          <cell r="B693" t="str">
            <v>SOFTWARE,SCAN ACCESS DURATIONS</v>
          </cell>
          <cell r="C693" t="str">
            <v>A</v>
          </cell>
          <cell r="D693">
            <v>2437</v>
          </cell>
        </row>
        <row r="694">
          <cell r="A694" t="str">
            <v>88-12027</v>
          </cell>
          <cell r="B694" t="str">
            <v>SOFTWARE,SCAN REVENUE TICKET TRACKING SY</v>
          </cell>
          <cell r="C694" t="str">
            <v>A</v>
          </cell>
          <cell r="D694">
            <v>2437</v>
          </cell>
        </row>
        <row r="695">
          <cell r="A695" t="str">
            <v>88-12034</v>
          </cell>
          <cell r="B695" t="str">
            <v>SOFTWARE,SCAN PORT CONT PRIME AREA CONT.</v>
          </cell>
          <cell r="C695" t="str">
            <v>A</v>
          </cell>
          <cell r="D695">
            <v>529</v>
          </cell>
        </row>
        <row r="696">
          <cell r="A696" t="str">
            <v>88-12072</v>
          </cell>
          <cell r="B696" t="str">
            <v>SOFTWARE,SCAN REV. BAR CODE TICKET TRACK</v>
          </cell>
          <cell r="C696" t="str">
            <v>A</v>
          </cell>
          <cell r="D696">
            <v>2437</v>
          </cell>
        </row>
        <row r="697">
          <cell r="A697" t="str">
            <v>88-12126</v>
          </cell>
          <cell r="B697" t="str">
            <v>SOFTWARE,SCAN VALUEPASS</v>
          </cell>
          <cell r="C697" t="str">
            <v>A</v>
          </cell>
          <cell r="D697">
            <v>2957</v>
          </cell>
        </row>
        <row r="698">
          <cell r="A698" t="str">
            <v>88-12127</v>
          </cell>
          <cell r="B698" t="str">
            <v>SOFTWARE,SCAN HOURLY UPDATE</v>
          </cell>
          <cell r="C698" t="str">
            <v>A</v>
          </cell>
          <cell r="D698">
            <v>2437</v>
          </cell>
        </row>
        <row r="699">
          <cell r="A699" t="str">
            <v>88-12129</v>
          </cell>
          <cell r="B699" t="str">
            <v>CARBON COPY PLUS SCAN SOFTWARE</v>
          </cell>
          <cell r="C699" t="str">
            <v>A</v>
          </cell>
          <cell r="D699">
            <v>675</v>
          </cell>
        </row>
        <row r="700">
          <cell r="A700" t="str">
            <v>88-12130</v>
          </cell>
          <cell r="B700" t="str">
            <v>SOFTWARE,SCAN NETWORKING HOST</v>
          </cell>
          <cell r="C700" t="str">
            <v>A</v>
          </cell>
          <cell r="D700">
            <v>2112</v>
          </cell>
        </row>
        <row r="701">
          <cell r="A701" t="str">
            <v>88-12131</v>
          </cell>
          <cell r="B701" t="str">
            <v>SOFTWARE,SCAN NETWORKING ACCESS TERM.</v>
          </cell>
          <cell r="C701" t="str">
            <v>A</v>
          </cell>
          <cell r="D701">
            <v>1479</v>
          </cell>
        </row>
        <row r="702">
          <cell r="A702" t="str">
            <v>88-12132</v>
          </cell>
          <cell r="B702" t="str">
            <v>SOFTWARE,SCAN NETWORKING PARKING TERM.</v>
          </cell>
          <cell r="C702" t="str">
            <v>A</v>
          </cell>
          <cell r="D702">
            <v>1479</v>
          </cell>
        </row>
        <row r="703">
          <cell r="A703" t="str">
            <v>88-12133</v>
          </cell>
          <cell r="B703" t="str">
            <v>SOFTWARE,SCAN NET.COUNT DATA MGR. TERM.</v>
          </cell>
          <cell r="C703" t="str">
            <v>A</v>
          </cell>
          <cell r="D703">
            <v>592</v>
          </cell>
        </row>
        <row r="704">
          <cell r="A704" t="str">
            <v>88-12134</v>
          </cell>
          <cell r="B704" t="str">
            <v>SOFTWARE,SCAN NET. CARD LOG MGR. TERM.</v>
          </cell>
          <cell r="C704" t="str">
            <v>A</v>
          </cell>
          <cell r="D704">
            <v>592</v>
          </cell>
        </row>
        <row r="705">
          <cell r="A705" t="str">
            <v>88-12135</v>
          </cell>
          <cell r="B705" t="str">
            <v>SOFTWARE,SCAN NET. ACCESS DUR. TERM.</v>
          </cell>
          <cell r="C705" t="str">
            <v>A</v>
          </cell>
          <cell r="D705">
            <v>592</v>
          </cell>
        </row>
        <row r="706">
          <cell r="A706" t="str">
            <v>88-12136</v>
          </cell>
          <cell r="B706" t="str">
            <v>SOFTWARE,SCAN NET. PEAK COUNT MGR. TERM.</v>
          </cell>
          <cell r="C706" t="str">
            <v>A</v>
          </cell>
          <cell r="D706">
            <v>592</v>
          </cell>
        </row>
        <row r="707">
          <cell r="A707" t="str">
            <v>88-12137</v>
          </cell>
          <cell r="B707" t="str">
            <v>SOFTWARE,SCAN NET. REV. DATA MGR. TERM.</v>
          </cell>
          <cell r="C707" t="str">
            <v>A</v>
          </cell>
          <cell r="D707">
            <v>592</v>
          </cell>
        </row>
        <row r="708">
          <cell r="A708" t="str">
            <v>88-12138</v>
          </cell>
          <cell r="B708" t="str">
            <v>SOFTWARE,SCAN NET. AUDIT TRAN. MGR. TERM</v>
          </cell>
          <cell r="C708" t="str">
            <v>A</v>
          </cell>
          <cell r="D708">
            <v>592</v>
          </cell>
        </row>
        <row r="709">
          <cell r="A709" t="str">
            <v>88-12139</v>
          </cell>
          <cell r="B709" t="str">
            <v>SOFTWARE,SCAN NET. TICKET TRACK. TERM.</v>
          </cell>
          <cell r="C709" t="str">
            <v>A</v>
          </cell>
          <cell r="D709">
            <v>592</v>
          </cell>
        </row>
        <row r="710">
          <cell r="A710" t="str">
            <v>88-12141</v>
          </cell>
          <cell r="B710" t="str">
            <v>SOFTWARE,SCAN NET. REVENUE TERMINAL</v>
          </cell>
          <cell r="C710" t="str">
            <v>A</v>
          </cell>
          <cell r="D710">
            <v>1479</v>
          </cell>
        </row>
        <row r="711">
          <cell r="A711" t="str">
            <v>88-12142</v>
          </cell>
          <cell r="B711" t="str">
            <v>SOFTWARE,SCAN SPANISH LANGUAGE</v>
          </cell>
          <cell r="C711" t="str">
            <v>A</v>
          </cell>
          <cell r="D711">
            <v>0</v>
          </cell>
        </row>
        <row r="712">
          <cell r="A712" t="str">
            <v>88-12144</v>
          </cell>
          <cell r="B712" t="str">
            <v>PROGRAM UPDATE,SCAN FACILITY MGMT. SYS.</v>
          </cell>
          <cell r="C712" t="str">
            <v>Z</v>
          </cell>
          <cell r="D712">
            <v>630</v>
          </cell>
        </row>
        <row r="713">
          <cell r="A713" t="str">
            <v>88-12149</v>
          </cell>
          <cell r="B713" t="str">
            <v>SOFTWARE,SCAN NET. VALUEPASS TERMINAL</v>
          </cell>
          <cell r="C713" t="str">
            <v>A</v>
          </cell>
          <cell r="D713">
            <v>592</v>
          </cell>
        </row>
        <row r="714">
          <cell r="A714" t="str">
            <v>88-12152</v>
          </cell>
          <cell r="B714" t="str">
            <v>SOFTWARE,SCAN LPI SYSTEM</v>
          </cell>
          <cell r="C714" t="str">
            <v>A</v>
          </cell>
          <cell r="D714">
            <v>5279</v>
          </cell>
        </row>
        <row r="715">
          <cell r="A715" t="str">
            <v>88-12154</v>
          </cell>
          <cell r="B715" t="str">
            <v>PORT CONTROLLER,MINISCAN</v>
          </cell>
          <cell r="C715" t="str">
            <v>A</v>
          </cell>
          <cell r="D715">
            <v>1227</v>
          </cell>
        </row>
        <row r="716">
          <cell r="A716" t="str">
            <v>88-12155</v>
          </cell>
          <cell r="B716" t="str">
            <v>PORT CONTROLLER,SCAN</v>
          </cell>
          <cell r="C716" t="str">
            <v>A</v>
          </cell>
          <cell r="D716">
            <v>1227</v>
          </cell>
        </row>
        <row r="717">
          <cell r="A717" t="str">
            <v>88-12162</v>
          </cell>
          <cell r="B717" t="str">
            <v>SOFTWARE,SCAN MAG STRIPE SST TKT TRACK</v>
          </cell>
          <cell r="C717" t="str">
            <v>A</v>
          </cell>
          <cell r="D717">
            <v>2512</v>
          </cell>
        </row>
        <row r="718">
          <cell r="A718" t="str">
            <v>88-12168</v>
          </cell>
          <cell r="B718" t="str">
            <v>SOFTWARE,SCAN OFFLINE ACCESS</v>
          </cell>
          <cell r="C718" t="str">
            <v>A</v>
          </cell>
          <cell r="D718">
            <v>1219</v>
          </cell>
        </row>
        <row r="719">
          <cell r="A719" t="str">
            <v>88-12169</v>
          </cell>
          <cell r="B719" t="str">
            <v>SOFTWARE,SCAN OFFLINE REV TRANS DATA MGR</v>
          </cell>
          <cell r="C719" t="str">
            <v>A</v>
          </cell>
          <cell r="D719">
            <v>2440</v>
          </cell>
        </row>
        <row r="720">
          <cell r="A720" t="str">
            <v>88-12170</v>
          </cell>
          <cell r="B720" t="str">
            <v>SOFTWARE,SCAN OFFLINE TICKET TRACKING</v>
          </cell>
          <cell r="C720" t="str">
            <v>A</v>
          </cell>
          <cell r="D720">
            <v>2440</v>
          </cell>
        </row>
        <row r="721">
          <cell r="A721" t="str">
            <v>88-12171</v>
          </cell>
          <cell r="B721" t="str">
            <v>SOFTWARE,SCAN OFFLINE CARD LOG</v>
          </cell>
          <cell r="C721" t="str">
            <v>A</v>
          </cell>
          <cell r="D721">
            <v>2440</v>
          </cell>
        </row>
        <row r="722">
          <cell r="A722" t="str">
            <v>88-12172</v>
          </cell>
          <cell r="B722" t="str">
            <v>SOFTWARE,SCAN SST MONTHLY &amp; VALUE CARD</v>
          </cell>
          <cell r="C722" t="str">
            <v>A</v>
          </cell>
          <cell r="D722">
            <v>2437</v>
          </cell>
        </row>
        <row r="723">
          <cell r="A723" t="str">
            <v>88-12173</v>
          </cell>
          <cell r="B723" t="str">
            <v>SOFTWARE,SCAN PORT CONTROLLER SRAP</v>
          </cell>
          <cell r="C723" t="str">
            <v>A</v>
          </cell>
          <cell r="D723">
            <v>3168</v>
          </cell>
        </row>
        <row r="724">
          <cell r="A724" t="str">
            <v>88-12174</v>
          </cell>
          <cell r="B724" t="str">
            <v>SOFTWARE,MINISCAN PORT CONTROLLER MRAP</v>
          </cell>
          <cell r="C724" t="str">
            <v>A</v>
          </cell>
          <cell r="D724">
            <v>3168</v>
          </cell>
        </row>
        <row r="725">
          <cell r="A725" t="str">
            <v>88-12175</v>
          </cell>
          <cell r="B725" t="str">
            <v>SOFTWARE,SCAN OFFLINE PARKING</v>
          </cell>
          <cell r="C725" t="str">
            <v>A</v>
          </cell>
          <cell r="D725">
            <v>1219</v>
          </cell>
        </row>
        <row r="726">
          <cell r="A726" t="str">
            <v>88-12176</v>
          </cell>
          <cell r="B726" t="str">
            <v>SOFTWARE,SCAN OFFLINE REVENUE</v>
          </cell>
          <cell r="C726" t="str">
            <v>A</v>
          </cell>
          <cell r="D726">
            <v>1219</v>
          </cell>
        </row>
        <row r="727">
          <cell r="A727" t="str">
            <v>88-12177</v>
          </cell>
          <cell r="B727" t="str">
            <v>SOFTWARE,SCAN OFFLINE COUNT</v>
          </cell>
          <cell r="C727" t="str">
            <v>A</v>
          </cell>
          <cell r="D727">
            <v>2440</v>
          </cell>
        </row>
        <row r="728">
          <cell r="A728" t="str">
            <v>88-12178</v>
          </cell>
          <cell r="B728" t="str">
            <v>SOFTWARE,SCAN OFFLINE READER PEAK COUNT</v>
          </cell>
          <cell r="C728" t="str">
            <v>A</v>
          </cell>
          <cell r="D728">
            <v>2440</v>
          </cell>
        </row>
        <row r="729">
          <cell r="A729" t="str">
            <v>88-12179</v>
          </cell>
          <cell r="B729" t="str">
            <v>SOFTWARE,SCAN OFFLINE AUDIT TRANSACTION</v>
          </cell>
          <cell r="C729" t="str">
            <v>A</v>
          </cell>
          <cell r="D729">
            <v>2440</v>
          </cell>
        </row>
        <row r="730">
          <cell r="A730" t="str">
            <v>88-12181</v>
          </cell>
          <cell r="B730" t="str">
            <v>SOFTWARE,SCAN CREDIT CARD SST TRACKING</v>
          </cell>
          <cell r="C730" t="str">
            <v>A</v>
          </cell>
          <cell r="D730">
            <v>2512</v>
          </cell>
        </row>
        <row r="731">
          <cell r="A731" t="str">
            <v>88-12183</v>
          </cell>
          <cell r="B731" t="str">
            <v>SOFTWARE,SCAN PP+ 100K ID</v>
          </cell>
          <cell r="C731" t="str">
            <v>A</v>
          </cell>
          <cell r="D731">
            <v>2957</v>
          </cell>
        </row>
        <row r="732">
          <cell r="A732" t="str">
            <v>88-8521</v>
          </cell>
          <cell r="B732" t="str">
            <v>MINISCAN,A 8 DEVICES</v>
          </cell>
          <cell r="C732" t="str">
            <v>A</v>
          </cell>
          <cell r="D732">
            <v>6938</v>
          </cell>
        </row>
        <row r="733">
          <cell r="A733" t="str">
            <v>88-8522</v>
          </cell>
          <cell r="B733" t="str">
            <v>MINISCAN,A 16 DEVICES</v>
          </cell>
          <cell r="C733" t="str">
            <v>A</v>
          </cell>
          <cell r="D733">
            <v>7567</v>
          </cell>
        </row>
        <row r="734">
          <cell r="A734" t="str">
            <v>88-8523</v>
          </cell>
          <cell r="B734" t="str">
            <v>MINISCAN,A 32 DEVICES</v>
          </cell>
          <cell r="C734" t="str">
            <v>A</v>
          </cell>
          <cell r="D734">
            <v>8198</v>
          </cell>
        </row>
        <row r="735">
          <cell r="A735" t="str">
            <v>88-8686</v>
          </cell>
          <cell r="B735" t="str">
            <v>MINISCAN,P 8 DEVICES</v>
          </cell>
          <cell r="C735" t="str">
            <v>A</v>
          </cell>
          <cell r="D735">
            <v>6938</v>
          </cell>
        </row>
        <row r="736">
          <cell r="A736" t="str">
            <v>88-8687</v>
          </cell>
          <cell r="B736" t="str">
            <v>MINISCAN,P 16 DEVICES</v>
          </cell>
          <cell r="C736" t="str">
            <v>A</v>
          </cell>
          <cell r="D736">
            <v>7567</v>
          </cell>
        </row>
        <row r="737">
          <cell r="A737" t="str">
            <v>88-8688</v>
          </cell>
          <cell r="B737" t="str">
            <v>MINISCAN,P 32 DEVICES</v>
          </cell>
          <cell r="C737" t="str">
            <v>A</v>
          </cell>
          <cell r="D737">
            <v>8198</v>
          </cell>
        </row>
        <row r="738">
          <cell r="A738" t="str">
            <v>88-8689</v>
          </cell>
          <cell r="B738" t="str">
            <v>MINISCAN,R 8 DEVICES</v>
          </cell>
          <cell r="C738" t="str">
            <v>A</v>
          </cell>
          <cell r="D738">
            <v>6938</v>
          </cell>
        </row>
        <row r="739">
          <cell r="A739" t="str">
            <v>88-8690</v>
          </cell>
          <cell r="B739" t="str">
            <v>MINISCAN,R 16 DEVICES</v>
          </cell>
          <cell r="C739" t="str">
            <v>A</v>
          </cell>
          <cell r="D739">
            <v>7567</v>
          </cell>
        </row>
        <row r="740">
          <cell r="A740" t="str">
            <v>88-8691</v>
          </cell>
          <cell r="B740" t="str">
            <v>MINISCAN,R 32 DEVICES</v>
          </cell>
          <cell r="C740" t="str">
            <v>A</v>
          </cell>
          <cell r="D740">
            <v>8198</v>
          </cell>
        </row>
        <row r="741">
          <cell r="A741" t="str">
            <v>89-12500</v>
          </cell>
          <cell r="B741" t="str">
            <v>ScanNet CENTRAL MANAGEMENT SOFT,8 DEVICE</v>
          </cell>
          <cell r="C741" t="str">
            <v>A</v>
          </cell>
          <cell r="D741">
            <v>13530</v>
          </cell>
        </row>
        <row r="742">
          <cell r="A742" t="str">
            <v>89-12501</v>
          </cell>
          <cell r="B742" t="str">
            <v>ScanNet CENTRAL MGMT SOFTWARE,16 DEVICES</v>
          </cell>
          <cell r="C742" t="str">
            <v>A</v>
          </cell>
          <cell r="D742">
            <v>16913</v>
          </cell>
        </row>
        <row r="743">
          <cell r="A743" t="str">
            <v>89-12502</v>
          </cell>
          <cell r="B743" t="str">
            <v>ScanNet CENTRAL MGMT SOFTWARE,32 DEVICES</v>
          </cell>
          <cell r="C743" t="str">
            <v>A</v>
          </cell>
          <cell r="D743">
            <v>20295</v>
          </cell>
        </row>
        <row r="744">
          <cell r="A744" t="str">
            <v>89-12503</v>
          </cell>
          <cell r="B744" t="str">
            <v>ScanNet CENTRAL MGMT SOFTWARE,32+ DEV</v>
          </cell>
          <cell r="C744" t="str">
            <v>A</v>
          </cell>
          <cell r="D744">
            <v>0</v>
          </cell>
        </row>
        <row r="745">
          <cell r="A745" t="str">
            <v>89-12505</v>
          </cell>
          <cell r="B745" t="str">
            <v>ScanNet ADDITIONAL CONSOLE</v>
          </cell>
          <cell r="C745" t="str">
            <v>A</v>
          </cell>
          <cell r="D745">
            <v>2255</v>
          </cell>
        </row>
        <row r="746">
          <cell r="A746" t="str">
            <v>89-12506</v>
          </cell>
          <cell r="B746" t="str">
            <v>ScanNet,LICENSE PLATE INVENTORY</v>
          </cell>
          <cell r="C746" t="str">
            <v>A</v>
          </cell>
          <cell r="D746">
            <v>5638</v>
          </cell>
        </row>
        <row r="747">
          <cell r="A747" t="str">
            <v>89-12507</v>
          </cell>
          <cell r="B747" t="str">
            <v>ScanNet,ACCOUNTS RECEIVABLE PACKAGE</v>
          </cell>
          <cell r="C747" t="str">
            <v>A</v>
          </cell>
          <cell r="D747">
            <v>22550</v>
          </cell>
        </row>
        <row r="748">
          <cell r="A748" t="str">
            <v>89-12508</v>
          </cell>
          <cell r="B748" t="str">
            <v>ScanNet,VALUEPASS SYSTEM</v>
          </cell>
          <cell r="C748" t="str">
            <v>A</v>
          </cell>
          <cell r="D748">
            <v>3157</v>
          </cell>
        </row>
        <row r="749">
          <cell r="A749" t="str">
            <v>89-12509</v>
          </cell>
          <cell r="B749" t="str">
            <v>ScanNet,CREDIT CARD</v>
          </cell>
          <cell r="C749" t="str">
            <v>A</v>
          </cell>
          <cell r="D749">
            <v>3157</v>
          </cell>
        </row>
        <row r="750">
          <cell r="A750" t="str">
            <v>89-12510</v>
          </cell>
          <cell r="B750" t="str">
            <v>UPGRADE,SCAN FMS TO ScanNet (1998)</v>
          </cell>
          <cell r="C750" t="str">
            <v>A</v>
          </cell>
          <cell r="D750">
            <v>2706</v>
          </cell>
        </row>
        <row r="751">
          <cell r="A751" t="str">
            <v>89-12511</v>
          </cell>
          <cell r="B751" t="str">
            <v>UPGRADE,SCAN FMS TO ScanNet (1997)</v>
          </cell>
          <cell r="C751" t="str">
            <v>A</v>
          </cell>
          <cell r="D751">
            <v>4510</v>
          </cell>
        </row>
        <row r="752">
          <cell r="A752" t="str">
            <v>89-12512</v>
          </cell>
          <cell r="B752" t="str">
            <v>UPGRADE,SCAN FMS TO ScanNet (1996)</v>
          </cell>
          <cell r="C752" t="str">
            <v>A</v>
          </cell>
          <cell r="D752">
            <v>6314</v>
          </cell>
        </row>
        <row r="753">
          <cell r="A753" t="str">
            <v>89-12513</v>
          </cell>
          <cell r="B753" t="str">
            <v>UPGRADE,SCAN FMS TO ScanNet (1995)</v>
          </cell>
          <cell r="C753" t="str">
            <v>A</v>
          </cell>
          <cell r="D753">
            <v>7893</v>
          </cell>
        </row>
        <row r="754">
          <cell r="A754" t="str">
            <v>89-12514</v>
          </cell>
          <cell r="B754" t="str">
            <v>UPGRADE SCAN FMS TO ScanNet PRIOR 1994</v>
          </cell>
          <cell r="C754" t="str">
            <v>A</v>
          </cell>
          <cell r="D754">
            <v>999999.99990000005</v>
          </cell>
        </row>
        <row r="755">
          <cell r="A755" t="str">
            <v>89-12515</v>
          </cell>
          <cell r="B755" t="str">
            <v>ScanNet NFR. DISTRIBUTION</v>
          </cell>
          <cell r="C755" t="str">
            <v>Z</v>
          </cell>
          <cell r="D755">
            <v>677</v>
          </cell>
        </row>
        <row r="756">
          <cell r="A756" t="str">
            <v>89-12516</v>
          </cell>
          <cell r="B756" t="str">
            <v>ScanNet NFR INTERNAL</v>
          </cell>
          <cell r="C756" t="str">
            <v>A</v>
          </cell>
          <cell r="D756">
            <v>0</v>
          </cell>
        </row>
        <row r="757">
          <cell r="A757" t="str">
            <v>89-12523</v>
          </cell>
          <cell r="B757" t="str">
            <v>ScanNet ANNUAL SUPPORT SUBSCRIPTION</v>
          </cell>
          <cell r="C757" t="str">
            <v>Z</v>
          </cell>
          <cell r="D757">
            <v>660</v>
          </cell>
        </row>
        <row r="758">
          <cell r="A758" t="str">
            <v>89-12525</v>
          </cell>
          <cell r="B758" t="str">
            <v>UPDATE,ScanNet</v>
          </cell>
          <cell r="C758" t="str">
            <v>A</v>
          </cell>
          <cell r="D758">
            <v>0</v>
          </cell>
        </row>
        <row r="759">
          <cell r="A759" t="str">
            <v>89-12536</v>
          </cell>
          <cell r="B759" t="str">
            <v>ScanNet COMPUTER ASSY</v>
          </cell>
          <cell r="C759" t="str">
            <v>Z</v>
          </cell>
          <cell r="D759">
            <v>6600</v>
          </cell>
        </row>
        <row r="760">
          <cell r="A760" t="str">
            <v>90-0934</v>
          </cell>
          <cell r="B760" t="str">
            <v>CARD,FAPD EMBOSSED</v>
          </cell>
          <cell r="C760" t="str">
            <v>A</v>
          </cell>
          <cell r="D760">
            <v>0</v>
          </cell>
        </row>
        <row r="761">
          <cell r="A761" t="str">
            <v>90-11065</v>
          </cell>
          <cell r="B761" t="str">
            <v>LABEL,STANDARD 8 DIGIT BAR CODE ADHESIVE</v>
          </cell>
          <cell r="C761" t="str">
            <v>A</v>
          </cell>
          <cell r="D761">
            <v>3</v>
          </cell>
        </row>
        <row r="762">
          <cell r="A762" t="str">
            <v>90-11302</v>
          </cell>
          <cell r="B762" t="str">
            <v>STAND,FEE INDICATOR INTERIOR MOUNT</v>
          </cell>
          <cell r="C762" t="str">
            <v>A</v>
          </cell>
          <cell r="D762">
            <v>293</v>
          </cell>
        </row>
        <row r="763">
          <cell r="A763" t="str">
            <v>90-11437</v>
          </cell>
          <cell r="B763" t="str">
            <v>TICKET VAULT,COUNTERTOP (PRE 9/97)</v>
          </cell>
          <cell r="C763" t="str">
            <v>A</v>
          </cell>
          <cell r="D763">
            <v>810</v>
          </cell>
        </row>
        <row r="764">
          <cell r="A764" t="str">
            <v>90-11631</v>
          </cell>
          <cell r="B764" t="str">
            <v>KONTROL KARD,RHD DYNA READ</v>
          </cell>
          <cell r="C764" t="str">
            <v>A</v>
          </cell>
          <cell r="D764">
            <v>0</v>
          </cell>
        </row>
        <row r="765">
          <cell r="A765" t="str">
            <v>90-11632</v>
          </cell>
          <cell r="B765" t="str">
            <v>KONTROL KARD,RHD DYNA (NO PRINT ON BACK)</v>
          </cell>
          <cell r="C765" t="str">
            <v>A</v>
          </cell>
          <cell r="D765">
            <v>0</v>
          </cell>
        </row>
        <row r="766">
          <cell r="A766" t="str">
            <v>90-11633</v>
          </cell>
          <cell r="B766" t="str">
            <v>CARD,RHD KK IV KONTROL KARD</v>
          </cell>
          <cell r="C766" t="str">
            <v>A</v>
          </cell>
          <cell r="D766">
            <v>0</v>
          </cell>
        </row>
        <row r="767">
          <cell r="A767" t="str">
            <v>90-11634</v>
          </cell>
          <cell r="B767" t="str">
            <v>KONTROL KARD,RHD KK IV NO PRINT ON BACK</v>
          </cell>
          <cell r="C767" t="str">
            <v>A</v>
          </cell>
          <cell r="D767">
            <v>0</v>
          </cell>
        </row>
        <row r="768">
          <cell r="A768" t="str">
            <v>90-11790</v>
          </cell>
          <cell r="B768" t="str">
            <v>NAMEPLATE,AUDITOR POWERPAD CE</v>
          </cell>
          <cell r="C768" t="str">
            <v>A</v>
          </cell>
          <cell r="D768">
            <v>0</v>
          </cell>
        </row>
        <row r="769">
          <cell r="A769" t="str">
            <v>90-3139</v>
          </cell>
          <cell r="B769" t="str">
            <v>MATRIX PLATE,KK IV</v>
          </cell>
          <cell r="C769" t="str">
            <v>A</v>
          </cell>
          <cell r="D769">
            <v>24</v>
          </cell>
        </row>
        <row r="770">
          <cell r="A770" t="str">
            <v>90-3144</v>
          </cell>
          <cell r="B770" t="str">
            <v>STAND,60 DEGREE KK IV MOUNTING</v>
          </cell>
          <cell r="C770" t="str">
            <v>A</v>
          </cell>
          <cell r="D770">
            <v>200</v>
          </cell>
        </row>
        <row r="771">
          <cell r="A771" t="str">
            <v>90-4118</v>
          </cell>
          <cell r="B771" t="str">
            <v>KONTROL KARD,DYNA READ</v>
          </cell>
          <cell r="C771" t="str">
            <v>A</v>
          </cell>
          <cell r="D771">
            <v>0</v>
          </cell>
        </row>
        <row r="772">
          <cell r="A772" t="str">
            <v>90-4119</v>
          </cell>
          <cell r="B772" t="str">
            <v>KONTROL KARD,KK IV (NO PRINT ON BACK)</v>
          </cell>
          <cell r="C772" t="str">
            <v>A</v>
          </cell>
          <cell r="D772">
            <v>0</v>
          </cell>
        </row>
        <row r="773">
          <cell r="A773" t="str">
            <v>90-4120</v>
          </cell>
          <cell r="B773" t="str">
            <v>KONTROL KARD,KK V (NO PRINT ON BACK)</v>
          </cell>
          <cell r="C773" t="str">
            <v>A</v>
          </cell>
          <cell r="D773">
            <v>0</v>
          </cell>
        </row>
        <row r="774">
          <cell r="A774" t="str">
            <v>90-4121</v>
          </cell>
          <cell r="B774" t="str">
            <v>KONTROL KARD,DYNA READ NO PRINT ON BACK</v>
          </cell>
          <cell r="C774" t="str">
            <v>A</v>
          </cell>
          <cell r="D774">
            <v>0</v>
          </cell>
        </row>
        <row r="775">
          <cell r="A775" t="str">
            <v>90-4122</v>
          </cell>
          <cell r="B775" t="str">
            <v>KONTROL KARD,ARL (NO PRINT ON BACK)</v>
          </cell>
          <cell r="C775" t="str">
            <v>A</v>
          </cell>
          <cell r="D775">
            <v>0</v>
          </cell>
        </row>
        <row r="776">
          <cell r="A776" t="str">
            <v>90-4123</v>
          </cell>
          <cell r="B776" t="str">
            <v>KONTROL KARD,MICRO (NO PRINT ON BACK)</v>
          </cell>
          <cell r="C776" t="str">
            <v>A</v>
          </cell>
          <cell r="D776">
            <v>0</v>
          </cell>
        </row>
        <row r="777">
          <cell r="A777" t="str">
            <v>90-4141</v>
          </cell>
          <cell r="B777" t="str">
            <v>KEYPAD,HHC</v>
          </cell>
          <cell r="C777" t="str">
            <v>A</v>
          </cell>
          <cell r="D777">
            <v>259</v>
          </cell>
        </row>
        <row r="778">
          <cell r="A778" t="str">
            <v>90-4583</v>
          </cell>
          <cell r="B778" t="str">
            <v>TICKET,BAR CODE 2 X 4 BLANK EXIT CASH</v>
          </cell>
          <cell r="C778" t="str">
            <v>A</v>
          </cell>
          <cell r="D778">
            <v>28</v>
          </cell>
        </row>
        <row r="779">
          <cell r="A779" t="str">
            <v>90-4646</v>
          </cell>
          <cell r="B779" t="str">
            <v>STAND,TRUCK OR BUS HEIGHT CARD READER</v>
          </cell>
          <cell r="C779" t="str">
            <v>A</v>
          </cell>
          <cell r="D779">
            <v>1158</v>
          </cell>
        </row>
        <row r="780">
          <cell r="A780" t="str">
            <v>91-11319</v>
          </cell>
          <cell r="B780" t="str">
            <v>BATTERY PACK,LPI HH</v>
          </cell>
          <cell r="C780" t="str">
            <v>A</v>
          </cell>
          <cell r="D780">
            <v>221</v>
          </cell>
        </row>
        <row r="781">
          <cell r="A781" t="str">
            <v>91-11320</v>
          </cell>
          <cell r="B781" t="str">
            <v>BATTERY CHARGER,LPI HH</v>
          </cell>
          <cell r="C781" t="str">
            <v>A</v>
          </cell>
          <cell r="D781">
            <v>715</v>
          </cell>
        </row>
        <row r="782">
          <cell r="A782" t="str">
            <v>91-11322</v>
          </cell>
          <cell r="B782" t="str">
            <v>SHOULDER HARNESS,LPI HH</v>
          </cell>
          <cell r="C782" t="str">
            <v>A</v>
          </cell>
          <cell r="D782">
            <v>59</v>
          </cell>
        </row>
        <row r="783">
          <cell r="A783" t="str">
            <v>91-11323</v>
          </cell>
          <cell r="B783" t="str">
            <v>CARRYING CASE,LPI HH</v>
          </cell>
          <cell r="C783" t="str">
            <v>A</v>
          </cell>
          <cell r="D783">
            <v>134</v>
          </cell>
        </row>
        <row r="784">
          <cell r="A784" t="str">
            <v>91-11387</v>
          </cell>
          <cell r="B784" t="str">
            <v>MOUNTING BRKT KIT,#1 DRAWER UNDERCOUNTER</v>
          </cell>
          <cell r="C784" t="str">
            <v>A</v>
          </cell>
          <cell r="D784">
            <v>71</v>
          </cell>
        </row>
        <row r="785">
          <cell r="A785" t="str">
            <v>91-11400</v>
          </cell>
          <cell r="B785" t="str">
            <v>PAPER ROLLS,AUDITOR POWERPAD PRINTER</v>
          </cell>
          <cell r="C785" t="str">
            <v>A</v>
          </cell>
          <cell r="D785">
            <v>9</v>
          </cell>
        </row>
        <row r="786">
          <cell r="A786" t="str">
            <v>91-11421</v>
          </cell>
          <cell r="B786" t="str">
            <v>RIBBON CARTRIDGE,AUDITOR POWERPAD</v>
          </cell>
          <cell r="C786" t="str">
            <v>A</v>
          </cell>
          <cell r="D786">
            <v>26</v>
          </cell>
        </row>
        <row r="787">
          <cell r="A787" t="str">
            <v>91-11451</v>
          </cell>
          <cell r="B787" t="str">
            <v>PROXIMITY READER,ASP SLIMLINE</v>
          </cell>
          <cell r="C787" t="str">
            <v>A</v>
          </cell>
          <cell r="D787">
            <v>1537</v>
          </cell>
        </row>
        <row r="788">
          <cell r="A788" t="str">
            <v>91-11456</v>
          </cell>
          <cell r="B788" t="str">
            <v>CASH DRAWER INSERT,PLASTIC 4 BILL</v>
          </cell>
          <cell r="C788" t="str">
            <v>A</v>
          </cell>
          <cell r="D788">
            <v>97</v>
          </cell>
        </row>
        <row r="789">
          <cell r="A789" t="str">
            <v>91-11457</v>
          </cell>
          <cell r="B789" t="str">
            <v>CASH DRAWER INSERT,PLASTIC 6 BILL</v>
          </cell>
          <cell r="C789" t="str">
            <v>A</v>
          </cell>
          <cell r="D789">
            <v>237</v>
          </cell>
        </row>
        <row r="790">
          <cell r="A790" t="str">
            <v>91-11458</v>
          </cell>
          <cell r="B790" t="str">
            <v>CASH DRAWER,LOCKING LID 4 BILL</v>
          </cell>
          <cell r="C790" t="str">
            <v>A</v>
          </cell>
          <cell r="D790">
            <v>64</v>
          </cell>
        </row>
        <row r="791">
          <cell r="A791" t="str">
            <v>91-11459</v>
          </cell>
          <cell r="B791" t="str">
            <v>CASH DRAWER,LOCKING LID 6 BILL</v>
          </cell>
          <cell r="C791" t="str">
            <v>A</v>
          </cell>
          <cell r="D791">
            <v>79</v>
          </cell>
        </row>
        <row r="792">
          <cell r="A792" t="str">
            <v>91-11467</v>
          </cell>
          <cell r="B792" t="str">
            <v>PRINTER,MINISCAN 220 VOLT</v>
          </cell>
          <cell r="C792" t="str">
            <v>A</v>
          </cell>
          <cell r="D792">
            <v>938</v>
          </cell>
        </row>
        <row r="793">
          <cell r="A793" t="str">
            <v>91-11517</v>
          </cell>
          <cell r="B793" t="str">
            <v>READER,MAG STRIPE TRACK 2</v>
          </cell>
          <cell r="C793" t="str">
            <v>A</v>
          </cell>
          <cell r="D793">
            <v>984</v>
          </cell>
        </row>
        <row r="794">
          <cell r="A794" t="str">
            <v>91-11555</v>
          </cell>
          <cell r="B794" t="str">
            <v>KEY,AUDITOR POWERPAD PRINTER (950)</v>
          </cell>
          <cell r="C794" t="str">
            <v>A</v>
          </cell>
          <cell r="D794">
            <v>26</v>
          </cell>
        </row>
        <row r="795">
          <cell r="A795" t="str">
            <v>91-11635</v>
          </cell>
          <cell r="B795" t="str">
            <v>PRINTER,SCAN 220 VOLT</v>
          </cell>
          <cell r="C795" t="str">
            <v>A</v>
          </cell>
          <cell r="D795">
            <v>943</v>
          </cell>
        </row>
        <row r="796">
          <cell r="A796" t="str">
            <v>91-11681</v>
          </cell>
          <cell r="B796" t="str">
            <v>TEMPLATE,APP KEYPAD INSERT TURKISH</v>
          </cell>
          <cell r="C796" t="str">
            <v>A</v>
          </cell>
          <cell r="D796">
            <v>0</v>
          </cell>
        </row>
        <row r="797">
          <cell r="A797" t="str">
            <v>91-11687</v>
          </cell>
          <cell r="B797" t="str">
            <v>LPI HANDHELD W/IMB &amp; RS232 PORT</v>
          </cell>
          <cell r="C797" t="str">
            <v>A</v>
          </cell>
          <cell r="D797">
            <v>0</v>
          </cell>
        </row>
        <row r="798">
          <cell r="A798" t="str">
            <v>91-11688</v>
          </cell>
          <cell r="B798" t="str">
            <v>DOCKING HOLSTER,LPI HH (PSION)</v>
          </cell>
          <cell r="C798" t="str">
            <v>A</v>
          </cell>
          <cell r="D798">
            <v>289</v>
          </cell>
        </row>
        <row r="799">
          <cell r="A799" t="str">
            <v>91-11689</v>
          </cell>
          <cell r="B799" t="str">
            <v>BATTERY CHARGER,LPI HH (PSION)</v>
          </cell>
          <cell r="C799" t="str">
            <v>A</v>
          </cell>
          <cell r="D799">
            <v>694</v>
          </cell>
        </row>
        <row r="800">
          <cell r="A800" t="str">
            <v>91-11690</v>
          </cell>
          <cell r="B800" t="str">
            <v>BATTERY PACK,LPI HH (PSION)</v>
          </cell>
          <cell r="C800" t="str">
            <v>A</v>
          </cell>
          <cell r="D800">
            <v>214</v>
          </cell>
        </row>
        <row r="801">
          <cell r="A801" t="str">
            <v>91-11703</v>
          </cell>
          <cell r="B801" t="str">
            <v>PRINTER,BAR CODE THERMAL TICKET 803I</v>
          </cell>
          <cell r="C801" t="str">
            <v>A</v>
          </cell>
          <cell r="D801">
            <v>2410</v>
          </cell>
        </row>
        <row r="802">
          <cell r="A802" t="str">
            <v>91-11704</v>
          </cell>
          <cell r="B802" t="str">
            <v>PRINTER,RECEIPT/JOURNAL 803I</v>
          </cell>
          <cell r="C802" t="str">
            <v>A</v>
          </cell>
          <cell r="D802">
            <v>592</v>
          </cell>
        </row>
        <row r="803">
          <cell r="A803" t="str">
            <v>91-11705</v>
          </cell>
          <cell r="B803" t="str">
            <v>SCANNER,BAR CODE DESK-TOP 803I</v>
          </cell>
          <cell r="C803" t="str">
            <v>A</v>
          </cell>
          <cell r="D803">
            <v>1728</v>
          </cell>
        </row>
        <row r="804">
          <cell r="A804" t="str">
            <v>91-11706</v>
          </cell>
          <cell r="B804" t="str">
            <v>FEE COMPUTER,MODEL 803 GOLD ENGLISH</v>
          </cell>
          <cell r="C804" t="str">
            <v>A</v>
          </cell>
          <cell r="D804">
            <v>0</v>
          </cell>
        </row>
        <row r="805">
          <cell r="A805" t="str">
            <v>91-11707</v>
          </cell>
          <cell r="B805" t="str">
            <v>FEE DISPLAY,803 SYSTEM DESK-TOP</v>
          </cell>
          <cell r="C805" t="str">
            <v>A</v>
          </cell>
          <cell r="D805">
            <v>838</v>
          </cell>
        </row>
        <row r="806">
          <cell r="A806" t="str">
            <v>91-11708</v>
          </cell>
          <cell r="B806" t="str">
            <v>CASH DRAWER INTERFACE,803 SYSTEM</v>
          </cell>
          <cell r="C806" t="str">
            <v>A</v>
          </cell>
          <cell r="D806">
            <v>999999.99990000005</v>
          </cell>
        </row>
        <row r="807">
          <cell r="A807" t="str">
            <v>91-11709</v>
          </cell>
          <cell r="B807" t="str">
            <v>I/O MODULE,803 SYSTEM 220 VOLT</v>
          </cell>
          <cell r="C807" t="str">
            <v>A</v>
          </cell>
          <cell r="D807">
            <v>1157</v>
          </cell>
        </row>
        <row r="808">
          <cell r="A808" t="str">
            <v>91-11710</v>
          </cell>
          <cell r="B808" t="str">
            <v>SERIAL COMMUNICATION EXP,803 SYSTEM</v>
          </cell>
          <cell r="C808" t="str">
            <v>A</v>
          </cell>
          <cell r="D808">
            <v>640</v>
          </cell>
        </row>
        <row r="809">
          <cell r="A809" t="str">
            <v>91-11711</v>
          </cell>
          <cell r="B809" t="str">
            <v>COMMUNICATION INT OPTION,803 SYSTEM</v>
          </cell>
          <cell r="C809" t="str">
            <v>A</v>
          </cell>
          <cell r="D809">
            <v>577</v>
          </cell>
        </row>
        <row r="810">
          <cell r="A810" t="str">
            <v>91-11712</v>
          </cell>
          <cell r="B810" t="str">
            <v>GATE INTERFACE,803 FEE COMPUTER</v>
          </cell>
          <cell r="C810" t="str">
            <v>A</v>
          </cell>
          <cell r="D810">
            <v>256</v>
          </cell>
        </row>
        <row r="811">
          <cell r="A811" t="str">
            <v>91-11713</v>
          </cell>
          <cell r="B811" t="str">
            <v>MAG READER,803 SYSTEM INTERNAL</v>
          </cell>
          <cell r="C811" t="str">
            <v>A</v>
          </cell>
          <cell r="D811">
            <v>747</v>
          </cell>
        </row>
        <row r="812">
          <cell r="A812" t="str">
            <v>91-11718</v>
          </cell>
          <cell r="B812" t="str">
            <v>AUDITOR POWERPAD KEYBOARD COVER</v>
          </cell>
          <cell r="C812" t="str">
            <v>A</v>
          </cell>
          <cell r="D812">
            <v>20</v>
          </cell>
        </row>
        <row r="813">
          <cell r="A813" t="str">
            <v>91-11719</v>
          </cell>
          <cell r="B813" t="str">
            <v>CABLE ASSY,SERIAL COMM. 803I SYSTEM</v>
          </cell>
          <cell r="C813" t="str">
            <v>A</v>
          </cell>
          <cell r="D813">
            <v>0</v>
          </cell>
        </row>
        <row r="814">
          <cell r="A814" t="str">
            <v>91-11720</v>
          </cell>
          <cell r="B814" t="str">
            <v>CABLE ASSY,RECEIPT/JOURNAL PRINTER 803I</v>
          </cell>
          <cell r="C814" t="str">
            <v>A</v>
          </cell>
          <cell r="D814">
            <v>0</v>
          </cell>
        </row>
        <row r="815">
          <cell r="A815" t="str">
            <v>91-11730</v>
          </cell>
          <cell r="B815" t="str">
            <v>FEE COMPUTER,MODEL 803 GOLD PORTUGUESE</v>
          </cell>
          <cell r="C815" t="str">
            <v>A</v>
          </cell>
          <cell r="D815">
            <v>0</v>
          </cell>
        </row>
        <row r="816">
          <cell r="A816" t="str">
            <v>91-11731</v>
          </cell>
          <cell r="B816" t="str">
            <v>FEE COMPUTER,MODEL 803 GOLD FRENCH</v>
          </cell>
          <cell r="C816" t="str">
            <v>A</v>
          </cell>
          <cell r="D816">
            <v>0</v>
          </cell>
        </row>
        <row r="817">
          <cell r="A817" t="str">
            <v>91-11732</v>
          </cell>
          <cell r="B817" t="str">
            <v>FEE COMPUTER,MODEL 803 GOLD SPANISH</v>
          </cell>
          <cell r="C817" t="str">
            <v>A</v>
          </cell>
          <cell r="D817">
            <v>0</v>
          </cell>
        </row>
        <row r="818">
          <cell r="A818" t="str">
            <v>91-11733</v>
          </cell>
          <cell r="B818" t="str">
            <v>TRANSFORMER,9 VDC PLUG IN 220 VOLT</v>
          </cell>
          <cell r="C818" t="str">
            <v>A</v>
          </cell>
          <cell r="D818">
            <v>0</v>
          </cell>
        </row>
        <row r="819">
          <cell r="A819" t="str">
            <v>91-11751</v>
          </cell>
          <cell r="B819" t="str">
            <v>PRINTER,RECEIPT/JOURNAL 803I 220 VOLT</v>
          </cell>
          <cell r="C819" t="str">
            <v>A</v>
          </cell>
          <cell r="D819">
            <v>0</v>
          </cell>
        </row>
        <row r="820">
          <cell r="A820" t="str">
            <v>91-11752</v>
          </cell>
          <cell r="B820" t="str">
            <v>PRINTER,BAR CODE THERMAL TKT 803I 220 V</v>
          </cell>
          <cell r="C820" t="str">
            <v>A</v>
          </cell>
          <cell r="D820">
            <v>0</v>
          </cell>
        </row>
        <row r="821">
          <cell r="A821" t="str">
            <v>91-11753</v>
          </cell>
          <cell r="B821" t="str">
            <v>SCANNER,BAR CODE DESK-TOP 803I 220 VOLT</v>
          </cell>
          <cell r="C821" t="str">
            <v>A</v>
          </cell>
          <cell r="D821">
            <v>0</v>
          </cell>
        </row>
        <row r="822">
          <cell r="A822" t="str">
            <v>91-11757</v>
          </cell>
          <cell r="B822" t="str">
            <v>CABLE,AUDITOR POWERPAD PRINTER POWER</v>
          </cell>
          <cell r="C822" t="str">
            <v>A</v>
          </cell>
          <cell r="D822">
            <v>62</v>
          </cell>
        </row>
        <row r="823">
          <cell r="A823" t="str">
            <v>91-11772</v>
          </cell>
          <cell r="B823" t="str">
            <v>I/O MODULE,803</v>
          </cell>
          <cell r="C823" t="str">
            <v>A</v>
          </cell>
          <cell r="D823">
            <v>1129</v>
          </cell>
        </row>
        <row r="824">
          <cell r="A824" t="str">
            <v>91-2454</v>
          </cell>
          <cell r="B824" t="str">
            <v>CLIP,BULL DOG</v>
          </cell>
          <cell r="C824" t="str">
            <v>A</v>
          </cell>
          <cell r="D824">
            <v>6</v>
          </cell>
        </row>
        <row r="825">
          <cell r="A825" t="str">
            <v>91-3596</v>
          </cell>
          <cell r="B825" t="str">
            <v>***OBSOLETE***</v>
          </cell>
          <cell r="C825" t="str">
            <v>A</v>
          </cell>
          <cell r="D825">
            <v>0</v>
          </cell>
        </row>
        <row r="826">
          <cell r="A826" t="str">
            <v>91-3739</v>
          </cell>
          <cell r="B826" t="str">
            <v>CASH DRAWER,LOCKING LID 5 BILL</v>
          </cell>
          <cell r="C826" t="str">
            <v>A</v>
          </cell>
          <cell r="D826">
            <v>69</v>
          </cell>
        </row>
        <row r="827">
          <cell r="A827" t="str">
            <v>91-3967</v>
          </cell>
          <cell r="B827" t="str">
            <v>TRANSFORMER 12 VAC PLUGIN DV-1670-3-205</v>
          </cell>
          <cell r="C827" t="str">
            <v>A</v>
          </cell>
          <cell r="D827">
            <v>57</v>
          </cell>
        </row>
        <row r="828">
          <cell r="A828" t="str">
            <v>91-4067</v>
          </cell>
          <cell r="B828" t="str">
            <v>KONTROL KARD,MAGNETIC STRIPE</v>
          </cell>
          <cell r="C828" t="str">
            <v>A</v>
          </cell>
          <cell r="D828">
            <v>0</v>
          </cell>
        </row>
        <row r="829">
          <cell r="A829" t="str">
            <v>91-4069</v>
          </cell>
          <cell r="B829" t="str">
            <v>KONTROL KARD,WIEGAND TECH II</v>
          </cell>
          <cell r="C829" t="str">
            <v>A</v>
          </cell>
          <cell r="D829">
            <v>0</v>
          </cell>
        </row>
        <row r="830">
          <cell r="A830" t="str">
            <v>91-4071</v>
          </cell>
          <cell r="B830" t="str">
            <v>KONTROL KARD,PROXIMITY ESP</v>
          </cell>
          <cell r="C830" t="str">
            <v>A</v>
          </cell>
          <cell r="D830">
            <v>999999.99990000005</v>
          </cell>
        </row>
        <row r="831">
          <cell r="A831" t="str">
            <v>91-4273</v>
          </cell>
          <cell r="B831" t="str">
            <v>PRINTER,MINISCAN</v>
          </cell>
          <cell r="C831" t="str">
            <v>A</v>
          </cell>
          <cell r="D831">
            <v>938</v>
          </cell>
        </row>
        <row r="832">
          <cell r="A832" t="str">
            <v>91-4274</v>
          </cell>
          <cell r="B832" t="str">
            <v>SOFTWARE,MINISCAN PORT CONT PRIME AREA</v>
          </cell>
          <cell r="C832" t="str">
            <v>A</v>
          </cell>
          <cell r="D832">
            <v>529</v>
          </cell>
        </row>
        <row r="833">
          <cell r="A833" t="str">
            <v>91-4338</v>
          </cell>
          <cell r="B833" t="str">
            <v>HOLE PUNCH ONLY</v>
          </cell>
          <cell r="C833" t="str">
            <v>A</v>
          </cell>
          <cell r="D833">
            <v>4</v>
          </cell>
        </row>
        <row r="834">
          <cell r="A834" t="str">
            <v>91-4670</v>
          </cell>
          <cell r="B834" t="str">
            <v>COILED CORD W/CONNECTOR,5 FT LENGTH</v>
          </cell>
          <cell r="C834" t="str">
            <v>A</v>
          </cell>
          <cell r="D834">
            <v>61</v>
          </cell>
        </row>
        <row r="835">
          <cell r="A835" t="str">
            <v>91-4823</v>
          </cell>
          <cell r="B835" t="str">
            <v>KONTROL KARD,W/DATA BLOCK BAR CODE</v>
          </cell>
          <cell r="C835" t="str">
            <v>A</v>
          </cell>
          <cell r="D835">
            <v>0</v>
          </cell>
        </row>
        <row r="836">
          <cell r="A836" t="str">
            <v>91-4886</v>
          </cell>
          <cell r="B836" t="str">
            <v>RADIO KARD TRANSMITTER SINGLE BUTTON</v>
          </cell>
          <cell r="C836" t="str">
            <v>A</v>
          </cell>
          <cell r="D836">
            <v>65</v>
          </cell>
        </row>
        <row r="837">
          <cell r="A837" t="str">
            <v>91-4887</v>
          </cell>
          <cell r="B837" t="str">
            <v>RADIO KARD TRANSMITTER DOUBLE BUTTON</v>
          </cell>
          <cell r="C837" t="str">
            <v>A</v>
          </cell>
          <cell r="D837">
            <v>73</v>
          </cell>
        </row>
        <row r="838">
          <cell r="A838" t="str">
            <v>91-4888</v>
          </cell>
          <cell r="B838" t="str">
            <v>RADIO KARD RECEIVER L/ENCLOSURE</v>
          </cell>
          <cell r="C838" t="str">
            <v>A</v>
          </cell>
          <cell r="D838">
            <v>1785</v>
          </cell>
        </row>
        <row r="839">
          <cell r="A839" t="str">
            <v>91-4889</v>
          </cell>
          <cell r="B839" t="str">
            <v>RADIO KARD RECEIVER W/ENCLOSURE</v>
          </cell>
          <cell r="C839" t="str">
            <v>A</v>
          </cell>
          <cell r="D839">
            <v>2675</v>
          </cell>
        </row>
        <row r="840">
          <cell r="A840" t="str">
            <v>91-4919</v>
          </cell>
          <cell r="B840" t="str">
            <v>PRINTER,SCAN</v>
          </cell>
          <cell r="C840" t="str">
            <v>A</v>
          </cell>
          <cell r="D840">
            <v>919</v>
          </cell>
        </row>
        <row r="841">
          <cell r="A841" t="str">
            <v>91-4959</v>
          </cell>
          <cell r="B841" t="str">
            <v>KONTROL KARD,BAR CODE INTERNATIONAL</v>
          </cell>
          <cell r="C841" t="str">
            <v>A</v>
          </cell>
          <cell r="D841">
            <v>0</v>
          </cell>
        </row>
        <row r="842">
          <cell r="A842" t="str">
            <v>91-4964</v>
          </cell>
          <cell r="B842" t="str">
            <v>KONTROL KARD,PROXIMITY ASP</v>
          </cell>
          <cell r="C842" t="str">
            <v>A</v>
          </cell>
          <cell r="D842">
            <v>0</v>
          </cell>
        </row>
        <row r="843">
          <cell r="A843" t="str">
            <v>92-10020</v>
          </cell>
          <cell r="B843" t="str">
            <v>PC ASSY,BAR CODE INTERFACE</v>
          </cell>
          <cell r="C843" t="str">
            <v>A</v>
          </cell>
          <cell r="D843">
            <v>24</v>
          </cell>
        </row>
        <row r="844">
          <cell r="A844" t="str">
            <v>92-10020C</v>
          </cell>
          <cell r="B844" t="str">
            <v>PC ASSY,BAR CODE INTERFACE</v>
          </cell>
          <cell r="C844" t="str">
            <v>A</v>
          </cell>
          <cell r="D844">
            <v>0</v>
          </cell>
        </row>
        <row r="845">
          <cell r="A845" t="str">
            <v>92-10046</v>
          </cell>
          <cell r="B845" t="str">
            <v>CASH DRAWER ASSY,AUDITOR POWERPAD 5 BILL</v>
          </cell>
          <cell r="C845" t="str">
            <v>A</v>
          </cell>
          <cell r="D845">
            <v>505</v>
          </cell>
        </row>
        <row r="846">
          <cell r="A846" t="str">
            <v>92-10048</v>
          </cell>
          <cell r="B846" t="str">
            <v>PRINTER PACKAGE,AUDITOR POWERPAD</v>
          </cell>
          <cell r="C846" t="str">
            <v>A</v>
          </cell>
          <cell r="D846">
            <v>1964</v>
          </cell>
        </row>
        <row r="847">
          <cell r="A847" t="str">
            <v>92-10050</v>
          </cell>
          <cell r="B847" t="str">
            <v>AUDITOR POWERPAD COMMUNICATION OPTION</v>
          </cell>
          <cell r="C847" t="str">
            <v>A</v>
          </cell>
          <cell r="D847">
            <v>695</v>
          </cell>
        </row>
        <row r="848">
          <cell r="A848" t="str">
            <v>92-10054</v>
          </cell>
          <cell r="B848" t="str">
            <v>PC ASSY,AUDITOR POWERPAD LCD FEE DISPLAY</v>
          </cell>
          <cell r="C848" t="str">
            <v>A</v>
          </cell>
          <cell r="D848">
            <v>332</v>
          </cell>
        </row>
        <row r="849">
          <cell r="A849" t="str">
            <v>92-10080</v>
          </cell>
          <cell r="B849" t="str">
            <v>SHROUD ASSY,POWERPAD PRINTER TM-930</v>
          </cell>
          <cell r="C849" t="str">
            <v>A</v>
          </cell>
          <cell r="D849">
            <v>999999.99990000005</v>
          </cell>
        </row>
        <row r="850">
          <cell r="A850" t="str">
            <v>92-10088</v>
          </cell>
          <cell r="B850" t="str">
            <v>SOFTWARE,AUDITOR POWERPAD (FIRMWARE)</v>
          </cell>
          <cell r="C850" t="str">
            <v>A</v>
          </cell>
          <cell r="D850">
            <v>3481</v>
          </cell>
        </row>
        <row r="851">
          <cell r="A851" t="str">
            <v>92-10096</v>
          </cell>
          <cell r="B851" t="str">
            <v>POWERPAD FEE TABLES,6 ADDITIONAL</v>
          </cell>
          <cell r="C851" t="str">
            <v>A</v>
          </cell>
          <cell r="D851">
            <v>1618</v>
          </cell>
        </row>
        <row r="852">
          <cell r="A852" t="str">
            <v>92-10097</v>
          </cell>
          <cell r="B852" t="str">
            <v>POWERPAD ATTENDANTS,125 ADDITIONAL</v>
          </cell>
          <cell r="C852" t="str">
            <v>A</v>
          </cell>
          <cell r="D852">
            <v>924</v>
          </cell>
        </row>
        <row r="853">
          <cell r="A853" t="str">
            <v>92-10098</v>
          </cell>
          <cell r="B853" t="str">
            <v>POWERPAD MERCHANTS,182 ADDITIONAL</v>
          </cell>
          <cell r="C853" t="str">
            <v>A</v>
          </cell>
          <cell r="D853">
            <v>1040</v>
          </cell>
        </row>
        <row r="854">
          <cell r="A854" t="str">
            <v>92-10099</v>
          </cell>
          <cell r="B854" t="str">
            <v>POWERPAD VOUCHER SYSTEM OPTION</v>
          </cell>
          <cell r="C854" t="str">
            <v>A</v>
          </cell>
          <cell r="D854">
            <v>2771</v>
          </cell>
        </row>
        <row r="855">
          <cell r="A855" t="str">
            <v>92-10100</v>
          </cell>
          <cell r="B855" t="str">
            <v>POWERPAD EXTENDED TRANSACTION BUFFER</v>
          </cell>
          <cell r="C855" t="str">
            <v>A</v>
          </cell>
          <cell r="D855">
            <v>924</v>
          </cell>
        </row>
        <row r="856">
          <cell r="A856" t="str">
            <v>92-10102</v>
          </cell>
          <cell r="B856" t="str">
            <v>POWERPAD CURRENCY EXCHANGE OPTION</v>
          </cell>
          <cell r="C856" t="str">
            <v>A</v>
          </cell>
          <cell r="D856">
            <v>924</v>
          </cell>
        </row>
        <row r="857">
          <cell r="A857" t="str">
            <v>92-10109</v>
          </cell>
          <cell r="B857" t="str">
            <v>BASIC POWERPAD EPSON PRINTER DRIVER</v>
          </cell>
          <cell r="C857" t="str">
            <v>A</v>
          </cell>
          <cell r="D857">
            <v>578</v>
          </cell>
        </row>
        <row r="858">
          <cell r="A858" t="str">
            <v>92-10110</v>
          </cell>
          <cell r="B858" t="str">
            <v>UPGRADE,POWERPAD BAR CODE</v>
          </cell>
          <cell r="C858" t="str">
            <v>A</v>
          </cell>
          <cell r="D858">
            <v>2703</v>
          </cell>
        </row>
        <row r="859">
          <cell r="A859" t="str">
            <v>92-10119</v>
          </cell>
          <cell r="B859" t="str">
            <v>CASH DRAWER ASSY,AUDITOR POWERPAD 4 BILL</v>
          </cell>
          <cell r="C859" t="str">
            <v>A</v>
          </cell>
          <cell r="D859">
            <v>418</v>
          </cell>
        </row>
        <row r="860">
          <cell r="A860" t="str">
            <v>92-10120</v>
          </cell>
          <cell r="B860" t="str">
            <v>CASH DRAWER ASSY,AUDITOR POWERPAD 6 BILL</v>
          </cell>
          <cell r="C860" t="str">
            <v>A</v>
          </cell>
          <cell r="D860">
            <v>717</v>
          </cell>
        </row>
        <row r="861">
          <cell r="A861" t="str">
            <v>92-10121</v>
          </cell>
          <cell r="B861" t="str">
            <v>CASH DRAWER OPTION PACKAGE,APP 6 BILL</v>
          </cell>
          <cell r="C861" t="str">
            <v>A</v>
          </cell>
          <cell r="D861">
            <v>303</v>
          </cell>
        </row>
        <row r="862">
          <cell r="A862" t="str">
            <v>92-10122</v>
          </cell>
          <cell r="B862" t="str">
            <v>CASH DRAWER OPTION PACKAGE,APP 5 BILL</v>
          </cell>
          <cell r="C862" t="str">
            <v>A</v>
          </cell>
          <cell r="D862">
            <v>91</v>
          </cell>
        </row>
        <row r="863">
          <cell r="A863" t="str">
            <v>92-10124</v>
          </cell>
          <cell r="B863" t="str">
            <v>POWERPAD NON-RESET YTD REPORTS OPTION</v>
          </cell>
          <cell r="C863" t="str">
            <v>A</v>
          </cell>
          <cell r="D863">
            <v>924</v>
          </cell>
        </row>
        <row r="864">
          <cell r="A864" t="str">
            <v>92-10139</v>
          </cell>
          <cell r="B864" t="str">
            <v>POWERPAD REAR CREATE VOUCHER OPTION</v>
          </cell>
          <cell r="C864" t="str">
            <v>A</v>
          </cell>
          <cell r="D864">
            <v>3575</v>
          </cell>
        </row>
        <row r="865">
          <cell r="A865" t="str">
            <v>92-10140</v>
          </cell>
          <cell r="B865" t="str">
            <v>POWERPAD FRONT ACCEPT VOUCHER OPTION</v>
          </cell>
          <cell r="C865" t="str">
            <v>A</v>
          </cell>
          <cell r="D865">
            <v>2763</v>
          </cell>
        </row>
        <row r="866">
          <cell r="A866" t="str">
            <v>92-10148</v>
          </cell>
          <cell r="B866" t="str">
            <v>AUDITOR POWERPAD TERMINAL UPPER ASSY</v>
          </cell>
          <cell r="C866" t="str">
            <v>A</v>
          </cell>
          <cell r="D866">
            <v>2152</v>
          </cell>
        </row>
        <row r="867">
          <cell r="A867" t="str">
            <v>92-10149</v>
          </cell>
          <cell r="B867" t="str">
            <v>INTERCOM ADDITIVE,BAR CODE</v>
          </cell>
          <cell r="C867" t="str">
            <v>A</v>
          </cell>
          <cell r="D867">
            <v>241</v>
          </cell>
        </row>
        <row r="868">
          <cell r="A868" t="str">
            <v>92-10155</v>
          </cell>
          <cell r="B868" t="str">
            <v>UPGRADE,POWERPAD MONTHLY FRONT CREATE</v>
          </cell>
          <cell r="C868" t="str">
            <v>A</v>
          </cell>
          <cell r="D868">
            <v>777</v>
          </cell>
        </row>
        <row r="869">
          <cell r="A869" t="str">
            <v>92-10156</v>
          </cell>
          <cell r="B869" t="str">
            <v>UPGRADE,POWERPAD VALUECARD FRONT CREATE</v>
          </cell>
          <cell r="C869" t="str">
            <v>A</v>
          </cell>
          <cell r="D869">
            <v>1973</v>
          </cell>
        </row>
        <row r="870">
          <cell r="A870" t="str">
            <v>92-10162</v>
          </cell>
          <cell r="B870" t="str">
            <v>UPGRADE,POWERPAD MONTHLY REAR CREATE</v>
          </cell>
          <cell r="C870" t="str">
            <v>A</v>
          </cell>
          <cell r="D870">
            <v>887</v>
          </cell>
        </row>
        <row r="871">
          <cell r="A871" t="str">
            <v>92-10163</v>
          </cell>
          <cell r="B871" t="str">
            <v>UPGRADE,POWERPAD VALUECARD REAR CREATE</v>
          </cell>
          <cell r="C871" t="str">
            <v>A</v>
          </cell>
          <cell r="D871">
            <v>1867</v>
          </cell>
        </row>
        <row r="872">
          <cell r="A872" t="str">
            <v>92-10164</v>
          </cell>
          <cell r="B872" t="str">
            <v>POWERPAD SST MONTHLY OPTION</v>
          </cell>
          <cell r="C872" t="str">
            <v>A</v>
          </cell>
          <cell r="D872">
            <v>871</v>
          </cell>
        </row>
        <row r="873">
          <cell r="A873" t="str">
            <v>92-10165</v>
          </cell>
          <cell r="B873" t="str">
            <v>POWERPAD SST VALUECARD OPTION (FULL)</v>
          </cell>
          <cell r="C873" t="str">
            <v>A</v>
          </cell>
          <cell r="D873">
            <v>1915</v>
          </cell>
        </row>
        <row r="874">
          <cell r="A874" t="str">
            <v>92-10170</v>
          </cell>
          <cell r="B874" t="str">
            <v>INTERCOM ADDITIVE,MAG SWIPE</v>
          </cell>
          <cell r="C874" t="str">
            <v>A</v>
          </cell>
          <cell r="D874">
            <v>241</v>
          </cell>
        </row>
        <row r="875">
          <cell r="A875" t="str">
            <v>92-10183</v>
          </cell>
          <cell r="B875" t="str">
            <v>AUDITOR POWERPAD,CREDIT CARD (PRE REV J)</v>
          </cell>
          <cell r="C875" t="str">
            <v>A</v>
          </cell>
          <cell r="D875">
            <v>3168</v>
          </cell>
        </row>
        <row r="876">
          <cell r="A876" t="str">
            <v>92-10184</v>
          </cell>
          <cell r="B876" t="str">
            <v>SHROUD ASSY,POWERPAD PRINTER TM-950</v>
          </cell>
          <cell r="C876" t="str">
            <v>A</v>
          </cell>
          <cell r="D876">
            <v>327</v>
          </cell>
        </row>
        <row r="877">
          <cell r="A877" t="str">
            <v>92-10185</v>
          </cell>
          <cell r="B877" t="str">
            <v>RIBBON HARNESS # 26 (SHORT)</v>
          </cell>
          <cell r="C877" t="str">
            <v>A</v>
          </cell>
          <cell r="D877">
            <v>26</v>
          </cell>
        </row>
        <row r="878">
          <cell r="A878" t="str">
            <v>92-10186</v>
          </cell>
          <cell r="B878" t="str">
            <v>SOFTWARE,CREDIT CARD W/MAPP HOST</v>
          </cell>
          <cell r="C878" t="str">
            <v>A</v>
          </cell>
          <cell r="D878">
            <v>640</v>
          </cell>
        </row>
        <row r="879">
          <cell r="A879" t="str">
            <v>92-10187</v>
          </cell>
          <cell r="B879" t="str">
            <v>SOFTWARE,CREDIT CARD W/SPS TERMINAL</v>
          </cell>
          <cell r="C879" t="str">
            <v>A</v>
          </cell>
          <cell r="D879">
            <v>640</v>
          </cell>
        </row>
        <row r="880">
          <cell r="A880" t="str">
            <v>92-10189</v>
          </cell>
          <cell r="B880" t="str">
            <v>AUDITOR POWERPAD,CREDIT CARD OPTION</v>
          </cell>
          <cell r="C880" t="str">
            <v>A</v>
          </cell>
          <cell r="D880">
            <v>2534</v>
          </cell>
        </row>
        <row r="881">
          <cell r="A881" t="str">
            <v>92-10191</v>
          </cell>
          <cell r="B881" t="str">
            <v>CREDIT CARD EV SST POWERPAD VC OPTION</v>
          </cell>
          <cell r="C881" t="str">
            <v>A</v>
          </cell>
          <cell r="D881">
            <v>3696</v>
          </cell>
        </row>
        <row r="882">
          <cell r="A882" t="str">
            <v>92-10193</v>
          </cell>
          <cell r="B882" t="str">
            <v>CREDIT CARD EV SST POWERPAD COMM OPTION</v>
          </cell>
          <cell r="C882" t="str">
            <v>A</v>
          </cell>
          <cell r="D882">
            <v>695</v>
          </cell>
        </row>
        <row r="883">
          <cell r="A883" t="str">
            <v>92-10194</v>
          </cell>
          <cell r="B883" t="str">
            <v>CCEV SST POWERPAD TICKET TRACKING OPTION</v>
          </cell>
          <cell r="C883" t="str">
            <v>A</v>
          </cell>
          <cell r="D883">
            <v>2440</v>
          </cell>
        </row>
        <row r="884">
          <cell r="A884" t="str">
            <v>92-10203</v>
          </cell>
          <cell r="B884" t="str">
            <v>POWERPAD MERCHANTS,598 ADDITIONAL</v>
          </cell>
          <cell r="C884" t="str">
            <v>A</v>
          </cell>
          <cell r="D884">
            <v>0</v>
          </cell>
        </row>
        <row r="885">
          <cell r="A885" t="str">
            <v>92-10208</v>
          </cell>
          <cell r="B885" t="str">
            <v>SOFTWARE,CREDIT CARD W/VISA NET</v>
          </cell>
          <cell r="C885" t="str">
            <v>A</v>
          </cell>
          <cell r="D885">
            <v>640</v>
          </cell>
        </row>
        <row r="886">
          <cell r="A886" t="str">
            <v>92-10209</v>
          </cell>
          <cell r="B886" t="str">
            <v>SOFTWARE,CREDIT CARD W/NABANCO NETWORK</v>
          </cell>
          <cell r="C886" t="str">
            <v>A</v>
          </cell>
          <cell r="D886">
            <v>640</v>
          </cell>
        </row>
        <row r="887">
          <cell r="A887" t="str">
            <v>92-10210</v>
          </cell>
          <cell r="B887" t="str">
            <v>SOFTWARE,CREDIT CARD W/SPS HOST</v>
          </cell>
          <cell r="C887" t="str">
            <v>A</v>
          </cell>
          <cell r="D887">
            <v>640</v>
          </cell>
        </row>
        <row r="888">
          <cell r="A888" t="str">
            <v>92-10225</v>
          </cell>
          <cell r="B888" t="str">
            <v>PC BOARD ASSY,SIMM MEMORY APP EXPANSION</v>
          </cell>
          <cell r="C888" t="str">
            <v>A</v>
          </cell>
          <cell r="D888">
            <v>0</v>
          </cell>
        </row>
        <row r="889">
          <cell r="A889" t="str">
            <v>92-10228</v>
          </cell>
          <cell r="B889" t="str">
            <v>PP+,LOGIC MODULE GATE MOUNT KIT</v>
          </cell>
          <cell r="C889" t="str">
            <v>A</v>
          </cell>
          <cell r="D889">
            <v>0</v>
          </cell>
        </row>
        <row r="890">
          <cell r="A890" t="str">
            <v>92-10229</v>
          </cell>
          <cell r="B890" t="str">
            <v>PP+,POWER SUPPLY GATE MOUNT KIT</v>
          </cell>
          <cell r="C890" t="str">
            <v>A</v>
          </cell>
          <cell r="D890">
            <v>0</v>
          </cell>
        </row>
        <row r="891">
          <cell r="A891" t="str">
            <v>92-10232</v>
          </cell>
          <cell r="B891" t="str">
            <v>SOFTWARE,APP CREDIT CARD NT BATCH</v>
          </cell>
          <cell r="C891" t="str">
            <v>A</v>
          </cell>
          <cell r="D891">
            <v>0</v>
          </cell>
        </row>
        <row r="892">
          <cell r="A892" t="str">
            <v>92-10234</v>
          </cell>
          <cell r="B892" t="str">
            <v>POWERPAD CREDIT IN/CREDIT OUT OPTION</v>
          </cell>
          <cell r="C892" t="str">
            <v>A</v>
          </cell>
          <cell r="D892">
            <v>634</v>
          </cell>
        </row>
        <row r="893">
          <cell r="A893" t="str">
            <v>92-10260</v>
          </cell>
          <cell r="B893" t="str">
            <v>SOFTWARE,CREDIT CARD W/NDC TERMINAL</v>
          </cell>
          <cell r="C893" t="str">
            <v>A</v>
          </cell>
          <cell r="D893">
            <v>640</v>
          </cell>
        </row>
        <row r="894">
          <cell r="A894" t="str">
            <v>92-10261</v>
          </cell>
          <cell r="B894" t="str">
            <v>SOFTWARE,CREDIT CARD W/FDR HOST</v>
          </cell>
          <cell r="C894" t="str">
            <v>A</v>
          </cell>
          <cell r="D894">
            <v>640</v>
          </cell>
        </row>
        <row r="895">
          <cell r="A895" t="str">
            <v>92-10268</v>
          </cell>
          <cell r="B895" t="str">
            <v>SOFTWARE,VALUECARD HOTEL PACKAGE</v>
          </cell>
          <cell r="C895" t="str">
            <v>A</v>
          </cell>
          <cell r="D895">
            <v>773</v>
          </cell>
        </row>
        <row r="896">
          <cell r="A896" t="str">
            <v>92-10274</v>
          </cell>
          <cell r="B896" t="str">
            <v>SOFTWARE PROGRAM,HOST BASE ACCESS</v>
          </cell>
          <cell r="C896" t="str">
            <v>A</v>
          </cell>
          <cell r="D896">
            <v>0</v>
          </cell>
        </row>
        <row r="897">
          <cell r="A897" t="str">
            <v>92-11321</v>
          </cell>
          <cell r="B897" t="str">
            <v>CABLE,RS-232 LPI</v>
          </cell>
          <cell r="C897" t="str">
            <v>A</v>
          </cell>
          <cell r="D897">
            <v>241</v>
          </cell>
        </row>
        <row r="898">
          <cell r="A898" t="str">
            <v>92-2404</v>
          </cell>
          <cell r="B898" t="str">
            <v>PC BOARD ASSY,SELECTRONIC 420</v>
          </cell>
          <cell r="C898" t="str">
            <v>A</v>
          </cell>
          <cell r="D898">
            <v>383</v>
          </cell>
        </row>
        <row r="899">
          <cell r="A899" t="str">
            <v>92-2682</v>
          </cell>
          <cell r="B899" t="str">
            <v>PC BOARD ASSY,SELECTRONIC 320</v>
          </cell>
          <cell r="C899" t="str">
            <v>A</v>
          </cell>
          <cell r="D899">
            <v>373</v>
          </cell>
        </row>
        <row r="900">
          <cell r="A900" t="str">
            <v>92-8577</v>
          </cell>
          <cell r="B900" t="str">
            <v>INTERCOM ADDITIVE,PROXIMITY</v>
          </cell>
          <cell r="C900" t="str">
            <v>A</v>
          </cell>
          <cell r="D900">
            <v>241</v>
          </cell>
        </row>
        <row r="901">
          <cell r="A901" t="str">
            <v>92-8578</v>
          </cell>
          <cell r="B901" t="str">
            <v>INTERCOM ADDITIVE,MAG INSERTION</v>
          </cell>
          <cell r="C901" t="str">
            <v>A</v>
          </cell>
          <cell r="D901">
            <v>241</v>
          </cell>
        </row>
        <row r="902">
          <cell r="A902" t="str">
            <v>92-8579</v>
          </cell>
          <cell r="B902" t="str">
            <v>INTERCOM ADDITIVE,WIEGAND</v>
          </cell>
          <cell r="C902" t="str">
            <v>A</v>
          </cell>
          <cell r="D902">
            <v>241</v>
          </cell>
        </row>
        <row r="903">
          <cell r="A903" t="str">
            <v>92-8580</v>
          </cell>
          <cell r="B903" t="str">
            <v>REMOTE PROGRAMMER MODULES W/CABLES</v>
          </cell>
          <cell r="C903" t="str">
            <v>A</v>
          </cell>
          <cell r="D903">
            <v>308</v>
          </cell>
        </row>
        <row r="904">
          <cell r="A904" t="str">
            <v>92-8609</v>
          </cell>
          <cell r="B904" t="str">
            <v>BAR CODE LOGIC PACKAGE,TICKET SPITTER</v>
          </cell>
          <cell r="C904" t="str">
            <v>A</v>
          </cell>
          <cell r="D904">
            <v>3763</v>
          </cell>
        </row>
        <row r="905">
          <cell r="A905" t="str">
            <v>92-8638</v>
          </cell>
          <cell r="B905" t="str">
            <v>SELECTRONIC 320,SURFACE MT W/INTERCOM</v>
          </cell>
          <cell r="C905" t="str">
            <v>A</v>
          </cell>
          <cell r="D905">
            <v>1746</v>
          </cell>
        </row>
        <row r="906">
          <cell r="A906" t="str">
            <v>92-8682</v>
          </cell>
          <cell r="B906" t="str">
            <v>CONVERTER,422/485</v>
          </cell>
          <cell r="C906" t="str">
            <v>A</v>
          </cell>
          <cell r="D906">
            <v>512</v>
          </cell>
        </row>
        <row r="907">
          <cell r="A907" t="str">
            <v>92-8821</v>
          </cell>
          <cell r="B907" t="str">
            <v>POWER SUPPLY,220 VOLT PORT CONT / MUX</v>
          </cell>
          <cell r="C907" t="str">
            <v>A</v>
          </cell>
          <cell r="D907">
            <v>0</v>
          </cell>
        </row>
        <row r="908">
          <cell r="A908" t="str">
            <v>92-8900</v>
          </cell>
          <cell r="B908" t="str">
            <v>GOOSENECK STAND W/BASE GASKET</v>
          </cell>
          <cell r="C908" t="str">
            <v>A</v>
          </cell>
          <cell r="D908">
            <v>286</v>
          </cell>
        </row>
        <row r="909">
          <cell r="A909" t="str">
            <v>92-8901</v>
          </cell>
          <cell r="B909" t="str">
            <v>EXTENDED GOOSENECK STAND W/BASE GASKET</v>
          </cell>
          <cell r="C909" t="str">
            <v>A</v>
          </cell>
          <cell r="D909">
            <v>320</v>
          </cell>
        </row>
        <row r="910">
          <cell r="A910" t="str">
            <v>92-8912</v>
          </cell>
          <cell r="B910" t="str">
            <v>FEE INDICATOR STAND W/BASE GASKET</v>
          </cell>
          <cell r="C910" t="str">
            <v>A</v>
          </cell>
          <cell r="D910">
            <v>250</v>
          </cell>
        </row>
        <row r="911">
          <cell r="A911" t="str">
            <v>92-8940</v>
          </cell>
          <cell r="B911" t="str">
            <v>PC BOARD ASSY,AUDITOR POWERPAD INTERFACE</v>
          </cell>
          <cell r="C911" t="str">
            <v>A</v>
          </cell>
          <cell r="D911">
            <v>698</v>
          </cell>
        </row>
        <row r="912">
          <cell r="A912" t="str">
            <v>92-8961</v>
          </cell>
          <cell r="B912" t="str">
            <v>AUDITOR POWERPAD INTERFACE/POWER SUPPLY</v>
          </cell>
          <cell r="C912" t="str">
            <v>A</v>
          </cell>
          <cell r="D912">
            <v>2309</v>
          </cell>
        </row>
        <row r="913">
          <cell r="A913" t="str">
            <v>93-0955</v>
          </cell>
          <cell r="B913" t="str">
            <v>CARD,KKIV KONTROL KARD</v>
          </cell>
          <cell r="C913" t="str">
            <v>A</v>
          </cell>
          <cell r="D913">
            <v>0</v>
          </cell>
        </row>
        <row r="914">
          <cell r="A914" t="str">
            <v>93-0961</v>
          </cell>
          <cell r="B914" t="str">
            <v>KONTROL KARD,ARL</v>
          </cell>
          <cell r="C914" t="str">
            <v>A</v>
          </cell>
          <cell r="D914">
            <v>0</v>
          </cell>
        </row>
        <row r="915">
          <cell r="A915" t="str">
            <v>93-10018</v>
          </cell>
          <cell r="B915" t="str">
            <v>LPI,HH PACKAGE W/SOFTWARE</v>
          </cell>
          <cell r="C915" t="str">
            <v>A</v>
          </cell>
          <cell r="D915">
            <v>6743</v>
          </cell>
        </row>
        <row r="916">
          <cell r="A916" t="str">
            <v>93-10021</v>
          </cell>
          <cell r="B916" t="str">
            <v>VALUEPASS OPTION PACKAGE,WIEGAND</v>
          </cell>
          <cell r="C916" t="str">
            <v>A</v>
          </cell>
          <cell r="D916">
            <v>958</v>
          </cell>
        </row>
        <row r="917">
          <cell r="A917" t="str">
            <v>93-10022</v>
          </cell>
          <cell r="B917" t="str">
            <v>VALUEPASS OPTION PACKAGE,BAR CODE</v>
          </cell>
          <cell r="C917" t="str">
            <v>A</v>
          </cell>
          <cell r="D917">
            <v>958</v>
          </cell>
        </row>
        <row r="918">
          <cell r="A918" t="str">
            <v>93-10025</v>
          </cell>
          <cell r="B918" t="str">
            <v>PP+,MAG STRIPE SWIPE W/STAND</v>
          </cell>
          <cell r="C918" t="str">
            <v>A</v>
          </cell>
          <cell r="D918">
            <v>4311</v>
          </cell>
        </row>
        <row r="919">
          <cell r="A919" t="str">
            <v>93-10044</v>
          </cell>
          <cell r="B919" t="str">
            <v>ENCLOSURE ASSY,AUDITOR POWERPAD TERMINAL</v>
          </cell>
          <cell r="C919" t="str">
            <v>A</v>
          </cell>
          <cell r="D919">
            <v>4350</v>
          </cell>
        </row>
        <row r="920">
          <cell r="A920" t="str">
            <v>93-10058</v>
          </cell>
          <cell r="B920" t="str">
            <v>FEE DISPLAY,AUDITOR POWERPAD 1"</v>
          </cell>
          <cell r="C920" t="str">
            <v>A</v>
          </cell>
          <cell r="D920">
            <v>1744</v>
          </cell>
        </row>
        <row r="921">
          <cell r="A921" t="str">
            <v>93-10062</v>
          </cell>
          <cell r="B921" t="str">
            <v>VALUEPASS OPTION PKG,DYNA W/INTERCOM</v>
          </cell>
          <cell r="C921" t="str">
            <v>A</v>
          </cell>
          <cell r="D921">
            <v>1074</v>
          </cell>
        </row>
        <row r="922">
          <cell r="A922" t="str">
            <v>93-10063</v>
          </cell>
          <cell r="B922" t="str">
            <v>VALUEPASS OPTION PKG,BAR CODE W/INTERCOM</v>
          </cell>
          <cell r="C922" t="str">
            <v>A</v>
          </cell>
          <cell r="D922">
            <v>1074</v>
          </cell>
        </row>
        <row r="923">
          <cell r="A923" t="str">
            <v>93-10064</v>
          </cell>
          <cell r="B923" t="str">
            <v>VALUEPASS OPTION PKG,WIEGAND W/INTERCOM</v>
          </cell>
          <cell r="C923" t="str">
            <v>A</v>
          </cell>
          <cell r="D923">
            <v>1074</v>
          </cell>
        </row>
        <row r="924">
          <cell r="A924" t="str">
            <v>93-10065</v>
          </cell>
          <cell r="B924" t="str">
            <v>VALUEPASS OPTION PKG,MAG RDR W/INTERCOM</v>
          </cell>
          <cell r="C924" t="str">
            <v>A</v>
          </cell>
          <cell r="D924">
            <v>1074</v>
          </cell>
        </row>
        <row r="925">
          <cell r="A925" t="str">
            <v>93-10066</v>
          </cell>
          <cell r="B925" t="str">
            <v>VALUEPASS OPTION PKG,PROX RDR W/INTERCOM</v>
          </cell>
          <cell r="C925" t="str">
            <v>A</v>
          </cell>
          <cell r="D925">
            <v>1074</v>
          </cell>
        </row>
        <row r="926">
          <cell r="A926" t="str">
            <v>93-10067</v>
          </cell>
          <cell r="B926" t="str">
            <v>UPGRADE,VALUEPASS DYNA READ</v>
          </cell>
          <cell r="C926" t="str">
            <v>A</v>
          </cell>
          <cell r="D926">
            <v>1028</v>
          </cell>
        </row>
        <row r="927">
          <cell r="A927" t="str">
            <v>93-10068</v>
          </cell>
          <cell r="B927" t="str">
            <v>UPGRADE,VALUEPASS BAR CODE</v>
          </cell>
          <cell r="C927" t="str">
            <v>A</v>
          </cell>
          <cell r="D927">
            <v>1028</v>
          </cell>
        </row>
        <row r="928">
          <cell r="A928" t="str">
            <v>93-10069</v>
          </cell>
          <cell r="B928" t="str">
            <v>UPGRADE,VALUEPASS WIEGAND</v>
          </cell>
          <cell r="C928" t="str">
            <v>A</v>
          </cell>
          <cell r="D928">
            <v>1028</v>
          </cell>
        </row>
        <row r="929">
          <cell r="A929" t="str">
            <v>93-10070</v>
          </cell>
          <cell r="B929" t="str">
            <v>UPGRADE,VALUEPASS MAG STRIPE</v>
          </cell>
          <cell r="C929" t="str">
            <v>A</v>
          </cell>
          <cell r="D929">
            <v>1028</v>
          </cell>
        </row>
        <row r="930">
          <cell r="A930" t="str">
            <v>93-10071</v>
          </cell>
          <cell r="B930" t="str">
            <v>UPGRADE,VALUEPASS PROXIMITY</v>
          </cell>
          <cell r="C930" t="str">
            <v>A</v>
          </cell>
          <cell r="D930">
            <v>1028</v>
          </cell>
        </row>
        <row r="931">
          <cell r="A931" t="str">
            <v>93-10072</v>
          </cell>
          <cell r="B931" t="str">
            <v>UPGRADE,VALUEPASS DYNA READ W/INTERCOM</v>
          </cell>
          <cell r="C931" t="str">
            <v>A</v>
          </cell>
          <cell r="D931">
            <v>1143</v>
          </cell>
        </row>
        <row r="932">
          <cell r="A932" t="str">
            <v>93-10073</v>
          </cell>
          <cell r="B932" t="str">
            <v>UPGRADE,VALUEPASS BAR CODE W/INTERCOM</v>
          </cell>
          <cell r="C932" t="str">
            <v>A</v>
          </cell>
          <cell r="D932">
            <v>1143</v>
          </cell>
        </row>
        <row r="933">
          <cell r="A933" t="str">
            <v>93-10074</v>
          </cell>
          <cell r="B933" t="str">
            <v>UPGRADE,VALUEPASS WIEGAND W/INTERCOM</v>
          </cell>
          <cell r="C933" t="str">
            <v>A</v>
          </cell>
          <cell r="D933">
            <v>1143</v>
          </cell>
        </row>
        <row r="934">
          <cell r="A934" t="str">
            <v>93-10075</v>
          </cell>
          <cell r="B934" t="str">
            <v>UPGRADE,VALUEPASS MAG STRIPE W/INTERCOM</v>
          </cell>
          <cell r="C934" t="str">
            <v>A</v>
          </cell>
          <cell r="D934">
            <v>1143</v>
          </cell>
        </row>
        <row r="935">
          <cell r="A935" t="str">
            <v>93-10076</v>
          </cell>
          <cell r="B935" t="str">
            <v>UPGRADE,VALUEPASS PROXIMITY W/INTERCOM</v>
          </cell>
          <cell r="C935" t="str">
            <v>A</v>
          </cell>
          <cell r="D935">
            <v>1143</v>
          </cell>
        </row>
        <row r="936">
          <cell r="A936" t="str">
            <v>93-10078</v>
          </cell>
          <cell r="B936" t="str">
            <v>VALUEPASS,POSTING READER BAR CODE</v>
          </cell>
          <cell r="C936" t="str">
            <v>A</v>
          </cell>
          <cell r="D936">
            <v>5734</v>
          </cell>
        </row>
        <row r="937">
          <cell r="A937" t="str">
            <v>93-10079</v>
          </cell>
          <cell r="B937" t="str">
            <v>VALUEPASS,POSTING READER WIEGAND</v>
          </cell>
          <cell r="C937" t="str">
            <v>A</v>
          </cell>
          <cell r="D937">
            <v>5734</v>
          </cell>
        </row>
        <row r="938">
          <cell r="A938" t="str">
            <v>93-10091</v>
          </cell>
          <cell r="B938" t="str">
            <v>AUDITOR POWERPAD PKG,STANDARD</v>
          </cell>
          <cell r="C938" t="str">
            <v>A</v>
          </cell>
          <cell r="D938">
            <v>10154</v>
          </cell>
        </row>
        <row r="939">
          <cell r="A939" t="str">
            <v>93-10092</v>
          </cell>
          <cell r="B939" t="str">
            <v>AUDITOR POWERPAD PKG,SST</v>
          </cell>
          <cell r="C939" t="str">
            <v>A</v>
          </cell>
          <cell r="D939">
            <v>20319</v>
          </cell>
        </row>
        <row r="940">
          <cell r="A940" t="str">
            <v>93-10093</v>
          </cell>
          <cell r="B940" t="str">
            <v>AUDITOR POWERPAD PKG,BAR CODE</v>
          </cell>
          <cell r="C940" t="str">
            <v>A</v>
          </cell>
          <cell r="D940">
            <v>12935</v>
          </cell>
        </row>
        <row r="941">
          <cell r="A941" t="str">
            <v>93-10101</v>
          </cell>
          <cell r="B941" t="str">
            <v>PP+,BAR CODE "FLUSH" MOUNT PACKAGE</v>
          </cell>
          <cell r="C941" t="str">
            <v>A</v>
          </cell>
          <cell r="D941">
            <v>2494</v>
          </cell>
        </row>
        <row r="942">
          <cell r="A942" t="str">
            <v>93-10116</v>
          </cell>
          <cell r="B942" t="str">
            <v>VALUEPASS,POSTING READER PROXIMITY</v>
          </cell>
          <cell r="C942" t="str">
            <v>A</v>
          </cell>
          <cell r="D942">
            <v>5734</v>
          </cell>
        </row>
        <row r="943">
          <cell r="A943" t="str">
            <v>93-10128</v>
          </cell>
          <cell r="B943" t="str">
            <v>VALUEPASS OPTION PKG,MAG STRIPE SWIPE</v>
          </cell>
          <cell r="C943" t="str">
            <v>A</v>
          </cell>
          <cell r="D943">
            <v>1406</v>
          </cell>
        </row>
        <row r="944">
          <cell r="A944" t="str">
            <v>93-10133</v>
          </cell>
          <cell r="B944" t="str">
            <v>SPANISH OPTION PACKAGE,AUDITOR POWERPAD</v>
          </cell>
          <cell r="C944" t="str">
            <v>A</v>
          </cell>
          <cell r="D944">
            <v>0</v>
          </cell>
        </row>
        <row r="945">
          <cell r="A945" t="str">
            <v>93-10147</v>
          </cell>
          <cell r="B945" t="str">
            <v>FEE DISPLAY,AUDITOR POWERPAD DESK-TOP</v>
          </cell>
          <cell r="C945" t="str">
            <v>A</v>
          </cell>
          <cell r="D945">
            <v>1832</v>
          </cell>
        </row>
        <row r="946">
          <cell r="A946" t="str">
            <v>93-10150</v>
          </cell>
          <cell r="B946" t="str">
            <v>FEE DISPLAY,POWERPAD DESK-TOP 220 VOLT</v>
          </cell>
          <cell r="C946" t="str">
            <v>A</v>
          </cell>
          <cell r="D946">
            <v>1833</v>
          </cell>
        </row>
        <row r="947">
          <cell r="A947" t="str">
            <v>93-10172</v>
          </cell>
          <cell r="B947" t="str">
            <v>PP+,MAG STRIPE SWIPE SURFACE MOUNT</v>
          </cell>
          <cell r="C947" t="str">
            <v>A</v>
          </cell>
          <cell r="D947">
            <v>4311</v>
          </cell>
        </row>
        <row r="948">
          <cell r="A948" t="str">
            <v>93-10190</v>
          </cell>
          <cell r="B948" t="str">
            <v>DISPLAY ASSY,VALUEPASS READER</v>
          </cell>
          <cell r="C948" t="str">
            <v>A</v>
          </cell>
          <cell r="D948">
            <v>223</v>
          </cell>
        </row>
        <row r="949">
          <cell r="A949" t="str">
            <v>93-10198</v>
          </cell>
          <cell r="B949" t="str">
            <v>FEE DISPLAY ASSY,2.3" LED</v>
          </cell>
          <cell r="C949" t="str">
            <v>A</v>
          </cell>
          <cell r="D949">
            <v>1997</v>
          </cell>
        </row>
        <row r="950">
          <cell r="A950" t="str">
            <v>93-10200</v>
          </cell>
          <cell r="B950" t="str">
            <v>HEATER OPTION,2.3" LED FEE DISPLAY</v>
          </cell>
          <cell r="C950" t="str">
            <v>A</v>
          </cell>
          <cell r="D950">
            <v>169</v>
          </cell>
        </row>
        <row r="951">
          <cell r="A951" t="str">
            <v>93-10201</v>
          </cell>
          <cell r="B951" t="str">
            <v>HEATER OPTION,2.3" LED FEE DISPLAY 220 V</v>
          </cell>
          <cell r="C951" t="str">
            <v>A</v>
          </cell>
          <cell r="D951">
            <v>169</v>
          </cell>
        </row>
        <row r="952">
          <cell r="A952" t="str">
            <v>93-10205</v>
          </cell>
          <cell r="B952" t="str">
            <v>TURKISH OPTION PACKAGE,AUDITOR POWERPAD</v>
          </cell>
          <cell r="C952" t="str">
            <v>A</v>
          </cell>
          <cell r="D952">
            <v>0</v>
          </cell>
        </row>
        <row r="953">
          <cell r="A953" t="str">
            <v>93-10207</v>
          </cell>
          <cell r="B953" t="str">
            <v>LPI HH PACKAGE (PSION)</v>
          </cell>
          <cell r="C953" t="str">
            <v>A</v>
          </cell>
          <cell r="D953">
            <v>6546</v>
          </cell>
        </row>
        <row r="954">
          <cell r="A954" t="str">
            <v>93-10212</v>
          </cell>
          <cell r="B954" t="str">
            <v>FEE COMPUTER SYSTEM,803 GOLD ENGLISH</v>
          </cell>
          <cell r="C954" t="str">
            <v>A</v>
          </cell>
          <cell r="D954">
            <v>5970</v>
          </cell>
        </row>
        <row r="955">
          <cell r="A955" t="str">
            <v>93-10216</v>
          </cell>
          <cell r="B955" t="str">
            <v>GRAPHICAL LANGUAGE DISPLAY,POWERPAD</v>
          </cell>
          <cell r="C955" t="str">
            <v>A</v>
          </cell>
          <cell r="D955">
            <v>0</v>
          </cell>
        </row>
        <row r="956">
          <cell r="A956" t="str">
            <v>93-10217</v>
          </cell>
          <cell r="B956" t="str">
            <v>FEE COMPUTER SYSTEM,803 GOLD PORTUGUESE</v>
          </cell>
          <cell r="C956" t="str">
            <v>A</v>
          </cell>
          <cell r="D956">
            <v>5970</v>
          </cell>
        </row>
        <row r="957">
          <cell r="A957" t="str">
            <v>93-10218</v>
          </cell>
          <cell r="B957" t="str">
            <v>FEE COMPUTER SYSTEM,803 GOLD FRENCH</v>
          </cell>
          <cell r="C957" t="str">
            <v>A</v>
          </cell>
          <cell r="D957">
            <v>5970</v>
          </cell>
        </row>
        <row r="958">
          <cell r="A958" t="str">
            <v>93-10219</v>
          </cell>
          <cell r="B958" t="str">
            <v>FEE COMPUTER SYSTEM,803 GOLD SPANISH</v>
          </cell>
          <cell r="C958" t="str">
            <v>A</v>
          </cell>
          <cell r="D958">
            <v>5970</v>
          </cell>
        </row>
        <row r="959">
          <cell r="A959" t="str">
            <v>93-10220</v>
          </cell>
          <cell r="B959" t="str">
            <v>FEE COMPUTER OPTION,803 GOLD 220 VOLT</v>
          </cell>
          <cell r="C959" t="str">
            <v>A</v>
          </cell>
          <cell r="D959">
            <v>0</v>
          </cell>
        </row>
        <row r="960">
          <cell r="A960" t="str">
            <v>93-10221</v>
          </cell>
          <cell r="B960" t="str">
            <v>BAR CODE AUTOREAD OPTION,803 SYSTEM</v>
          </cell>
          <cell r="C960" t="str">
            <v>A</v>
          </cell>
          <cell r="D960">
            <v>4776</v>
          </cell>
        </row>
        <row r="961">
          <cell r="A961" t="str">
            <v>93-10222</v>
          </cell>
          <cell r="B961" t="str">
            <v>PRINTER PACKAGE,RECEIPT/JOURNAL</v>
          </cell>
          <cell r="C961" t="str">
            <v>A</v>
          </cell>
          <cell r="D961">
            <v>640</v>
          </cell>
        </row>
        <row r="962">
          <cell r="A962" t="str">
            <v>93-10223</v>
          </cell>
          <cell r="B962" t="str">
            <v>CASH DRAWER PACKAGE,803 SYSTEM</v>
          </cell>
          <cell r="C962" t="str">
            <v>A</v>
          </cell>
          <cell r="D962">
            <v>999999.99990000005</v>
          </cell>
        </row>
        <row r="963">
          <cell r="A963" t="str">
            <v>93-10230</v>
          </cell>
          <cell r="B963" t="str">
            <v>PRINTER PACKAGE,RECEIPT/JOURNAL 220 VOLT</v>
          </cell>
          <cell r="C963" t="str">
            <v>A</v>
          </cell>
          <cell r="D963">
            <v>640</v>
          </cell>
        </row>
        <row r="964">
          <cell r="A964" t="str">
            <v>93-10231</v>
          </cell>
          <cell r="B964" t="str">
            <v>BAR CODE AUTOREAD OPT,803 SYS 220 VOLT</v>
          </cell>
          <cell r="C964" t="str">
            <v>A</v>
          </cell>
          <cell r="D964">
            <v>4776</v>
          </cell>
        </row>
        <row r="965">
          <cell r="A965" t="str">
            <v>93-10233</v>
          </cell>
          <cell r="B965" t="str">
            <v>CASH DRAWER ONLY,803 SYSTEM</v>
          </cell>
          <cell r="C965" t="str">
            <v>A</v>
          </cell>
          <cell r="D965">
            <v>422</v>
          </cell>
        </row>
        <row r="966">
          <cell r="A966" t="str">
            <v>93-10236</v>
          </cell>
          <cell r="B966" t="str">
            <v>CREDIT CARD OPT,FEE DISP DESK-TOP 120 V</v>
          </cell>
          <cell r="C966" t="str">
            <v>A</v>
          </cell>
          <cell r="D966">
            <v>640</v>
          </cell>
        </row>
        <row r="967">
          <cell r="A967" t="str">
            <v>93-10239</v>
          </cell>
          <cell r="B967" t="str">
            <v>SOFTWARE,SCAN PORT CONTROLLER 100K ID</v>
          </cell>
          <cell r="C967" t="str">
            <v>A</v>
          </cell>
          <cell r="D967">
            <v>529</v>
          </cell>
        </row>
        <row r="968">
          <cell r="A968" t="str">
            <v>93-10240</v>
          </cell>
          <cell r="B968" t="str">
            <v>OPTION,PP+ DYNA 100K ID</v>
          </cell>
          <cell r="C968" t="str">
            <v>A</v>
          </cell>
          <cell r="D968">
            <v>2092</v>
          </cell>
        </row>
        <row r="969">
          <cell r="A969" t="str">
            <v>93-10242</v>
          </cell>
          <cell r="B969" t="str">
            <v>KONTROL KARD,DYNA 100K ID</v>
          </cell>
          <cell r="C969" t="str">
            <v>A</v>
          </cell>
          <cell r="D969">
            <v>0</v>
          </cell>
        </row>
        <row r="970">
          <cell r="A970" t="str">
            <v>93-10244</v>
          </cell>
          <cell r="B970" t="str">
            <v>KONTROL KARD,RHD DYNA 100K ID</v>
          </cell>
          <cell r="C970" t="str">
            <v>A</v>
          </cell>
          <cell r="D970">
            <v>0</v>
          </cell>
        </row>
        <row r="971">
          <cell r="A971" t="str">
            <v>93-10246</v>
          </cell>
          <cell r="B971" t="str">
            <v>I/O MODULE,803 SYSTEM</v>
          </cell>
          <cell r="C971" t="str">
            <v>A</v>
          </cell>
          <cell r="D971">
            <v>1157</v>
          </cell>
        </row>
        <row r="972">
          <cell r="A972" t="str">
            <v>93-10262</v>
          </cell>
          <cell r="B972" t="str">
            <v>UPGRADE,PP+ LOGIC TO KEYPAD LOGIC</v>
          </cell>
          <cell r="C972" t="str">
            <v>A</v>
          </cell>
          <cell r="D972">
            <v>0</v>
          </cell>
        </row>
        <row r="973">
          <cell r="A973" t="str">
            <v>93-10263</v>
          </cell>
          <cell r="B973" t="str">
            <v>CE OPTION,AUDITOR POWERPAD SST</v>
          </cell>
          <cell r="C973" t="str">
            <v>A</v>
          </cell>
          <cell r="D973">
            <v>0</v>
          </cell>
        </row>
        <row r="974">
          <cell r="A974" t="str">
            <v>93-10269</v>
          </cell>
          <cell r="B974" t="str">
            <v>PP+,PROXIMITY W/STAND LESS/READER</v>
          </cell>
          <cell r="C974" t="str">
            <v>A</v>
          </cell>
          <cell r="D974">
            <v>1651</v>
          </cell>
        </row>
        <row r="975">
          <cell r="A975" t="str">
            <v>93-10271</v>
          </cell>
          <cell r="B975" t="str">
            <v>PP+,UNIVERSAL TRACK 2 READER W/STAND</v>
          </cell>
          <cell r="C975" t="str">
            <v>A</v>
          </cell>
          <cell r="D975">
            <v>2433</v>
          </cell>
        </row>
        <row r="976">
          <cell r="A976" t="str">
            <v>93-10272</v>
          </cell>
          <cell r="B976" t="str">
            <v>PP+,UNIVERSAL TRACK 2 READER SURFACE MNT</v>
          </cell>
          <cell r="C976" t="str">
            <v>A</v>
          </cell>
          <cell r="D976">
            <v>2122</v>
          </cell>
        </row>
        <row r="977">
          <cell r="A977" t="str">
            <v>93-12037</v>
          </cell>
          <cell r="B977" t="str">
            <v>PP+,5V DYNA W/STAND &amp; KEYPAD</v>
          </cell>
          <cell r="C977" t="str">
            <v>A</v>
          </cell>
          <cell r="D977">
            <v>3351</v>
          </cell>
        </row>
        <row r="978">
          <cell r="A978" t="str">
            <v>93-12038</v>
          </cell>
          <cell r="B978" t="str">
            <v>PP+,5V DYNA W/STAND,KEYPAD,HEATER</v>
          </cell>
          <cell r="C978" t="str">
            <v>A</v>
          </cell>
          <cell r="D978">
            <v>3485</v>
          </cell>
        </row>
        <row r="979">
          <cell r="A979" t="str">
            <v>93-12039</v>
          </cell>
          <cell r="B979" t="str">
            <v>PP+,5V DYNA SURFACE MOUNT W/KEYPAD</v>
          </cell>
          <cell r="C979" t="str">
            <v>A</v>
          </cell>
          <cell r="D979">
            <v>3151</v>
          </cell>
        </row>
        <row r="980">
          <cell r="A980" t="str">
            <v>93-12040</v>
          </cell>
          <cell r="B980" t="str">
            <v>PP+,5V DYNA SURFACE MT W/KEYPAD,HEATER</v>
          </cell>
          <cell r="C980" t="str">
            <v>A</v>
          </cell>
          <cell r="D980">
            <v>3286</v>
          </cell>
        </row>
        <row r="981">
          <cell r="A981" t="str">
            <v>93-12042</v>
          </cell>
          <cell r="B981" t="str">
            <v>PP+,KEYPAD W/STAND</v>
          </cell>
          <cell r="C981" t="str">
            <v>A</v>
          </cell>
          <cell r="D981">
            <v>2747</v>
          </cell>
        </row>
        <row r="982">
          <cell r="A982" t="str">
            <v>93-12043</v>
          </cell>
          <cell r="B982" t="str">
            <v>PP+,KEYPAD W/STAND &amp; HEATER</v>
          </cell>
          <cell r="C982" t="str">
            <v>A</v>
          </cell>
          <cell r="D982">
            <v>2883</v>
          </cell>
        </row>
        <row r="983">
          <cell r="A983" t="str">
            <v>93-12044</v>
          </cell>
          <cell r="B983" t="str">
            <v>PP+.KEYPAD SURFACE MOUNT</v>
          </cell>
          <cell r="C983" t="str">
            <v>A</v>
          </cell>
          <cell r="D983">
            <v>2547</v>
          </cell>
        </row>
        <row r="984">
          <cell r="A984" t="str">
            <v>93-12045</v>
          </cell>
          <cell r="B984" t="str">
            <v>PP+,KEYPAD SURFACE MOUNT W/HEATER</v>
          </cell>
          <cell r="C984" t="str">
            <v>A</v>
          </cell>
          <cell r="D984">
            <v>2681</v>
          </cell>
        </row>
        <row r="985">
          <cell r="A985" t="str">
            <v>93-12046</v>
          </cell>
          <cell r="B985" t="str">
            <v>PP+,KEYPAD FLUSH MOUNT</v>
          </cell>
          <cell r="C985" t="str">
            <v>A</v>
          </cell>
          <cell r="D985">
            <v>2681</v>
          </cell>
        </row>
        <row r="986">
          <cell r="A986" t="str">
            <v>93-12048</v>
          </cell>
          <cell r="B986" t="str">
            <v>SOFTWARE,PP+ HHC ACCESS/KEYPAD/ELEVATOR</v>
          </cell>
          <cell r="C986" t="str">
            <v>A</v>
          </cell>
          <cell r="D986">
            <v>257</v>
          </cell>
        </row>
        <row r="987">
          <cell r="A987" t="str">
            <v>93-12049</v>
          </cell>
          <cell r="B987" t="str">
            <v>SOFTWARE,MINISCAN HHC ACCESS,ELEVATOR</v>
          </cell>
          <cell r="C987" t="str">
            <v>A</v>
          </cell>
          <cell r="D987">
            <v>257</v>
          </cell>
        </row>
        <row r="988">
          <cell r="A988" t="str">
            <v>93-12050</v>
          </cell>
          <cell r="B988" t="str">
            <v>SOFTWARE,MINISCAN HHC ACCESS/KEYPAD</v>
          </cell>
          <cell r="C988" t="str">
            <v>A</v>
          </cell>
          <cell r="D988">
            <v>257</v>
          </cell>
        </row>
        <row r="989">
          <cell r="A989" t="str">
            <v>93-12051</v>
          </cell>
          <cell r="B989" t="str">
            <v>SOFTWARE,MINISCAN HHC PARKING</v>
          </cell>
          <cell r="C989" t="str">
            <v>A</v>
          </cell>
          <cell r="D989">
            <v>760</v>
          </cell>
        </row>
        <row r="990">
          <cell r="A990" t="str">
            <v>93-12052</v>
          </cell>
          <cell r="B990" t="str">
            <v>SOFTWARE,MINISCAN HHC REVENUE</v>
          </cell>
          <cell r="C990" t="str">
            <v>A</v>
          </cell>
          <cell r="D990">
            <v>1262</v>
          </cell>
        </row>
        <row r="991">
          <cell r="A991" t="str">
            <v>93-12053</v>
          </cell>
          <cell r="B991" t="str">
            <v>SOFTWARE,MINISCAN HHC REVENUE/PARKING</v>
          </cell>
          <cell r="C991" t="str">
            <v>A</v>
          </cell>
          <cell r="D991">
            <v>2020</v>
          </cell>
        </row>
        <row r="992">
          <cell r="A992" t="str">
            <v>93-12054</v>
          </cell>
          <cell r="B992" t="str">
            <v>SOFTWARE,MINISCAN HHC ACCESS/PARKING</v>
          </cell>
          <cell r="C992" t="str">
            <v>A</v>
          </cell>
          <cell r="D992">
            <v>1012</v>
          </cell>
        </row>
        <row r="993">
          <cell r="A993" t="str">
            <v>93-12055</v>
          </cell>
          <cell r="B993" t="str">
            <v>RAMP CONTROLLER,INTERIOR MNT</v>
          </cell>
          <cell r="C993" t="str">
            <v>A</v>
          </cell>
          <cell r="D993">
            <v>1839</v>
          </cell>
        </row>
        <row r="994">
          <cell r="A994" t="str">
            <v>93-12058</v>
          </cell>
          <cell r="B994" t="str">
            <v>CABLE,485 HHC AND MUX 5 FT LENGTH</v>
          </cell>
          <cell r="C994" t="str">
            <v>A</v>
          </cell>
          <cell r="D994">
            <v>63</v>
          </cell>
        </row>
        <row r="995">
          <cell r="A995" t="str">
            <v>93-12059</v>
          </cell>
          <cell r="B995" t="str">
            <v>CABLE,485 HHC &amp; MUX 10 FT LENGTH</v>
          </cell>
          <cell r="C995" t="str">
            <v>A</v>
          </cell>
          <cell r="D995">
            <v>93</v>
          </cell>
        </row>
        <row r="996">
          <cell r="A996" t="str">
            <v>93-12060</v>
          </cell>
          <cell r="B996" t="str">
            <v>CABLE,485 HHC &amp; MUX 20 FT LENGTH</v>
          </cell>
          <cell r="C996" t="str">
            <v>A</v>
          </cell>
          <cell r="D996">
            <v>121</v>
          </cell>
        </row>
        <row r="997">
          <cell r="A997" t="str">
            <v>93-12061</v>
          </cell>
          <cell r="B997" t="str">
            <v>PP+,E READER FLUSH MOUNT</v>
          </cell>
          <cell r="C997" t="str">
            <v>A</v>
          </cell>
          <cell r="D997">
            <v>2681</v>
          </cell>
        </row>
        <row r="998">
          <cell r="A998" t="str">
            <v>93-12064</v>
          </cell>
          <cell r="B998" t="str">
            <v>LOGIC MODULE,PP+ KEYPAD</v>
          </cell>
          <cell r="C998" t="str">
            <v>A</v>
          </cell>
          <cell r="D998">
            <v>1722</v>
          </cell>
        </row>
        <row r="999">
          <cell r="A999" t="str">
            <v>93-12065</v>
          </cell>
          <cell r="B999" t="str">
            <v>LOGIC MODULE,PP+ ELEVATOR</v>
          </cell>
          <cell r="C999" t="str">
            <v>A</v>
          </cell>
          <cell r="D999">
            <v>1722</v>
          </cell>
        </row>
        <row r="1000">
          <cell r="A1000" t="str">
            <v>93-12068</v>
          </cell>
          <cell r="B1000" t="str">
            <v>RAMP CONTROLLER,EXTERIOR MNT</v>
          </cell>
          <cell r="C1000" t="str">
            <v>A</v>
          </cell>
          <cell r="D1000">
            <v>2212</v>
          </cell>
        </row>
        <row r="1001">
          <cell r="A1001" t="str">
            <v>93-12069</v>
          </cell>
          <cell r="B1001" t="str">
            <v>FULL SIGN OVERRIDE CONTROL PKG.</v>
          </cell>
          <cell r="C1001" t="str">
            <v>A</v>
          </cell>
          <cell r="D1001">
            <v>139</v>
          </cell>
        </row>
        <row r="1002">
          <cell r="A1002" t="str">
            <v>93-12070</v>
          </cell>
          <cell r="B1002" t="str">
            <v>STANDARD COUNTER PKG,RAMP CONTROLLER</v>
          </cell>
          <cell r="C1002" t="str">
            <v>A</v>
          </cell>
          <cell r="D1002">
            <v>336</v>
          </cell>
        </row>
        <row r="1003">
          <cell r="A1003" t="str">
            <v>93-12071</v>
          </cell>
          <cell r="B1003" t="str">
            <v>STANDARD LCD COUNTER PKG,RAMP CONTROLLER</v>
          </cell>
          <cell r="C1003" t="str">
            <v>A</v>
          </cell>
          <cell r="D1003">
            <v>535</v>
          </cell>
        </row>
        <row r="1004">
          <cell r="A1004" t="str">
            <v>93-12150</v>
          </cell>
          <cell r="B1004" t="str">
            <v>RAMP CONTROLLER,INTERIOR MNT 220 VOLT</v>
          </cell>
          <cell r="C1004" t="str">
            <v>A</v>
          </cell>
          <cell r="D1004">
            <v>1839</v>
          </cell>
        </row>
        <row r="1005">
          <cell r="A1005" t="str">
            <v>93-12151</v>
          </cell>
          <cell r="B1005" t="str">
            <v>RAMP CONTROLLER,EXTERIOR MNT 220 VOLT</v>
          </cell>
          <cell r="C1005" t="str">
            <v>A</v>
          </cell>
          <cell r="D1005">
            <v>2212</v>
          </cell>
        </row>
        <row r="1006">
          <cell r="A1006" t="str">
            <v>93-12153</v>
          </cell>
          <cell r="B1006" t="str">
            <v>SOFTWARE UPGRADE,AUDITOR POWERPAD LPI</v>
          </cell>
          <cell r="C1006" t="str">
            <v>A</v>
          </cell>
          <cell r="D1006">
            <v>1373</v>
          </cell>
        </row>
        <row r="1007">
          <cell r="A1007" t="str">
            <v>93-12156</v>
          </cell>
          <cell r="B1007" t="str">
            <v>SOFTWARE,MINISCAN PORT CONTROLLER 8 DEV</v>
          </cell>
          <cell r="C1007" t="str">
            <v>A</v>
          </cell>
          <cell r="D1007">
            <v>597</v>
          </cell>
        </row>
        <row r="1008">
          <cell r="A1008" t="str">
            <v>93-12157</v>
          </cell>
          <cell r="B1008" t="str">
            <v>SOFTWARE,MINISCAN PORT CONTROLLER 16 DEV</v>
          </cell>
          <cell r="C1008" t="str">
            <v>A</v>
          </cell>
          <cell r="D1008">
            <v>1190</v>
          </cell>
        </row>
        <row r="1009">
          <cell r="A1009" t="str">
            <v>93-12158</v>
          </cell>
          <cell r="B1009" t="str">
            <v>SOFTWARE,MINISCAN PORT CONTROLLER 32 DEV</v>
          </cell>
          <cell r="C1009" t="str">
            <v>A</v>
          </cell>
          <cell r="D1009">
            <v>1784</v>
          </cell>
        </row>
        <row r="1010">
          <cell r="A1010" t="str">
            <v>93-12159</v>
          </cell>
          <cell r="B1010" t="str">
            <v>SOFTWARE,SCAN PORT CONTROLLER 8 DEVICE</v>
          </cell>
          <cell r="C1010" t="str">
            <v>A</v>
          </cell>
          <cell r="D1010">
            <v>597</v>
          </cell>
        </row>
        <row r="1011">
          <cell r="A1011" t="str">
            <v>93-12160</v>
          </cell>
          <cell r="B1011" t="str">
            <v>SOFTWARE,SCAN PORT CONTROLLER 16 DEVICE</v>
          </cell>
          <cell r="C1011" t="str">
            <v>A</v>
          </cell>
          <cell r="D1011">
            <v>1190</v>
          </cell>
        </row>
        <row r="1012">
          <cell r="A1012" t="str">
            <v>93-12161</v>
          </cell>
          <cell r="B1012" t="str">
            <v>SOFTWARE,SCAN PORT CONTROLLER 32 DEVICE</v>
          </cell>
          <cell r="C1012" t="str">
            <v>A</v>
          </cell>
          <cell r="D1012">
            <v>1784</v>
          </cell>
        </row>
        <row r="1013">
          <cell r="A1013" t="str">
            <v>93-2377</v>
          </cell>
          <cell r="B1013" t="str">
            <v>POWER PACK,120/24 VAC-48 VA</v>
          </cell>
          <cell r="C1013" t="str">
            <v>A</v>
          </cell>
          <cell r="D1013">
            <v>122</v>
          </cell>
        </row>
        <row r="1014">
          <cell r="A1014" t="str">
            <v>93-2483</v>
          </cell>
          <cell r="B1014" t="str">
            <v>SURFACE MOUNT KIT SELECTRONIC</v>
          </cell>
          <cell r="C1014" t="str">
            <v>A</v>
          </cell>
          <cell r="D1014">
            <v>389</v>
          </cell>
        </row>
        <row r="1015">
          <cell r="A1015" t="str">
            <v>93-2515</v>
          </cell>
          <cell r="B1015" t="str">
            <v>KARD READER PANEL MOUNTING KIT</v>
          </cell>
          <cell r="C1015" t="str">
            <v>A</v>
          </cell>
          <cell r="D1015">
            <v>219</v>
          </cell>
        </row>
        <row r="1016">
          <cell r="A1016" t="str">
            <v>93-2687</v>
          </cell>
          <cell r="B1016" t="str">
            <v>SELECTRONIC 320,W/STAND</v>
          </cell>
          <cell r="C1016" t="str">
            <v>A</v>
          </cell>
          <cell r="D1016">
            <v>1665</v>
          </cell>
        </row>
        <row r="1017">
          <cell r="A1017" t="str">
            <v>93-3093</v>
          </cell>
          <cell r="B1017" t="str">
            <v>CARD,ENCODED KK V</v>
          </cell>
          <cell r="C1017" t="str">
            <v>A</v>
          </cell>
          <cell r="D1017">
            <v>0</v>
          </cell>
        </row>
        <row r="1018">
          <cell r="A1018" t="str">
            <v>93-3148</v>
          </cell>
          <cell r="B1018" t="str">
            <v>READER ASSY,KK IV ONLY</v>
          </cell>
          <cell r="C1018" t="str">
            <v>A</v>
          </cell>
          <cell r="D1018">
            <v>393</v>
          </cell>
        </row>
        <row r="1019">
          <cell r="A1019" t="str">
            <v>93-3149</v>
          </cell>
          <cell r="B1019" t="str">
            <v>ENCLOSURE ASSY,KK IV</v>
          </cell>
          <cell r="C1019" t="str">
            <v>A</v>
          </cell>
          <cell r="D1019">
            <v>178</v>
          </cell>
        </row>
        <row r="1020">
          <cell r="A1020" t="str">
            <v>93-3151</v>
          </cell>
          <cell r="B1020" t="str">
            <v>SINGLE PERIOD KK IV,W/MATRIX &amp; STAND</v>
          </cell>
          <cell r="C1020" t="str">
            <v>A</v>
          </cell>
          <cell r="D1020">
            <v>752</v>
          </cell>
        </row>
        <row r="1021">
          <cell r="A1021" t="str">
            <v>93-3153</v>
          </cell>
          <cell r="B1021" t="str">
            <v>4 PERIOD KK IV,W/MATRIX &amp; STAND</v>
          </cell>
          <cell r="C1021" t="str">
            <v>A</v>
          </cell>
          <cell r="D1021">
            <v>786</v>
          </cell>
        </row>
        <row r="1022">
          <cell r="A1022" t="str">
            <v>93-3177</v>
          </cell>
          <cell r="B1022" t="str">
            <v>ENCLOSURE ASSY,SELECTRONIC CARDLOCK</v>
          </cell>
          <cell r="C1022" t="str">
            <v>A</v>
          </cell>
          <cell r="D1022">
            <v>462</v>
          </cell>
        </row>
        <row r="1023">
          <cell r="A1023" t="str">
            <v>93-3216</v>
          </cell>
          <cell r="B1023" t="str">
            <v>SELECTRONIC 420/320 KEYBOARD W/HARNESS</v>
          </cell>
          <cell r="C1023" t="str">
            <v>A</v>
          </cell>
          <cell r="D1023">
            <v>270</v>
          </cell>
        </row>
        <row r="1024">
          <cell r="A1024" t="str">
            <v>93-7434</v>
          </cell>
          <cell r="B1024" t="str">
            <v>MICRO PROGRAM CARD</v>
          </cell>
          <cell r="C1024" t="str">
            <v>A</v>
          </cell>
          <cell r="D1024">
            <v>40</v>
          </cell>
        </row>
        <row r="1025">
          <cell r="A1025" t="str">
            <v>93-7435</v>
          </cell>
          <cell r="B1025" t="str">
            <v>CARD,ENCODED MICRO</v>
          </cell>
          <cell r="C1025" t="str">
            <v>A</v>
          </cell>
          <cell r="D1025">
            <v>0</v>
          </cell>
        </row>
        <row r="1026">
          <cell r="A1026" t="str">
            <v>93-7439</v>
          </cell>
          <cell r="B1026" t="str">
            <v>ENCLOSURE ASSY,FLUSH MOUNT DYNA</v>
          </cell>
          <cell r="C1026" t="str">
            <v>A</v>
          </cell>
          <cell r="D1026">
            <v>409</v>
          </cell>
        </row>
        <row r="1027">
          <cell r="A1027" t="str">
            <v>93-7802</v>
          </cell>
          <cell r="B1027" t="str">
            <v>ENCLOSURE ASSY,KK IV SURFACE MOUNT</v>
          </cell>
          <cell r="C1027" t="str">
            <v>A</v>
          </cell>
          <cell r="D1027">
            <v>250</v>
          </cell>
        </row>
        <row r="1028">
          <cell r="A1028" t="str">
            <v>93-7803</v>
          </cell>
          <cell r="B1028" t="str">
            <v>ENCLOSURE ASSY,KK IV FLUSH MOUNT</v>
          </cell>
          <cell r="C1028" t="str">
            <v>A</v>
          </cell>
          <cell r="D1028">
            <v>411</v>
          </cell>
        </row>
        <row r="1029">
          <cell r="A1029" t="str">
            <v>93-7806</v>
          </cell>
          <cell r="B1029" t="str">
            <v>SELECTRONIC 320,SURFACE MOUNT W/HEATER</v>
          </cell>
          <cell r="C1029" t="str">
            <v>A</v>
          </cell>
          <cell r="D1029">
            <v>1436</v>
          </cell>
        </row>
        <row r="1030">
          <cell r="A1030" t="str">
            <v>93-7866</v>
          </cell>
          <cell r="B1030" t="str">
            <v>SELECTRONIC 420,W/INTERCOM &amp; HEATER</v>
          </cell>
          <cell r="C1030" t="str">
            <v>A</v>
          </cell>
          <cell r="D1030">
            <v>2125</v>
          </cell>
        </row>
        <row r="1031">
          <cell r="A1031" t="str">
            <v>93-7867</v>
          </cell>
          <cell r="B1031" t="str">
            <v>SELECTRONIC 420,W/STAND &amp; HEATER</v>
          </cell>
          <cell r="C1031" t="str">
            <v>A</v>
          </cell>
          <cell r="D1031">
            <v>1783</v>
          </cell>
        </row>
        <row r="1032">
          <cell r="A1032" t="str">
            <v>93-7868</v>
          </cell>
          <cell r="B1032" t="str">
            <v>SELECTRONIC 420,W/FACEPLATE</v>
          </cell>
          <cell r="C1032" t="str">
            <v>A</v>
          </cell>
          <cell r="D1032">
            <v>864</v>
          </cell>
        </row>
        <row r="1033">
          <cell r="A1033" t="str">
            <v>93-7890</v>
          </cell>
          <cell r="B1033" t="str">
            <v>SELECTRONIC 320,FLUSH MOUNT</v>
          </cell>
          <cell r="C1033" t="str">
            <v>A</v>
          </cell>
          <cell r="D1033">
            <v>1028</v>
          </cell>
        </row>
        <row r="1034">
          <cell r="A1034" t="str">
            <v>93-7891</v>
          </cell>
          <cell r="B1034" t="str">
            <v>SELECTRONIC 420,FLUSH MOUNT</v>
          </cell>
          <cell r="C1034" t="str">
            <v>A</v>
          </cell>
          <cell r="D1034">
            <v>1175</v>
          </cell>
        </row>
        <row r="1035">
          <cell r="A1035" t="str">
            <v>93-7901</v>
          </cell>
          <cell r="B1035" t="str">
            <v>SELECTRONIC 420,W/HEATER &amp; POWER PACK</v>
          </cell>
          <cell r="C1035" t="str">
            <v>A</v>
          </cell>
          <cell r="D1035">
            <v>1554</v>
          </cell>
        </row>
        <row r="1036">
          <cell r="A1036" t="str">
            <v>93-7902</v>
          </cell>
          <cell r="B1036" t="str">
            <v>SELECTRONIC 420,SURF. MNT W/INT. &amp; HTR</v>
          </cell>
          <cell r="C1036" t="str">
            <v>A</v>
          </cell>
          <cell r="D1036">
            <v>1891</v>
          </cell>
        </row>
        <row r="1037">
          <cell r="A1037" t="str">
            <v>93-7946</v>
          </cell>
          <cell r="B1037" t="str">
            <v>PP+,HHC (LESS SOFTWARE)</v>
          </cell>
          <cell r="C1037" t="str">
            <v>A</v>
          </cell>
          <cell r="D1037">
            <v>973</v>
          </cell>
        </row>
        <row r="1038">
          <cell r="A1038" t="str">
            <v>93-7950</v>
          </cell>
          <cell r="B1038" t="str">
            <v>MINISCAN,HHC (LESS SOFTWARE)</v>
          </cell>
          <cell r="C1038" t="str">
            <v>A</v>
          </cell>
          <cell r="D1038">
            <v>950</v>
          </cell>
        </row>
        <row r="1039">
          <cell r="A1039" t="str">
            <v>93-7958</v>
          </cell>
          <cell r="B1039" t="str">
            <v>CONVERTER,485/232</v>
          </cell>
          <cell r="C1039" t="str">
            <v>A</v>
          </cell>
          <cell r="D1039">
            <v>507</v>
          </cell>
        </row>
        <row r="1040">
          <cell r="A1040" t="str">
            <v>93-7960</v>
          </cell>
          <cell r="B1040" t="str">
            <v>MUX,485 FOR MINISCAN PORT CONT 7 TO 1</v>
          </cell>
          <cell r="C1040" t="str">
            <v>A</v>
          </cell>
          <cell r="D1040">
            <v>999999.99990000005</v>
          </cell>
        </row>
        <row r="1041">
          <cell r="A1041" t="str">
            <v>93-7962</v>
          </cell>
          <cell r="B1041" t="str">
            <v>MUX,485 FOR MINISCAN PORT CONT 4 TO 1</v>
          </cell>
          <cell r="C1041" t="str">
            <v>A</v>
          </cell>
          <cell r="D1041">
            <v>715</v>
          </cell>
        </row>
        <row r="1042">
          <cell r="A1042" t="str">
            <v>93-7964</v>
          </cell>
          <cell r="B1042" t="str">
            <v>MUX,485 FOR MINISCAN PORT CONT 2 TO 1</v>
          </cell>
          <cell r="C1042" t="str">
            <v>A</v>
          </cell>
          <cell r="D1042">
            <v>999999.99990000005</v>
          </cell>
        </row>
        <row r="1043">
          <cell r="A1043" t="str">
            <v>93-7976</v>
          </cell>
          <cell r="B1043" t="str">
            <v>ELEVATOR CONTROLLER,32 OUTPUTS</v>
          </cell>
          <cell r="C1043" t="str">
            <v>A</v>
          </cell>
          <cell r="D1043">
            <v>2426</v>
          </cell>
        </row>
        <row r="1044">
          <cell r="A1044" t="str">
            <v>93-7982</v>
          </cell>
          <cell r="B1044" t="str">
            <v>PP+,12 VOLT DYNA FLUSH MOUNT</v>
          </cell>
          <cell r="C1044" t="str">
            <v>A</v>
          </cell>
          <cell r="D1044">
            <v>2681</v>
          </cell>
        </row>
        <row r="1045">
          <cell r="A1045" t="str">
            <v>93-7983</v>
          </cell>
          <cell r="B1045" t="str">
            <v>PP+,5 V DYNA SURFACE MT. W/ENCL &amp; HEATER</v>
          </cell>
          <cell r="C1045" t="str">
            <v>A</v>
          </cell>
          <cell r="D1045">
            <v>2681</v>
          </cell>
        </row>
        <row r="1046">
          <cell r="A1046" t="str">
            <v>93-7984</v>
          </cell>
          <cell r="B1046" t="str">
            <v>PP+,5 VOLT DYNA W/STAND &amp; HEATER</v>
          </cell>
          <cell r="C1046" t="str">
            <v>A</v>
          </cell>
          <cell r="D1046">
            <v>2883</v>
          </cell>
        </row>
        <row r="1047">
          <cell r="A1047" t="str">
            <v>93-7985</v>
          </cell>
          <cell r="B1047" t="str">
            <v>PP+,5 VOLT DYNA W/ENCLOSURE &amp; STAND</v>
          </cell>
          <cell r="C1047" t="str">
            <v>A</v>
          </cell>
          <cell r="D1047">
            <v>2747</v>
          </cell>
        </row>
        <row r="1048">
          <cell r="A1048" t="str">
            <v>93-7986</v>
          </cell>
          <cell r="B1048" t="str">
            <v>PP+,5 VOLT DYNA SURFACE MOUNT W/ENCL.</v>
          </cell>
          <cell r="C1048" t="str">
            <v>A</v>
          </cell>
          <cell r="D1048">
            <v>2545</v>
          </cell>
        </row>
        <row r="1049">
          <cell r="A1049" t="str">
            <v>93-7987</v>
          </cell>
          <cell r="B1049" t="str">
            <v>PP+,ESP PROXIMITY W/STAND</v>
          </cell>
          <cell r="C1049" t="str">
            <v>A</v>
          </cell>
          <cell r="D1049">
            <v>999999.99990000005</v>
          </cell>
        </row>
        <row r="1050">
          <cell r="A1050" t="str">
            <v>93-7989</v>
          </cell>
          <cell r="B1050" t="str">
            <v>PP+,ESP PROXIMITY SURFACE MOUNT</v>
          </cell>
          <cell r="C1050" t="str">
            <v>A</v>
          </cell>
          <cell r="D1050">
            <v>999999.99990000005</v>
          </cell>
        </row>
        <row r="1051">
          <cell r="A1051" t="str">
            <v>93-7991</v>
          </cell>
          <cell r="B1051" t="str">
            <v>PP+,MAG TECH W/STAND</v>
          </cell>
          <cell r="C1051" t="str">
            <v>A</v>
          </cell>
          <cell r="D1051">
            <v>3300</v>
          </cell>
        </row>
        <row r="1052">
          <cell r="A1052" t="str">
            <v>93-7993</v>
          </cell>
          <cell r="B1052" t="str">
            <v>PP+,MAG TECH SURFACE MOUNT</v>
          </cell>
          <cell r="C1052" t="str">
            <v>A</v>
          </cell>
          <cell r="D1052">
            <v>3300</v>
          </cell>
        </row>
        <row r="1053">
          <cell r="A1053" t="str">
            <v>93-7996</v>
          </cell>
          <cell r="B1053" t="str">
            <v>PP+,WIEGAND W/STAND</v>
          </cell>
          <cell r="C1053" t="str">
            <v>A</v>
          </cell>
          <cell r="D1053">
            <v>3688</v>
          </cell>
        </row>
        <row r="1054">
          <cell r="A1054" t="str">
            <v>93-7998</v>
          </cell>
          <cell r="B1054" t="str">
            <v>PP+,WIEGAND SURFACE MOUNT</v>
          </cell>
          <cell r="C1054" t="str">
            <v>A</v>
          </cell>
          <cell r="D1054">
            <v>3688</v>
          </cell>
        </row>
        <row r="1055">
          <cell r="A1055" t="str">
            <v>93-8510</v>
          </cell>
          <cell r="B1055" t="str">
            <v>MUX,232 FOR SCAN PORT CONT 2 TO 1</v>
          </cell>
          <cell r="C1055" t="str">
            <v>A</v>
          </cell>
          <cell r="D1055">
            <v>999999.99990000005</v>
          </cell>
        </row>
        <row r="1056">
          <cell r="A1056" t="str">
            <v>93-8512</v>
          </cell>
          <cell r="B1056" t="str">
            <v>MUX,232 FOR SCAN PORT CONT 4 TO 1</v>
          </cell>
          <cell r="C1056" t="str">
            <v>A</v>
          </cell>
          <cell r="D1056">
            <v>715</v>
          </cell>
        </row>
        <row r="1057">
          <cell r="A1057" t="str">
            <v>93-8514</v>
          </cell>
          <cell r="B1057" t="str">
            <v>MUX,232 FOR SCAN PORT CONT 7 TO 1</v>
          </cell>
          <cell r="C1057" t="str">
            <v>A</v>
          </cell>
          <cell r="D1057">
            <v>999999.99990000005</v>
          </cell>
        </row>
        <row r="1058">
          <cell r="A1058" t="str">
            <v>93-8516</v>
          </cell>
          <cell r="B1058" t="str">
            <v>HHC DESKTOP INTERFACE</v>
          </cell>
          <cell r="C1058" t="str">
            <v>A</v>
          </cell>
          <cell r="D1058">
            <v>507</v>
          </cell>
        </row>
        <row r="1059">
          <cell r="A1059" t="str">
            <v>93-8525</v>
          </cell>
          <cell r="B1059" t="str">
            <v>PORT CONTROLLER,8 DEVICES PRINTER</v>
          </cell>
          <cell r="C1059" t="str">
            <v>A</v>
          </cell>
          <cell r="D1059">
            <v>1262</v>
          </cell>
        </row>
        <row r="1060">
          <cell r="A1060" t="str">
            <v>93-8526</v>
          </cell>
          <cell r="B1060" t="str">
            <v>PORT CONTROLLER,16 DEVICES PRINTER</v>
          </cell>
          <cell r="C1060" t="str">
            <v>A</v>
          </cell>
          <cell r="D1060">
            <v>1517</v>
          </cell>
        </row>
        <row r="1061">
          <cell r="A1061" t="str">
            <v>93-8527</v>
          </cell>
          <cell r="B1061" t="str">
            <v>PORT CONTROLLER,32 DEVICES PRINTER</v>
          </cell>
          <cell r="C1061" t="str">
            <v>A</v>
          </cell>
          <cell r="D1061">
            <v>1768</v>
          </cell>
        </row>
        <row r="1062">
          <cell r="A1062" t="str">
            <v>93-8530</v>
          </cell>
          <cell r="B1062" t="str">
            <v>PP+,PROGRAMMABLE CONTROLLER</v>
          </cell>
          <cell r="C1062" t="str">
            <v>A</v>
          </cell>
          <cell r="D1062">
            <v>1485</v>
          </cell>
        </row>
        <row r="1063">
          <cell r="A1063" t="str">
            <v>93-8533</v>
          </cell>
          <cell r="B1063" t="str">
            <v>COMM ISOLATOR,422/422 UNIVERSAL 220 VOLT</v>
          </cell>
          <cell r="C1063" t="str">
            <v>A</v>
          </cell>
          <cell r="D1063">
            <v>420</v>
          </cell>
        </row>
        <row r="1064">
          <cell r="A1064" t="str">
            <v>93-8535</v>
          </cell>
          <cell r="B1064" t="str">
            <v>CONVERTER,422/232 220 VOLT</v>
          </cell>
          <cell r="C1064" t="str">
            <v>A</v>
          </cell>
          <cell r="D1064">
            <v>420</v>
          </cell>
        </row>
        <row r="1065">
          <cell r="A1065" t="str">
            <v>93-8604</v>
          </cell>
          <cell r="B1065" t="str">
            <v>AUDITOR BAR CODE READER PACKAGE</v>
          </cell>
          <cell r="C1065" t="str">
            <v>A</v>
          </cell>
          <cell r="D1065">
            <v>999999.99990000005</v>
          </cell>
        </row>
        <row r="1066">
          <cell r="A1066" t="str">
            <v>93-8620</v>
          </cell>
          <cell r="B1066" t="str">
            <v>COMM ISOLATOR,422/422 UNIVERSAL</v>
          </cell>
          <cell r="C1066" t="str">
            <v>A</v>
          </cell>
          <cell r="D1066">
            <v>420</v>
          </cell>
        </row>
        <row r="1067">
          <cell r="A1067" t="str">
            <v>93-8621</v>
          </cell>
          <cell r="B1067" t="str">
            <v>CONVERTER,422/232</v>
          </cell>
          <cell r="C1067" t="str">
            <v>A</v>
          </cell>
          <cell r="D1067">
            <v>420</v>
          </cell>
        </row>
        <row r="1068">
          <cell r="A1068" t="str">
            <v>93-8654</v>
          </cell>
          <cell r="B1068" t="str">
            <v>FEE DISPLAY,LCD +20 DEGREE AUDITOR 2</v>
          </cell>
          <cell r="C1068" t="str">
            <v>A</v>
          </cell>
          <cell r="D1068">
            <v>1814</v>
          </cell>
        </row>
        <row r="1069">
          <cell r="A1069" t="str">
            <v>93-8664</v>
          </cell>
          <cell r="B1069" t="str">
            <v>AUDITOR 2,BAR CODE AUTO READ</v>
          </cell>
          <cell r="C1069" t="str">
            <v>A</v>
          </cell>
          <cell r="D1069">
            <v>17037</v>
          </cell>
        </row>
        <row r="1070">
          <cell r="A1070" t="str">
            <v>93-8668</v>
          </cell>
          <cell r="B1070" t="str">
            <v>PP+,BAR CODE ACCESS W/STAND</v>
          </cell>
          <cell r="C1070" t="str">
            <v>A</v>
          </cell>
          <cell r="D1070">
            <v>3351</v>
          </cell>
        </row>
        <row r="1071">
          <cell r="A1071" t="str">
            <v>93-8669</v>
          </cell>
          <cell r="B1071" t="str">
            <v>SOFTWARE,PP+ HHC ACCESS</v>
          </cell>
          <cell r="C1071" t="str">
            <v>A</v>
          </cell>
          <cell r="D1071">
            <v>257</v>
          </cell>
        </row>
        <row r="1072">
          <cell r="A1072" t="str">
            <v>93-8670</v>
          </cell>
          <cell r="B1072" t="str">
            <v>SOFTWARE,PP+ HHC ACCESS &amp; KEYPAD</v>
          </cell>
          <cell r="C1072" t="str">
            <v>A</v>
          </cell>
          <cell r="D1072">
            <v>257</v>
          </cell>
        </row>
        <row r="1073">
          <cell r="A1073" t="str">
            <v>93-8671</v>
          </cell>
          <cell r="B1073" t="str">
            <v>SOFTWARE,PP+ HHC ACCESS &amp; ELEVATOR</v>
          </cell>
          <cell r="C1073" t="str">
            <v>A</v>
          </cell>
          <cell r="D1073">
            <v>257</v>
          </cell>
        </row>
        <row r="1074">
          <cell r="A1074" t="str">
            <v>93-8672</v>
          </cell>
          <cell r="B1074" t="str">
            <v>SOFTWARE,MINISCAN HHC ACCESS</v>
          </cell>
          <cell r="C1074" t="str">
            <v>A</v>
          </cell>
          <cell r="D1074">
            <v>257</v>
          </cell>
        </row>
        <row r="1075">
          <cell r="A1075" t="str">
            <v>93-8782</v>
          </cell>
          <cell r="B1075" t="str">
            <v>MINISCAN,8 DEVICES A SERIES</v>
          </cell>
          <cell r="C1075" t="str">
            <v>A</v>
          </cell>
          <cell r="D1075">
            <v>6938</v>
          </cell>
        </row>
        <row r="1076">
          <cell r="A1076" t="str">
            <v>93-8783</v>
          </cell>
          <cell r="B1076" t="str">
            <v>MINISCAN,16 DEVICES A SERIES</v>
          </cell>
          <cell r="C1076" t="str">
            <v>A</v>
          </cell>
          <cell r="D1076">
            <v>7567</v>
          </cell>
        </row>
        <row r="1077">
          <cell r="A1077" t="str">
            <v>93-8784</v>
          </cell>
          <cell r="B1077" t="str">
            <v>MINISCAN,32 DEVICES A SERIES</v>
          </cell>
          <cell r="C1077" t="str">
            <v>A</v>
          </cell>
          <cell r="D1077">
            <v>8198</v>
          </cell>
        </row>
        <row r="1078">
          <cell r="A1078" t="str">
            <v>93-8788</v>
          </cell>
          <cell r="B1078" t="str">
            <v>SOFTWARE,SERIES 8 OPTION PP+ LOGIC</v>
          </cell>
          <cell r="C1078" t="str">
            <v>A</v>
          </cell>
          <cell r="D1078">
            <v>268</v>
          </cell>
        </row>
        <row r="1079">
          <cell r="A1079" t="str">
            <v>93-8789</v>
          </cell>
          <cell r="B1079" t="str">
            <v>SOFTWARE,SERIES 16 OPTION PP+ LOGIC</v>
          </cell>
          <cell r="C1079" t="str">
            <v>A</v>
          </cell>
          <cell r="D1079">
            <v>1053</v>
          </cell>
        </row>
        <row r="1080">
          <cell r="A1080" t="str">
            <v>93-8790</v>
          </cell>
          <cell r="B1080" t="str">
            <v>OPTION,SERIES 24 PP+ LOGIC</v>
          </cell>
          <cell r="C1080" t="str">
            <v>A</v>
          </cell>
          <cell r="D1080">
            <v>2102</v>
          </cell>
        </row>
        <row r="1081">
          <cell r="A1081" t="str">
            <v>93-8791</v>
          </cell>
          <cell r="B1081" t="str">
            <v>SOFTWARE,MINISCAN HHC SERIES ACCESS</v>
          </cell>
          <cell r="C1081" t="str">
            <v>A</v>
          </cell>
          <cell r="D1081">
            <v>259</v>
          </cell>
        </row>
        <row r="1082">
          <cell r="A1082" t="str">
            <v>93-8792</v>
          </cell>
          <cell r="B1082" t="str">
            <v>SOFTWARE,PP+ HHC SERIES</v>
          </cell>
          <cell r="C1082" t="str">
            <v>A</v>
          </cell>
          <cell r="D1082">
            <v>272</v>
          </cell>
        </row>
        <row r="1083">
          <cell r="A1083" t="str">
            <v>93-8798</v>
          </cell>
          <cell r="B1083" t="str">
            <v>PP+,RADIOKARD FOR GATE</v>
          </cell>
          <cell r="C1083" t="str">
            <v>A</v>
          </cell>
          <cell r="D1083">
            <v>3515</v>
          </cell>
        </row>
        <row r="1084">
          <cell r="A1084" t="str">
            <v>93-8799</v>
          </cell>
          <cell r="B1084" t="str">
            <v>PP+,RADIOKARD ASSY SURFACE MOUNT</v>
          </cell>
          <cell r="C1084" t="str">
            <v>A</v>
          </cell>
          <cell r="D1084">
            <v>3773</v>
          </cell>
        </row>
        <row r="1085">
          <cell r="A1085" t="str">
            <v>93-8808</v>
          </cell>
          <cell r="B1085" t="str">
            <v>SOFTWARE,PP+ SERIES 8 KEYPAD</v>
          </cell>
          <cell r="C1085" t="str">
            <v>A</v>
          </cell>
          <cell r="D1085">
            <v>269</v>
          </cell>
        </row>
        <row r="1086">
          <cell r="A1086" t="str">
            <v>93-8809</v>
          </cell>
          <cell r="B1086" t="str">
            <v>SOFTWARE,PP+ SERIES 16 KEYPAD</v>
          </cell>
          <cell r="C1086" t="str">
            <v>A</v>
          </cell>
          <cell r="D1086">
            <v>1054</v>
          </cell>
        </row>
        <row r="1087">
          <cell r="A1087" t="str">
            <v>93-8814</v>
          </cell>
          <cell r="B1087" t="str">
            <v>AUDITOR 2C,BAR CODE 220 VOLT</v>
          </cell>
          <cell r="C1087" t="str">
            <v>A</v>
          </cell>
          <cell r="D1087">
            <v>17037</v>
          </cell>
        </row>
        <row r="1088">
          <cell r="A1088" t="str">
            <v>93-8837</v>
          </cell>
          <cell r="B1088" t="str">
            <v>AUDITOR 2C,BAR CODE NON-DEC 220 VOLT</v>
          </cell>
          <cell r="C1088" t="str">
            <v>A</v>
          </cell>
          <cell r="D1088">
            <v>17037</v>
          </cell>
        </row>
        <row r="1089">
          <cell r="A1089" t="str">
            <v>93-8843</v>
          </cell>
          <cell r="B1089" t="str">
            <v>UPGRADE,PP+ SERIES</v>
          </cell>
          <cell r="C1089" t="str">
            <v>A</v>
          </cell>
          <cell r="D1089">
            <v>65</v>
          </cell>
        </row>
        <row r="1090">
          <cell r="A1090" t="str">
            <v>93-8863</v>
          </cell>
          <cell r="B1090" t="str">
            <v>PP+,PROXIMITY ASP W/STAND</v>
          </cell>
          <cell r="C1090" t="str">
            <v>A</v>
          </cell>
          <cell r="D1090">
            <v>3435</v>
          </cell>
        </row>
        <row r="1091">
          <cell r="A1091" t="str">
            <v>93-8864</v>
          </cell>
          <cell r="B1091" t="str">
            <v>PP+,PROXIMITY ASP SURFACE MOUNTED</v>
          </cell>
          <cell r="C1091" t="str">
            <v>A</v>
          </cell>
          <cell r="D1091">
            <v>3435</v>
          </cell>
        </row>
        <row r="1092">
          <cell r="A1092" t="str">
            <v>93-8872</v>
          </cell>
          <cell r="B1092" t="str">
            <v>CABLE EXTENSION,10' FEE DISPLAY</v>
          </cell>
          <cell r="C1092" t="str">
            <v>A</v>
          </cell>
          <cell r="D1092">
            <v>46</v>
          </cell>
        </row>
        <row r="1093">
          <cell r="A1093" t="str">
            <v>93-8874</v>
          </cell>
          <cell r="B1093" t="str">
            <v>VALUEPASS OPTION PACKAGE,DYNA READ</v>
          </cell>
          <cell r="C1093" t="str">
            <v>A</v>
          </cell>
          <cell r="D1093">
            <v>958</v>
          </cell>
        </row>
        <row r="1094">
          <cell r="A1094" t="str">
            <v>93-8875</v>
          </cell>
          <cell r="B1094" t="str">
            <v>VALUEPASS,POSTING READER DYNA</v>
          </cell>
          <cell r="C1094" t="str">
            <v>A</v>
          </cell>
          <cell r="D1094">
            <v>5734</v>
          </cell>
        </row>
        <row r="1095">
          <cell r="A1095" t="str">
            <v>93-8942</v>
          </cell>
          <cell r="B1095" t="str">
            <v>POWER PACK,HEATER 220 VOLT</v>
          </cell>
          <cell r="C1095" t="str">
            <v>A</v>
          </cell>
          <cell r="D1095">
            <v>122</v>
          </cell>
        </row>
        <row r="1096">
          <cell r="A1096" t="str">
            <v>93-8952</v>
          </cell>
          <cell r="B1096" t="str">
            <v>PP+ OPTION,220 VOLT</v>
          </cell>
          <cell r="C1096" t="str">
            <v>A</v>
          </cell>
          <cell r="D1096">
            <v>0</v>
          </cell>
        </row>
        <row r="1097">
          <cell r="A1097" t="str">
            <v>93-8953</v>
          </cell>
          <cell r="B1097" t="str">
            <v>PP+ OPTION,220 VOLT W/HEATER</v>
          </cell>
          <cell r="C1097" t="str">
            <v>A</v>
          </cell>
          <cell r="D1097">
            <v>0</v>
          </cell>
        </row>
        <row r="1098">
          <cell r="A1098" t="str">
            <v>93-8980</v>
          </cell>
          <cell r="B1098" t="str">
            <v>VALUEPASS OPTION PACKAGE,PROXIMITY</v>
          </cell>
          <cell r="C1098" t="str">
            <v>A</v>
          </cell>
          <cell r="D1098">
            <v>958</v>
          </cell>
        </row>
        <row r="1099">
          <cell r="A1099" t="str">
            <v>93-8981</v>
          </cell>
          <cell r="B1099" t="str">
            <v>SELECTRONIC OPTION,220 VOLT</v>
          </cell>
          <cell r="C1099" t="str">
            <v>A</v>
          </cell>
          <cell r="D1099">
            <v>0</v>
          </cell>
        </row>
        <row r="1100">
          <cell r="A1100" t="str">
            <v>93-8994</v>
          </cell>
          <cell r="B1100" t="str">
            <v>VALUEPASS OPTION PKG,MAG STRIPE INSERT</v>
          </cell>
          <cell r="C1100" t="str">
            <v>A</v>
          </cell>
          <cell r="D1100">
            <v>958</v>
          </cell>
        </row>
        <row r="1101">
          <cell r="A1101" t="str">
            <v>COO</v>
          </cell>
          <cell r="B1101" t="str">
            <v>COUNT OUTPUT OPERATION</v>
          </cell>
          <cell r="C1101" t="str">
            <v>A</v>
          </cell>
          <cell r="D1101">
            <v>138</v>
          </cell>
        </row>
        <row r="1102">
          <cell r="A1102" t="str">
            <v>CSR</v>
          </cell>
          <cell r="B1102" t="str">
            <v>CUSTOMER SPECIFIED RELAY</v>
          </cell>
          <cell r="C1102" t="str">
            <v>A</v>
          </cell>
          <cell r="D1102">
            <v>138</v>
          </cell>
        </row>
        <row r="1103">
          <cell r="A1103" t="str">
            <v>FSO</v>
          </cell>
          <cell r="B1103" t="str">
            <v>FULL SIGN OPERATION</v>
          </cell>
          <cell r="C1103" t="str">
            <v>A</v>
          </cell>
          <cell r="D1103">
            <v>138</v>
          </cell>
        </row>
        <row r="1104">
          <cell r="A1104" t="str">
            <v>FSO-220</v>
          </cell>
          <cell r="B1104" t="str">
            <v>FULL SIGN OPERATION,220 VOLT</v>
          </cell>
          <cell r="C1104" t="str">
            <v>A</v>
          </cell>
          <cell r="D1104">
            <v>138</v>
          </cell>
        </row>
        <row r="1105">
          <cell r="A1105" t="str">
            <v>HF-01B</v>
          </cell>
          <cell r="B1105" t="str">
            <v>HAND HELD COMPUTER BINDER HOLDER</v>
          </cell>
          <cell r="C1105" t="str">
            <v>A</v>
          </cell>
          <cell r="D1105">
            <v>37</v>
          </cell>
        </row>
        <row r="1106">
          <cell r="A1106" t="str">
            <v>MA-200E</v>
          </cell>
          <cell r="B1106" t="str">
            <v>MINISCAN ACCESS HHC MANUAL (END USER)</v>
          </cell>
          <cell r="C1106" t="str">
            <v>A</v>
          </cell>
          <cell r="D1106">
            <v>76</v>
          </cell>
        </row>
        <row r="1107">
          <cell r="A1107" t="str">
            <v>MA-200S</v>
          </cell>
          <cell r="B1107" t="str">
            <v>MINISCAN ACCESS HHC (ZEROX)</v>
          </cell>
          <cell r="C1107" t="str">
            <v>A</v>
          </cell>
          <cell r="D1107">
            <v>27</v>
          </cell>
        </row>
        <row r="1108">
          <cell r="A1108" t="str">
            <v>MGO</v>
          </cell>
          <cell r="B1108" t="str">
            <v>MONITORED GATE OPERATION</v>
          </cell>
          <cell r="C1108" t="str">
            <v>A</v>
          </cell>
          <cell r="D1108">
            <v>138</v>
          </cell>
        </row>
        <row r="1109">
          <cell r="A1109" t="str">
            <v>MH-01B</v>
          </cell>
          <cell r="B1109" t="str">
            <v>MINISCAN SYSTEM THREE RING BINDER</v>
          </cell>
          <cell r="C1109" t="str">
            <v>A</v>
          </cell>
          <cell r="D1109">
            <v>27</v>
          </cell>
        </row>
        <row r="1110">
          <cell r="A1110" t="str">
            <v>MP-400S</v>
          </cell>
          <cell r="B1110" t="str">
            <v>MINISCAN PARKING HHC MANUAL (ZEROX)</v>
          </cell>
          <cell r="C1110" t="str">
            <v>A</v>
          </cell>
          <cell r="D1110">
            <v>0</v>
          </cell>
        </row>
        <row r="1111">
          <cell r="A1111" t="str">
            <v>MR-300S</v>
          </cell>
          <cell r="B1111" t="str">
            <v>MINISCAN REVENUE HHC MANUAL (ZEROX)</v>
          </cell>
          <cell r="C1111" t="str">
            <v>A</v>
          </cell>
          <cell r="D1111">
            <v>0</v>
          </cell>
        </row>
        <row r="1112">
          <cell r="A1112" t="str">
            <v>MSO</v>
          </cell>
          <cell r="B1112" t="str">
            <v>MASTER SLAVE GATE OPERATION</v>
          </cell>
          <cell r="C1112" t="str">
            <v>A</v>
          </cell>
          <cell r="D1112">
            <v>296</v>
          </cell>
        </row>
        <row r="1113">
          <cell r="A1113" t="str">
            <v>PH-100E</v>
          </cell>
          <cell r="B1113" t="str">
            <v>PASSPORT PLUS HHC MANUAL (END USER)</v>
          </cell>
          <cell r="C1113" t="str">
            <v>A</v>
          </cell>
          <cell r="D1113">
            <v>76</v>
          </cell>
        </row>
        <row r="1114">
          <cell r="A1114" t="str">
            <v>RFO</v>
          </cell>
          <cell r="B1114" t="str">
            <v>RADIO IN/FREE OUT OPERATION</v>
          </cell>
          <cell r="C1114" t="str">
            <v>A</v>
          </cell>
          <cell r="D1114">
            <v>335</v>
          </cell>
        </row>
        <row r="1115">
          <cell r="A1115" t="str">
            <v>RRO</v>
          </cell>
          <cell r="B1115" t="str">
            <v>REMOTE RAISE/LOWER OPERATION</v>
          </cell>
          <cell r="C1115" t="str">
            <v>A</v>
          </cell>
          <cell r="D1115">
            <v>138</v>
          </cell>
        </row>
        <row r="1116">
          <cell r="A1116" t="str">
            <v>RVO</v>
          </cell>
          <cell r="B1116" t="str">
            <v>REMOTE VEND OPERATION</v>
          </cell>
          <cell r="C1116" t="str">
            <v>A</v>
          </cell>
          <cell r="D1116">
            <v>335</v>
          </cell>
        </row>
        <row r="1117">
          <cell r="A1117" t="str">
            <v>SB-001688</v>
          </cell>
          <cell r="B1117" t="str">
            <v>SCAN MANUAL (ZEROX)</v>
          </cell>
          <cell r="C1117" t="str">
            <v>A</v>
          </cell>
          <cell r="D1117">
            <v>114</v>
          </cell>
        </row>
        <row r="1118">
          <cell r="A1118" t="str">
            <v>SB-002988</v>
          </cell>
          <cell r="B1118" t="str">
            <v>SCAN END USER MANUAL</v>
          </cell>
          <cell r="C1118" t="str">
            <v>A</v>
          </cell>
          <cell r="D1118">
            <v>226</v>
          </cell>
        </row>
        <row r="1119">
          <cell r="A1119" t="str">
            <v>SB-B688</v>
          </cell>
          <cell r="B1119" t="str">
            <v>SCAN RED 3 RING BINDER</v>
          </cell>
          <cell r="C1119" t="str">
            <v>A</v>
          </cell>
          <cell r="D1119">
            <v>46</v>
          </cell>
        </row>
        <row r="1120">
          <cell r="A1120" t="str">
            <v>SS-SC688</v>
          </cell>
          <cell r="B1120" t="str">
            <v>SCAN END USER MANUAL SLIPCASE (BLACK)</v>
          </cell>
          <cell r="C1120" t="str">
            <v>A</v>
          </cell>
          <cell r="D1120">
            <v>56</v>
          </cell>
        </row>
      </sheetData>
      <sheetData sheetId="28" refreshError="1"/>
      <sheetData sheetId="29" refreshError="1"/>
      <sheetData sheetId="30" refreshError="1"/>
      <sheetData sheetId="31" refreshError="1"/>
      <sheetData sheetId="32"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mix-size-rents"/>
      <sheetName val="vacancy"/>
      <sheetName val="unitmix"/>
      <sheetName val="rentanaly"/>
      <sheetName val="unitsize"/>
      <sheetName val="rentfoot"/>
      <sheetName val="in-unit"/>
      <sheetName val="project"/>
      <sheetName val="premiums"/>
      <sheetName val="security"/>
      <sheetName val="park"/>
      <sheetName val="Marketing effect."/>
      <sheetName val="RATING"/>
      <sheetName val="Rent Trends"/>
      <sheetName val="Vac Trends"/>
      <sheetName val="t-o$vacancy"/>
      <sheetName val="rent&amp;vac-trnds"/>
      <sheetName val="summary"/>
      <sheetName val="RENTANAL"/>
      <sheetName val="NARL"/>
      <sheetName val="Debt 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RET_ROC_Out "/>
      <sheetName val="OUTPUT"/>
      <sheetName val="Sheet1"/>
      <sheetName val="Inputs"/>
      <sheetName val="Monthly"/>
      <sheetName val="Sensitivity"/>
      <sheetName val="Dev_Budget"/>
      <sheetName val="IC_Charts"/>
      <sheetName val="Coinv_Charts"/>
      <sheetName val="Rent Comp Charts"/>
      <sheetName val="Annual"/>
      <sheetName val="OpEx"/>
      <sheetName val="Sale_Comps"/>
      <sheetName val="LTA_Data"/>
      <sheetName val="LIBOR"/>
      <sheetName val="ConstCurve"/>
    </sheetNames>
    <sheetDataSet>
      <sheetData sheetId="0" refreshError="1"/>
      <sheetData sheetId="1" refreshError="1"/>
      <sheetData sheetId="2" refreshError="1"/>
      <sheetData sheetId="3" refreshError="1"/>
      <sheetData sheetId="4"/>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8">
          <cell r="M8" t="e">
            <v>#N/A</v>
          </cell>
        </row>
      </sheetData>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sheetNames>
    <sheetDataSet>
      <sheetData sheetId="0"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laimer"/>
      <sheetName val="CF_Out_UF"/>
      <sheetName val="CF_Out_USD"/>
      <sheetName val="InvOut"/>
      <sheetName val="Inputs"/>
      <sheetName val="Market Comps "/>
      <sheetName val="Budget"/>
      <sheetName val="Hard Costs"/>
      <sheetName val="Opex"/>
      <sheetName val="Model_USD"/>
      <sheetName val="Model_UF"/>
      <sheetName val="ConstCurve"/>
      <sheetName val="UnitMix"/>
      <sheetName val="GenAss"/>
      <sheetName val="Project Layout"/>
      <sheetName val="Development Risk"/>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27565.79</v>
          </cell>
        </row>
      </sheetData>
      <sheetData sheetId="14"/>
      <sheetData sheetId="15"/>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PY"/>
      <sheetName val="org.CODE"/>
      <sheetName val="27-0000198"/>
      <sheetName val="245114237REN (2)"/>
      <sheetName val="245114237RR"/>
      <sheetName val="245114238REN (2)"/>
      <sheetName val="245114238RR"/>
      <sheetName val="245114239RR"/>
      <sheetName val="245114240REN (2)"/>
      <sheetName val="245114240RR"/>
      <sheetName val="245114242"/>
      <sheetName val="245114242RR"/>
      <sheetName val="245114243ENG"/>
      <sheetName val="245114243RR"/>
      <sheetName val="CODESORTED"/>
      <sheetName val="27-0000331"/>
      <sheetName val="THARD. INTEREST"/>
      <sheetName val="367000043LES."/>
      <sheetName val="36-7000006A"/>
      <sheetName val="36-7000006B"/>
      <sheetName val="36-7000006C"/>
      <sheetName val="36-7000006D"/>
      <sheetName val="27-0000113LES"/>
      <sheetName val="27-0000113RR"/>
      <sheetName val="168878901"/>
      <sheetName val="367000043RR"/>
      <sheetName val="142-60"/>
      <sheetName val="18-351"/>
      <sheetName val="885051013"/>
      <sheetName val="885051014"/>
      <sheetName val="885051015"/>
      <sheetName val="367000020RR"/>
      <sheetName val="367000020RC"/>
      <sheetName val="367000020OR"/>
      <sheetName val="367000045RR"/>
      <sheetName val="367000045RREM"/>
      <sheetName val="367000045OR"/>
      <sheetName val="367000053RR"/>
      <sheetName val="367000053RRR"/>
      <sheetName val="142-24B"/>
      <sheetName val="142-24A"/>
      <sheetName val="142-56A"/>
      <sheetName val="142-56B"/>
      <sheetName val="18-171"/>
      <sheetName val="888868971b"/>
      <sheetName val="888868971a"/>
      <sheetName val="911"/>
      <sheetName val="924"/>
      <sheetName val="364"/>
      <sheetName val="348"/>
      <sheetName val="335"/>
      <sheetName val="351"/>
      <sheetName val="367-35A"/>
      <sheetName val="367-35B"/>
      <sheetName val="32-151"/>
      <sheetName val="18-10a"/>
      <sheetName val="18-10b"/>
      <sheetName val="18-10c"/>
      <sheetName val="18-39A"/>
      <sheetName val="18-39B"/>
      <sheetName val="18-39C"/>
      <sheetName val="18-39D"/>
      <sheetName val="18-39E"/>
      <sheetName val="18-39F"/>
      <sheetName val="18-40A"/>
      <sheetName val="18-40B"/>
      <sheetName val="18-40C"/>
      <sheetName val="18-40D"/>
      <sheetName val="1"/>
      <sheetName val="88-8868836"/>
      <sheetName val="18-171c"/>
      <sheetName val="18-171b"/>
      <sheetName val="18-171a"/>
      <sheetName val="142-058"/>
      <sheetName val="142-63A"/>
      <sheetName val="142-63B"/>
      <sheetName val="142-68A"/>
      <sheetName val="142-68B"/>
      <sheetName val="142-61B"/>
      <sheetName val="142-61A"/>
      <sheetName val="142-069"/>
      <sheetName val="142-69A"/>
      <sheetName val="142-54A"/>
      <sheetName val="142-54B"/>
      <sheetName val="142-80A"/>
      <sheetName val="142-80B"/>
      <sheetName val="142-65a"/>
      <sheetName val="142-65b"/>
      <sheetName val="142-58A"/>
      <sheetName val="142-37A"/>
      <sheetName val="142-37B"/>
      <sheetName val="142-66A"/>
      <sheetName val="142-66B"/>
      <sheetName val="367-22A"/>
      <sheetName val="367-22B"/>
      <sheetName val="367-79"/>
      <sheetName val="01-500"/>
      <sheetName val="14-2010"/>
      <sheetName val="14-2040A"/>
      <sheetName val="14-2040B"/>
      <sheetName val="14-5113912A"/>
      <sheetName val="14-5113912B"/>
      <sheetName val="18-052A"/>
      <sheetName val="18-052B"/>
      <sheetName val="18-127"/>
      <sheetName val="18-131A"/>
      <sheetName val="18-131B"/>
      <sheetName val="18-167"/>
      <sheetName val="18-176"/>
      <sheetName val="18-242"/>
      <sheetName val="18-291"/>
      <sheetName val="19-503"/>
      <sheetName val="19-503A"/>
      <sheetName val="19-503B"/>
      <sheetName val="19-5114016"/>
      <sheetName val="22-004D"/>
      <sheetName val="22-004J"/>
      <sheetName val="22-004F"/>
      <sheetName val="24-5114125"/>
      <sheetName val="24-5114219"/>
      <sheetName val="24-5114132"/>
      <sheetName val="32-010"/>
      <sheetName val="32-018"/>
      <sheetName val="32-025A"/>
      <sheetName val="32-025B"/>
      <sheetName val="32-025C"/>
      <sheetName val="32-036"/>
      <sheetName val="32-026A"/>
      <sheetName val="32-026B"/>
      <sheetName val="32-026C"/>
      <sheetName val="32-067A"/>
      <sheetName val="32-067B"/>
      <sheetName val="32-083"/>
      <sheetName val="32-146D"/>
      <sheetName val="32-146J"/>
      <sheetName val="32-146F"/>
      <sheetName val="36-7096"/>
      <sheetName val="88-8868971A"/>
      <sheetName val="88-8868971B"/>
      <sheetName val="DD-AUG"/>
      <sheetName val="DD-SEPT"/>
      <sheetName val="DD-OCT"/>
      <sheetName val="DD-NOV"/>
      <sheetName val="DD-DEC"/>
      <sheetName val="DD-JAN"/>
      <sheetName val="DD-FEB"/>
      <sheetName val="DD-MARCH"/>
      <sheetName val="36-328"/>
      <sheetName val="36-328 (2)"/>
      <sheetName val="245114237REN"/>
      <sheetName val="245114238REN"/>
      <sheetName val="245114240REN"/>
      <sheetName val="Sheet6"/>
      <sheetName val="Sheet4"/>
      <sheetName val="4100-100 Commercial Rent"/>
      <sheetName val="RENTANAL"/>
      <sheetName val="Summary Annl"/>
      <sheetName val="Stand Alone Mo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TComps"/>
      <sheetName val="Property"/>
      <sheetName val="Occ Rooms"/>
      <sheetName val="Rooms Rev"/>
      <sheetName val="F&amp;B"/>
      <sheetName val="Mkt SPG"/>
      <sheetName val="TMFIR"/>
      <sheetName val="Owners Expense"/>
      <sheetName val="Miscellaneous"/>
      <sheetName val="HotComps2000"/>
      <sheetName val="Capital Input"/>
      <sheetName val="#REF"/>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
      <sheetName val="pldt"/>
      <sheetName val="Summary"/>
      <sheetName val="Assumptions"/>
      <sheetName val="SQFT Summary"/>
      <sheetName val="Lease Up"/>
      <sheetName val="Sale and IRR"/>
      <sheetName val="PROJECT COSTS"/>
      <sheetName val="Financing"/>
      <sheetName val="Const Loan Int. Calc"/>
      <sheetName val="Draw Schedule"/>
      <sheetName val="Oper Pro Forma"/>
      <sheetName val="Retail Argus"/>
      <sheetName val="Cash Flow"/>
      <sheetName val="RE TAX - 421a"/>
      <sheetName val="Opex Comparison"/>
      <sheetName val="Timeline"/>
      <sheetName val="JV Assumpt."/>
      <sheetName val="Bank Assumpt."/>
      <sheetName val="Presentation Project Budget"/>
      <sheetName val="Const. Loan Budget"/>
      <sheetName val="Qualified Costs"/>
      <sheetName val="Presentation CF"/>
      <sheetName val="Presentation RE Tax"/>
      <sheetName val="JV Terms"/>
      <sheetName val="Equity Analysis - 10% return"/>
      <sheetName val="JV Returns"/>
      <sheetName val="After-Tax JV Returns"/>
      <sheetName val="Neg Arb NO AFFORDABILITY"/>
      <sheetName val="HOTCo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06 revenue"/>
      <sheetName val="2006 summary"/>
      <sheetName val="BASE"/>
      <sheetName val="FREE RENT"/>
      <sheetName val="ELECT"/>
      <sheetName val="SUBMETER"/>
      <sheetName val="TAXESCAL"/>
      <sheetName val="CALCULATIONS ADJ"/>
      <sheetName val="PORTER"/>
      <sheetName val="PW Calcualations"/>
      <sheetName val="CPI"/>
      <sheetName val="MISC INCOME"/>
      <sheetName val="INVEST INC"/>
      <sheetName val="LEASCOMM"/>
      <sheetName val="TENINSTAL"/>
      <sheetName val="LEASE COSTS"/>
      <sheetName val="CAPITAL"/>
      <sheetName val="NEW "/>
      <sheetName val="RENEWAL"/>
      <sheetName val="Summary"/>
      <sheetName val="Revenue"/>
      <sheetName val="Base Rent"/>
      <sheetName val="Base Rent Credit"/>
      <sheetName val="Submetered Electric"/>
      <sheetName val="Real EstateTax"/>
      <sheetName val="Calculations"/>
      <sheetName val="Taxes"/>
      <sheetName val="CPI 2007"/>
      <sheetName val="Capital Improvements"/>
      <sheetName val="Tenant Improvements"/>
      <sheetName val="COMMISSIONS"/>
      <sheetName val="LEGAL LEASING"/>
      <sheetName val="Assumptions-Renew"/>
      <sheetName val="Assumptions-New"/>
      <sheetName val="Mortgage"/>
      <sheetName val="Payroll"/>
      <sheetName val="Cash"/>
      <sheetName val="Mortgage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napshot_Out"/>
      <sheetName val="InvOut"/>
      <sheetName val="Dash"/>
      <sheetName val="CF_Out_UF"/>
      <sheetName val="CF_Out_USD"/>
      <sheetName val="Inputs"/>
      <sheetName val="Budget"/>
      <sheetName val="Hard Cost"/>
      <sheetName val="Model"/>
      <sheetName val="ConstCurve"/>
      <sheetName val="UnitMix"/>
      <sheetName val="GenAss"/>
      <sheetName val="Opex"/>
      <sheetName val="Project Layout"/>
      <sheetName val="Annual"/>
    </sheetNames>
    <sheetDataSet>
      <sheetData sheetId="0"/>
      <sheetData sheetId="1"/>
      <sheetData sheetId="2"/>
      <sheetData sheetId="3"/>
      <sheetData sheetId="4"/>
      <sheetData sheetId="5">
        <row r="14">
          <cell r="E14">
            <v>2356</v>
          </cell>
        </row>
      </sheetData>
      <sheetData sheetId="6">
        <row r="7">
          <cell r="D7">
            <v>12</v>
          </cell>
        </row>
      </sheetData>
      <sheetData sheetId="7"/>
      <sheetData sheetId="8"/>
      <sheetData sheetId="9">
        <row r="13">
          <cell r="E13">
            <v>23</v>
          </cell>
        </row>
      </sheetData>
      <sheetData sheetId="10"/>
      <sheetData sheetId="11"/>
      <sheetData sheetId="12"/>
      <sheetData sheetId="13">
        <row r="49">
          <cell r="G49">
            <v>23702.687042044443</v>
          </cell>
        </row>
      </sheetData>
      <sheetData sheetId="14"/>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napshot_Out"/>
      <sheetName val="InvOut"/>
      <sheetName val="Dash"/>
      <sheetName val="CF_Out_UF"/>
      <sheetName val="CF_Out_USD"/>
      <sheetName val="Inputs"/>
      <sheetName val="Budget"/>
      <sheetName val="Hard Cost"/>
      <sheetName val="Model"/>
      <sheetName val="ConstCurve"/>
      <sheetName val="UnitMix"/>
      <sheetName val="GenAss"/>
      <sheetName val="Opex"/>
      <sheetName val="Project Layout"/>
      <sheetName val="Annual"/>
    </sheetNames>
    <sheetDataSet>
      <sheetData sheetId="0"/>
      <sheetData sheetId="1"/>
      <sheetData sheetId="2"/>
      <sheetData sheetId="3"/>
      <sheetData sheetId="4"/>
      <sheetData sheetId="5">
        <row r="14">
          <cell r="E14">
            <v>2356</v>
          </cell>
        </row>
      </sheetData>
      <sheetData sheetId="6">
        <row r="7">
          <cell r="D7">
            <v>12</v>
          </cell>
        </row>
      </sheetData>
      <sheetData sheetId="7"/>
      <sheetData sheetId="8"/>
      <sheetData sheetId="9">
        <row r="13">
          <cell r="E13">
            <v>23</v>
          </cell>
        </row>
      </sheetData>
      <sheetData sheetId="10"/>
      <sheetData sheetId="11"/>
      <sheetData sheetId="12"/>
      <sheetData sheetId="13">
        <row r="49">
          <cell r="G49">
            <v>23702.687042044443</v>
          </cell>
        </row>
      </sheetData>
      <sheetData sheetId="14"/>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F_diaria"/>
    </sheetNames>
    <sheetDataSet>
      <sheetData sheetId="0">
        <row r="6">
          <cell r="B6" t="str">
            <v>Día</v>
          </cell>
          <cell r="C6" t="str">
            <v>Enero</v>
          </cell>
          <cell r="D6" t="str">
            <v>Febrero</v>
          </cell>
          <cell r="E6" t="str">
            <v>Marzo</v>
          </cell>
          <cell r="F6" t="str">
            <v>Abril</v>
          </cell>
          <cell r="G6" t="str">
            <v>Mayo</v>
          </cell>
          <cell r="H6" t="str">
            <v>Junio</v>
          </cell>
          <cell r="I6" t="str">
            <v>Julio</v>
          </cell>
          <cell r="J6" t="str">
            <v>Agosto</v>
          </cell>
          <cell r="K6" t="str">
            <v>Septiembre</v>
          </cell>
          <cell r="L6" t="str">
            <v>Octubre</v>
          </cell>
          <cell r="M6" t="str">
            <v>Noviembre</v>
          </cell>
          <cell r="N6" t="str">
            <v>Diciembre</v>
          </cell>
        </row>
        <row r="9">
          <cell r="B9">
            <v>1</v>
          </cell>
          <cell r="J9">
            <v>389.1</v>
          </cell>
          <cell r="K9">
            <v>403.67</v>
          </cell>
          <cell r="L9">
            <v>417.79</v>
          </cell>
          <cell r="M9">
            <v>433.05</v>
          </cell>
          <cell r="N9">
            <v>450.52</v>
          </cell>
        </row>
        <row r="10">
          <cell r="B10">
            <v>2</v>
          </cell>
          <cell r="J10">
            <v>389.51</v>
          </cell>
          <cell r="K10">
            <v>404.17</v>
          </cell>
          <cell r="L10">
            <v>418.26</v>
          </cell>
          <cell r="M10">
            <v>433.56</v>
          </cell>
          <cell r="N10">
            <v>451.14</v>
          </cell>
        </row>
        <row r="11">
          <cell r="B11">
            <v>3</v>
          </cell>
          <cell r="J11">
            <v>389.91</v>
          </cell>
          <cell r="K11">
            <v>404.66</v>
          </cell>
          <cell r="L11">
            <v>418.72</v>
          </cell>
          <cell r="M11">
            <v>434.06</v>
          </cell>
          <cell r="N11">
            <v>451.76</v>
          </cell>
        </row>
        <row r="12">
          <cell r="B12">
            <v>4</v>
          </cell>
          <cell r="J12">
            <v>390.32</v>
          </cell>
          <cell r="K12">
            <v>405.16</v>
          </cell>
          <cell r="L12">
            <v>419.19</v>
          </cell>
          <cell r="M12">
            <v>434.57</v>
          </cell>
          <cell r="N12">
            <v>452.38</v>
          </cell>
        </row>
        <row r="13">
          <cell r="B13">
            <v>5</v>
          </cell>
          <cell r="J13">
            <v>390.73</v>
          </cell>
          <cell r="K13">
            <v>405.66</v>
          </cell>
          <cell r="L13">
            <v>419.66</v>
          </cell>
          <cell r="M13">
            <v>435.08</v>
          </cell>
          <cell r="N13">
            <v>453</v>
          </cell>
        </row>
        <row r="14">
          <cell r="B14">
            <v>6</v>
          </cell>
          <cell r="J14">
            <v>391.14</v>
          </cell>
          <cell r="K14">
            <v>406.17</v>
          </cell>
          <cell r="L14">
            <v>420.12</v>
          </cell>
          <cell r="M14">
            <v>435.59</v>
          </cell>
          <cell r="N14">
            <v>453.62</v>
          </cell>
        </row>
        <row r="15">
          <cell r="B15">
            <v>7</v>
          </cell>
          <cell r="J15">
            <v>391.55</v>
          </cell>
          <cell r="K15">
            <v>406.67</v>
          </cell>
          <cell r="L15">
            <v>420.59</v>
          </cell>
          <cell r="M15">
            <v>436.1</v>
          </cell>
          <cell r="N15">
            <v>454.24</v>
          </cell>
        </row>
        <row r="16">
          <cell r="B16">
            <v>8</v>
          </cell>
          <cell r="J16">
            <v>391.96</v>
          </cell>
          <cell r="K16">
            <v>407.17</v>
          </cell>
          <cell r="L16">
            <v>421.06</v>
          </cell>
          <cell r="M16">
            <v>436.61</v>
          </cell>
          <cell r="N16">
            <v>454.87</v>
          </cell>
        </row>
        <row r="17">
          <cell r="B17">
            <v>9</v>
          </cell>
          <cell r="J17">
            <v>392.37</v>
          </cell>
          <cell r="K17">
            <v>407.67</v>
          </cell>
          <cell r="L17">
            <v>421.53</v>
          </cell>
          <cell r="M17">
            <v>437.13</v>
          </cell>
          <cell r="N17">
            <v>455.49</v>
          </cell>
        </row>
        <row r="18">
          <cell r="B18">
            <v>10</v>
          </cell>
          <cell r="J18">
            <v>392.85</v>
          </cell>
          <cell r="K18">
            <v>408.12</v>
          </cell>
          <cell r="L18">
            <v>422.02</v>
          </cell>
          <cell r="M18">
            <v>437.73</v>
          </cell>
          <cell r="N18">
            <v>455.81</v>
          </cell>
        </row>
        <row r="19">
          <cell r="B19">
            <v>11</v>
          </cell>
          <cell r="J19">
            <v>393.34</v>
          </cell>
          <cell r="K19">
            <v>408.58</v>
          </cell>
          <cell r="L19">
            <v>422.52</v>
          </cell>
          <cell r="M19">
            <v>438.33</v>
          </cell>
          <cell r="N19">
            <v>456.13</v>
          </cell>
        </row>
        <row r="20">
          <cell r="B20">
            <v>12</v>
          </cell>
          <cell r="J20">
            <v>393.83</v>
          </cell>
          <cell r="K20">
            <v>409.04</v>
          </cell>
          <cell r="L20">
            <v>423.01</v>
          </cell>
          <cell r="M20">
            <v>438.93</v>
          </cell>
          <cell r="N20">
            <v>456.45</v>
          </cell>
        </row>
        <row r="21">
          <cell r="B21">
            <v>13</v>
          </cell>
          <cell r="J21">
            <v>394.31</v>
          </cell>
          <cell r="K21">
            <v>409.49</v>
          </cell>
          <cell r="L21">
            <v>423.51</v>
          </cell>
          <cell r="M21">
            <v>439.53</v>
          </cell>
          <cell r="N21">
            <v>456.77</v>
          </cell>
        </row>
        <row r="22">
          <cell r="B22">
            <v>14</v>
          </cell>
          <cell r="J22">
            <v>394.8</v>
          </cell>
          <cell r="K22">
            <v>409.95</v>
          </cell>
          <cell r="L22">
            <v>424.01</v>
          </cell>
          <cell r="M22">
            <v>440.14</v>
          </cell>
          <cell r="N22">
            <v>457.09</v>
          </cell>
        </row>
        <row r="23">
          <cell r="B23">
            <v>15</v>
          </cell>
          <cell r="J23">
            <v>395.29</v>
          </cell>
          <cell r="K23">
            <v>410.41</v>
          </cell>
          <cell r="L23">
            <v>424.5</v>
          </cell>
          <cell r="M23">
            <v>440.74</v>
          </cell>
          <cell r="N23">
            <v>457.41</v>
          </cell>
        </row>
        <row r="24">
          <cell r="B24">
            <v>16</v>
          </cell>
          <cell r="J24">
            <v>395.77</v>
          </cell>
          <cell r="K24">
            <v>410.86</v>
          </cell>
          <cell r="L24">
            <v>425</v>
          </cell>
          <cell r="M24">
            <v>441.35</v>
          </cell>
          <cell r="N24">
            <v>457.73</v>
          </cell>
        </row>
        <row r="25">
          <cell r="B25">
            <v>17</v>
          </cell>
          <cell r="J25">
            <v>396.26</v>
          </cell>
          <cell r="K25">
            <v>411.32</v>
          </cell>
          <cell r="L25">
            <v>425.5</v>
          </cell>
          <cell r="M25">
            <v>441.95</v>
          </cell>
          <cell r="N25">
            <v>458.06</v>
          </cell>
        </row>
        <row r="26">
          <cell r="B26">
            <v>18</v>
          </cell>
          <cell r="J26">
            <v>396.75</v>
          </cell>
          <cell r="K26">
            <v>411.78</v>
          </cell>
          <cell r="L26">
            <v>426</v>
          </cell>
          <cell r="M26">
            <v>442.56</v>
          </cell>
          <cell r="N26">
            <v>458.38</v>
          </cell>
        </row>
        <row r="27">
          <cell r="B27">
            <v>19</v>
          </cell>
          <cell r="J27">
            <v>397.24</v>
          </cell>
          <cell r="K27">
            <v>412.24</v>
          </cell>
          <cell r="L27">
            <v>426.5</v>
          </cell>
          <cell r="M27">
            <v>443.17</v>
          </cell>
          <cell r="N27">
            <v>458.7</v>
          </cell>
        </row>
        <row r="28">
          <cell r="B28">
            <v>20</v>
          </cell>
          <cell r="J28">
            <v>397.73</v>
          </cell>
          <cell r="K28">
            <v>412.7</v>
          </cell>
          <cell r="L28">
            <v>427</v>
          </cell>
          <cell r="M28">
            <v>443.77</v>
          </cell>
          <cell r="N28">
            <v>459.02</v>
          </cell>
        </row>
        <row r="29">
          <cell r="B29">
            <v>21</v>
          </cell>
          <cell r="J29">
            <v>398.22</v>
          </cell>
          <cell r="K29">
            <v>413.16</v>
          </cell>
          <cell r="L29">
            <v>427.5</v>
          </cell>
          <cell r="M29">
            <v>444.38</v>
          </cell>
          <cell r="N29">
            <v>459.34</v>
          </cell>
        </row>
        <row r="30">
          <cell r="B30">
            <v>22</v>
          </cell>
          <cell r="J30">
            <v>398.72</v>
          </cell>
          <cell r="K30">
            <v>413.62</v>
          </cell>
          <cell r="L30">
            <v>428</v>
          </cell>
          <cell r="M30">
            <v>444.99</v>
          </cell>
          <cell r="N30">
            <v>459.67</v>
          </cell>
        </row>
        <row r="31">
          <cell r="B31">
            <v>23</v>
          </cell>
          <cell r="J31">
            <v>399.21</v>
          </cell>
          <cell r="K31">
            <v>414.08</v>
          </cell>
          <cell r="L31">
            <v>428.5</v>
          </cell>
          <cell r="M31">
            <v>445.6</v>
          </cell>
          <cell r="N31">
            <v>459.99</v>
          </cell>
        </row>
        <row r="32">
          <cell r="B32">
            <v>24</v>
          </cell>
          <cell r="J32">
            <v>399.7</v>
          </cell>
          <cell r="K32">
            <v>414.54</v>
          </cell>
          <cell r="L32">
            <v>429.01</v>
          </cell>
          <cell r="M32">
            <v>446.22</v>
          </cell>
          <cell r="N32">
            <v>460.31</v>
          </cell>
        </row>
        <row r="33">
          <cell r="B33">
            <v>25</v>
          </cell>
          <cell r="J33">
            <v>400.19</v>
          </cell>
          <cell r="K33">
            <v>415</v>
          </cell>
          <cell r="L33">
            <v>429.51</v>
          </cell>
          <cell r="M33">
            <v>446.83</v>
          </cell>
          <cell r="N33">
            <v>460.63</v>
          </cell>
        </row>
        <row r="34">
          <cell r="B34">
            <v>26</v>
          </cell>
          <cell r="J34">
            <v>400.69</v>
          </cell>
          <cell r="K34">
            <v>415.47</v>
          </cell>
          <cell r="L34">
            <v>430.01</v>
          </cell>
          <cell r="M34">
            <v>447.44</v>
          </cell>
          <cell r="N34">
            <v>460.96</v>
          </cell>
        </row>
        <row r="35">
          <cell r="B35">
            <v>27</v>
          </cell>
          <cell r="J35">
            <v>401.18</v>
          </cell>
          <cell r="K35">
            <v>415.93</v>
          </cell>
          <cell r="L35">
            <v>430.52</v>
          </cell>
          <cell r="M35">
            <v>448.05</v>
          </cell>
          <cell r="N35">
            <v>461.28</v>
          </cell>
        </row>
        <row r="36">
          <cell r="B36">
            <v>28</v>
          </cell>
          <cell r="J36">
            <v>401.68</v>
          </cell>
          <cell r="K36">
            <v>416.39</v>
          </cell>
          <cell r="L36">
            <v>431.02</v>
          </cell>
          <cell r="M36">
            <v>448.67</v>
          </cell>
          <cell r="N36">
            <v>461.61</v>
          </cell>
        </row>
        <row r="37">
          <cell r="B37">
            <v>29</v>
          </cell>
          <cell r="J37">
            <v>402.18</v>
          </cell>
          <cell r="K37">
            <v>416.86</v>
          </cell>
          <cell r="L37">
            <v>431.53</v>
          </cell>
          <cell r="M37">
            <v>449.29</v>
          </cell>
          <cell r="N37">
            <v>461.93</v>
          </cell>
        </row>
        <row r="38">
          <cell r="B38">
            <v>30</v>
          </cell>
          <cell r="J38">
            <v>402.67</v>
          </cell>
          <cell r="K38">
            <v>417.32</v>
          </cell>
          <cell r="L38">
            <v>432.03</v>
          </cell>
          <cell r="M38">
            <v>449.9</v>
          </cell>
          <cell r="N38">
            <v>462.25</v>
          </cell>
        </row>
        <row r="39">
          <cell r="B39">
            <v>31</v>
          </cell>
          <cell r="J39">
            <v>403.17</v>
          </cell>
          <cell r="L39">
            <v>432.54</v>
          </cell>
          <cell r="N39">
            <v>462.58</v>
          </cell>
        </row>
        <row r="40">
          <cell r="B40">
            <v>1</v>
          </cell>
          <cell r="C40">
            <v>462.9</v>
          </cell>
          <cell r="D40">
            <v>476.17</v>
          </cell>
          <cell r="E40">
            <v>486.09</v>
          </cell>
          <cell r="F40">
            <v>497.25</v>
          </cell>
          <cell r="G40">
            <v>510.91</v>
          </cell>
          <cell r="H40">
            <v>524.72</v>
          </cell>
          <cell r="I40">
            <v>536.32000000000005</v>
          </cell>
          <cell r="J40">
            <v>547.28</v>
          </cell>
          <cell r="K40">
            <v>560.26</v>
          </cell>
          <cell r="L40">
            <v>575.37</v>
          </cell>
          <cell r="M40">
            <v>592.05999999999995</v>
          </cell>
          <cell r="N40">
            <v>604.73</v>
          </cell>
        </row>
        <row r="41">
          <cell r="B41">
            <v>2</v>
          </cell>
          <cell r="C41">
            <v>463.23</v>
          </cell>
          <cell r="D41">
            <v>476.64</v>
          </cell>
          <cell r="E41">
            <v>486.4</v>
          </cell>
          <cell r="F41">
            <v>497.63</v>
          </cell>
          <cell r="G41">
            <v>511.4</v>
          </cell>
          <cell r="H41">
            <v>525.15</v>
          </cell>
          <cell r="I41">
            <v>536.69000000000005</v>
          </cell>
          <cell r="J41">
            <v>547.63</v>
          </cell>
          <cell r="K41">
            <v>560.71</v>
          </cell>
          <cell r="L41">
            <v>575.9</v>
          </cell>
          <cell r="M41">
            <v>592.6</v>
          </cell>
          <cell r="N41">
            <v>605.11</v>
          </cell>
        </row>
        <row r="42">
          <cell r="B42">
            <v>3</v>
          </cell>
          <cell r="C42">
            <v>463.55</v>
          </cell>
          <cell r="D42">
            <v>477.11</v>
          </cell>
          <cell r="E42">
            <v>486.71</v>
          </cell>
          <cell r="F42">
            <v>498.01</v>
          </cell>
          <cell r="G42">
            <v>511.88</v>
          </cell>
          <cell r="H42">
            <v>525.59</v>
          </cell>
          <cell r="I42">
            <v>537.07000000000005</v>
          </cell>
          <cell r="J42">
            <v>547.98</v>
          </cell>
          <cell r="K42">
            <v>561.15</v>
          </cell>
          <cell r="L42">
            <v>576.44000000000005</v>
          </cell>
          <cell r="M42">
            <v>593.15</v>
          </cell>
          <cell r="N42">
            <v>605.49</v>
          </cell>
        </row>
        <row r="43">
          <cell r="B43">
            <v>4</v>
          </cell>
          <cell r="C43">
            <v>463.88</v>
          </cell>
          <cell r="D43">
            <v>477.58</v>
          </cell>
          <cell r="E43">
            <v>487.02</v>
          </cell>
          <cell r="F43">
            <v>498.4</v>
          </cell>
          <cell r="G43">
            <v>512.37</v>
          </cell>
          <cell r="H43">
            <v>526.02</v>
          </cell>
          <cell r="I43">
            <v>537.44000000000005</v>
          </cell>
          <cell r="J43">
            <v>548.33000000000004</v>
          </cell>
          <cell r="K43">
            <v>561.6</v>
          </cell>
          <cell r="L43">
            <v>576.97</v>
          </cell>
          <cell r="M43">
            <v>593.70000000000005</v>
          </cell>
          <cell r="N43">
            <v>605.87</v>
          </cell>
        </row>
        <row r="44">
          <cell r="B44">
            <v>5</v>
          </cell>
          <cell r="C44">
            <v>464.21</v>
          </cell>
          <cell r="D44">
            <v>478.05</v>
          </cell>
          <cell r="E44">
            <v>487.34</v>
          </cell>
          <cell r="F44">
            <v>498.78</v>
          </cell>
          <cell r="G44">
            <v>512.86</v>
          </cell>
          <cell r="H44">
            <v>526.46</v>
          </cell>
          <cell r="I44">
            <v>537.80999999999995</v>
          </cell>
          <cell r="J44">
            <v>548.67999999999995</v>
          </cell>
          <cell r="K44">
            <v>562.04999999999995</v>
          </cell>
          <cell r="L44">
            <v>577.5</v>
          </cell>
          <cell r="M44">
            <v>594.24</v>
          </cell>
          <cell r="N44">
            <v>606.25</v>
          </cell>
        </row>
        <row r="45">
          <cell r="B45">
            <v>6</v>
          </cell>
          <cell r="C45">
            <v>464.53</v>
          </cell>
          <cell r="D45">
            <v>478.52</v>
          </cell>
          <cell r="E45">
            <v>487.65</v>
          </cell>
          <cell r="F45">
            <v>499.16</v>
          </cell>
          <cell r="G45">
            <v>513.35</v>
          </cell>
          <cell r="H45">
            <v>526.89</v>
          </cell>
          <cell r="I45">
            <v>538.17999999999995</v>
          </cell>
          <cell r="J45">
            <v>549.03</v>
          </cell>
          <cell r="K45">
            <v>562.5</v>
          </cell>
          <cell r="L45">
            <v>578.03</v>
          </cell>
          <cell r="M45">
            <v>594.79</v>
          </cell>
          <cell r="N45">
            <v>606.63</v>
          </cell>
        </row>
        <row r="46">
          <cell r="B46">
            <v>7</v>
          </cell>
          <cell r="C46">
            <v>464.86</v>
          </cell>
          <cell r="D46">
            <v>479</v>
          </cell>
          <cell r="E46">
            <v>487.96</v>
          </cell>
          <cell r="F46">
            <v>499.54</v>
          </cell>
          <cell r="G46">
            <v>513.84</v>
          </cell>
          <cell r="H46">
            <v>527.33000000000004</v>
          </cell>
          <cell r="I46">
            <v>538.55999999999995</v>
          </cell>
          <cell r="J46">
            <v>549.38</v>
          </cell>
          <cell r="K46">
            <v>562.94000000000005</v>
          </cell>
          <cell r="L46">
            <v>578.55999999999995</v>
          </cell>
          <cell r="M46">
            <v>595.34</v>
          </cell>
          <cell r="N46">
            <v>607.01</v>
          </cell>
        </row>
        <row r="47">
          <cell r="B47">
            <v>8</v>
          </cell>
          <cell r="C47">
            <v>465.18</v>
          </cell>
          <cell r="D47">
            <v>479.47</v>
          </cell>
          <cell r="E47">
            <v>488.27</v>
          </cell>
          <cell r="F47">
            <v>499.92</v>
          </cell>
          <cell r="G47">
            <v>514.33000000000004</v>
          </cell>
          <cell r="H47">
            <v>527.77</v>
          </cell>
          <cell r="I47">
            <v>538.92999999999995</v>
          </cell>
          <cell r="J47">
            <v>549.73</v>
          </cell>
          <cell r="K47">
            <v>563.39</v>
          </cell>
          <cell r="L47">
            <v>579.09</v>
          </cell>
          <cell r="M47">
            <v>595.89</v>
          </cell>
          <cell r="N47">
            <v>607.39</v>
          </cell>
        </row>
        <row r="48">
          <cell r="B48">
            <v>9</v>
          </cell>
          <cell r="C48">
            <v>465.51</v>
          </cell>
          <cell r="D48">
            <v>479.94</v>
          </cell>
          <cell r="E48">
            <v>488.58</v>
          </cell>
          <cell r="F48">
            <v>500.31</v>
          </cell>
          <cell r="G48">
            <v>514.82000000000005</v>
          </cell>
          <cell r="H48">
            <v>528.21</v>
          </cell>
          <cell r="I48">
            <v>539.29999999999995</v>
          </cell>
          <cell r="J48">
            <v>550.09</v>
          </cell>
          <cell r="K48">
            <v>563.84</v>
          </cell>
          <cell r="L48">
            <v>579.63</v>
          </cell>
          <cell r="M48">
            <v>596.44000000000005</v>
          </cell>
          <cell r="N48">
            <v>607.77</v>
          </cell>
        </row>
        <row r="49">
          <cell r="B49">
            <v>10</v>
          </cell>
          <cell r="C49">
            <v>465.97</v>
          </cell>
          <cell r="D49">
            <v>480.25</v>
          </cell>
          <cell r="E49">
            <v>488.95</v>
          </cell>
          <cell r="F49">
            <v>500.79</v>
          </cell>
          <cell r="G49">
            <v>515.25</v>
          </cell>
          <cell r="H49">
            <v>528.58000000000004</v>
          </cell>
          <cell r="I49">
            <v>539.64</v>
          </cell>
          <cell r="J49">
            <v>550.53</v>
          </cell>
          <cell r="K49">
            <v>564.36</v>
          </cell>
          <cell r="L49">
            <v>580.16</v>
          </cell>
          <cell r="M49">
            <v>596.80999999999995</v>
          </cell>
          <cell r="N49">
            <v>608.02</v>
          </cell>
        </row>
        <row r="50">
          <cell r="B50">
            <v>11</v>
          </cell>
          <cell r="C50">
            <v>466.43</v>
          </cell>
          <cell r="D50">
            <v>480.55</v>
          </cell>
          <cell r="E50">
            <v>489.33</v>
          </cell>
          <cell r="F50">
            <v>501.26</v>
          </cell>
          <cell r="G50">
            <v>515.66999999999996</v>
          </cell>
          <cell r="H50">
            <v>528.94000000000005</v>
          </cell>
          <cell r="I50">
            <v>539.99</v>
          </cell>
          <cell r="J50">
            <v>550.97</v>
          </cell>
          <cell r="K50">
            <v>564.88</v>
          </cell>
          <cell r="L50">
            <v>580.70000000000005</v>
          </cell>
          <cell r="M50">
            <v>597.19000000000005</v>
          </cell>
          <cell r="N50">
            <v>608.28</v>
          </cell>
        </row>
        <row r="51">
          <cell r="B51">
            <v>12</v>
          </cell>
          <cell r="C51">
            <v>466.89</v>
          </cell>
          <cell r="D51">
            <v>480.86</v>
          </cell>
          <cell r="E51">
            <v>489.7</v>
          </cell>
          <cell r="F51">
            <v>501.74</v>
          </cell>
          <cell r="G51">
            <v>516.1</v>
          </cell>
          <cell r="H51">
            <v>529.30999999999995</v>
          </cell>
          <cell r="I51">
            <v>540.33000000000004</v>
          </cell>
          <cell r="J51">
            <v>551.41</v>
          </cell>
          <cell r="K51">
            <v>565.4</v>
          </cell>
          <cell r="L51">
            <v>581.24</v>
          </cell>
          <cell r="M51">
            <v>597.55999999999995</v>
          </cell>
          <cell r="N51">
            <v>608.53</v>
          </cell>
        </row>
        <row r="52">
          <cell r="B52">
            <v>13</v>
          </cell>
          <cell r="C52">
            <v>467.35</v>
          </cell>
          <cell r="D52">
            <v>481.16</v>
          </cell>
          <cell r="E52">
            <v>490.08</v>
          </cell>
          <cell r="F52">
            <v>502.22</v>
          </cell>
          <cell r="G52">
            <v>516.53</v>
          </cell>
          <cell r="H52">
            <v>529.67999999999995</v>
          </cell>
          <cell r="I52">
            <v>540.67999999999995</v>
          </cell>
          <cell r="J52">
            <v>551.85</v>
          </cell>
          <cell r="K52">
            <v>565.91999999999996</v>
          </cell>
          <cell r="L52">
            <v>581.77</v>
          </cell>
          <cell r="M52">
            <v>597.94000000000005</v>
          </cell>
          <cell r="N52">
            <v>608.78</v>
          </cell>
        </row>
        <row r="53">
          <cell r="B53">
            <v>14</v>
          </cell>
          <cell r="C53">
            <v>467.81</v>
          </cell>
          <cell r="D53">
            <v>481.47</v>
          </cell>
          <cell r="E53">
            <v>490.45</v>
          </cell>
          <cell r="F53">
            <v>502.7</v>
          </cell>
          <cell r="G53">
            <v>516.96</v>
          </cell>
          <cell r="H53">
            <v>530.04</v>
          </cell>
          <cell r="I53">
            <v>541.03</v>
          </cell>
          <cell r="J53">
            <v>552.29</v>
          </cell>
          <cell r="K53">
            <v>566.44000000000005</v>
          </cell>
          <cell r="L53">
            <v>582.30999999999995</v>
          </cell>
          <cell r="M53">
            <v>598.30999999999995</v>
          </cell>
          <cell r="N53">
            <v>609.04</v>
          </cell>
        </row>
        <row r="54">
          <cell r="B54">
            <v>15</v>
          </cell>
          <cell r="C54">
            <v>468.27</v>
          </cell>
          <cell r="D54">
            <v>481.78</v>
          </cell>
          <cell r="E54">
            <v>490.83</v>
          </cell>
          <cell r="F54">
            <v>503.18</v>
          </cell>
          <cell r="G54">
            <v>517.38</v>
          </cell>
          <cell r="H54">
            <v>530.41</v>
          </cell>
          <cell r="I54">
            <v>541.37</v>
          </cell>
          <cell r="J54">
            <v>552.73</v>
          </cell>
          <cell r="K54">
            <v>566.96</v>
          </cell>
          <cell r="L54">
            <v>582.85</v>
          </cell>
          <cell r="M54">
            <v>598.69000000000005</v>
          </cell>
          <cell r="N54">
            <v>609.29</v>
          </cell>
        </row>
        <row r="55">
          <cell r="B55">
            <v>16</v>
          </cell>
          <cell r="C55">
            <v>468.73</v>
          </cell>
          <cell r="D55">
            <v>482.09</v>
          </cell>
          <cell r="E55">
            <v>491.2</v>
          </cell>
          <cell r="F55">
            <v>503.66</v>
          </cell>
          <cell r="G55">
            <v>517.80999999999995</v>
          </cell>
          <cell r="H55">
            <v>530.78</v>
          </cell>
          <cell r="I55">
            <v>541.72</v>
          </cell>
          <cell r="J55">
            <v>553.16999999999996</v>
          </cell>
          <cell r="K55">
            <v>567.48</v>
          </cell>
          <cell r="L55">
            <v>583.38</v>
          </cell>
          <cell r="M55">
            <v>599.07000000000005</v>
          </cell>
          <cell r="N55">
            <v>609.54999999999995</v>
          </cell>
        </row>
        <row r="56">
          <cell r="B56">
            <v>17</v>
          </cell>
          <cell r="C56">
            <v>469.19</v>
          </cell>
          <cell r="D56">
            <v>482.39</v>
          </cell>
          <cell r="E56">
            <v>491.58</v>
          </cell>
          <cell r="F56">
            <v>504.14</v>
          </cell>
          <cell r="G56">
            <v>518.24</v>
          </cell>
          <cell r="H56">
            <v>531.15</v>
          </cell>
          <cell r="I56">
            <v>542.05999999999995</v>
          </cell>
          <cell r="J56">
            <v>553.61</v>
          </cell>
          <cell r="K56">
            <v>568.01</v>
          </cell>
          <cell r="L56">
            <v>583.91999999999996</v>
          </cell>
          <cell r="M56">
            <v>599.44000000000005</v>
          </cell>
          <cell r="N56">
            <v>609.79999999999995</v>
          </cell>
        </row>
        <row r="57">
          <cell r="B57">
            <v>18</v>
          </cell>
          <cell r="C57">
            <v>469.65</v>
          </cell>
          <cell r="D57">
            <v>482.7</v>
          </cell>
          <cell r="E57">
            <v>491.96</v>
          </cell>
          <cell r="F57">
            <v>504.62</v>
          </cell>
          <cell r="G57">
            <v>518.66999999999996</v>
          </cell>
          <cell r="H57">
            <v>531.51</v>
          </cell>
          <cell r="I57">
            <v>542.41</v>
          </cell>
          <cell r="J57">
            <v>554.04999999999995</v>
          </cell>
          <cell r="K57">
            <v>568.53</v>
          </cell>
          <cell r="L57">
            <v>584.46</v>
          </cell>
          <cell r="M57">
            <v>599.82000000000005</v>
          </cell>
          <cell r="N57">
            <v>610.04999999999995</v>
          </cell>
        </row>
        <row r="58">
          <cell r="B58">
            <v>19</v>
          </cell>
          <cell r="C58">
            <v>470.12</v>
          </cell>
          <cell r="D58">
            <v>483.01</v>
          </cell>
          <cell r="E58">
            <v>492.33</v>
          </cell>
          <cell r="F58">
            <v>505.1</v>
          </cell>
          <cell r="G58">
            <v>519.1</v>
          </cell>
          <cell r="H58">
            <v>531.88</v>
          </cell>
          <cell r="I58">
            <v>542.76</v>
          </cell>
          <cell r="J58">
            <v>554.49</v>
          </cell>
          <cell r="K58">
            <v>569.04999999999995</v>
          </cell>
          <cell r="L58">
            <v>585</v>
          </cell>
          <cell r="M58">
            <v>600.19000000000005</v>
          </cell>
          <cell r="N58">
            <v>610.30999999999995</v>
          </cell>
        </row>
        <row r="59">
          <cell r="B59">
            <v>20</v>
          </cell>
          <cell r="C59">
            <v>470.58</v>
          </cell>
          <cell r="D59">
            <v>483.32</v>
          </cell>
          <cell r="E59">
            <v>492.71</v>
          </cell>
          <cell r="F59">
            <v>505.58</v>
          </cell>
          <cell r="G59">
            <v>519.53</v>
          </cell>
          <cell r="H59">
            <v>532.25</v>
          </cell>
          <cell r="I59">
            <v>543.1</v>
          </cell>
          <cell r="J59">
            <v>554.92999999999995</v>
          </cell>
          <cell r="K59">
            <v>569.58000000000004</v>
          </cell>
          <cell r="L59">
            <v>585.54</v>
          </cell>
          <cell r="M59">
            <v>600.57000000000005</v>
          </cell>
          <cell r="N59">
            <v>610.55999999999995</v>
          </cell>
        </row>
        <row r="60">
          <cell r="B60">
            <v>21</v>
          </cell>
          <cell r="C60">
            <v>471.04</v>
          </cell>
          <cell r="D60">
            <v>483.62</v>
          </cell>
          <cell r="E60">
            <v>493.09</v>
          </cell>
          <cell r="F60">
            <v>506.06</v>
          </cell>
          <cell r="G60">
            <v>519.96</v>
          </cell>
          <cell r="H60">
            <v>532.62</v>
          </cell>
          <cell r="I60">
            <v>543.45000000000005</v>
          </cell>
          <cell r="J60">
            <v>555.37</v>
          </cell>
          <cell r="K60">
            <v>570.1</v>
          </cell>
          <cell r="L60">
            <v>586.08000000000004</v>
          </cell>
          <cell r="M60">
            <v>600.95000000000005</v>
          </cell>
          <cell r="N60">
            <v>610.82000000000005</v>
          </cell>
        </row>
        <row r="61">
          <cell r="B61">
            <v>22</v>
          </cell>
          <cell r="C61">
            <v>471.51</v>
          </cell>
          <cell r="D61">
            <v>483.93</v>
          </cell>
          <cell r="E61">
            <v>493.46</v>
          </cell>
          <cell r="F61">
            <v>506.55</v>
          </cell>
          <cell r="G61">
            <v>520.39</v>
          </cell>
          <cell r="H61">
            <v>532.99</v>
          </cell>
          <cell r="I61">
            <v>543.79999999999995</v>
          </cell>
          <cell r="J61">
            <v>555.82000000000005</v>
          </cell>
          <cell r="K61">
            <v>570.63</v>
          </cell>
          <cell r="L61">
            <v>586.62</v>
          </cell>
          <cell r="M61">
            <v>601.32000000000005</v>
          </cell>
          <cell r="N61">
            <v>611.07000000000005</v>
          </cell>
        </row>
        <row r="62">
          <cell r="B62">
            <v>23</v>
          </cell>
          <cell r="C62">
            <v>471.97</v>
          </cell>
          <cell r="D62">
            <v>484.24</v>
          </cell>
          <cell r="E62">
            <v>493.84</v>
          </cell>
          <cell r="F62">
            <v>507.03</v>
          </cell>
          <cell r="G62">
            <v>520.82000000000005</v>
          </cell>
          <cell r="H62">
            <v>533.36</v>
          </cell>
          <cell r="I62">
            <v>544.14</v>
          </cell>
          <cell r="J62">
            <v>556.26</v>
          </cell>
          <cell r="K62">
            <v>571.15</v>
          </cell>
          <cell r="L62">
            <v>587.16</v>
          </cell>
          <cell r="M62">
            <v>601.70000000000005</v>
          </cell>
          <cell r="N62">
            <v>611.33000000000004</v>
          </cell>
        </row>
        <row r="63">
          <cell r="B63">
            <v>24</v>
          </cell>
          <cell r="C63">
            <v>472.44</v>
          </cell>
          <cell r="D63">
            <v>484.55</v>
          </cell>
          <cell r="E63">
            <v>494.22</v>
          </cell>
          <cell r="F63">
            <v>507.51</v>
          </cell>
          <cell r="G63">
            <v>521.25</v>
          </cell>
          <cell r="H63">
            <v>533.73</v>
          </cell>
          <cell r="I63">
            <v>544.49</v>
          </cell>
          <cell r="J63">
            <v>556.70000000000005</v>
          </cell>
          <cell r="K63">
            <v>571.67999999999995</v>
          </cell>
          <cell r="L63">
            <v>587.70000000000005</v>
          </cell>
          <cell r="M63">
            <v>602.08000000000004</v>
          </cell>
          <cell r="N63">
            <v>611.58000000000004</v>
          </cell>
        </row>
        <row r="64">
          <cell r="B64">
            <v>25</v>
          </cell>
          <cell r="C64">
            <v>472.9</v>
          </cell>
          <cell r="D64">
            <v>484.86</v>
          </cell>
          <cell r="E64">
            <v>494.6</v>
          </cell>
          <cell r="F64">
            <v>508</v>
          </cell>
          <cell r="G64">
            <v>521.69000000000005</v>
          </cell>
          <cell r="H64">
            <v>534.1</v>
          </cell>
          <cell r="I64">
            <v>544.84</v>
          </cell>
          <cell r="J64">
            <v>557.15</v>
          </cell>
          <cell r="K64">
            <v>572.21</v>
          </cell>
          <cell r="L64">
            <v>588.25</v>
          </cell>
          <cell r="M64">
            <v>602.46</v>
          </cell>
          <cell r="N64">
            <v>611.84</v>
          </cell>
        </row>
        <row r="65">
          <cell r="B65">
            <v>26</v>
          </cell>
          <cell r="C65">
            <v>473.37</v>
          </cell>
          <cell r="D65">
            <v>485.17</v>
          </cell>
          <cell r="E65">
            <v>494.98</v>
          </cell>
          <cell r="F65">
            <v>508.48</v>
          </cell>
          <cell r="G65">
            <v>522.12</v>
          </cell>
          <cell r="H65">
            <v>534.47</v>
          </cell>
          <cell r="I65">
            <v>545.19000000000005</v>
          </cell>
          <cell r="J65">
            <v>557.59</v>
          </cell>
          <cell r="K65">
            <v>572.73</v>
          </cell>
          <cell r="L65">
            <v>588.79</v>
          </cell>
          <cell r="M65">
            <v>602.84</v>
          </cell>
          <cell r="N65">
            <v>612.09</v>
          </cell>
        </row>
        <row r="66">
          <cell r="B66">
            <v>27</v>
          </cell>
          <cell r="C66">
            <v>473.84</v>
          </cell>
          <cell r="D66">
            <v>485.48</v>
          </cell>
          <cell r="E66">
            <v>495.35</v>
          </cell>
          <cell r="F66">
            <v>508.97</v>
          </cell>
          <cell r="G66">
            <v>522.54999999999995</v>
          </cell>
          <cell r="H66">
            <v>534.84</v>
          </cell>
          <cell r="I66">
            <v>545.54</v>
          </cell>
          <cell r="J66">
            <v>558.03</v>
          </cell>
          <cell r="K66">
            <v>573.26</v>
          </cell>
          <cell r="L66">
            <v>589.33000000000004</v>
          </cell>
          <cell r="M66">
            <v>603.21</v>
          </cell>
          <cell r="N66">
            <v>612.35</v>
          </cell>
        </row>
        <row r="67">
          <cell r="B67">
            <v>28</v>
          </cell>
          <cell r="C67">
            <v>474.3</v>
          </cell>
          <cell r="D67">
            <v>485.79</v>
          </cell>
          <cell r="E67">
            <v>495.73</v>
          </cell>
          <cell r="F67">
            <v>509.45</v>
          </cell>
          <cell r="G67">
            <v>522.98</v>
          </cell>
          <cell r="H67">
            <v>535.21</v>
          </cell>
          <cell r="I67">
            <v>545.89</v>
          </cell>
          <cell r="J67">
            <v>558.48</v>
          </cell>
          <cell r="K67">
            <v>573.79</v>
          </cell>
          <cell r="L67">
            <v>589.88</v>
          </cell>
          <cell r="M67">
            <v>603.59</v>
          </cell>
          <cell r="N67">
            <v>612.6</v>
          </cell>
        </row>
        <row r="68">
          <cell r="B68">
            <v>29</v>
          </cell>
          <cell r="C68">
            <v>474.77</v>
          </cell>
          <cell r="E68">
            <v>496.11</v>
          </cell>
          <cell r="F68">
            <v>509.94</v>
          </cell>
          <cell r="G68">
            <v>523.41999999999996</v>
          </cell>
          <cell r="H68">
            <v>535.58000000000004</v>
          </cell>
          <cell r="I68">
            <v>546.23</v>
          </cell>
          <cell r="J68">
            <v>558.91999999999996</v>
          </cell>
          <cell r="K68">
            <v>574.32000000000005</v>
          </cell>
          <cell r="L68">
            <v>590.41999999999996</v>
          </cell>
          <cell r="M68">
            <v>603.97</v>
          </cell>
          <cell r="N68">
            <v>612.86</v>
          </cell>
        </row>
        <row r="69">
          <cell r="B69">
            <v>30</v>
          </cell>
          <cell r="C69">
            <v>475.24</v>
          </cell>
          <cell r="E69">
            <v>496.49</v>
          </cell>
          <cell r="F69">
            <v>510.42</v>
          </cell>
          <cell r="G69">
            <v>523.85</v>
          </cell>
          <cell r="H69">
            <v>535.95000000000005</v>
          </cell>
          <cell r="I69">
            <v>546.58000000000004</v>
          </cell>
          <cell r="J69">
            <v>559.37</v>
          </cell>
          <cell r="K69">
            <v>574.85</v>
          </cell>
          <cell r="L69">
            <v>590.96</v>
          </cell>
          <cell r="M69">
            <v>604.35</v>
          </cell>
          <cell r="N69">
            <v>613.11</v>
          </cell>
        </row>
        <row r="70">
          <cell r="B70">
            <v>31</v>
          </cell>
          <cell r="C70">
            <v>475.71</v>
          </cell>
          <cell r="E70">
            <v>496.87</v>
          </cell>
          <cell r="G70">
            <v>524.28</v>
          </cell>
          <cell r="I70">
            <v>546.92999999999995</v>
          </cell>
          <cell r="J70">
            <v>559.80999999999995</v>
          </cell>
          <cell r="L70">
            <v>591.51</v>
          </cell>
          <cell r="N70">
            <v>613.37</v>
          </cell>
        </row>
        <row r="72">
          <cell r="B72">
            <v>1</v>
          </cell>
          <cell r="C72">
            <v>613.62</v>
          </cell>
          <cell r="D72">
            <v>622.51</v>
          </cell>
          <cell r="E72">
            <v>634.70000000000005</v>
          </cell>
          <cell r="F72">
            <v>646.23</v>
          </cell>
          <cell r="G72">
            <v>662.15</v>
          </cell>
          <cell r="H72">
            <v>679.87</v>
          </cell>
          <cell r="I72">
            <v>696.9</v>
          </cell>
          <cell r="J72">
            <v>714.47</v>
          </cell>
          <cell r="K72">
            <v>738.16</v>
          </cell>
          <cell r="L72">
            <v>770.45</v>
          </cell>
          <cell r="M72">
            <v>802.4</v>
          </cell>
          <cell r="N72">
            <v>824.58</v>
          </cell>
        </row>
        <row r="73">
          <cell r="B73">
            <v>2</v>
          </cell>
          <cell r="C73">
            <v>613.88</v>
          </cell>
          <cell r="D73">
            <v>622.80999999999995</v>
          </cell>
          <cell r="E73">
            <v>635.19000000000005</v>
          </cell>
          <cell r="F73">
            <v>646.55999999999995</v>
          </cell>
          <cell r="G73">
            <v>662.76</v>
          </cell>
          <cell r="H73">
            <v>680.44</v>
          </cell>
          <cell r="I73">
            <v>697.47</v>
          </cell>
          <cell r="J73">
            <v>715.04</v>
          </cell>
          <cell r="K73">
            <v>739</v>
          </cell>
          <cell r="L73">
            <v>771.63</v>
          </cell>
          <cell r="M73">
            <v>803.39</v>
          </cell>
          <cell r="N73">
            <v>825.23</v>
          </cell>
        </row>
        <row r="74">
          <cell r="B74">
            <v>3</v>
          </cell>
          <cell r="C74">
            <v>614.13</v>
          </cell>
          <cell r="D74">
            <v>623.11</v>
          </cell>
          <cell r="E74">
            <v>635.69000000000005</v>
          </cell>
          <cell r="F74">
            <v>646.89</v>
          </cell>
          <cell r="G74">
            <v>663.37</v>
          </cell>
          <cell r="H74">
            <v>681</v>
          </cell>
          <cell r="I74">
            <v>698.04</v>
          </cell>
          <cell r="J74">
            <v>715.61</v>
          </cell>
          <cell r="K74">
            <v>739.84</v>
          </cell>
          <cell r="L74">
            <v>772.81</v>
          </cell>
          <cell r="M74">
            <v>804.38</v>
          </cell>
          <cell r="N74">
            <v>825.88</v>
          </cell>
        </row>
        <row r="75">
          <cell r="B75">
            <v>4</v>
          </cell>
          <cell r="C75">
            <v>614.39</v>
          </cell>
          <cell r="D75">
            <v>623.41</v>
          </cell>
          <cell r="E75">
            <v>636.17999999999995</v>
          </cell>
          <cell r="F75">
            <v>647.22</v>
          </cell>
          <cell r="G75">
            <v>663.99</v>
          </cell>
          <cell r="H75">
            <v>681.57</v>
          </cell>
          <cell r="I75">
            <v>698.62</v>
          </cell>
          <cell r="J75">
            <v>716.18</v>
          </cell>
          <cell r="K75">
            <v>740.69</v>
          </cell>
          <cell r="L75">
            <v>773.99</v>
          </cell>
          <cell r="M75">
            <v>805.37</v>
          </cell>
          <cell r="N75">
            <v>826.54</v>
          </cell>
        </row>
        <row r="76">
          <cell r="B76">
            <v>5</v>
          </cell>
          <cell r="C76">
            <v>614.65</v>
          </cell>
          <cell r="D76">
            <v>623.71</v>
          </cell>
          <cell r="E76">
            <v>636.67999999999995</v>
          </cell>
          <cell r="F76">
            <v>647.54999999999995</v>
          </cell>
          <cell r="G76">
            <v>664.6</v>
          </cell>
          <cell r="H76">
            <v>682.13</v>
          </cell>
          <cell r="I76">
            <v>699.19</v>
          </cell>
          <cell r="J76">
            <v>716.75</v>
          </cell>
          <cell r="K76">
            <v>741.53</v>
          </cell>
          <cell r="L76">
            <v>775.18</v>
          </cell>
          <cell r="M76">
            <v>806.37</v>
          </cell>
          <cell r="N76">
            <v>827.19</v>
          </cell>
        </row>
        <row r="77">
          <cell r="B77">
            <v>6</v>
          </cell>
          <cell r="C77">
            <v>614.9</v>
          </cell>
          <cell r="D77">
            <v>624.01</v>
          </cell>
          <cell r="E77">
            <v>637.16999999999996</v>
          </cell>
          <cell r="F77">
            <v>647.88</v>
          </cell>
          <cell r="G77">
            <v>665.21</v>
          </cell>
          <cell r="H77">
            <v>682.7</v>
          </cell>
          <cell r="I77">
            <v>699.77</v>
          </cell>
          <cell r="J77">
            <v>717.32</v>
          </cell>
          <cell r="K77">
            <v>742.38</v>
          </cell>
          <cell r="L77">
            <v>776.37</v>
          </cell>
          <cell r="M77">
            <v>807.36</v>
          </cell>
          <cell r="N77">
            <v>827.84</v>
          </cell>
        </row>
        <row r="78">
          <cell r="B78">
            <v>7</v>
          </cell>
          <cell r="C78">
            <v>615.16</v>
          </cell>
          <cell r="D78">
            <v>624.30999999999995</v>
          </cell>
          <cell r="E78">
            <v>637.66999999999996</v>
          </cell>
          <cell r="F78">
            <v>648.21</v>
          </cell>
          <cell r="G78">
            <v>665.82</v>
          </cell>
          <cell r="H78">
            <v>683.26</v>
          </cell>
          <cell r="I78">
            <v>700.35</v>
          </cell>
          <cell r="J78">
            <v>717.89</v>
          </cell>
          <cell r="K78">
            <v>743.23</v>
          </cell>
          <cell r="L78">
            <v>777.56</v>
          </cell>
          <cell r="M78">
            <v>808.36</v>
          </cell>
          <cell r="N78">
            <v>828.5</v>
          </cell>
        </row>
        <row r="79">
          <cell r="B79">
            <v>8</v>
          </cell>
          <cell r="C79">
            <v>615.41</v>
          </cell>
          <cell r="D79">
            <v>624.6</v>
          </cell>
          <cell r="E79">
            <v>638.16</v>
          </cell>
          <cell r="F79">
            <v>648.54999999999995</v>
          </cell>
          <cell r="G79">
            <v>666.43</v>
          </cell>
          <cell r="H79">
            <v>683.83</v>
          </cell>
          <cell r="I79">
            <v>700.92</v>
          </cell>
          <cell r="J79">
            <v>718.46</v>
          </cell>
          <cell r="K79">
            <v>744.08</v>
          </cell>
          <cell r="L79">
            <v>778.75</v>
          </cell>
          <cell r="M79">
            <v>809.36</v>
          </cell>
          <cell r="N79">
            <v>829.15</v>
          </cell>
        </row>
        <row r="80">
          <cell r="B80">
            <v>9</v>
          </cell>
          <cell r="C80">
            <v>615.66999999999996</v>
          </cell>
          <cell r="D80">
            <v>624.91</v>
          </cell>
          <cell r="E80">
            <v>638.66</v>
          </cell>
          <cell r="F80">
            <v>648.88</v>
          </cell>
          <cell r="G80">
            <v>667.05</v>
          </cell>
          <cell r="H80">
            <v>684.39</v>
          </cell>
          <cell r="I80">
            <v>701.5</v>
          </cell>
          <cell r="J80">
            <v>719.04</v>
          </cell>
          <cell r="K80">
            <v>744.93</v>
          </cell>
          <cell r="L80">
            <v>779.94</v>
          </cell>
          <cell r="M80">
            <v>810.36</v>
          </cell>
          <cell r="N80">
            <v>829.81</v>
          </cell>
        </row>
        <row r="81">
          <cell r="B81">
            <v>10</v>
          </cell>
          <cell r="C81">
            <v>615.97</v>
          </cell>
          <cell r="D81">
            <v>625.4</v>
          </cell>
          <cell r="E81">
            <v>638.99</v>
          </cell>
          <cell r="F81">
            <v>649.48</v>
          </cell>
          <cell r="G81">
            <v>667.6</v>
          </cell>
          <cell r="H81">
            <v>684.95</v>
          </cell>
          <cell r="I81">
            <v>702.06</v>
          </cell>
          <cell r="J81">
            <v>719.86</v>
          </cell>
          <cell r="K81">
            <v>746.07</v>
          </cell>
          <cell r="L81">
            <v>780.9</v>
          </cell>
          <cell r="M81">
            <v>811</v>
          </cell>
          <cell r="N81">
            <v>830.37</v>
          </cell>
        </row>
        <row r="82">
          <cell r="B82">
            <v>11</v>
          </cell>
          <cell r="C82">
            <v>616.26</v>
          </cell>
          <cell r="D82">
            <v>625.88</v>
          </cell>
          <cell r="E82">
            <v>639.11</v>
          </cell>
          <cell r="F82">
            <v>650.08000000000004</v>
          </cell>
          <cell r="G82">
            <v>668.16</v>
          </cell>
          <cell r="H82">
            <v>685.52</v>
          </cell>
          <cell r="I82">
            <v>702.62</v>
          </cell>
          <cell r="J82">
            <v>720.68</v>
          </cell>
          <cell r="K82">
            <v>747.21</v>
          </cell>
          <cell r="L82">
            <v>781.87</v>
          </cell>
          <cell r="M82">
            <v>811.64</v>
          </cell>
          <cell r="N82">
            <v>830.92</v>
          </cell>
        </row>
        <row r="83">
          <cell r="B83">
            <v>12</v>
          </cell>
          <cell r="C83">
            <v>616.55999999999995</v>
          </cell>
          <cell r="D83">
            <v>626.37</v>
          </cell>
          <cell r="E83">
            <v>639.64</v>
          </cell>
          <cell r="F83">
            <v>650.66999999999996</v>
          </cell>
          <cell r="G83">
            <v>668.71</v>
          </cell>
          <cell r="H83">
            <v>686.08</v>
          </cell>
          <cell r="I83">
            <v>703.18</v>
          </cell>
          <cell r="J83">
            <v>721.51</v>
          </cell>
          <cell r="K83">
            <v>748.36</v>
          </cell>
          <cell r="L83">
            <v>782.83</v>
          </cell>
          <cell r="M83">
            <v>812.28</v>
          </cell>
          <cell r="N83">
            <v>831.48</v>
          </cell>
        </row>
        <row r="84">
          <cell r="B84">
            <v>13</v>
          </cell>
          <cell r="C84">
            <v>616.85</v>
          </cell>
          <cell r="D84">
            <v>626.86</v>
          </cell>
          <cell r="E84">
            <v>639.97</v>
          </cell>
          <cell r="F84">
            <v>651.27</v>
          </cell>
          <cell r="G84">
            <v>669.26</v>
          </cell>
          <cell r="H84">
            <v>686.65</v>
          </cell>
          <cell r="I84">
            <v>703.74</v>
          </cell>
          <cell r="J84">
            <v>722.33</v>
          </cell>
          <cell r="K84">
            <v>749.51</v>
          </cell>
          <cell r="L84">
            <v>783.8</v>
          </cell>
          <cell r="M84">
            <v>812.93</v>
          </cell>
          <cell r="N84">
            <v>832.04</v>
          </cell>
        </row>
        <row r="85">
          <cell r="B85">
            <v>14</v>
          </cell>
          <cell r="C85">
            <v>617.15</v>
          </cell>
          <cell r="D85">
            <v>627.34</v>
          </cell>
          <cell r="E85">
            <v>640.29999999999995</v>
          </cell>
          <cell r="F85">
            <v>651.87</v>
          </cell>
          <cell r="G85">
            <v>669.82</v>
          </cell>
          <cell r="H85">
            <v>687.21</v>
          </cell>
          <cell r="I85">
            <v>704.3</v>
          </cell>
          <cell r="J85">
            <v>723.15</v>
          </cell>
          <cell r="K85">
            <v>750.65</v>
          </cell>
          <cell r="L85">
            <v>784.77</v>
          </cell>
          <cell r="M85">
            <v>813.57</v>
          </cell>
          <cell r="N85">
            <v>832.6</v>
          </cell>
        </row>
        <row r="86">
          <cell r="B86">
            <v>15</v>
          </cell>
          <cell r="C86">
            <v>617.45000000000005</v>
          </cell>
          <cell r="D86">
            <v>627.83000000000004</v>
          </cell>
          <cell r="E86">
            <v>640.63</v>
          </cell>
          <cell r="F86">
            <v>652.47</v>
          </cell>
          <cell r="G86">
            <v>670.37</v>
          </cell>
          <cell r="H86">
            <v>687.78</v>
          </cell>
          <cell r="I86">
            <v>704.86</v>
          </cell>
          <cell r="J86">
            <v>723.98</v>
          </cell>
          <cell r="K86">
            <v>751.8</v>
          </cell>
          <cell r="L86">
            <v>785.74</v>
          </cell>
          <cell r="M86">
            <v>814.21</v>
          </cell>
          <cell r="N86">
            <v>833.15</v>
          </cell>
        </row>
        <row r="87">
          <cell r="B87">
            <v>16</v>
          </cell>
          <cell r="C87">
            <v>617.74</v>
          </cell>
          <cell r="D87">
            <v>628.32000000000005</v>
          </cell>
          <cell r="E87">
            <v>640.95000000000005</v>
          </cell>
          <cell r="F87">
            <v>653.07000000000005</v>
          </cell>
          <cell r="G87">
            <v>670.93</v>
          </cell>
          <cell r="H87">
            <v>688.34</v>
          </cell>
          <cell r="I87">
            <v>705.42</v>
          </cell>
          <cell r="J87">
            <v>724.81</v>
          </cell>
          <cell r="K87">
            <v>752.96</v>
          </cell>
          <cell r="L87">
            <v>786.71</v>
          </cell>
          <cell r="M87">
            <v>814.86</v>
          </cell>
          <cell r="N87">
            <v>833.71</v>
          </cell>
        </row>
        <row r="88">
          <cell r="B88">
            <v>17</v>
          </cell>
          <cell r="C88">
            <v>618.04</v>
          </cell>
          <cell r="D88">
            <v>628.80999999999995</v>
          </cell>
          <cell r="E88">
            <v>641.28</v>
          </cell>
          <cell r="F88">
            <v>653.67999999999995</v>
          </cell>
          <cell r="G88">
            <v>671.48</v>
          </cell>
          <cell r="H88">
            <v>688.91</v>
          </cell>
          <cell r="I88">
            <v>705.98</v>
          </cell>
          <cell r="J88">
            <v>725.63</v>
          </cell>
          <cell r="K88">
            <v>754.11</v>
          </cell>
          <cell r="L88">
            <v>787.68</v>
          </cell>
          <cell r="M88">
            <v>815.5</v>
          </cell>
          <cell r="N88">
            <v>834.27</v>
          </cell>
        </row>
        <row r="89">
          <cell r="B89">
            <v>18</v>
          </cell>
          <cell r="C89">
            <v>618.34</v>
          </cell>
          <cell r="D89">
            <v>629.29999999999995</v>
          </cell>
          <cell r="E89">
            <v>641.61</v>
          </cell>
          <cell r="F89">
            <v>654.28</v>
          </cell>
          <cell r="G89">
            <v>672.04</v>
          </cell>
          <cell r="H89">
            <v>689.48</v>
          </cell>
          <cell r="I89">
            <v>706.55</v>
          </cell>
          <cell r="J89">
            <v>726.46</v>
          </cell>
          <cell r="K89">
            <v>755.27</v>
          </cell>
          <cell r="L89">
            <v>788.65</v>
          </cell>
          <cell r="M89">
            <v>816.15</v>
          </cell>
          <cell r="N89">
            <v>834.83</v>
          </cell>
        </row>
        <row r="90">
          <cell r="B90">
            <v>19</v>
          </cell>
          <cell r="C90">
            <v>618.63</v>
          </cell>
          <cell r="D90">
            <v>629.79</v>
          </cell>
          <cell r="E90">
            <v>641.94000000000005</v>
          </cell>
          <cell r="F90">
            <v>654.88</v>
          </cell>
          <cell r="G90">
            <v>672.6</v>
          </cell>
          <cell r="H90">
            <v>690.05</v>
          </cell>
          <cell r="I90">
            <v>707.11</v>
          </cell>
          <cell r="J90">
            <v>727.29</v>
          </cell>
          <cell r="K90">
            <v>756.42</v>
          </cell>
          <cell r="L90">
            <v>789.63</v>
          </cell>
          <cell r="M90">
            <v>816.79</v>
          </cell>
          <cell r="N90">
            <v>835.39</v>
          </cell>
        </row>
        <row r="91">
          <cell r="B91">
            <v>20</v>
          </cell>
          <cell r="C91">
            <v>618.92999999999995</v>
          </cell>
          <cell r="D91">
            <v>630.28</v>
          </cell>
          <cell r="E91">
            <v>642.27</v>
          </cell>
          <cell r="F91">
            <v>655.48</v>
          </cell>
          <cell r="G91">
            <v>673.15</v>
          </cell>
          <cell r="H91">
            <v>690.61</v>
          </cell>
          <cell r="I91">
            <v>707.67</v>
          </cell>
          <cell r="J91">
            <v>728.12</v>
          </cell>
          <cell r="K91">
            <v>757.58</v>
          </cell>
          <cell r="L91">
            <v>790.6</v>
          </cell>
          <cell r="M91">
            <v>817.44</v>
          </cell>
          <cell r="N91">
            <v>835.95</v>
          </cell>
        </row>
        <row r="92">
          <cell r="B92">
            <v>21</v>
          </cell>
          <cell r="C92">
            <v>619.23</v>
          </cell>
          <cell r="D92">
            <v>630.77</v>
          </cell>
          <cell r="E92">
            <v>642.6</v>
          </cell>
          <cell r="F92">
            <v>656.09</v>
          </cell>
          <cell r="G92">
            <v>673.71</v>
          </cell>
          <cell r="H92">
            <v>691.18</v>
          </cell>
          <cell r="I92">
            <v>708.24</v>
          </cell>
          <cell r="J92">
            <v>728.95</v>
          </cell>
          <cell r="K92">
            <v>758.74</v>
          </cell>
          <cell r="L92">
            <v>791.58</v>
          </cell>
          <cell r="M92">
            <v>818.08</v>
          </cell>
          <cell r="N92">
            <v>836.51</v>
          </cell>
        </row>
        <row r="93">
          <cell r="B93">
            <v>22</v>
          </cell>
          <cell r="C93">
            <v>619.53</v>
          </cell>
          <cell r="D93">
            <v>631.26</v>
          </cell>
          <cell r="E93">
            <v>642.92999999999995</v>
          </cell>
          <cell r="F93">
            <v>656.69</v>
          </cell>
          <cell r="G93">
            <v>674.27</v>
          </cell>
          <cell r="H93">
            <v>691.75</v>
          </cell>
          <cell r="I93">
            <v>708.8</v>
          </cell>
          <cell r="J93">
            <v>729.78</v>
          </cell>
          <cell r="K93">
            <v>759.9</v>
          </cell>
          <cell r="L93">
            <v>792.55</v>
          </cell>
          <cell r="M93">
            <v>818.73</v>
          </cell>
          <cell r="N93">
            <v>837.07</v>
          </cell>
        </row>
        <row r="94">
          <cell r="B94">
            <v>23</v>
          </cell>
          <cell r="C94">
            <v>619.82000000000005</v>
          </cell>
          <cell r="D94">
            <v>631.75</v>
          </cell>
          <cell r="E94">
            <v>643.25</v>
          </cell>
          <cell r="F94">
            <v>657.3</v>
          </cell>
          <cell r="G94">
            <v>674.83</v>
          </cell>
          <cell r="H94">
            <v>692.32</v>
          </cell>
          <cell r="I94">
            <v>709.37</v>
          </cell>
          <cell r="J94">
            <v>730.62</v>
          </cell>
          <cell r="K94">
            <v>761.07</v>
          </cell>
          <cell r="L94">
            <v>793.53</v>
          </cell>
          <cell r="M94">
            <v>819.38</v>
          </cell>
          <cell r="N94">
            <v>837.63</v>
          </cell>
        </row>
        <row r="95">
          <cell r="B95">
            <v>24</v>
          </cell>
          <cell r="C95">
            <v>620.12</v>
          </cell>
          <cell r="D95">
            <v>632.24</v>
          </cell>
          <cell r="E95">
            <v>643.58000000000004</v>
          </cell>
          <cell r="F95">
            <v>657.9</v>
          </cell>
          <cell r="G95">
            <v>675.39</v>
          </cell>
          <cell r="H95">
            <v>692.89</v>
          </cell>
          <cell r="I95">
            <v>709.93</v>
          </cell>
          <cell r="J95">
            <v>731.45</v>
          </cell>
          <cell r="K95">
            <v>762.23</v>
          </cell>
          <cell r="L95">
            <v>794.51</v>
          </cell>
          <cell r="M95">
            <v>820.03</v>
          </cell>
          <cell r="N95">
            <v>838.2</v>
          </cell>
        </row>
        <row r="96">
          <cell r="B96">
            <v>25</v>
          </cell>
          <cell r="C96">
            <v>620.41999999999996</v>
          </cell>
          <cell r="D96">
            <v>632.73</v>
          </cell>
          <cell r="E96">
            <v>643.91</v>
          </cell>
          <cell r="F96">
            <v>658.51</v>
          </cell>
          <cell r="G96">
            <v>675.95</v>
          </cell>
          <cell r="H96">
            <v>693.46</v>
          </cell>
          <cell r="I96">
            <v>710.5</v>
          </cell>
          <cell r="J96">
            <v>732.29</v>
          </cell>
          <cell r="K96">
            <v>763.4</v>
          </cell>
          <cell r="L96">
            <v>795.49</v>
          </cell>
          <cell r="M96">
            <v>820.68</v>
          </cell>
          <cell r="N96">
            <v>838.76</v>
          </cell>
        </row>
        <row r="97">
          <cell r="B97">
            <v>26</v>
          </cell>
          <cell r="C97">
            <v>620.72</v>
          </cell>
          <cell r="D97">
            <v>633.22</v>
          </cell>
          <cell r="E97">
            <v>644.24</v>
          </cell>
          <cell r="F97">
            <v>659.11</v>
          </cell>
          <cell r="G97">
            <v>676.51</v>
          </cell>
          <cell r="H97">
            <v>694.03</v>
          </cell>
          <cell r="I97">
            <v>711.06</v>
          </cell>
          <cell r="J97">
            <v>733.12</v>
          </cell>
          <cell r="K97">
            <v>764.57</v>
          </cell>
          <cell r="L97">
            <v>796.48</v>
          </cell>
          <cell r="M97">
            <v>821.32</v>
          </cell>
          <cell r="N97">
            <v>839.32</v>
          </cell>
        </row>
        <row r="98">
          <cell r="B98">
            <v>27</v>
          </cell>
          <cell r="C98">
            <v>621.02</v>
          </cell>
          <cell r="D98">
            <v>633.71</v>
          </cell>
          <cell r="E98">
            <v>644.57000000000005</v>
          </cell>
          <cell r="F98">
            <v>659.72</v>
          </cell>
          <cell r="G98">
            <v>677.07</v>
          </cell>
          <cell r="H98">
            <v>694.61</v>
          </cell>
          <cell r="I98">
            <v>711.63</v>
          </cell>
          <cell r="J98">
            <v>733.96</v>
          </cell>
          <cell r="K98">
            <v>765.74</v>
          </cell>
          <cell r="L98">
            <v>797.46</v>
          </cell>
          <cell r="M98">
            <v>821.97</v>
          </cell>
          <cell r="N98">
            <v>839.88</v>
          </cell>
        </row>
        <row r="99">
          <cell r="B99">
            <v>28</v>
          </cell>
          <cell r="C99">
            <v>621.30999999999995</v>
          </cell>
          <cell r="D99">
            <v>634.21</v>
          </cell>
          <cell r="E99">
            <v>644.9</v>
          </cell>
          <cell r="F99">
            <v>660.33</v>
          </cell>
          <cell r="G99">
            <v>677.63</v>
          </cell>
          <cell r="H99">
            <v>695.18</v>
          </cell>
          <cell r="I99">
            <v>712.2</v>
          </cell>
          <cell r="J99">
            <v>734.8</v>
          </cell>
          <cell r="K99">
            <v>766.92</v>
          </cell>
          <cell r="L99">
            <v>798.44</v>
          </cell>
          <cell r="M99">
            <v>822.62</v>
          </cell>
          <cell r="N99">
            <v>840.45</v>
          </cell>
        </row>
        <row r="100">
          <cell r="B100">
            <v>29</v>
          </cell>
          <cell r="C100">
            <v>621.61</v>
          </cell>
          <cell r="E100">
            <v>645.23</v>
          </cell>
          <cell r="F100">
            <v>660.94</v>
          </cell>
          <cell r="G100">
            <v>678.19</v>
          </cell>
          <cell r="H100">
            <v>695.75</v>
          </cell>
          <cell r="I100">
            <v>712.76</v>
          </cell>
          <cell r="J100">
            <v>735.64</v>
          </cell>
          <cell r="K100">
            <v>768.09</v>
          </cell>
          <cell r="L100">
            <v>799.43</v>
          </cell>
          <cell r="M100">
            <v>823.27</v>
          </cell>
          <cell r="N100">
            <v>841.01</v>
          </cell>
        </row>
        <row r="101">
          <cell r="B101">
            <v>30</v>
          </cell>
          <cell r="C101">
            <v>621.91</v>
          </cell>
          <cell r="E101">
            <v>645.55999999999995</v>
          </cell>
          <cell r="F101">
            <v>661.55</v>
          </cell>
          <cell r="G101">
            <v>678.75</v>
          </cell>
          <cell r="H101">
            <v>696.32</v>
          </cell>
          <cell r="I101">
            <v>713.33</v>
          </cell>
          <cell r="J101">
            <v>736.48</v>
          </cell>
          <cell r="K101">
            <v>769.27</v>
          </cell>
          <cell r="L101">
            <v>800.42</v>
          </cell>
          <cell r="M101">
            <v>823.93</v>
          </cell>
          <cell r="N101">
            <v>841.58</v>
          </cell>
        </row>
        <row r="102">
          <cell r="B102">
            <v>31</v>
          </cell>
          <cell r="C102">
            <v>622.21</v>
          </cell>
          <cell r="E102">
            <v>645.9</v>
          </cell>
          <cell r="G102">
            <v>679.31</v>
          </cell>
          <cell r="I102">
            <v>713.9</v>
          </cell>
          <cell r="J102">
            <v>737.32</v>
          </cell>
          <cell r="L102">
            <v>801.41</v>
          </cell>
          <cell r="N102">
            <v>842.14</v>
          </cell>
        </row>
        <row r="104">
          <cell r="B104">
            <v>1</v>
          </cell>
          <cell r="C104">
            <v>842.7</v>
          </cell>
          <cell r="D104">
            <v>861.03</v>
          </cell>
          <cell r="E104">
            <v>879.01</v>
          </cell>
          <cell r="F104">
            <v>895.84</v>
          </cell>
          <cell r="G104">
            <v>919.04</v>
          </cell>
          <cell r="H104">
            <v>943.19</v>
          </cell>
          <cell r="I104">
            <v>965.18</v>
          </cell>
          <cell r="J104">
            <v>984.71</v>
          </cell>
          <cell r="K104">
            <v>1004.15</v>
          </cell>
          <cell r="L104">
            <v>1025.53</v>
          </cell>
          <cell r="M104">
            <v>1047.52</v>
          </cell>
          <cell r="N104">
            <v>1075.46</v>
          </cell>
        </row>
        <row r="105">
          <cell r="B105">
            <v>2</v>
          </cell>
          <cell r="C105">
            <v>843.27</v>
          </cell>
          <cell r="D105">
            <v>861.63</v>
          </cell>
          <cell r="E105">
            <v>879.64</v>
          </cell>
          <cell r="F105">
            <v>896.35</v>
          </cell>
          <cell r="G105">
            <v>919.91</v>
          </cell>
          <cell r="H105">
            <v>943.94</v>
          </cell>
          <cell r="I105">
            <v>965.91</v>
          </cell>
          <cell r="J105">
            <v>985.3</v>
          </cell>
          <cell r="K105">
            <v>1004.79</v>
          </cell>
          <cell r="L105">
            <v>1026.27</v>
          </cell>
          <cell r="M105">
            <v>1048.22</v>
          </cell>
          <cell r="N105">
            <v>1076.49</v>
          </cell>
        </row>
        <row r="106">
          <cell r="B106">
            <v>3</v>
          </cell>
          <cell r="C106">
            <v>843.83</v>
          </cell>
          <cell r="D106">
            <v>862.24</v>
          </cell>
          <cell r="E106">
            <v>880.27</v>
          </cell>
          <cell r="F106">
            <v>896.87</v>
          </cell>
          <cell r="G106">
            <v>920.79</v>
          </cell>
          <cell r="H106">
            <v>944.7</v>
          </cell>
          <cell r="I106">
            <v>966.65</v>
          </cell>
          <cell r="J106">
            <v>985.9</v>
          </cell>
          <cell r="K106">
            <v>1005.43</v>
          </cell>
          <cell r="L106">
            <v>1027.01</v>
          </cell>
          <cell r="M106">
            <v>1048.92</v>
          </cell>
          <cell r="N106">
            <v>1077.51</v>
          </cell>
        </row>
        <row r="107">
          <cell r="B107">
            <v>4</v>
          </cell>
          <cell r="C107">
            <v>844.4</v>
          </cell>
          <cell r="D107">
            <v>862.85</v>
          </cell>
          <cell r="E107">
            <v>880.9</v>
          </cell>
          <cell r="F107">
            <v>897.39</v>
          </cell>
          <cell r="G107">
            <v>921.67</v>
          </cell>
          <cell r="H107">
            <v>945.45</v>
          </cell>
          <cell r="I107">
            <v>967.38</v>
          </cell>
          <cell r="J107">
            <v>986.5</v>
          </cell>
          <cell r="K107">
            <v>1006.07</v>
          </cell>
          <cell r="L107">
            <v>1027.76</v>
          </cell>
          <cell r="M107">
            <v>1049.6300000000001</v>
          </cell>
          <cell r="N107">
            <v>1078.54</v>
          </cell>
        </row>
        <row r="108">
          <cell r="B108">
            <v>5</v>
          </cell>
          <cell r="C108">
            <v>844.97</v>
          </cell>
          <cell r="D108">
            <v>863.45</v>
          </cell>
          <cell r="E108">
            <v>881.53</v>
          </cell>
          <cell r="F108">
            <v>897.9</v>
          </cell>
          <cell r="G108">
            <v>922.55</v>
          </cell>
          <cell r="H108">
            <v>946.2</v>
          </cell>
          <cell r="I108">
            <v>968.11</v>
          </cell>
          <cell r="J108">
            <v>987.1</v>
          </cell>
          <cell r="K108">
            <v>1006.71</v>
          </cell>
          <cell r="L108">
            <v>1028.51</v>
          </cell>
          <cell r="M108">
            <v>1050.33</v>
          </cell>
          <cell r="N108">
            <v>1079.57</v>
          </cell>
        </row>
        <row r="109">
          <cell r="B109">
            <v>6</v>
          </cell>
          <cell r="C109">
            <v>845.53</v>
          </cell>
          <cell r="D109">
            <v>864.06</v>
          </cell>
          <cell r="E109">
            <v>882.16</v>
          </cell>
          <cell r="F109">
            <v>898.42</v>
          </cell>
          <cell r="G109">
            <v>923.43</v>
          </cell>
          <cell r="H109">
            <v>946.96</v>
          </cell>
          <cell r="I109">
            <v>968.85</v>
          </cell>
          <cell r="J109">
            <v>987.7</v>
          </cell>
          <cell r="K109">
            <v>1007.36</v>
          </cell>
          <cell r="L109">
            <v>1029.25</v>
          </cell>
          <cell r="M109">
            <v>1051.04</v>
          </cell>
          <cell r="N109">
            <v>1080.5999999999999</v>
          </cell>
        </row>
        <row r="110">
          <cell r="B110">
            <v>7</v>
          </cell>
          <cell r="C110">
            <v>846.1</v>
          </cell>
          <cell r="D110">
            <v>864.66</v>
          </cell>
          <cell r="E110">
            <v>882.8</v>
          </cell>
          <cell r="F110">
            <v>898.94</v>
          </cell>
          <cell r="G110">
            <v>924.31</v>
          </cell>
          <cell r="H110">
            <v>947.71</v>
          </cell>
          <cell r="I110">
            <v>969.58</v>
          </cell>
          <cell r="J110">
            <v>988.3</v>
          </cell>
          <cell r="K110">
            <v>1008</v>
          </cell>
          <cell r="L110">
            <v>1030</v>
          </cell>
          <cell r="M110">
            <v>1051.74</v>
          </cell>
          <cell r="N110">
            <v>1081.6300000000001</v>
          </cell>
        </row>
        <row r="111">
          <cell r="B111">
            <v>8</v>
          </cell>
          <cell r="C111">
            <v>846.67</v>
          </cell>
          <cell r="D111">
            <v>865.27</v>
          </cell>
          <cell r="E111">
            <v>883.43</v>
          </cell>
          <cell r="F111">
            <v>899.46</v>
          </cell>
          <cell r="G111">
            <v>925.19</v>
          </cell>
          <cell r="H111">
            <v>948.47</v>
          </cell>
          <cell r="I111">
            <v>970.32</v>
          </cell>
          <cell r="J111">
            <v>988.9</v>
          </cell>
          <cell r="K111">
            <v>1008.65</v>
          </cell>
          <cell r="L111">
            <v>1030.75</v>
          </cell>
          <cell r="M111">
            <v>1052.45</v>
          </cell>
          <cell r="N111">
            <v>1082.6600000000001</v>
          </cell>
        </row>
        <row r="112">
          <cell r="B112">
            <v>9</v>
          </cell>
          <cell r="C112">
            <v>847.24</v>
          </cell>
          <cell r="D112">
            <v>865.88</v>
          </cell>
          <cell r="E112">
            <v>884.06</v>
          </cell>
          <cell r="F112">
            <v>899.97</v>
          </cell>
          <cell r="G112">
            <v>926.07</v>
          </cell>
          <cell r="H112">
            <v>949.22</v>
          </cell>
          <cell r="I112">
            <v>971.05</v>
          </cell>
          <cell r="J112">
            <v>989.5</v>
          </cell>
          <cell r="K112">
            <v>1009.29</v>
          </cell>
          <cell r="L112">
            <v>1031.49</v>
          </cell>
          <cell r="M112">
            <v>1053.1500000000001</v>
          </cell>
          <cell r="N112">
            <v>1083.69</v>
          </cell>
        </row>
        <row r="113">
          <cell r="B113">
            <v>10</v>
          </cell>
          <cell r="C113">
            <v>847.83</v>
          </cell>
          <cell r="D113">
            <v>866.5</v>
          </cell>
          <cell r="E113">
            <v>884.57</v>
          </cell>
          <cell r="F113">
            <v>900.83</v>
          </cell>
          <cell r="G113">
            <v>926.81</v>
          </cell>
          <cell r="H113">
            <v>949.94</v>
          </cell>
          <cell r="I113">
            <v>971.64</v>
          </cell>
          <cell r="J113">
            <v>990.13</v>
          </cell>
          <cell r="K113">
            <v>1010.02</v>
          </cell>
          <cell r="L113">
            <v>1032.18</v>
          </cell>
          <cell r="M113">
            <v>1054.1500000000001</v>
          </cell>
          <cell r="N113">
            <v>1084.5899999999999</v>
          </cell>
        </row>
        <row r="114">
          <cell r="B114">
            <v>11</v>
          </cell>
          <cell r="C114">
            <v>848.43</v>
          </cell>
          <cell r="D114">
            <v>867.12</v>
          </cell>
          <cell r="E114">
            <v>885.08</v>
          </cell>
          <cell r="F114">
            <v>901.69</v>
          </cell>
          <cell r="G114">
            <v>927.55</v>
          </cell>
          <cell r="H114">
            <v>950.66</v>
          </cell>
          <cell r="I114">
            <v>972.23</v>
          </cell>
          <cell r="J114">
            <v>990.76</v>
          </cell>
          <cell r="K114">
            <v>1010.76</v>
          </cell>
          <cell r="L114">
            <v>1032.8699999999999</v>
          </cell>
          <cell r="M114">
            <v>1055.1600000000001</v>
          </cell>
          <cell r="N114">
            <v>1085.49</v>
          </cell>
        </row>
        <row r="115">
          <cell r="B115">
            <v>12</v>
          </cell>
          <cell r="C115">
            <v>849.03</v>
          </cell>
          <cell r="D115">
            <v>867.74</v>
          </cell>
          <cell r="E115">
            <v>885.59</v>
          </cell>
          <cell r="F115">
            <v>902.55</v>
          </cell>
          <cell r="G115">
            <v>928.29</v>
          </cell>
          <cell r="H115">
            <v>951.38</v>
          </cell>
          <cell r="I115">
            <v>972.82</v>
          </cell>
          <cell r="J115">
            <v>991.4</v>
          </cell>
          <cell r="K115">
            <v>1011.49</v>
          </cell>
          <cell r="L115">
            <v>1033.57</v>
          </cell>
          <cell r="M115">
            <v>1056.1600000000001</v>
          </cell>
          <cell r="N115">
            <v>1086.3900000000001</v>
          </cell>
        </row>
        <row r="116">
          <cell r="B116">
            <v>13</v>
          </cell>
          <cell r="C116">
            <v>849.62</v>
          </cell>
          <cell r="D116">
            <v>868.37</v>
          </cell>
          <cell r="E116">
            <v>886.1</v>
          </cell>
          <cell r="F116">
            <v>903.41</v>
          </cell>
          <cell r="G116">
            <v>929.03</v>
          </cell>
          <cell r="H116">
            <v>952.1</v>
          </cell>
          <cell r="I116">
            <v>973.41</v>
          </cell>
          <cell r="J116">
            <v>992.03</v>
          </cell>
          <cell r="K116">
            <v>1012.22</v>
          </cell>
          <cell r="L116">
            <v>1034.26</v>
          </cell>
          <cell r="M116">
            <v>1057.17</v>
          </cell>
          <cell r="N116">
            <v>1087.29</v>
          </cell>
        </row>
        <row r="117">
          <cell r="B117">
            <v>14</v>
          </cell>
          <cell r="C117">
            <v>850.22</v>
          </cell>
          <cell r="D117">
            <v>868.99</v>
          </cell>
          <cell r="E117">
            <v>886.61</v>
          </cell>
          <cell r="F117">
            <v>904.27</v>
          </cell>
          <cell r="G117">
            <v>929.77</v>
          </cell>
          <cell r="H117">
            <v>952.82</v>
          </cell>
          <cell r="I117">
            <v>974</v>
          </cell>
          <cell r="J117">
            <v>992.67</v>
          </cell>
          <cell r="K117">
            <v>1012.96</v>
          </cell>
          <cell r="L117">
            <v>1034.95</v>
          </cell>
          <cell r="M117">
            <v>1058.18</v>
          </cell>
          <cell r="N117">
            <v>1088.19</v>
          </cell>
        </row>
        <row r="118">
          <cell r="B118">
            <v>15</v>
          </cell>
          <cell r="C118">
            <v>850.82</v>
          </cell>
          <cell r="D118">
            <v>869.61</v>
          </cell>
          <cell r="E118">
            <v>887.12</v>
          </cell>
          <cell r="F118">
            <v>905.13</v>
          </cell>
          <cell r="G118">
            <v>930.51</v>
          </cell>
          <cell r="H118">
            <v>953.55</v>
          </cell>
          <cell r="I118">
            <v>974.59</v>
          </cell>
          <cell r="J118">
            <v>993.3</v>
          </cell>
          <cell r="K118">
            <v>1013.69</v>
          </cell>
          <cell r="L118">
            <v>1035.6500000000001</v>
          </cell>
          <cell r="M118">
            <v>1059.19</v>
          </cell>
          <cell r="N118">
            <v>1089.0899999999999</v>
          </cell>
        </row>
        <row r="119">
          <cell r="B119">
            <v>16</v>
          </cell>
          <cell r="C119">
            <v>851.41</v>
          </cell>
          <cell r="D119">
            <v>870.23</v>
          </cell>
          <cell r="E119">
            <v>887.63</v>
          </cell>
          <cell r="F119">
            <v>905.99</v>
          </cell>
          <cell r="G119">
            <v>931.25</v>
          </cell>
          <cell r="H119">
            <v>954.27</v>
          </cell>
          <cell r="I119">
            <v>975.19</v>
          </cell>
          <cell r="J119">
            <v>993.93</v>
          </cell>
          <cell r="K119">
            <v>1014.43</v>
          </cell>
          <cell r="L119">
            <v>1036.3399999999999</v>
          </cell>
          <cell r="M119">
            <v>1060.2</v>
          </cell>
          <cell r="N119">
            <v>1089.99</v>
          </cell>
        </row>
        <row r="120">
          <cell r="B120">
            <v>17</v>
          </cell>
          <cell r="C120">
            <v>852.01</v>
          </cell>
          <cell r="D120">
            <v>870.86</v>
          </cell>
          <cell r="E120">
            <v>888.14</v>
          </cell>
          <cell r="F120">
            <v>906.86</v>
          </cell>
          <cell r="G120">
            <v>931.99</v>
          </cell>
          <cell r="H120">
            <v>954.99</v>
          </cell>
          <cell r="I120">
            <v>975.78</v>
          </cell>
          <cell r="J120">
            <v>994.57</v>
          </cell>
          <cell r="K120">
            <v>1015.16</v>
          </cell>
          <cell r="L120">
            <v>1037.04</v>
          </cell>
          <cell r="M120">
            <v>1061.21</v>
          </cell>
          <cell r="N120">
            <v>1090.8900000000001</v>
          </cell>
        </row>
        <row r="121">
          <cell r="B121">
            <v>18</v>
          </cell>
          <cell r="C121">
            <v>852.61</v>
          </cell>
          <cell r="D121">
            <v>871.48</v>
          </cell>
          <cell r="E121">
            <v>888.65</v>
          </cell>
          <cell r="F121">
            <v>907.72</v>
          </cell>
          <cell r="G121">
            <v>932.73</v>
          </cell>
          <cell r="H121">
            <v>955.72</v>
          </cell>
          <cell r="I121">
            <v>976.37</v>
          </cell>
          <cell r="J121">
            <v>995.21</v>
          </cell>
          <cell r="K121">
            <v>1015.9</v>
          </cell>
          <cell r="L121">
            <v>1037.73</v>
          </cell>
          <cell r="M121">
            <v>1062.22</v>
          </cell>
          <cell r="N121">
            <v>1091.8</v>
          </cell>
        </row>
        <row r="122">
          <cell r="B122">
            <v>19</v>
          </cell>
          <cell r="C122">
            <v>853.21</v>
          </cell>
          <cell r="D122">
            <v>872.11</v>
          </cell>
          <cell r="E122">
            <v>889.16</v>
          </cell>
          <cell r="F122">
            <v>908.59</v>
          </cell>
          <cell r="G122">
            <v>933.48</v>
          </cell>
          <cell r="H122">
            <v>956.44</v>
          </cell>
          <cell r="I122">
            <v>976.96</v>
          </cell>
          <cell r="J122">
            <v>995.84</v>
          </cell>
          <cell r="K122">
            <v>1016.64</v>
          </cell>
          <cell r="L122">
            <v>1038.43</v>
          </cell>
          <cell r="M122">
            <v>1063.23</v>
          </cell>
          <cell r="N122">
            <v>1092.7</v>
          </cell>
        </row>
        <row r="123">
          <cell r="B123">
            <v>20</v>
          </cell>
          <cell r="C123">
            <v>853.81</v>
          </cell>
          <cell r="D123">
            <v>872.73</v>
          </cell>
          <cell r="E123">
            <v>889.67</v>
          </cell>
          <cell r="F123">
            <v>909.45</v>
          </cell>
          <cell r="G123">
            <v>934.22</v>
          </cell>
          <cell r="H123">
            <v>957.17</v>
          </cell>
          <cell r="I123">
            <v>977.56</v>
          </cell>
          <cell r="J123">
            <v>996.48</v>
          </cell>
          <cell r="K123">
            <v>1017.38</v>
          </cell>
          <cell r="L123">
            <v>1039.1199999999999</v>
          </cell>
          <cell r="M123">
            <v>1064.25</v>
          </cell>
          <cell r="N123">
            <v>1093.6099999999999</v>
          </cell>
        </row>
        <row r="124">
          <cell r="B124">
            <v>21</v>
          </cell>
          <cell r="C124">
            <v>854.41</v>
          </cell>
          <cell r="D124">
            <v>873.36</v>
          </cell>
          <cell r="E124">
            <v>890.19</v>
          </cell>
          <cell r="F124">
            <v>910.32</v>
          </cell>
          <cell r="G124">
            <v>934.96</v>
          </cell>
          <cell r="H124">
            <v>957.89</v>
          </cell>
          <cell r="I124">
            <v>978.15</v>
          </cell>
          <cell r="J124">
            <v>997.11</v>
          </cell>
          <cell r="K124">
            <v>1018.11</v>
          </cell>
          <cell r="L124">
            <v>1039.82</v>
          </cell>
          <cell r="M124">
            <v>1065.26</v>
          </cell>
          <cell r="N124">
            <v>1094.51</v>
          </cell>
        </row>
        <row r="125">
          <cell r="B125">
            <v>22</v>
          </cell>
          <cell r="C125">
            <v>855.01</v>
          </cell>
          <cell r="D125">
            <v>873.98</v>
          </cell>
          <cell r="E125">
            <v>890.7</v>
          </cell>
          <cell r="F125">
            <v>911.19</v>
          </cell>
          <cell r="G125">
            <v>935.71</v>
          </cell>
          <cell r="H125">
            <v>958.62</v>
          </cell>
          <cell r="I125">
            <v>978.74</v>
          </cell>
          <cell r="J125">
            <v>997.75</v>
          </cell>
          <cell r="K125">
            <v>1018.85</v>
          </cell>
          <cell r="L125">
            <v>1040.52</v>
          </cell>
          <cell r="M125">
            <v>1066.28</v>
          </cell>
          <cell r="N125">
            <v>1095.42</v>
          </cell>
        </row>
        <row r="126">
          <cell r="B126">
            <v>23</v>
          </cell>
          <cell r="C126">
            <v>855.61</v>
          </cell>
          <cell r="D126">
            <v>874.61</v>
          </cell>
          <cell r="E126">
            <v>891.21</v>
          </cell>
          <cell r="F126">
            <v>912.06</v>
          </cell>
          <cell r="G126">
            <v>936.45</v>
          </cell>
          <cell r="H126">
            <v>959.35</v>
          </cell>
          <cell r="I126">
            <v>979.34</v>
          </cell>
          <cell r="J126">
            <v>998.39</v>
          </cell>
          <cell r="K126">
            <v>1019.59</v>
          </cell>
          <cell r="L126">
            <v>1041.22</v>
          </cell>
          <cell r="M126">
            <v>1067.29</v>
          </cell>
          <cell r="N126">
            <v>1096.33</v>
          </cell>
        </row>
        <row r="127">
          <cell r="B127">
            <v>24</v>
          </cell>
          <cell r="C127">
            <v>856.21</v>
          </cell>
          <cell r="D127">
            <v>875.24</v>
          </cell>
          <cell r="E127">
            <v>891.72</v>
          </cell>
          <cell r="F127">
            <v>912.93</v>
          </cell>
          <cell r="G127">
            <v>937.2</v>
          </cell>
          <cell r="H127">
            <v>960.07</v>
          </cell>
          <cell r="I127">
            <v>979.93</v>
          </cell>
          <cell r="J127">
            <v>999.03</v>
          </cell>
          <cell r="K127">
            <v>1020.33</v>
          </cell>
          <cell r="L127">
            <v>1041.92</v>
          </cell>
          <cell r="M127">
            <v>1068.31</v>
          </cell>
          <cell r="N127">
            <v>1097.23</v>
          </cell>
        </row>
        <row r="128">
          <cell r="B128">
            <v>25</v>
          </cell>
          <cell r="C128">
            <v>856.81</v>
          </cell>
          <cell r="D128">
            <v>875.87</v>
          </cell>
          <cell r="E128">
            <v>892.24</v>
          </cell>
          <cell r="F128">
            <v>913.8</v>
          </cell>
          <cell r="G128">
            <v>937.95</v>
          </cell>
          <cell r="H128">
            <v>960.8</v>
          </cell>
          <cell r="I128">
            <v>980.53</v>
          </cell>
          <cell r="J128">
            <v>999.67</v>
          </cell>
          <cell r="K128">
            <v>1021.07</v>
          </cell>
          <cell r="L128">
            <v>1042.6099999999999</v>
          </cell>
          <cell r="M128">
            <v>1069.33</v>
          </cell>
          <cell r="N128">
            <v>1098.1400000000001</v>
          </cell>
        </row>
        <row r="129">
          <cell r="B129">
            <v>26</v>
          </cell>
          <cell r="C129">
            <v>857.41</v>
          </cell>
          <cell r="D129">
            <v>876.49</v>
          </cell>
          <cell r="E129">
            <v>892.75</v>
          </cell>
          <cell r="F129">
            <v>914.67</v>
          </cell>
          <cell r="G129">
            <v>938.7</v>
          </cell>
          <cell r="H129">
            <v>961.53</v>
          </cell>
          <cell r="I129">
            <v>981.12</v>
          </cell>
          <cell r="J129">
            <v>1000.3</v>
          </cell>
          <cell r="K129">
            <v>1021.81</v>
          </cell>
          <cell r="L129">
            <v>1043.31</v>
          </cell>
          <cell r="M129">
            <v>1070.3499999999999</v>
          </cell>
          <cell r="N129">
            <v>1099.05</v>
          </cell>
        </row>
        <row r="130">
          <cell r="B130">
            <v>27</v>
          </cell>
          <cell r="C130">
            <v>858.01</v>
          </cell>
          <cell r="D130">
            <v>877.12</v>
          </cell>
          <cell r="E130">
            <v>893.27</v>
          </cell>
          <cell r="F130">
            <v>915.54</v>
          </cell>
          <cell r="G130">
            <v>939.44</v>
          </cell>
          <cell r="H130">
            <v>962.26</v>
          </cell>
          <cell r="I130">
            <v>981.72</v>
          </cell>
          <cell r="J130">
            <v>1000.94</v>
          </cell>
          <cell r="K130">
            <v>1022.55</v>
          </cell>
          <cell r="L130">
            <v>1044.01</v>
          </cell>
          <cell r="M130">
            <v>1071.3699999999999</v>
          </cell>
          <cell r="N130">
            <v>1099.96</v>
          </cell>
        </row>
        <row r="131">
          <cell r="B131">
            <v>28</v>
          </cell>
          <cell r="C131">
            <v>858.62</v>
          </cell>
          <cell r="D131">
            <v>877.75</v>
          </cell>
          <cell r="E131">
            <v>893.78</v>
          </cell>
          <cell r="F131">
            <v>916.41</v>
          </cell>
          <cell r="G131">
            <v>940.19</v>
          </cell>
          <cell r="H131">
            <v>962.99</v>
          </cell>
          <cell r="I131">
            <v>982.32</v>
          </cell>
          <cell r="J131">
            <v>1001.58</v>
          </cell>
          <cell r="K131">
            <v>1023.3</v>
          </cell>
          <cell r="L131">
            <v>1044.71</v>
          </cell>
          <cell r="M131">
            <v>1072.3900000000001</v>
          </cell>
          <cell r="N131">
            <v>1100.8699999999999</v>
          </cell>
        </row>
        <row r="132">
          <cell r="B132">
            <v>29</v>
          </cell>
          <cell r="C132">
            <v>859.22</v>
          </cell>
          <cell r="D132">
            <v>878.38</v>
          </cell>
          <cell r="E132">
            <v>894.29</v>
          </cell>
          <cell r="F132">
            <v>917.29</v>
          </cell>
          <cell r="G132">
            <v>940.94</v>
          </cell>
          <cell r="H132">
            <v>963.72</v>
          </cell>
          <cell r="I132">
            <v>982.91</v>
          </cell>
          <cell r="J132">
            <v>1002.22</v>
          </cell>
          <cell r="K132">
            <v>1024.04</v>
          </cell>
          <cell r="L132">
            <v>1045.4100000000001</v>
          </cell>
          <cell r="M132">
            <v>1073.4100000000001</v>
          </cell>
          <cell r="N132">
            <v>1101.79</v>
          </cell>
        </row>
        <row r="133">
          <cell r="B133">
            <v>30</v>
          </cell>
          <cell r="C133">
            <v>859.82</v>
          </cell>
          <cell r="E133">
            <v>894.81</v>
          </cell>
          <cell r="F133">
            <v>918.16</v>
          </cell>
          <cell r="G133">
            <v>941.69</v>
          </cell>
          <cell r="H133">
            <v>964.45</v>
          </cell>
          <cell r="I133">
            <v>983.51</v>
          </cell>
          <cell r="J133">
            <v>1002.86</v>
          </cell>
          <cell r="K133">
            <v>1024.78</v>
          </cell>
          <cell r="L133">
            <v>1046.1099999999999</v>
          </cell>
          <cell r="M133">
            <v>1074.44</v>
          </cell>
          <cell r="N133">
            <v>1102.7</v>
          </cell>
        </row>
        <row r="134">
          <cell r="B134">
            <v>31</v>
          </cell>
          <cell r="C134">
            <v>860.43</v>
          </cell>
          <cell r="E134">
            <v>895.32</v>
          </cell>
          <cell r="G134">
            <v>942.44</v>
          </cell>
          <cell r="I134">
            <v>984.11</v>
          </cell>
          <cell r="J134">
            <v>1003.5</v>
          </cell>
          <cell r="L134">
            <v>1046.82</v>
          </cell>
          <cell r="N134">
            <v>1103.6099999999999</v>
          </cell>
        </row>
        <row r="136">
          <cell r="B136">
            <v>1</v>
          </cell>
          <cell r="C136">
            <v>1104.53</v>
          </cell>
          <cell r="D136">
            <v>1127.51</v>
          </cell>
          <cell r="E136">
            <v>1145.92</v>
          </cell>
          <cell r="F136">
            <v>1153.69</v>
          </cell>
          <cell r="G136">
            <v>1161.3499999999999</v>
          </cell>
          <cell r="H136">
            <v>1174.17</v>
          </cell>
          <cell r="I136">
            <v>1189</v>
          </cell>
          <cell r="J136">
            <v>1193.99</v>
          </cell>
          <cell r="K136">
            <v>1199.5999999999999</v>
          </cell>
          <cell r="L136">
            <v>1212.02</v>
          </cell>
          <cell r="M136">
            <v>1223.99</v>
          </cell>
          <cell r="N136">
            <v>1229.52</v>
          </cell>
        </row>
        <row r="137">
          <cell r="B137">
            <v>2</v>
          </cell>
          <cell r="C137">
            <v>1105.44</v>
          </cell>
          <cell r="D137">
            <v>1128.19</v>
          </cell>
          <cell r="E137">
            <v>1146.57</v>
          </cell>
          <cell r="F137">
            <v>1153.8</v>
          </cell>
          <cell r="G137">
            <v>1161.6500000000001</v>
          </cell>
          <cell r="H137">
            <v>1174.6199999999999</v>
          </cell>
          <cell r="I137">
            <v>1189.51</v>
          </cell>
          <cell r="J137">
            <v>1194.02</v>
          </cell>
          <cell r="K137">
            <v>1199.83</v>
          </cell>
          <cell r="L137">
            <v>1212.5</v>
          </cell>
          <cell r="M137">
            <v>1224.3399999999999</v>
          </cell>
          <cell r="N137">
            <v>1229.6400000000001</v>
          </cell>
        </row>
        <row r="138">
          <cell r="B138">
            <v>3</v>
          </cell>
          <cell r="C138">
            <v>1106.3599999999999</v>
          </cell>
          <cell r="D138">
            <v>1128.8800000000001</v>
          </cell>
          <cell r="E138">
            <v>1147.22</v>
          </cell>
          <cell r="F138">
            <v>1153.9100000000001</v>
          </cell>
          <cell r="G138">
            <v>1161.96</v>
          </cell>
          <cell r="H138">
            <v>1175.07</v>
          </cell>
          <cell r="I138">
            <v>1190.02</v>
          </cell>
          <cell r="J138">
            <v>1194.06</v>
          </cell>
          <cell r="K138">
            <v>1200.07</v>
          </cell>
          <cell r="L138">
            <v>1212.98</v>
          </cell>
          <cell r="M138">
            <v>1224.7</v>
          </cell>
          <cell r="N138">
            <v>1229.76</v>
          </cell>
        </row>
        <row r="139">
          <cell r="B139">
            <v>4</v>
          </cell>
          <cell r="C139">
            <v>1107.27</v>
          </cell>
          <cell r="D139">
            <v>1129.56</v>
          </cell>
          <cell r="E139">
            <v>1147.8699999999999</v>
          </cell>
          <cell r="F139">
            <v>1154.03</v>
          </cell>
          <cell r="G139">
            <v>1162.27</v>
          </cell>
          <cell r="H139">
            <v>1175.52</v>
          </cell>
          <cell r="I139">
            <v>1190.54</v>
          </cell>
          <cell r="J139">
            <v>1194.0999999999999</v>
          </cell>
          <cell r="K139">
            <v>1200.3</v>
          </cell>
          <cell r="L139">
            <v>1213.46</v>
          </cell>
          <cell r="M139">
            <v>1225.05</v>
          </cell>
          <cell r="N139">
            <v>1229.8900000000001</v>
          </cell>
        </row>
        <row r="140">
          <cell r="B140">
            <v>5</v>
          </cell>
          <cell r="C140">
            <v>1108.19</v>
          </cell>
          <cell r="D140">
            <v>1130.25</v>
          </cell>
          <cell r="E140">
            <v>1148.52</v>
          </cell>
          <cell r="F140">
            <v>1154.1400000000001</v>
          </cell>
          <cell r="G140">
            <v>1162.58</v>
          </cell>
          <cell r="H140">
            <v>1175.97</v>
          </cell>
          <cell r="I140">
            <v>1191.05</v>
          </cell>
          <cell r="J140">
            <v>1194.1400000000001</v>
          </cell>
          <cell r="K140">
            <v>1200.53</v>
          </cell>
          <cell r="L140">
            <v>1213.95</v>
          </cell>
          <cell r="M140">
            <v>1225.4100000000001</v>
          </cell>
          <cell r="N140">
            <v>1230.01</v>
          </cell>
        </row>
        <row r="141">
          <cell r="B141">
            <v>6</v>
          </cell>
          <cell r="C141">
            <v>1109.1099999999999</v>
          </cell>
          <cell r="D141">
            <v>1130.93</v>
          </cell>
          <cell r="E141">
            <v>1149.17</v>
          </cell>
          <cell r="F141">
            <v>1154.25</v>
          </cell>
          <cell r="G141">
            <v>1162.8900000000001</v>
          </cell>
          <cell r="H141">
            <v>1176.43</v>
          </cell>
          <cell r="I141">
            <v>1191.56</v>
          </cell>
          <cell r="J141">
            <v>1194.18</v>
          </cell>
          <cell r="K141">
            <v>1200.76</v>
          </cell>
          <cell r="L141">
            <v>1214.43</v>
          </cell>
          <cell r="M141">
            <v>1225.76</v>
          </cell>
          <cell r="N141">
            <v>1230.1300000000001</v>
          </cell>
        </row>
        <row r="142">
          <cell r="B142">
            <v>7</v>
          </cell>
          <cell r="C142">
            <v>1110.03</v>
          </cell>
          <cell r="D142">
            <v>1131.6199999999999</v>
          </cell>
          <cell r="E142">
            <v>1149.82</v>
          </cell>
          <cell r="F142">
            <v>1154.3599999999999</v>
          </cell>
          <cell r="G142">
            <v>1163.2</v>
          </cell>
          <cell r="H142">
            <v>1176.8800000000001</v>
          </cell>
          <cell r="I142">
            <v>1192.07</v>
          </cell>
          <cell r="J142">
            <v>1194.22</v>
          </cell>
          <cell r="K142">
            <v>1200.99</v>
          </cell>
          <cell r="L142">
            <v>1214.9100000000001</v>
          </cell>
          <cell r="M142">
            <v>1226.1099999999999</v>
          </cell>
          <cell r="N142">
            <v>1230.25</v>
          </cell>
        </row>
        <row r="143">
          <cell r="B143">
            <v>8</v>
          </cell>
          <cell r="C143">
            <v>1110.95</v>
          </cell>
          <cell r="D143">
            <v>1132.31</v>
          </cell>
          <cell r="E143">
            <v>1150.48</v>
          </cell>
          <cell r="F143">
            <v>1154.47</v>
          </cell>
          <cell r="G143">
            <v>1163.51</v>
          </cell>
          <cell r="H143">
            <v>1177.33</v>
          </cell>
          <cell r="I143">
            <v>1192.5899999999999</v>
          </cell>
          <cell r="J143">
            <v>1194.25</v>
          </cell>
          <cell r="K143">
            <v>1201.22</v>
          </cell>
          <cell r="L143">
            <v>1215.3900000000001</v>
          </cell>
          <cell r="M143">
            <v>1226.47</v>
          </cell>
          <cell r="N143">
            <v>1230.3800000000001</v>
          </cell>
        </row>
        <row r="144">
          <cell r="B144">
            <v>9</v>
          </cell>
          <cell r="C144">
            <v>1111.8699999999999</v>
          </cell>
          <cell r="D144">
            <v>1133</v>
          </cell>
          <cell r="E144">
            <v>1151.1300000000001</v>
          </cell>
          <cell r="F144">
            <v>1154.58</v>
          </cell>
          <cell r="G144">
            <v>1163.82</v>
          </cell>
          <cell r="H144">
            <v>1177.79</v>
          </cell>
          <cell r="I144">
            <v>1193.0999999999999</v>
          </cell>
          <cell r="J144">
            <v>1194.29</v>
          </cell>
          <cell r="K144">
            <v>1201.46</v>
          </cell>
          <cell r="L144">
            <v>1215.8800000000001</v>
          </cell>
          <cell r="M144">
            <v>1226.82</v>
          </cell>
          <cell r="N144">
            <v>1230.5</v>
          </cell>
        </row>
        <row r="145">
          <cell r="B145">
            <v>10</v>
          </cell>
          <cell r="C145">
            <v>1112.55</v>
          </cell>
          <cell r="D145">
            <v>1133.6400000000001</v>
          </cell>
          <cell r="E145">
            <v>1151.24</v>
          </cell>
          <cell r="F145">
            <v>1154.8900000000001</v>
          </cell>
          <cell r="G145">
            <v>1164.27</v>
          </cell>
          <cell r="H145">
            <v>1178.3</v>
          </cell>
          <cell r="I145">
            <v>1193.1400000000001</v>
          </cell>
          <cell r="J145">
            <v>1194.52</v>
          </cell>
          <cell r="K145">
            <v>1201.94</v>
          </cell>
          <cell r="L145">
            <v>1216.23</v>
          </cell>
          <cell r="M145">
            <v>1226.94</v>
          </cell>
          <cell r="N145">
            <v>1230.58</v>
          </cell>
        </row>
        <row r="146">
          <cell r="B146">
            <v>11</v>
          </cell>
          <cell r="C146">
            <v>1113.22</v>
          </cell>
          <cell r="D146">
            <v>1134.29</v>
          </cell>
          <cell r="E146">
            <v>1151.3499999999999</v>
          </cell>
          <cell r="F146">
            <v>1155.19</v>
          </cell>
          <cell r="G146">
            <v>1164.72</v>
          </cell>
          <cell r="H146">
            <v>1178.8</v>
          </cell>
          <cell r="I146">
            <v>1193.18</v>
          </cell>
          <cell r="J146">
            <v>1194.75</v>
          </cell>
          <cell r="K146">
            <v>1202.42</v>
          </cell>
          <cell r="L146">
            <v>1216.58</v>
          </cell>
          <cell r="M146">
            <v>1227.07</v>
          </cell>
          <cell r="N146">
            <v>1230.6600000000001</v>
          </cell>
        </row>
        <row r="147">
          <cell r="B147">
            <v>12</v>
          </cell>
          <cell r="C147">
            <v>1113.9000000000001</v>
          </cell>
          <cell r="D147">
            <v>1134.93</v>
          </cell>
          <cell r="E147">
            <v>1151.46</v>
          </cell>
          <cell r="F147">
            <v>1155.5</v>
          </cell>
          <cell r="G147">
            <v>1165.1600000000001</v>
          </cell>
          <cell r="H147">
            <v>1179.31</v>
          </cell>
          <cell r="I147">
            <v>1193.22</v>
          </cell>
          <cell r="J147">
            <v>1194.98</v>
          </cell>
          <cell r="K147">
            <v>1202.8900000000001</v>
          </cell>
          <cell r="L147">
            <v>1216.93</v>
          </cell>
          <cell r="M147">
            <v>1227.19</v>
          </cell>
          <cell r="N147">
            <v>1230.74</v>
          </cell>
        </row>
        <row r="148">
          <cell r="B148">
            <v>13</v>
          </cell>
          <cell r="C148">
            <v>1114.57</v>
          </cell>
          <cell r="D148">
            <v>1135.57</v>
          </cell>
          <cell r="E148">
            <v>1151.58</v>
          </cell>
          <cell r="F148">
            <v>1155.81</v>
          </cell>
          <cell r="G148">
            <v>1165.6099999999999</v>
          </cell>
          <cell r="H148">
            <v>1179.82</v>
          </cell>
          <cell r="I148">
            <v>1193.25</v>
          </cell>
          <cell r="J148">
            <v>1195.21</v>
          </cell>
          <cell r="K148">
            <v>1203.3699999999999</v>
          </cell>
          <cell r="L148">
            <v>1217.29</v>
          </cell>
          <cell r="M148">
            <v>1227.31</v>
          </cell>
          <cell r="N148">
            <v>1230.82</v>
          </cell>
        </row>
        <row r="149">
          <cell r="B149">
            <v>14</v>
          </cell>
          <cell r="C149">
            <v>1115.25</v>
          </cell>
          <cell r="D149">
            <v>1136.22</v>
          </cell>
          <cell r="E149">
            <v>1151.69</v>
          </cell>
          <cell r="F149">
            <v>1156.1099999999999</v>
          </cell>
          <cell r="G149">
            <v>1166.06</v>
          </cell>
          <cell r="H149">
            <v>1180.33</v>
          </cell>
          <cell r="I149">
            <v>1193.29</v>
          </cell>
          <cell r="J149">
            <v>1195.44</v>
          </cell>
          <cell r="K149">
            <v>1203.8499999999999</v>
          </cell>
          <cell r="L149">
            <v>1217.6400000000001</v>
          </cell>
          <cell r="M149">
            <v>1227.43</v>
          </cell>
          <cell r="N149">
            <v>1230.9000000000001</v>
          </cell>
        </row>
        <row r="150">
          <cell r="B150">
            <v>15</v>
          </cell>
          <cell r="C150">
            <v>1115.93</v>
          </cell>
          <cell r="D150">
            <v>1136.8599999999999</v>
          </cell>
          <cell r="E150">
            <v>1151.8</v>
          </cell>
          <cell r="F150">
            <v>1156.42</v>
          </cell>
          <cell r="G150">
            <v>1166.51</v>
          </cell>
          <cell r="H150">
            <v>1180.8399999999999</v>
          </cell>
          <cell r="I150">
            <v>1193.33</v>
          </cell>
          <cell r="J150">
            <v>1195.67</v>
          </cell>
          <cell r="K150">
            <v>1204.33</v>
          </cell>
          <cell r="L150">
            <v>1217.99</v>
          </cell>
          <cell r="M150">
            <v>1227.56</v>
          </cell>
          <cell r="N150">
            <v>1230.98</v>
          </cell>
        </row>
        <row r="151">
          <cell r="B151">
            <v>16</v>
          </cell>
          <cell r="C151">
            <v>1116.6099999999999</v>
          </cell>
          <cell r="D151">
            <v>1137.51</v>
          </cell>
          <cell r="E151">
            <v>1151.9100000000001</v>
          </cell>
          <cell r="F151">
            <v>1156.73</v>
          </cell>
          <cell r="G151">
            <v>1166.96</v>
          </cell>
          <cell r="H151">
            <v>1181.3399999999999</v>
          </cell>
          <cell r="I151">
            <v>1193.3699999999999</v>
          </cell>
          <cell r="J151">
            <v>1195.9000000000001</v>
          </cell>
          <cell r="K151">
            <v>1204.81</v>
          </cell>
          <cell r="L151">
            <v>1218.3399999999999</v>
          </cell>
          <cell r="M151">
            <v>1227.68</v>
          </cell>
          <cell r="N151">
            <v>1231.06</v>
          </cell>
        </row>
        <row r="152">
          <cell r="B152">
            <v>17</v>
          </cell>
          <cell r="C152">
            <v>1117.28</v>
          </cell>
          <cell r="D152">
            <v>1138.1500000000001</v>
          </cell>
          <cell r="E152">
            <v>1152.02</v>
          </cell>
          <cell r="F152">
            <v>1157.04</v>
          </cell>
          <cell r="G152">
            <v>1167.4100000000001</v>
          </cell>
          <cell r="H152">
            <v>1181.8499999999999</v>
          </cell>
          <cell r="I152">
            <v>1193.4100000000001</v>
          </cell>
          <cell r="J152">
            <v>1196.1400000000001</v>
          </cell>
          <cell r="K152">
            <v>1205.29</v>
          </cell>
          <cell r="L152">
            <v>1218.69</v>
          </cell>
          <cell r="M152">
            <v>1227.8</v>
          </cell>
          <cell r="N152">
            <v>1231.1300000000001</v>
          </cell>
        </row>
        <row r="153">
          <cell r="B153">
            <v>18</v>
          </cell>
          <cell r="C153">
            <v>1117.96</v>
          </cell>
          <cell r="D153">
            <v>1138.8</v>
          </cell>
          <cell r="E153">
            <v>1152.1300000000001</v>
          </cell>
          <cell r="F153">
            <v>1157.3399999999999</v>
          </cell>
          <cell r="G153">
            <v>1167.8599999999999</v>
          </cell>
          <cell r="H153">
            <v>1182.3599999999999</v>
          </cell>
          <cell r="I153">
            <v>1193.45</v>
          </cell>
          <cell r="J153">
            <v>1196.3699999999999</v>
          </cell>
          <cell r="K153">
            <v>1205.77</v>
          </cell>
          <cell r="L153">
            <v>1219.05</v>
          </cell>
          <cell r="M153">
            <v>1227.92</v>
          </cell>
          <cell r="N153">
            <v>1231.21</v>
          </cell>
        </row>
        <row r="154">
          <cell r="B154">
            <v>19</v>
          </cell>
          <cell r="C154">
            <v>1118.6400000000001</v>
          </cell>
          <cell r="D154">
            <v>1139.44</v>
          </cell>
          <cell r="E154">
            <v>1152.24</v>
          </cell>
          <cell r="F154">
            <v>1157.6500000000001</v>
          </cell>
          <cell r="G154">
            <v>1168.31</v>
          </cell>
          <cell r="H154">
            <v>1182.8699999999999</v>
          </cell>
          <cell r="I154">
            <v>1193.48</v>
          </cell>
          <cell r="J154">
            <v>1196.5999999999999</v>
          </cell>
          <cell r="K154">
            <v>1206.25</v>
          </cell>
          <cell r="L154">
            <v>1219.4000000000001</v>
          </cell>
          <cell r="M154">
            <v>1228.05</v>
          </cell>
          <cell r="N154">
            <v>1231.29</v>
          </cell>
        </row>
        <row r="155">
          <cell r="B155">
            <v>20</v>
          </cell>
          <cell r="C155">
            <v>1119.32</v>
          </cell>
          <cell r="D155">
            <v>1140.0899999999999</v>
          </cell>
          <cell r="E155">
            <v>1152.3499999999999</v>
          </cell>
          <cell r="F155">
            <v>1157.96</v>
          </cell>
          <cell r="G155">
            <v>1168.76</v>
          </cell>
          <cell r="H155">
            <v>1183.3800000000001</v>
          </cell>
          <cell r="I155">
            <v>1193.52</v>
          </cell>
          <cell r="J155">
            <v>1196.83</v>
          </cell>
          <cell r="K155">
            <v>1206.73</v>
          </cell>
          <cell r="L155">
            <v>1219.75</v>
          </cell>
          <cell r="M155">
            <v>1228.17</v>
          </cell>
          <cell r="N155">
            <v>1231.3699999999999</v>
          </cell>
        </row>
        <row r="156">
          <cell r="B156">
            <v>21</v>
          </cell>
          <cell r="C156">
            <v>1120</v>
          </cell>
          <cell r="D156">
            <v>1140.73</v>
          </cell>
          <cell r="E156">
            <v>1152.47</v>
          </cell>
          <cell r="F156">
            <v>1158.27</v>
          </cell>
          <cell r="G156">
            <v>1169.21</v>
          </cell>
          <cell r="H156">
            <v>1183.8900000000001</v>
          </cell>
          <cell r="I156">
            <v>1193.56</v>
          </cell>
          <cell r="J156">
            <v>1197.06</v>
          </cell>
          <cell r="K156">
            <v>1207.21</v>
          </cell>
          <cell r="L156">
            <v>1220.0999999999999</v>
          </cell>
          <cell r="M156">
            <v>1228.29</v>
          </cell>
          <cell r="N156">
            <v>1231.45</v>
          </cell>
        </row>
        <row r="157">
          <cell r="B157">
            <v>22</v>
          </cell>
          <cell r="C157">
            <v>1120.68</v>
          </cell>
          <cell r="D157">
            <v>1141.3800000000001</v>
          </cell>
          <cell r="E157">
            <v>1152.58</v>
          </cell>
          <cell r="F157">
            <v>1158.57</v>
          </cell>
          <cell r="G157">
            <v>1169.6600000000001</v>
          </cell>
          <cell r="H157">
            <v>1184.4000000000001</v>
          </cell>
          <cell r="I157">
            <v>1193.5999999999999</v>
          </cell>
          <cell r="J157">
            <v>1197.29</v>
          </cell>
          <cell r="K157">
            <v>1207.69</v>
          </cell>
          <cell r="L157">
            <v>1220.46</v>
          </cell>
          <cell r="M157">
            <v>1228.4100000000001</v>
          </cell>
          <cell r="N157">
            <v>1231.53</v>
          </cell>
        </row>
        <row r="158">
          <cell r="B158">
            <v>23</v>
          </cell>
          <cell r="C158">
            <v>1121.3599999999999</v>
          </cell>
          <cell r="D158">
            <v>1142.03</v>
          </cell>
          <cell r="E158">
            <v>1152.69</v>
          </cell>
          <cell r="F158">
            <v>1158.8800000000001</v>
          </cell>
          <cell r="G158">
            <v>1170.1099999999999</v>
          </cell>
          <cell r="H158">
            <v>1184.9100000000001</v>
          </cell>
          <cell r="I158">
            <v>1193.6400000000001</v>
          </cell>
          <cell r="J158">
            <v>1197.52</v>
          </cell>
          <cell r="K158">
            <v>1208.17</v>
          </cell>
          <cell r="L158">
            <v>1220.81</v>
          </cell>
          <cell r="M158">
            <v>1228.54</v>
          </cell>
          <cell r="N158">
            <v>1231.6099999999999</v>
          </cell>
        </row>
        <row r="159">
          <cell r="B159">
            <v>24</v>
          </cell>
          <cell r="C159">
            <v>1122.04</v>
          </cell>
          <cell r="D159">
            <v>1142.68</v>
          </cell>
          <cell r="E159">
            <v>1152.8</v>
          </cell>
          <cell r="F159">
            <v>1159.19</v>
          </cell>
          <cell r="G159">
            <v>1170.56</v>
          </cell>
          <cell r="H159">
            <v>1185.42</v>
          </cell>
          <cell r="I159">
            <v>1193.68</v>
          </cell>
          <cell r="J159">
            <v>1197.75</v>
          </cell>
          <cell r="K159">
            <v>1208.6500000000001</v>
          </cell>
          <cell r="L159">
            <v>1221.1600000000001</v>
          </cell>
          <cell r="M159">
            <v>1228.6600000000001</v>
          </cell>
          <cell r="N159">
            <v>1231.69</v>
          </cell>
        </row>
        <row r="160">
          <cell r="B160">
            <v>25</v>
          </cell>
          <cell r="C160">
            <v>1122.72</v>
          </cell>
          <cell r="D160">
            <v>1143.32</v>
          </cell>
          <cell r="E160">
            <v>1152.9100000000001</v>
          </cell>
          <cell r="F160">
            <v>1159.5</v>
          </cell>
          <cell r="G160">
            <v>1171.01</v>
          </cell>
          <cell r="H160">
            <v>1185.93</v>
          </cell>
          <cell r="I160">
            <v>1193.72</v>
          </cell>
          <cell r="J160">
            <v>1197.98</v>
          </cell>
          <cell r="K160">
            <v>1209.1300000000001</v>
          </cell>
          <cell r="L160">
            <v>1221.52</v>
          </cell>
          <cell r="M160">
            <v>1228.78</v>
          </cell>
          <cell r="N160">
            <v>1231.77</v>
          </cell>
        </row>
        <row r="161">
          <cell r="B161">
            <v>26</v>
          </cell>
          <cell r="C161">
            <v>1123.4100000000001</v>
          </cell>
          <cell r="D161">
            <v>1143.97</v>
          </cell>
          <cell r="E161">
            <v>1153.02</v>
          </cell>
          <cell r="F161">
            <v>1159.81</v>
          </cell>
          <cell r="G161">
            <v>1171.46</v>
          </cell>
          <cell r="H161">
            <v>1186.44</v>
          </cell>
          <cell r="I161">
            <v>1193.75</v>
          </cell>
          <cell r="J161">
            <v>1198.21</v>
          </cell>
          <cell r="K161">
            <v>1209.6099999999999</v>
          </cell>
          <cell r="L161">
            <v>1221.8699999999999</v>
          </cell>
          <cell r="M161">
            <v>1228.9000000000001</v>
          </cell>
          <cell r="N161">
            <v>1231.8499999999999</v>
          </cell>
        </row>
        <row r="162">
          <cell r="B162">
            <v>27</v>
          </cell>
          <cell r="C162">
            <v>1124.0899999999999</v>
          </cell>
          <cell r="D162">
            <v>1144.6199999999999</v>
          </cell>
          <cell r="E162">
            <v>1153.1300000000001</v>
          </cell>
          <cell r="F162">
            <v>1160.1099999999999</v>
          </cell>
          <cell r="G162">
            <v>1171.9100000000001</v>
          </cell>
          <cell r="H162">
            <v>1186.95</v>
          </cell>
          <cell r="I162">
            <v>1193.79</v>
          </cell>
          <cell r="J162">
            <v>1198.45</v>
          </cell>
          <cell r="K162">
            <v>1210.0899999999999</v>
          </cell>
          <cell r="L162">
            <v>1222.22</v>
          </cell>
          <cell r="M162">
            <v>1229.03</v>
          </cell>
          <cell r="N162">
            <v>1231.93</v>
          </cell>
        </row>
        <row r="163">
          <cell r="B163">
            <v>28</v>
          </cell>
          <cell r="C163">
            <v>1124.77</v>
          </cell>
          <cell r="D163">
            <v>1145.27</v>
          </cell>
          <cell r="E163">
            <v>1153.25</v>
          </cell>
          <cell r="F163">
            <v>1160.42</v>
          </cell>
          <cell r="G163">
            <v>1172.3599999999999</v>
          </cell>
          <cell r="H163">
            <v>1187.46</v>
          </cell>
          <cell r="I163">
            <v>1193.83</v>
          </cell>
          <cell r="J163">
            <v>1198.68</v>
          </cell>
          <cell r="K163">
            <v>1210.57</v>
          </cell>
          <cell r="L163">
            <v>1222.58</v>
          </cell>
          <cell r="M163">
            <v>1229.1500000000001</v>
          </cell>
          <cell r="N163">
            <v>1232.01</v>
          </cell>
        </row>
        <row r="164">
          <cell r="B164">
            <v>29</v>
          </cell>
          <cell r="C164">
            <v>1125.45</v>
          </cell>
          <cell r="E164">
            <v>1153.3599999999999</v>
          </cell>
          <cell r="F164">
            <v>1160.73</v>
          </cell>
          <cell r="G164">
            <v>1172.81</v>
          </cell>
          <cell r="H164">
            <v>1187.98</v>
          </cell>
          <cell r="I164">
            <v>1193.8699999999999</v>
          </cell>
          <cell r="J164">
            <v>1198.9100000000001</v>
          </cell>
          <cell r="K164">
            <v>1211.05</v>
          </cell>
          <cell r="L164">
            <v>1222.93</v>
          </cell>
          <cell r="M164">
            <v>1229.27</v>
          </cell>
          <cell r="N164">
            <v>1232.0899999999999</v>
          </cell>
        </row>
        <row r="165">
          <cell r="B165">
            <v>30</v>
          </cell>
          <cell r="C165">
            <v>1126.1400000000001</v>
          </cell>
          <cell r="E165">
            <v>1153.47</v>
          </cell>
          <cell r="F165">
            <v>1161.04</v>
          </cell>
          <cell r="G165">
            <v>1173.26</v>
          </cell>
          <cell r="H165">
            <v>1188.49</v>
          </cell>
          <cell r="I165">
            <v>1193.9100000000001</v>
          </cell>
          <cell r="J165">
            <v>1199.1400000000001</v>
          </cell>
          <cell r="K165">
            <v>1211.53</v>
          </cell>
          <cell r="L165">
            <v>1223.28</v>
          </cell>
          <cell r="M165">
            <v>1229.4000000000001</v>
          </cell>
          <cell r="N165">
            <v>1232.17</v>
          </cell>
        </row>
        <row r="166">
          <cell r="B166">
            <v>31</v>
          </cell>
          <cell r="C166">
            <v>1126.82</v>
          </cell>
          <cell r="E166">
            <v>1153.58</v>
          </cell>
          <cell r="G166">
            <v>1173.71</v>
          </cell>
          <cell r="I166">
            <v>1193.95</v>
          </cell>
          <cell r="J166">
            <v>1199.3699999999999</v>
          </cell>
          <cell r="L166">
            <v>1223.6400000000001</v>
          </cell>
          <cell r="N166">
            <v>1232.25</v>
          </cell>
        </row>
        <row r="168">
          <cell r="B168">
            <v>1</v>
          </cell>
          <cell r="C168">
            <v>1232.33</v>
          </cell>
          <cell r="D168">
            <v>1237.53</v>
          </cell>
          <cell r="E168">
            <v>1245.31</v>
          </cell>
          <cell r="F168">
            <v>1240.3800000000001</v>
          </cell>
          <cell r="G168">
            <v>1241.44</v>
          </cell>
          <cell r="H168">
            <v>1241.8399999999999</v>
          </cell>
          <cell r="I168">
            <v>1236.96</v>
          </cell>
          <cell r="J168">
            <v>1241.72</v>
          </cell>
          <cell r="K168">
            <v>1262.3699999999999</v>
          </cell>
          <cell r="L168">
            <v>1298.49</v>
          </cell>
          <cell r="M168">
            <v>1350.99</v>
          </cell>
          <cell r="N168">
            <v>1413.52</v>
          </cell>
        </row>
        <row r="169">
          <cell r="B169">
            <v>2</v>
          </cell>
          <cell r="C169">
            <v>1232.4000000000001</v>
          </cell>
          <cell r="D169">
            <v>1237.73</v>
          </cell>
          <cell r="E169">
            <v>1245.6199999999999</v>
          </cell>
          <cell r="F169">
            <v>1240.05</v>
          </cell>
          <cell r="G169">
            <v>1241.5999999999999</v>
          </cell>
          <cell r="H169">
            <v>1241.8</v>
          </cell>
          <cell r="I169">
            <v>1236.76</v>
          </cell>
          <cell r="J169">
            <v>1242</v>
          </cell>
          <cell r="K169">
            <v>1263.18</v>
          </cell>
          <cell r="L169">
            <v>1299.8499999999999</v>
          </cell>
          <cell r="M169">
            <v>1352.82</v>
          </cell>
          <cell r="N169">
            <v>1415.73</v>
          </cell>
        </row>
        <row r="170">
          <cell r="B170">
            <v>3</v>
          </cell>
          <cell r="C170">
            <v>1232.48</v>
          </cell>
          <cell r="D170">
            <v>1237.93</v>
          </cell>
          <cell r="E170">
            <v>1245.93</v>
          </cell>
          <cell r="F170">
            <v>1239.73</v>
          </cell>
          <cell r="G170">
            <v>1241.77</v>
          </cell>
          <cell r="H170">
            <v>1241.76</v>
          </cell>
          <cell r="I170">
            <v>1236.55</v>
          </cell>
          <cell r="J170">
            <v>1242.28</v>
          </cell>
          <cell r="K170">
            <v>1263.99</v>
          </cell>
          <cell r="L170">
            <v>1301.22</v>
          </cell>
          <cell r="M170">
            <v>1354.66</v>
          </cell>
          <cell r="N170">
            <v>1417.95</v>
          </cell>
        </row>
        <row r="171">
          <cell r="B171">
            <v>4</v>
          </cell>
          <cell r="C171">
            <v>1232.56</v>
          </cell>
          <cell r="D171">
            <v>1238.1300000000001</v>
          </cell>
          <cell r="E171">
            <v>1246.24</v>
          </cell>
          <cell r="F171">
            <v>1239.4100000000001</v>
          </cell>
          <cell r="G171">
            <v>1241.93</v>
          </cell>
          <cell r="H171">
            <v>1241.72</v>
          </cell>
          <cell r="I171">
            <v>1236.3399999999999</v>
          </cell>
          <cell r="J171">
            <v>1242.56</v>
          </cell>
          <cell r="K171">
            <v>1264.79</v>
          </cell>
          <cell r="L171">
            <v>1302.5899999999999</v>
          </cell>
          <cell r="M171">
            <v>1356.5</v>
          </cell>
          <cell r="N171">
            <v>1420.17</v>
          </cell>
        </row>
        <row r="172">
          <cell r="B172">
            <v>5</v>
          </cell>
          <cell r="C172">
            <v>1232.6400000000001</v>
          </cell>
          <cell r="D172">
            <v>1238.33</v>
          </cell>
          <cell r="E172">
            <v>1246.55</v>
          </cell>
          <cell r="F172">
            <v>1239.0899999999999</v>
          </cell>
          <cell r="G172">
            <v>1242.0999999999999</v>
          </cell>
          <cell r="H172">
            <v>1241.68</v>
          </cell>
          <cell r="I172">
            <v>1236.1400000000001</v>
          </cell>
          <cell r="J172">
            <v>1242.8399999999999</v>
          </cell>
          <cell r="K172">
            <v>1265.5999999999999</v>
          </cell>
          <cell r="L172">
            <v>1303.95</v>
          </cell>
          <cell r="M172">
            <v>1358.35</v>
          </cell>
          <cell r="N172">
            <v>1422.39</v>
          </cell>
        </row>
        <row r="173">
          <cell r="B173">
            <v>6</v>
          </cell>
          <cell r="C173">
            <v>1232.72</v>
          </cell>
          <cell r="D173">
            <v>1238.53</v>
          </cell>
          <cell r="E173">
            <v>1246.8599999999999</v>
          </cell>
          <cell r="F173">
            <v>1238.77</v>
          </cell>
          <cell r="G173">
            <v>1242.27</v>
          </cell>
          <cell r="H173">
            <v>1241.6400000000001</v>
          </cell>
          <cell r="I173">
            <v>1235.93</v>
          </cell>
          <cell r="J173">
            <v>1243.1199999999999</v>
          </cell>
          <cell r="K173">
            <v>1266.4100000000001</v>
          </cell>
          <cell r="L173">
            <v>1305.32</v>
          </cell>
          <cell r="M173">
            <v>1360.19</v>
          </cell>
          <cell r="N173">
            <v>1424.61</v>
          </cell>
        </row>
        <row r="174">
          <cell r="B174">
            <v>7</v>
          </cell>
          <cell r="C174">
            <v>1232.8</v>
          </cell>
          <cell r="D174">
            <v>1238.73</v>
          </cell>
          <cell r="E174">
            <v>1247.17</v>
          </cell>
          <cell r="F174">
            <v>1238.45</v>
          </cell>
          <cell r="G174">
            <v>1242.43</v>
          </cell>
          <cell r="H174">
            <v>1241.5999999999999</v>
          </cell>
          <cell r="I174">
            <v>1235.73</v>
          </cell>
          <cell r="J174">
            <v>1243.4000000000001</v>
          </cell>
          <cell r="K174">
            <v>1267.22</v>
          </cell>
          <cell r="L174">
            <v>1306.7</v>
          </cell>
          <cell r="M174">
            <v>1362.04</v>
          </cell>
          <cell r="N174">
            <v>1426.84</v>
          </cell>
        </row>
        <row r="175">
          <cell r="B175">
            <v>8</v>
          </cell>
          <cell r="C175">
            <v>1232.8800000000001</v>
          </cell>
          <cell r="D175">
            <v>1238.93</v>
          </cell>
          <cell r="E175">
            <v>1247.48</v>
          </cell>
          <cell r="F175">
            <v>1238.1300000000001</v>
          </cell>
          <cell r="G175">
            <v>1242.5999999999999</v>
          </cell>
          <cell r="H175">
            <v>1241.56</v>
          </cell>
          <cell r="I175">
            <v>1235.52</v>
          </cell>
          <cell r="J175">
            <v>1243.68</v>
          </cell>
          <cell r="K175">
            <v>1268.03</v>
          </cell>
          <cell r="L175">
            <v>1308.07</v>
          </cell>
          <cell r="M175">
            <v>1363.89</v>
          </cell>
          <cell r="N175">
            <v>1429.07</v>
          </cell>
        </row>
        <row r="176">
          <cell r="B176">
            <v>9</v>
          </cell>
          <cell r="C176">
            <v>1232.96</v>
          </cell>
          <cell r="D176">
            <v>1239.1199999999999</v>
          </cell>
          <cell r="E176">
            <v>1247.79</v>
          </cell>
          <cell r="F176">
            <v>1237.81</v>
          </cell>
          <cell r="G176">
            <v>1242.76</v>
          </cell>
          <cell r="H176">
            <v>1241.52</v>
          </cell>
          <cell r="I176">
            <v>1235.31</v>
          </cell>
          <cell r="J176">
            <v>1243.96</v>
          </cell>
          <cell r="K176">
            <v>1268.8399999999999</v>
          </cell>
          <cell r="L176">
            <v>1309.44</v>
          </cell>
          <cell r="M176">
            <v>1365.75</v>
          </cell>
          <cell r="N176">
            <v>1431.31</v>
          </cell>
        </row>
        <row r="177">
          <cell r="B177">
            <v>10</v>
          </cell>
          <cell r="C177">
            <v>1233.1600000000001</v>
          </cell>
          <cell r="D177">
            <v>1239.43</v>
          </cell>
          <cell r="E177">
            <v>1247.47</v>
          </cell>
          <cell r="F177">
            <v>1237.97</v>
          </cell>
          <cell r="G177">
            <v>1242.72</v>
          </cell>
          <cell r="H177">
            <v>1241.31</v>
          </cell>
          <cell r="I177">
            <v>1235.5899999999999</v>
          </cell>
          <cell r="J177">
            <v>1244.75</v>
          </cell>
          <cell r="K177">
            <v>1270.17</v>
          </cell>
          <cell r="L177">
            <v>1311.22</v>
          </cell>
          <cell r="M177">
            <v>1367.89</v>
          </cell>
          <cell r="N177">
            <v>1432.81</v>
          </cell>
        </row>
        <row r="178">
          <cell r="B178">
            <v>11</v>
          </cell>
          <cell r="C178">
            <v>1233.3599999999999</v>
          </cell>
          <cell r="D178">
            <v>1239.74</v>
          </cell>
          <cell r="E178">
            <v>1247.1400000000001</v>
          </cell>
          <cell r="F178">
            <v>1238.1400000000001</v>
          </cell>
          <cell r="G178">
            <v>1242.68</v>
          </cell>
          <cell r="H178">
            <v>1241.1099999999999</v>
          </cell>
          <cell r="I178">
            <v>1235.8699999999999</v>
          </cell>
          <cell r="J178">
            <v>1245.55</v>
          </cell>
          <cell r="K178">
            <v>1271.51</v>
          </cell>
          <cell r="L178">
            <v>1313</v>
          </cell>
          <cell r="M178">
            <v>1370.03</v>
          </cell>
          <cell r="N178">
            <v>1434.31</v>
          </cell>
        </row>
        <row r="179">
          <cell r="B179">
            <v>12</v>
          </cell>
          <cell r="C179">
            <v>1233.56</v>
          </cell>
          <cell r="D179">
            <v>1240.05</v>
          </cell>
          <cell r="E179">
            <v>1246.82</v>
          </cell>
          <cell r="F179">
            <v>1238.3</v>
          </cell>
          <cell r="G179">
            <v>1242.6400000000001</v>
          </cell>
          <cell r="H179">
            <v>1240.9000000000001</v>
          </cell>
          <cell r="I179">
            <v>1236.1400000000001</v>
          </cell>
          <cell r="J179">
            <v>1246.3499999999999</v>
          </cell>
          <cell r="K179">
            <v>1272.8399999999999</v>
          </cell>
          <cell r="L179">
            <v>1314.79</v>
          </cell>
          <cell r="M179">
            <v>1372.17</v>
          </cell>
          <cell r="N179">
            <v>1435.81</v>
          </cell>
        </row>
        <row r="180">
          <cell r="B180">
            <v>13</v>
          </cell>
          <cell r="C180">
            <v>1233.75</v>
          </cell>
          <cell r="D180">
            <v>1240.3599999999999</v>
          </cell>
          <cell r="E180">
            <v>1246.5</v>
          </cell>
          <cell r="F180">
            <v>1238.47</v>
          </cell>
          <cell r="G180">
            <v>1242.5999999999999</v>
          </cell>
          <cell r="H180">
            <v>1240.69</v>
          </cell>
          <cell r="I180">
            <v>1236.42</v>
          </cell>
          <cell r="J180">
            <v>1247.1400000000001</v>
          </cell>
          <cell r="K180">
            <v>1274.18</v>
          </cell>
          <cell r="L180">
            <v>1316.57</v>
          </cell>
          <cell r="M180">
            <v>1374.31</v>
          </cell>
          <cell r="N180">
            <v>1437.32</v>
          </cell>
        </row>
        <row r="181">
          <cell r="B181">
            <v>14</v>
          </cell>
          <cell r="C181">
            <v>1233.95</v>
          </cell>
          <cell r="D181">
            <v>1240.6600000000001</v>
          </cell>
          <cell r="E181">
            <v>1246.17</v>
          </cell>
          <cell r="F181">
            <v>1238.6300000000001</v>
          </cell>
          <cell r="G181">
            <v>1242.56</v>
          </cell>
          <cell r="H181">
            <v>1240.48</v>
          </cell>
          <cell r="I181">
            <v>1236.7</v>
          </cell>
          <cell r="J181">
            <v>1247.94</v>
          </cell>
          <cell r="K181">
            <v>1275.52</v>
          </cell>
          <cell r="L181">
            <v>1318.36</v>
          </cell>
          <cell r="M181">
            <v>1376.46</v>
          </cell>
          <cell r="N181">
            <v>1438.82</v>
          </cell>
        </row>
        <row r="182">
          <cell r="B182">
            <v>15</v>
          </cell>
          <cell r="C182">
            <v>1234.1500000000001</v>
          </cell>
          <cell r="D182">
            <v>1240.97</v>
          </cell>
          <cell r="E182">
            <v>1245.8499999999999</v>
          </cell>
          <cell r="F182">
            <v>1238.8</v>
          </cell>
          <cell r="G182">
            <v>1242.52</v>
          </cell>
          <cell r="H182">
            <v>1240.28</v>
          </cell>
          <cell r="I182">
            <v>1236.98</v>
          </cell>
          <cell r="J182">
            <v>1248.74</v>
          </cell>
          <cell r="K182">
            <v>1276.8599999999999</v>
          </cell>
          <cell r="L182">
            <v>1320.15</v>
          </cell>
          <cell r="M182">
            <v>1378.62</v>
          </cell>
          <cell r="N182">
            <v>1440.33</v>
          </cell>
        </row>
        <row r="183">
          <cell r="B183">
            <v>16</v>
          </cell>
          <cell r="C183">
            <v>1234.3499999999999</v>
          </cell>
          <cell r="D183">
            <v>1241.28</v>
          </cell>
          <cell r="E183">
            <v>1245.53</v>
          </cell>
          <cell r="F183">
            <v>1238.96</v>
          </cell>
          <cell r="G183">
            <v>1242.48</v>
          </cell>
          <cell r="H183">
            <v>1240.07</v>
          </cell>
          <cell r="I183">
            <v>1237.26</v>
          </cell>
          <cell r="J183">
            <v>1249.54</v>
          </cell>
          <cell r="K183">
            <v>1278.2</v>
          </cell>
          <cell r="L183">
            <v>1321.95</v>
          </cell>
          <cell r="M183">
            <v>1380.77</v>
          </cell>
          <cell r="N183">
            <v>1441.84</v>
          </cell>
        </row>
        <row r="184">
          <cell r="B184">
            <v>17</v>
          </cell>
          <cell r="C184">
            <v>1234.55</v>
          </cell>
          <cell r="D184">
            <v>1241.5899999999999</v>
          </cell>
          <cell r="E184">
            <v>1245.21</v>
          </cell>
          <cell r="F184">
            <v>1239.1300000000001</v>
          </cell>
          <cell r="G184">
            <v>1242.44</v>
          </cell>
          <cell r="H184">
            <v>1239.8599999999999</v>
          </cell>
          <cell r="I184">
            <v>1237.54</v>
          </cell>
          <cell r="J184">
            <v>1250.33</v>
          </cell>
          <cell r="K184">
            <v>1279.54</v>
          </cell>
          <cell r="L184">
            <v>1323.74</v>
          </cell>
          <cell r="M184">
            <v>1382.93</v>
          </cell>
          <cell r="N184">
            <v>1443.35</v>
          </cell>
        </row>
        <row r="185">
          <cell r="B185">
            <v>18</v>
          </cell>
          <cell r="C185">
            <v>1234.75</v>
          </cell>
          <cell r="D185">
            <v>1241.9000000000001</v>
          </cell>
          <cell r="E185">
            <v>1244.8800000000001</v>
          </cell>
          <cell r="F185">
            <v>1239.29</v>
          </cell>
          <cell r="G185">
            <v>1242.4000000000001</v>
          </cell>
          <cell r="H185">
            <v>1239.6500000000001</v>
          </cell>
          <cell r="I185">
            <v>1237.81</v>
          </cell>
          <cell r="J185">
            <v>1251.1300000000001</v>
          </cell>
          <cell r="K185">
            <v>1280.8900000000001</v>
          </cell>
          <cell r="L185">
            <v>1325.54</v>
          </cell>
          <cell r="M185">
            <v>1385.1</v>
          </cell>
          <cell r="N185">
            <v>1444.87</v>
          </cell>
        </row>
        <row r="186">
          <cell r="B186">
            <v>19</v>
          </cell>
          <cell r="C186">
            <v>1234.95</v>
          </cell>
          <cell r="D186">
            <v>1242.21</v>
          </cell>
          <cell r="E186">
            <v>1244.56</v>
          </cell>
          <cell r="F186">
            <v>1239.46</v>
          </cell>
          <cell r="G186">
            <v>1242.3599999999999</v>
          </cell>
          <cell r="H186">
            <v>1239.45</v>
          </cell>
          <cell r="I186">
            <v>1238.0899999999999</v>
          </cell>
          <cell r="J186">
            <v>1251.93</v>
          </cell>
          <cell r="K186">
            <v>1282.23</v>
          </cell>
          <cell r="L186">
            <v>1327.34</v>
          </cell>
          <cell r="M186">
            <v>1387.26</v>
          </cell>
          <cell r="N186">
            <v>1446.38</v>
          </cell>
        </row>
        <row r="187">
          <cell r="B187">
            <v>20</v>
          </cell>
          <cell r="C187">
            <v>1235.1400000000001</v>
          </cell>
          <cell r="D187">
            <v>1242.52</v>
          </cell>
          <cell r="E187">
            <v>1244.24</v>
          </cell>
          <cell r="F187">
            <v>1239.6199999999999</v>
          </cell>
          <cell r="G187">
            <v>1242.32</v>
          </cell>
          <cell r="H187">
            <v>1239.24</v>
          </cell>
          <cell r="I187">
            <v>1238.3699999999999</v>
          </cell>
          <cell r="J187">
            <v>1252.73</v>
          </cell>
          <cell r="K187">
            <v>1283.58</v>
          </cell>
          <cell r="L187">
            <v>1329.15</v>
          </cell>
          <cell r="M187">
            <v>1389.43</v>
          </cell>
          <cell r="N187">
            <v>1447.89</v>
          </cell>
        </row>
        <row r="188">
          <cell r="B188">
            <v>21</v>
          </cell>
          <cell r="C188">
            <v>1235.3399999999999</v>
          </cell>
          <cell r="D188">
            <v>1242.83</v>
          </cell>
          <cell r="E188">
            <v>1243.92</v>
          </cell>
          <cell r="F188">
            <v>1239.79</v>
          </cell>
          <cell r="G188">
            <v>1242.28</v>
          </cell>
          <cell r="H188">
            <v>1239.03</v>
          </cell>
          <cell r="I188">
            <v>1238.6500000000001</v>
          </cell>
          <cell r="J188">
            <v>1253.53</v>
          </cell>
          <cell r="K188">
            <v>1284.93</v>
          </cell>
          <cell r="L188">
            <v>1330.96</v>
          </cell>
          <cell r="M188">
            <v>1391.6</v>
          </cell>
          <cell r="N188">
            <v>1449.41</v>
          </cell>
        </row>
        <row r="189">
          <cell r="B189">
            <v>22</v>
          </cell>
          <cell r="C189">
            <v>1235.54</v>
          </cell>
          <cell r="D189">
            <v>1243.1400000000001</v>
          </cell>
          <cell r="E189">
            <v>1243.5899999999999</v>
          </cell>
          <cell r="F189">
            <v>1239.95</v>
          </cell>
          <cell r="G189">
            <v>1242.24</v>
          </cell>
          <cell r="H189">
            <v>1238.83</v>
          </cell>
          <cell r="I189">
            <v>1238.93</v>
          </cell>
          <cell r="J189">
            <v>1254.33</v>
          </cell>
          <cell r="K189">
            <v>1286.28</v>
          </cell>
          <cell r="L189">
            <v>1332.76</v>
          </cell>
          <cell r="M189">
            <v>1393.78</v>
          </cell>
          <cell r="N189">
            <v>1450.93</v>
          </cell>
        </row>
        <row r="190">
          <cell r="B190">
            <v>23</v>
          </cell>
          <cell r="C190">
            <v>1235.74</v>
          </cell>
          <cell r="D190">
            <v>1243.45</v>
          </cell>
          <cell r="E190">
            <v>1243.27</v>
          </cell>
          <cell r="F190">
            <v>1240.1199999999999</v>
          </cell>
          <cell r="G190">
            <v>1242.2</v>
          </cell>
          <cell r="H190">
            <v>1238.6199999999999</v>
          </cell>
          <cell r="I190">
            <v>1239.21</v>
          </cell>
          <cell r="J190">
            <v>1255.1300000000001</v>
          </cell>
          <cell r="K190">
            <v>1287.6300000000001</v>
          </cell>
          <cell r="L190">
            <v>1334.58</v>
          </cell>
          <cell r="M190">
            <v>1395.96</v>
          </cell>
          <cell r="N190">
            <v>1452.45</v>
          </cell>
        </row>
        <row r="191">
          <cell r="B191">
            <v>24</v>
          </cell>
          <cell r="C191">
            <v>1235.94</v>
          </cell>
          <cell r="D191">
            <v>1243.76</v>
          </cell>
          <cell r="E191">
            <v>1242.95</v>
          </cell>
          <cell r="F191">
            <v>1240.28</v>
          </cell>
          <cell r="G191">
            <v>1242.1600000000001</v>
          </cell>
          <cell r="H191">
            <v>1238.4100000000001</v>
          </cell>
          <cell r="I191">
            <v>1239.47</v>
          </cell>
          <cell r="J191">
            <v>1255.94</v>
          </cell>
          <cell r="K191">
            <v>1288.98</v>
          </cell>
          <cell r="L191">
            <v>1336.39</v>
          </cell>
          <cell r="M191">
            <v>1398.14</v>
          </cell>
          <cell r="N191">
            <v>1453.97</v>
          </cell>
        </row>
        <row r="192">
          <cell r="B192">
            <v>25</v>
          </cell>
          <cell r="C192">
            <v>1236.1400000000001</v>
          </cell>
          <cell r="D192">
            <v>1244.07</v>
          </cell>
          <cell r="E192">
            <v>1242.6300000000001</v>
          </cell>
          <cell r="F192">
            <v>1240.45</v>
          </cell>
          <cell r="G192">
            <v>1242.1199999999999</v>
          </cell>
          <cell r="H192">
            <v>1238.21</v>
          </cell>
          <cell r="I192">
            <v>1239.77</v>
          </cell>
          <cell r="J192">
            <v>1256.74</v>
          </cell>
          <cell r="K192">
            <v>1290.3399999999999</v>
          </cell>
          <cell r="L192">
            <v>1338.21</v>
          </cell>
          <cell r="M192">
            <v>1400.33</v>
          </cell>
          <cell r="N192">
            <v>1455.5</v>
          </cell>
        </row>
        <row r="193">
          <cell r="B193">
            <v>26</v>
          </cell>
          <cell r="C193">
            <v>1236.3399999999999</v>
          </cell>
          <cell r="D193">
            <v>1244.3800000000001</v>
          </cell>
          <cell r="E193">
            <v>1242.31</v>
          </cell>
          <cell r="F193">
            <v>1240.6099999999999</v>
          </cell>
          <cell r="G193">
            <v>1242.08</v>
          </cell>
          <cell r="H193">
            <v>1238</v>
          </cell>
          <cell r="I193">
            <v>1240.04</v>
          </cell>
          <cell r="J193">
            <v>1257.54</v>
          </cell>
          <cell r="K193">
            <v>1291.69</v>
          </cell>
          <cell r="L193">
            <v>1340.02</v>
          </cell>
          <cell r="M193">
            <v>1402.52</v>
          </cell>
          <cell r="N193">
            <v>1457.02</v>
          </cell>
        </row>
        <row r="194">
          <cell r="B194">
            <v>27</v>
          </cell>
          <cell r="C194">
            <v>1236.54</v>
          </cell>
          <cell r="D194">
            <v>1244.69</v>
          </cell>
          <cell r="E194">
            <v>1241.98</v>
          </cell>
          <cell r="F194">
            <v>1240.78</v>
          </cell>
          <cell r="G194">
            <v>1242.04</v>
          </cell>
          <cell r="H194">
            <v>1237.79</v>
          </cell>
          <cell r="I194">
            <v>1240.32</v>
          </cell>
          <cell r="J194">
            <v>1258.3499999999999</v>
          </cell>
          <cell r="K194">
            <v>1293.05</v>
          </cell>
          <cell r="L194">
            <v>1341.84</v>
          </cell>
          <cell r="M194">
            <v>1404.71</v>
          </cell>
          <cell r="N194">
            <v>1458.55</v>
          </cell>
        </row>
        <row r="195">
          <cell r="B195">
            <v>28</v>
          </cell>
          <cell r="C195">
            <v>1236.73</v>
          </cell>
          <cell r="D195">
            <v>1245</v>
          </cell>
          <cell r="E195">
            <v>1241.6600000000001</v>
          </cell>
          <cell r="F195">
            <v>1240.94</v>
          </cell>
          <cell r="G195">
            <v>1242</v>
          </cell>
          <cell r="H195">
            <v>1237.58</v>
          </cell>
          <cell r="I195">
            <v>1240.5999999999999</v>
          </cell>
          <cell r="J195">
            <v>1259.1500000000001</v>
          </cell>
          <cell r="K195">
            <v>1294.4100000000001</v>
          </cell>
          <cell r="L195">
            <v>1343.67</v>
          </cell>
          <cell r="M195">
            <v>1406.91</v>
          </cell>
          <cell r="N195">
            <v>1460.08</v>
          </cell>
        </row>
        <row r="196">
          <cell r="B196">
            <v>29</v>
          </cell>
          <cell r="C196">
            <v>1236.93</v>
          </cell>
          <cell r="E196">
            <v>1241.3399999999999</v>
          </cell>
          <cell r="F196">
            <v>1241.1099999999999</v>
          </cell>
          <cell r="G196">
            <v>1241.96</v>
          </cell>
          <cell r="H196">
            <v>1237.3800000000001</v>
          </cell>
          <cell r="I196">
            <v>1240.8800000000001</v>
          </cell>
          <cell r="J196">
            <v>1259.95</v>
          </cell>
          <cell r="K196">
            <v>1295.77</v>
          </cell>
          <cell r="L196">
            <v>1345.49</v>
          </cell>
          <cell r="M196">
            <v>1409.11</v>
          </cell>
          <cell r="N196">
            <v>1461.61</v>
          </cell>
        </row>
        <row r="197">
          <cell r="B197">
            <v>30</v>
          </cell>
          <cell r="C197">
            <v>1237.1300000000001</v>
          </cell>
          <cell r="E197">
            <v>1241.02</v>
          </cell>
          <cell r="F197">
            <v>1241.27</v>
          </cell>
          <cell r="G197">
            <v>1241.92</v>
          </cell>
          <cell r="H197">
            <v>1237.17</v>
          </cell>
          <cell r="I197">
            <v>1241.1600000000001</v>
          </cell>
          <cell r="J197">
            <v>1260.76</v>
          </cell>
          <cell r="K197">
            <v>1297.1300000000001</v>
          </cell>
          <cell r="L197">
            <v>1347.32</v>
          </cell>
          <cell r="M197">
            <v>1411.32</v>
          </cell>
          <cell r="N197">
            <v>1463.14</v>
          </cell>
        </row>
        <row r="198">
          <cell r="B198">
            <v>31</v>
          </cell>
          <cell r="C198">
            <v>1237.33</v>
          </cell>
          <cell r="E198">
            <v>1240.7</v>
          </cell>
          <cell r="G198">
            <v>1241.8800000000001</v>
          </cell>
          <cell r="I198">
            <v>1241.44</v>
          </cell>
          <cell r="J198">
            <v>1261.57</v>
          </cell>
          <cell r="L198">
            <v>1349.15</v>
          </cell>
          <cell r="N198">
            <v>1464.67</v>
          </cell>
        </row>
        <row r="200">
          <cell r="B200">
            <v>1</v>
          </cell>
          <cell r="C200">
            <v>1466.21</v>
          </cell>
          <cell r="D200">
            <v>1491.68</v>
          </cell>
          <cell r="E200">
            <v>1515.47</v>
          </cell>
          <cell r="F200">
            <v>1524.34</v>
          </cell>
          <cell r="G200">
            <v>1545.92</v>
          </cell>
          <cell r="H200">
            <v>1588.15</v>
          </cell>
          <cell r="I200">
            <v>1616.71</v>
          </cell>
          <cell r="J200">
            <v>1641.93</v>
          </cell>
          <cell r="K200">
            <v>1671.85</v>
          </cell>
          <cell r="L200">
            <v>1713.14</v>
          </cell>
          <cell r="M200">
            <v>1754.71</v>
          </cell>
          <cell r="N200">
            <v>1796</v>
          </cell>
        </row>
        <row r="201">
          <cell r="B201">
            <v>2</v>
          </cell>
          <cell r="C201">
            <v>1467.74</v>
          </cell>
          <cell r="D201">
            <v>1492.26</v>
          </cell>
          <cell r="E201">
            <v>1516.43</v>
          </cell>
          <cell r="F201">
            <v>1524.39</v>
          </cell>
          <cell r="G201">
            <v>1546.89</v>
          </cell>
          <cell r="H201">
            <v>1589.67</v>
          </cell>
          <cell r="I201">
            <v>1617.46</v>
          </cell>
          <cell r="J201">
            <v>1642.77</v>
          </cell>
          <cell r="K201">
            <v>1672.87</v>
          </cell>
          <cell r="L201">
            <v>1714.66</v>
          </cell>
          <cell r="M201">
            <v>1755.99</v>
          </cell>
          <cell r="N201">
            <v>1797.42</v>
          </cell>
        </row>
        <row r="202">
          <cell r="B202">
            <v>3</v>
          </cell>
          <cell r="C202">
            <v>1469.28</v>
          </cell>
          <cell r="D202">
            <v>1492.83</v>
          </cell>
          <cell r="E202">
            <v>1517.4</v>
          </cell>
          <cell r="F202">
            <v>1524.44</v>
          </cell>
          <cell r="G202">
            <v>1547.86</v>
          </cell>
          <cell r="H202">
            <v>1591.18</v>
          </cell>
          <cell r="I202">
            <v>1618.21</v>
          </cell>
          <cell r="J202">
            <v>1643.62</v>
          </cell>
          <cell r="K202">
            <v>1673.89</v>
          </cell>
          <cell r="L202">
            <v>1716.18</v>
          </cell>
          <cell r="M202">
            <v>1757.28</v>
          </cell>
          <cell r="N202">
            <v>1798.84</v>
          </cell>
        </row>
        <row r="203">
          <cell r="B203">
            <v>4</v>
          </cell>
          <cell r="C203">
            <v>1470.82</v>
          </cell>
          <cell r="D203">
            <v>1493.41</v>
          </cell>
          <cell r="E203">
            <v>1518.37</v>
          </cell>
          <cell r="F203">
            <v>1524.49</v>
          </cell>
          <cell r="G203">
            <v>1548.83</v>
          </cell>
          <cell r="H203">
            <v>1592.7</v>
          </cell>
          <cell r="I203">
            <v>1618.96</v>
          </cell>
          <cell r="J203">
            <v>1644.46</v>
          </cell>
          <cell r="K203">
            <v>1674.9</v>
          </cell>
          <cell r="L203">
            <v>1717.71</v>
          </cell>
          <cell r="M203">
            <v>1758.57</v>
          </cell>
          <cell r="N203">
            <v>1800.26</v>
          </cell>
        </row>
        <row r="204">
          <cell r="B204">
            <v>5</v>
          </cell>
          <cell r="C204">
            <v>1472.36</v>
          </cell>
          <cell r="D204">
            <v>1493.98</v>
          </cell>
          <cell r="E204">
            <v>1519.34</v>
          </cell>
          <cell r="F204">
            <v>1524.54</v>
          </cell>
          <cell r="G204">
            <v>1549.81</v>
          </cell>
          <cell r="H204">
            <v>1594.22</v>
          </cell>
          <cell r="I204">
            <v>1619.71</v>
          </cell>
          <cell r="J204">
            <v>1645.3</v>
          </cell>
          <cell r="K204">
            <v>1675.92</v>
          </cell>
          <cell r="L204">
            <v>1719.23</v>
          </cell>
          <cell r="M204">
            <v>1759.86</v>
          </cell>
          <cell r="N204">
            <v>1801.68</v>
          </cell>
        </row>
        <row r="205">
          <cell r="B205">
            <v>6</v>
          </cell>
          <cell r="C205">
            <v>1473.9</v>
          </cell>
          <cell r="D205">
            <v>1494.56</v>
          </cell>
          <cell r="E205">
            <v>1520.3</v>
          </cell>
          <cell r="F205">
            <v>1524.59</v>
          </cell>
          <cell r="G205">
            <v>1550.78</v>
          </cell>
          <cell r="H205">
            <v>1595.74</v>
          </cell>
          <cell r="I205">
            <v>1620.46</v>
          </cell>
          <cell r="J205">
            <v>1646.14</v>
          </cell>
          <cell r="K205">
            <v>1676.94</v>
          </cell>
          <cell r="L205">
            <v>1720.76</v>
          </cell>
          <cell r="M205">
            <v>1761.15</v>
          </cell>
          <cell r="N205">
            <v>1803.11</v>
          </cell>
        </row>
        <row r="206">
          <cell r="B206">
            <v>7</v>
          </cell>
          <cell r="C206">
            <v>1475.45</v>
          </cell>
          <cell r="D206">
            <v>1495.13</v>
          </cell>
          <cell r="E206">
            <v>1521.27</v>
          </cell>
          <cell r="F206">
            <v>1524.63</v>
          </cell>
          <cell r="G206">
            <v>1551.75</v>
          </cell>
          <cell r="H206">
            <v>1597.26</v>
          </cell>
          <cell r="I206">
            <v>1621.21</v>
          </cell>
          <cell r="J206">
            <v>1646.99</v>
          </cell>
          <cell r="K206">
            <v>1677.96</v>
          </cell>
          <cell r="L206">
            <v>1722.29</v>
          </cell>
          <cell r="M206">
            <v>1762.45</v>
          </cell>
          <cell r="N206">
            <v>1804.54</v>
          </cell>
        </row>
        <row r="207">
          <cell r="B207">
            <v>8</v>
          </cell>
          <cell r="C207">
            <v>1477</v>
          </cell>
          <cell r="D207">
            <v>1495.71</v>
          </cell>
          <cell r="E207">
            <v>1522.24</v>
          </cell>
          <cell r="F207">
            <v>1524.68</v>
          </cell>
          <cell r="G207">
            <v>1552.73</v>
          </cell>
          <cell r="H207">
            <v>1598.79</v>
          </cell>
          <cell r="I207">
            <v>1621.96</v>
          </cell>
          <cell r="J207">
            <v>1647.83</v>
          </cell>
          <cell r="K207">
            <v>1678.98</v>
          </cell>
          <cell r="L207">
            <v>1723.82</v>
          </cell>
          <cell r="M207">
            <v>1763.74</v>
          </cell>
          <cell r="N207">
            <v>1805.96</v>
          </cell>
        </row>
        <row r="208">
          <cell r="B208">
            <v>9</v>
          </cell>
          <cell r="C208">
            <v>1478.54</v>
          </cell>
          <cell r="D208">
            <v>1496.28</v>
          </cell>
          <cell r="E208">
            <v>1523.21</v>
          </cell>
          <cell r="F208">
            <v>1524.73</v>
          </cell>
          <cell r="G208">
            <v>1553.7</v>
          </cell>
          <cell r="H208">
            <v>1600.31</v>
          </cell>
          <cell r="I208">
            <v>1622.71</v>
          </cell>
          <cell r="J208">
            <v>1648.67</v>
          </cell>
          <cell r="K208">
            <v>1679.99</v>
          </cell>
          <cell r="L208">
            <v>1725.35</v>
          </cell>
          <cell r="M208">
            <v>1765.03</v>
          </cell>
          <cell r="N208">
            <v>1807.39</v>
          </cell>
        </row>
        <row r="209">
          <cell r="B209">
            <v>10</v>
          </cell>
          <cell r="C209">
            <v>1479.11</v>
          </cell>
          <cell r="D209">
            <v>1497.23</v>
          </cell>
          <cell r="E209">
            <v>1523.26</v>
          </cell>
          <cell r="F209">
            <v>1525.69</v>
          </cell>
          <cell r="G209">
            <v>1555.18</v>
          </cell>
          <cell r="H209">
            <v>1601.05</v>
          </cell>
          <cell r="I209">
            <v>1623.54</v>
          </cell>
          <cell r="J209">
            <v>1649.67</v>
          </cell>
          <cell r="K209">
            <v>1681.48</v>
          </cell>
          <cell r="L209">
            <v>1726.62</v>
          </cell>
          <cell r="M209">
            <v>1766.43</v>
          </cell>
          <cell r="N209">
            <v>1808.14</v>
          </cell>
        </row>
        <row r="210">
          <cell r="B210">
            <v>11</v>
          </cell>
          <cell r="C210">
            <v>1479.68</v>
          </cell>
          <cell r="D210">
            <v>1498.19</v>
          </cell>
          <cell r="E210">
            <v>1523.31</v>
          </cell>
          <cell r="F210">
            <v>1526.64</v>
          </cell>
          <cell r="G210">
            <v>1556.67</v>
          </cell>
          <cell r="H210">
            <v>1601.79</v>
          </cell>
          <cell r="I210">
            <v>1624.37</v>
          </cell>
          <cell r="J210">
            <v>1650.67</v>
          </cell>
          <cell r="K210">
            <v>1682.98</v>
          </cell>
          <cell r="L210">
            <v>1727.88</v>
          </cell>
          <cell r="M210">
            <v>1767.82</v>
          </cell>
          <cell r="N210">
            <v>1808.9</v>
          </cell>
        </row>
        <row r="211">
          <cell r="B211">
            <v>12</v>
          </cell>
          <cell r="C211">
            <v>1480.25</v>
          </cell>
          <cell r="D211">
            <v>1499.14</v>
          </cell>
          <cell r="E211">
            <v>1523.36</v>
          </cell>
          <cell r="F211">
            <v>1527.6</v>
          </cell>
          <cell r="G211">
            <v>1558.15</v>
          </cell>
          <cell r="H211">
            <v>1602.54</v>
          </cell>
          <cell r="I211">
            <v>1625.2</v>
          </cell>
          <cell r="J211">
            <v>1651.68</v>
          </cell>
          <cell r="K211">
            <v>1684.47</v>
          </cell>
          <cell r="L211">
            <v>1729.15</v>
          </cell>
          <cell r="M211">
            <v>1769.22</v>
          </cell>
          <cell r="N211">
            <v>1809.65</v>
          </cell>
        </row>
        <row r="212">
          <cell r="B212">
            <v>13</v>
          </cell>
          <cell r="C212">
            <v>1480.82</v>
          </cell>
          <cell r="D212">
            <v>1500.1</v>
          </cell>
          <cell r="E212">
            <v>1523.41</v>
          </cell>
          <cell r="F212">
            <v>1528.56</v>
          </cell>
          <cell r="G212">
            <v>1559.64</v>
          </cell>
          <cell r="H212">
            <v>1603.28</v>
          </cell>
          <cell r="I212">
            <v>1626.04</v>
          </cell>
          <cell r="J212">
            <v>1652.68</v>
          </cell>
          <cell r="K212">
            <v>1685.97</v>
          </cell>
          <cell r="L212">
            <v>1730.42</v>
          </cell>
          <cell r="M212">
            <v>1770.62</v>
          </cell>
          <cell r="N212">
            <v>1810.4</v>
          </cell>
        </row>
        <row r="213">
          <cell r="B213">
            <v>14</v>
          </cell>
          <cell r="C213">
            <v>1481.39</v>
          </cell>
          <cell r="D213">
            <v>1501.05</v>
          </cell>
          <cell r="E213">
            <v>1523.46</v>
          </cell>
          <cell r="F213">
            <v>1529.52</v>
          </cell>
          <cell r="G213">
            <v>1561.13</v>
          </cell>
          <cell r="H213">
            <v>1604.02</v>
          </cell>
          <cell r="I213">
            <v>1626.87</v>
          </cell>
          <cell r="J213">
            <v>1653.68</v>
          </cell>
          <cell r="K213">
            <v>1687.47</v>
          </cell>
          <cell r="L213">
            <v>1731.69</v>
          </cell>
          <cell r="M213">
            <v>1772.02</v>
          </cell>
          <cell r="N213">
            <v>1811.16</v>
          </cell>
        </row>
        <row r="214">
          <cell r="B214">
            <v>15</v>
          </cell>
          <cell r="C214">
            <v>1481.96</v>
          </cell>
          <cell r="D214">
            <v>1502.01</v>
          </cell>
          <cell r="E214">
            <v>1523.5</v>
          </cell>
          <cell r="F214">
            <v>1530.48</v>
          </cell>
          <cell r="G214">
            <v>1562.61</v>
          </cell>
          <cell r="H214">
            <v>1604.77</v>
          </cell>
          <cell r="I214">
            <v>1627.7</v>
          </cell>
          <cell r="J214">
            <v>1654.69</v>
          </cell>
          <cell r="K214">
            <v>1688.97</v>
          </cell>
          <cell r="L214">
            <v>1732.96</v>
          </cell>
          <cell r="M214">
            <v>1773.42</v>
          </cell>
          <cell r="N214">
            <v>1811.91</v>
          </cell>
        </row>
        <row r="215">
          <cell r="B215">
            <v>16</v>
          </cell>
          <cell r="C215">
            <v>1482.53</v>
          </cell>
          <cell r="D215">
            <v>1502.97</v>
          </cell>
          <cell r="E215">
            <v>1523.55</v>
          </cell>
          <cell r="F215">
            <v>1531.44</v>
          </cell>
          <cell r="G215">
            <v>1564.1</v>
          </cell>
          <cell r="H215">
            <v>1605.51</v>
          </cell>
          <cell r="I215">
            <v>1628.54</v>
          </cell>
          <cell r="J215">
            <v>1655.69</v>
          </cell>
          <cell r="K215">
            <v>1690.47</v>
          </cell>
          <cell r="L215">
            <v>1734.23</v>
          </cell>
          <cell r="M215">
            <v>1774.82</v>
          </cell>
          <cell r="N215">
            <v>1812.67</v>
          </cell>
        </row>
        <row r="216">
          <cell r="B216">
            <v>17</v>
          </cell>
          <cell r="C216">
            <v>1483.1</v>
          </cell>
          <cell r="D216">
            <v>1503.93</v>
          </cell>
          <cell r="E216">
            <v>1523.6</v>
          </cell>
          <cell r="F216">
            <v>1532.4</v>
          </cell>
          <cell r="G216">
            <v>1565.6</v>
          </cell>
          <cell r="H216">
            <v>1606.25</v>
          </cell>
          <cell r="I216">
            <v>1629.37</v>
          </cell>
          <cell r="J216">
            <v>1656.7</v>
          </cell>
          <cell r="K216">
            <v>1691.97</v>
          </cell>
          <cell r="L216">
            <v>1735.5</v>
          </cell>
          <cell r="M216">
            <v>1776.23</v>
          </cell>
          <cell r="N216">
            <v>1813.42</v>
          </cell>
        </row>
        <row r="217">
          <cell r="B217">
            <v>18</v>
          </cell>
          <cell r="C217">
            <v>1483.67</v>
          </cell>
          <cell r="D217">
            <v>1504.88</v>
          </cell>
          <cell r="E217">
            <v>1523.65</v>
          </cell>
          <cell r="F217">
            <v>1533.36</v>
          </cell>
          <cell r="G217">
            <v>1567.09</v>
          </cell>
          <cell r="H217">
            <v>1607</v>
          </cell>
          <cell r="I217">
            <v>1630.21</v>
          </cell>
          <cell r="J217">
            <v>1657.7</v>
          </cell>
          <cell r="K217">
            <v>1693.47</v>
          </cell>
          <cell r="L217">
            <v>1736.78</v>
          </cell>
          <cell r="M217">
            <v>1777.63</v>
          </cell>
          <cell r="N217">
            <v>1814.18</v>
          </cell>
        </row>
        <row r="218">
          <cell r="B218">
            <v>19</v>
          </cell>
          <cell r="C218">
            <v>1484.24</v>
          </cell>
          <cell r="D218">
            <v>1505.84</v>
          </cell>
          <cell r="E218">
            <v>1523.7</v>
          </cell>
          <cell r="F218">
            <v>1534.33</v>
          </cell>
          <cell r="G218">
            <v>1568.59</v>
          </cell>
          <cell r="H218">
            <v>1607.74</v>
          </cell>
          <cell r="I218">
            <v>1631.04</v>
          </cell>
          <cell r="J218">
            <v>1658.71</v>
          </cell>
          <cell r="K218">
            <v>1694.98</v>
          </cell>
          <cell r="L218">
            <v>1738.05</v>
          </cell>
          <cell r="M218">
            <v>1779.04</v>
          </cell>
          <cell r="N218">
            <v>1814.94</v>
          </cell>
        </row>
        <row r="219">
          <cell r="B219">
            <v>20</v>
          </cell>
          <cell r="C219">
            <v>1484.81</v>
          </cell>
          <cell r="D219">
            <v>1506.8</v>
          </cell>
          <cell r="E219">
            <v>1523.75</v>
          </cell>
          <cell r="F219">
            <v>1535.29</v>
          </cell>
          <cell r="G219">
            <v>1570.08</v>
          </cell>
          <cell r="H219">
            <v>1608.49</v>
          </cell>
          <cell r="I219">
            <v>1631.88</v>
          </cell>
          <cell r="J219">
            <v>1659.72</v>
          </cell>
          <cell r="K219">
            <v>1696.48</v>
          </cell>
          <cell r="L219">
            <v>1739.33</v>
          </cell>
          <cell r="M219">
            <v>1780.45</v>
          </cell>
          <cell r="N219">
            <v>1815.69</v>
          </cell>
        </row>
        <row r="220">
          <cell r="B220">
            <v>21</v>
          </cell>
          <cell r="C220">
            <v>1485.38</v>
          </cell>
          <cell r="D220">
            <v>1507.76</v>
          </cell>
          <cell r="E220">
            <v>1523.8</v>
          </cell>
          <cell r="F220">
            <v>1536.25</v>
          </cell>
          <cell r="G220">
            <v>1571.58</v>
          </cell>
          <cell r="H220">
            <v>1609.23</v>
          </cell>
          <cell r="I220">
            <v>1632.71</v>
          </cell>
          <cell r="J220">
            <v>1660.73</v>
          </cell>
          <cell r="K220">
            <v>1697.99</v>
          </cell>
          <cell r="L220">
            <v>1740.6</v>
          </cell>
          <cell r="M220">
            <v>1781.85</v>
          </cell>
          <cell r="N220">
            <v>1816.45</v>
          </cell>
        </row>
        <row r="221">
          <cell r="B221">
            <v>22</v>
          </cell>
          <cell r="C221">
            <v>1485.95</v>
          </cell>
          <cell r="D221">
            <v>1508.72</v>
          </cell>
          <cell r="E221">
            <v>1523.85</v>
          </cell>
          <cell r="F221">
            <v>1537.22</v>
          </cell>
          <cell r="G221">
            <v>1573.08</v>
          </cell>
          <cell r="H221">
            <v>1609.98</v>
          </cell>
          <cell r="I221">
            <v>1633.55</v>
          </cell>
          <cell r="J221">
            <v>1661.73</v>
          </cell>
          <cell r="K221">
            <v>1699.5</v>
          </cell>
          <cell r="L221">
            <v>1741.88</v>
          </cell>
          <cell r="M221">
            <v>1783.26</v>
          </cell>
          <cell r="N221">
            <v>1817.21</v>
          </cell>
        </row>
        <row r="222">
          <cell r="B222">
            <v>23</v>
          </cell>
          <cell r="C222">
            <v>1486.53</v>
          </cell>
          <cell r="D222">
            <v>1509.69</v>
          </cell>
          <cell r="E222">
            <v>1523.9</v>
          </cell>
          <cell r="F222">
            <v>1538.18</v>
          </cell>
          <cell r="G222">
            <v>1574.58</v>
          </cell>
          <cell r="H222">
            <v>1610.73</v>
          </cell>
          <cell r="I222">
            <v>1634.38</v>
          </cell>
          <cell r="J222">
            <v>1662.74</v>
          </cell>
          <cell r="K222">
            <v>1701.01</v>
          </cell>
          <cell r="L222">
            <v>1743.16</v>
          </cell>
          <cell r="M222">
            <v>1784.67</v>
          </cell>
          <cell r="N222">
            <v>1817.96</v>
          </cell>
        </row>
        <row r="223">
          <cell r="B223">
            <v>24</v>
          </cell>
          <cell r="C223">
            <v>1487.1</v>
          </cell>
          <cell r="D223">
            <v>1510.65</v>
          </cell>
          <cell r="E223">
            <v>1523.95</v>
          </cell>
          <cell r="F223">
            <v>1539.15</v>
          </cell>
          <cell r="G223">
            <v>1576.08</v>
          </cell>
          <cell r="H223">
            <v>1611.47</v>
          </cell>
          <cell r="I223">
            <v>1635.22</v>
          </cell>
          <cell r="J223">
            <v>1663.75</v>
          </cell>
          <cell r="K223">
            <v>1702.52</v>
          </cell>
          <cell r="L223">
            <v>1744.44</v>
          </cell>
          <cell r="M223">
            <v>1786.08</v>
          </cell>
          <cell r="N223">
            <v>1818.72</v>
          </cell>
        </row>
        <row r="224">
          <cell r="B224">
            <v>25</v>
          </cell>
          <cell r="C224">
            <v>1487.67</v>
          </cell>
          <cell r="D224">
            <v>1511.61</v>
          </cell>
          <cell r="E224">
            <v>1524</v>
          </cell>
          <cell r="F224">
            <v>1540.11</v>
          </cell>
          <cell r="G224">
            <v>1577.59</v>
          </cell>
          <cell r="H224">
            <v>1612.22</v>
          </cell>
          <cell r="I224">
            <v>1636.06</v>
          </cell>
          <cell r="J224">
            <v>1664.76</v>
          </cell>
          <cell r="K224">
            <v>1704.03</v>
          </cell>
          <cell r="L224">
            <v>1745.72</v>
          </cell>
          <cell r="M224">
            <v>1787.5</v>
          </cell>
          <cell r="N224">
            <v>1819.48</v>
          </cell>
        </row>
        <row r="225">
          <cell r="B225">
            <v>26</v>
          </cell>
          <cell r="C225">
            <v>1488.24</v>
          </cell>
          <cell r="D225">
            <v>1512.57</v>
          </cell>
          <cell r="E225">
            <v>1524.05</v>
          </cell>
          <cell r="F225">
            <v>1541.08</v>
          </cell>
          <cell r="G225">
            <v>1579.09</v>
          </cell>
          <cell r="H225">
            <v>1612.97</v>
          </cell>
          <cell r="I225">
            <v>1636.9</v>
          </cell>
          <cell r="J225">
            <v>1665.78</v>
          </cell>
          <cell r="K225">
            <v>1705.55</v>
          </cell>
          <cell r="L225">
            <v>1747</v>
          </cell>
          <cell r="M225">
            <v>1788.91</v>
          </cell>
          <cell r="N225">
            <v>1820.24</v>
          </cell>
        </row>
        <row r="226">
          <cell r="B226">
            <v>27</v>
          </cell>
          <cell r="C226">
            <v>1488.82</v>
          </cell>
          <cell r="D226">
            <v>1513.54</v>
          </cell>
          <cell r="E226">
            <v>1524.09</v>
          </cell>
          <cell r="F226">
            <v>1542.05</v>
          </cell>
          <cell r="G226">
            <v>1580.6</v>
          </cell>
          <cell r="H226">
            <v>1613.72</v>
          </cell>
          <cell r="I226">
            <v>1637.74</v>
          </cell>
          <cell r="J226">
            <v>1666.79</v>
          </cell>
          <cell r="K226">
            <v>1707.06</v>
          </cell>
          <cell r="L226">
            <v>1748.28</v>
          </cell>
          <cell r="M226">
            <v>1790.33</v>
          </cell>
          <cell r="N226">
            <v>1821</v>
          </cell>
        </row>
        <row r="227">
          <cell r="B227">
            <v>28</v>
          </cell>
          <cell r="C227">
            <v>1489.39</v>
          </cell>
          <cell r="D227">
            <v>1514.5</v>
          </cell>
          <cell r="E227">
            <v>1524.14</v>
          </cell>
          <cell r="F227">
            <v>1543.01</v>
          </cell>
          <cell r="G227">
            <v>1582.1</v>
          </cell>
          <cell r="H227">
            <v>1614.46</v>
          </cell>
          <cell r="I227">
            <v>1638.57</v>
          </cell>
          <cell r="J227">
            <v>1667.8</v>
          </cell>
          <cell r="K227">
            <v>1708.58</v>
          </cell>
          <cell r="L227">
            <v>1749.56</v>
          </cell>
          <cell r="M227">
            <v>1791.74</v>
          </cell>
          <cell r="N227">
            <v>1821.75</v>
          </cell>
        </row>
        <row r="228">
          <cell r="B228">
            <v>29</v>
          </cell>
          <cell r="C228">
            <v>1489.96</v>
          </cell>
          <cell r="E228">
            <v>1524.19</v>
          </cell>
          <cell r="F228">
            <v>1543.98</v>
          </cell>
          <cell r="G228">
            <v>1583.61</v>
          </cell>
          <cell r="H228">
            <v>1615.21</v>
          </cell>
          <cell r="I228">
            <v>1639.41</v>
          </cell>
          <cell r="J228">
            <v>1668.81</v>
          </cell>
          <cell r="K228">
            <v>1710.1</v>
          </cell>
          <cell r="L228">
            <v>1750.85</v>
          </cell>
          <cell r="M228">
            <v>1793.16</v>
          </cell>
          <cell r="N228">
            <v>1822.51</v>
          </cell>
        </row>
        <row r="229">
          <cell r="B229">
            <v>30</v>
          </cell>
          <cell r="C229">
            <v>1490.54</v>
          </cell>
          <cell r="E229">
            <v>1524.24</v>
          </cell>
          <cell r="F229">
            <v>1544.95</v>
          </cell>
          <cell r="G229">
            <v>1585.12</v>
          </cell>
          <cell r="H229">
            <v>1615.96</v>
          </cell>
          <cell r="I229">
            <v>1640.25</v>
          </cell>
          <cell r="J229">
            <v>1669.83</v>
          </cell>
          <cell r="K229">
            <v>1711.61</v>
          </cell>
          <cell r="L229">
            <v>1752.13</v>
          </cell>
          <cell r="M229">
            <v>1794.58</v>
          </cell>
          <cell r="N229">
            <v>1823.27</v>
          </cell>
        </row>
        <row r="230">
          <cell r="B230">
            <v>31</v>
          </cell>
          <cell r="C230">
            <v>1491.11</v>
          </cell>
          <cell r="E230">
            <v>1524.29</v>
          </cell>
          <cell r="G230">
            <v>1586.64</v>
          </cell>
          <cell r="I230">
            <v>1641.09</v>
          </cell>
          <cell r="J230">
            <v>1670.84</v>
          </cell>
          <cell r="L230">
            <v>1753.42</v>
          </cell>
          <cell r="N230">
            <v>1824.03</v>
          </cell>
        </row>
        <row r="232">
          <cell r="B232">
            <v>1</v>
          </cell>
          <cell r="C232">
            <v>1824.79</v>
          </cell>
          <cell r="D232">
            <v>1839.03</v>
          </cell>
          <cell r="E232">
            <v>1843.21</v>
          </cell>
          <cell r="F232">
            <v>1840.98</v>
          </cell>
          <cell r="G232">
            <v>1873.65</v>
          </cell>
          <cell r="H232">
            <v>1906.98</v>
          </cell>
          <cell r="I232">
            <v>1931.14</v>
          </cell>
          <cell r="J232">
            <v>1955.94</v>
          </cell>
          <cell r="K232">
            <v>1975.56</v>
          </cell>
          <cell r="L232">
            <v>1984.48</v>
          </cell>
          <cell r="M232">
            <v>2028.64</v>
          </cell>
          <cell r="N232">
            <v>2165.2600000000002</v>
          </cell>
        </row>
        <row r="233">
          <cell r="B233">
            <v>2</v>
          </cell>
          <cell r="C233">
            <v>1825.55</v>
          </cell>
          <cell r="D233">
            <v>1839.39</v>
          </cell>
          <cell r="E233">
            <v>1843.28</v>
          </cell>
          <cell r="F233">
            <v>1840.86</v>
          </cell>
          <cell r="G233">
            <v>1875.2</v>
          </cell>
          <cell r="H233">
            <v>1907.9</v>
          </cell>
          <cell r="I233">
            <v>1931.91</v>
          </cell>
          <cell r="J233">
            <v>1956.76</v>
          </cell>
          <cell r="K233">
            <v>1976.13</v>
          </cell>
          <cell r="L233">
            <v>1984.68</v>
          </cell>
          <cell r="M233">
            <v>2030.52</v>
          </cell>
          <cell r="N233">
            <v>2170.96</v>
          </cell>
        </row>
        <row r="234">
          <cell r="B234">
            <v>3</v>
          </cell>
          <cell r="C234">
            <v>1826.31</v>
          </cell>
          <cell r="D234">
            <v>1839.74</v>
          </cell>
          <cell r="E234">
            <v>1843.34</v>
          </cell>
          <cell r="F234">
            <v>1840.75</v>
          </cell>
          <cell r="G234">
            <v>1876.74</v>
          </cell>
          <cell r="H234">
            <v>1908.81</v>
          </cell>
          <cell r="I234">
            <v>1932.68</v>
          </cell>
          <cell r="J234">
            <v>1957.57</v>
          </cell>
          <cell r="K234">
            <v>1976.7</v>
          </cell>
          <cell r="L234">
            <v>1984.88</v>
          </cell>
          <cell r="M234">
            <v>2032.39</v>
          </cell>
          <cell r="N234">
            <v>2176.67</v>
          </cell>
        </row>
        <row r="235">
          <cell r="B235">
            <v>4</v>
          </cell>
          <cell r="C235">
            <v>1827.08</v>
          </cell>
          <cell r="D235">
            <v>1840.1</v>
          </cell>
          <cell r="E235">
            <v>1843.4</v>
          </cell>
          <cell r="F235">
            <v>1840.63</v>
          </cell>
          <cell r="G235">
            <v>1878.28</v>
          </cell>
          <cell r="H235">
            <v>1909.73</v>
          </cell>
          <cell r="I235">
            <v>1933.44</v>
          </cell>
          <cell r="J235">
            <v>1958.39</v>
          </cell>
          <cell r="K235">
            <v>1977.27</v>
          </cell>
          <cell r="L235">
            <v>1985.08</v>
          </cell>
          <cell r="M235">
            <v>2034.26</v>
          </cell>
          <cell r="N235">
            <v>2182.4</v>
          </cell>
        </row>
        <row r="236">
          <cell r="B236">
            <v>5</v>
          </cell>
          <cell r="C236">
            <v>1827.84</v>
          </cell>
          <cell r="D236">
            <v>1840.45</v>
          </cell>
          <cell r="E236">
            <v>1843.47</v>
          </cell>
          <cell r="F236">
            <v>1840.51</v>
          </cell>
          <cell r="G236">
            <v>1879.83</v>
          </cell>
          <cell r="H236">
            <v>1910.65</v>
          </cell>
          <cell r="I236">
            <v>1934.21</v>
          </cell>
          <cell r="J236">
            <v>1959.21</v>
          </cell>
          <cell r="K236">
            <v>1977.84</v>
          </cell>
          <cell r="L236">
            <v>1985.28</v>
          </cell>
          <cell r="M236">
            <v>2036.14</v>
          </cell>
          <cell r="N236">
            <v>2188.14</v>
          </cell>
        </row>
        <row r="237">
          <cell r="B237">
            <v>6</v>
          </cell>
          <cell r="C237">
            <v>1828.6</v>
          </cell>
          <cell r="D237">
            <v>1840.81</v>
          </cell>
          <cell r="E237">
            <v>1843.53</v>
          </cell>
          <cell r="F237">
            <v>1840.39</v>
          </cell>
          <cell r="G237">
            <v>1881.38</v>
          </cell>
          <cell r="H237">
            <v>1911.56</v>
          </cell>
          <cell r="I237">
            <v>1934.98</v>
          </cell>
          <cell r="J237">
            <v>1960.02</v>
          </cell>
          <cell r="K237">
            <v>1978.42</v>
          </cell>
          <cell r="L237">
            <v>1985.48</v>
          </cell>
          <cell r="M237">
            <v>2038.02</v>
          </cell>
          <cell r="N237">
            <v>2193.89</v>
          </cell>
        </row>
        <row r="238">
          <cell r="B238">
            <v>7</v>
          </cell>
          <cell r="C238">
            <v>1829.36</v>
          </cell>
          <cell r="D238">
            <v>1841.16</v>
          </cell>
          <cell r="E238">
            <v>1843.59</v>
          </cell>
          <cell r="F238">
            <v>1840.27</v>
          </cell>
          <cell r="G238">
            <v>1882.93</v>
          </cell>
          <cell r="H238">
            <v>1912.48</v>
          </cell>
          <cell r="I238">
            <v>1935.75</v>
          </cell>
          <cell r="J238">
            <v>1960.84</v>
          </cell>
          <cell r="K238">
            <v>1978.99</v>
          </cell>
          <cell r="L238">
            <v>1985.67</v>
          </cell>
          <cell r="M238">
            <v>2039.9</v>
          </cell>
          <cell r="N238">
            <v>2199.66</v>
          </cell>
        </row>
        <row r="239">
          <cell r="B239">
            <v>8</v>
          </cell>
          <cell r="C239">
            <v>1830.12</v>
          </cell>
          <cell r="D239">
            <v>1841.52</v>
          </cell>
          <cell r="E239">
            <v>1843.66</v>
          </cell>
          <cell r="F239">
            <v>1840.15</v>
          </cell>
          <cell r="G239">
            <v>1884.48</v>
          </cell>
          <cell r="H239">
            <v>1913.4</v>
          </cell>
          <cell r="I239">
            <v>1936.52</v>
          </cell>
          <cell r="J239">
            <v>1961.66</v>
          </cell>
          <cell r="K239">
            <v>1979.56</v>
          </cell>
          <cell r="L239">
            <v>1985.87</v>
          </cell>
          <cell r="M239">
            <v>2041.78</v>
          </cell>
          <cell r="N239">
            <v>2205.4499999999998</v>
          </cell>
        </row>
        <row r="240">
          <cell r="B240">
            <v>9</v>
          </cell>
          <cell r="C240">
            <v>1830.89</v>
          </cell>
          <cell r="D240">
            <v>1841.88</v>
          </cell>
          <cell r="E240">
            <v>1843.72</v>
          </cell>
          <cell r="F240">
            <v>1840.03</v>
          </cell>
          <cell r="G240">
            <v>1886.03</v>
          </cell>
          <cell r="H240">
            <v>1914.32</v>
          </cell>
          <cell r="I240">
            <v>1937.29</v>
          </cell>
          <cell r="J240">
            <v>1962.47</v>
          </cell>
          <cell r="K240">
            <v>1980.13</v>
          </cell>
          <cell r="L240">
            <v>1986.07</v>
          </cell>
          <cell r="M240">
            <v>2043.67</v>
          </cell>
          <cell r="N240">
            <v>2211.25</v>
          </cell>
        </row>
        <row r="241">
          <cell r="B241">
            <v>10</v>
          </cell>
          <cell r="C241">
            <v>1831.24</v>
          </cell>
          <cell r="D241">
            <v>1841.94</v>
          </cell>
          <cell r="E241">
            <v>1843.6</v>
          </cell>
          <cell r="F241">
            <v>1841.55</v>
          </cell>
          <cell r="G241">
            <v>1886.94</v>
          </cell>
          <cell r="H241">
            <v>1915.08</v>
          </cell>
          <cell r="I241">
            <v>1938.1</v>
          </cell>
          <cell r="J241">
            <v>1963.04</v>
          </cell>
          <cell r="K241">
            <v>1980.33</v>
          </cell>
          <cell r="L241">
            <v>1987.9</v>
          </cell>
          <cell r="M241">
            <v>2049.0500000000002</v>
          </cell>
          <cell r="N241">
            <v>2212.1</v>
          </cell>
        </row>
        <row r="242">
          <cell r="B242">
            <v>11</v>
          </cell>
          <cell r="C242">
            <v>1831.6</v>
          </cell>
          <cell r="D242">
            <v>1842.01</v>
          </cell>
          <cell r="E242">
            <v>1843.48</v>
          </cell>
          <cell r="F242">
            <v>1843.06</v>
          </cell>
          <cell r="G242">
            <v>1887.84</v>
          </cell>
          <cell r="H242">
            <v>1915.84</v>
          </cell>
          <cell r="I242">
            <v>1938.91</v>
          </cell>
          <cell r="J242">
            <v>1963.6</v>
          </cell>
          <cell r="K242">
            <v>1980.53</v>
          </cell>
          <cell r="L242">
            <v>1989.74</v>
          </cell>
          <cell r="M242">
            <v>2054.44</v>
          </cell>
          <cell r="N242">
            <v>2212.9499999999998</v>
          </cell>
        </row>
        <row r="243">
          <cell r="B243">
            <v>12</v>
          </cell>
          <cell r="C243">
            <v>1831.95</v>
          </cell>
          <cell r="D243">
            <v>1842.07</v>
          </cell>
          <cell r="E243">
            <v>1843.36</v>
          </cell>
          <cell r="F243">
            <v>1844.58</v>
          </cell>
          <cell r="G243">
            <v>1888.75</v>
          </cell>
          <cell r="H243">
            <v>1916.6</v>
          </cell>
          <cell r="I243">
            <v>1939.71</v>
          </cell>
          <cell r="J243">
            <v>1964.17</v>
          </cell>
          <cell r="K243">
            <v>1980.72</v>
          </cell>
          <cell r="L243">
            <v>1991.57</v>
          </cell>
          <cell r="M243">
            <v>2059.84</v>
          </cell>
          <cell r="N243">
            <v>2213.8000000000002</v>
          </cell>
        </row>
        <row r="244">
          <cell r="B244">
            <v>13</v>
          </cell>
          <cell r="C244">
            <v>1832.3</v>
          </cell>
          <cell r="D244">
            <v>1842.13</v>
          </cell>
          <cell r="E244">
            <v>1843.24</v>
          </cell>
          <cell r="F244">
            <v>1846.1</v>
          </cell>
          <cell r="G244">
            <v>1889.66</v>
          </cell>
          <cell r="H244">
            <v>1917.37</v>
          </cell>
          <cell r="I244">
            <v>1940.52</v>
          </cell>
          <cell r="J244">
            <v>1964.74</v>
          </cell>
          <cell r="K244">
            <v>1980.92</v>
          </cell>
          <cell r="L244">
            <v>1993.41</v>
          </cell>
          <cell r="M244">
            <v>2065.2600000000002</v>
          </cell>
          <cell r="N244">
            <v>2214.66</v>
          </cell>
        </row>
        <row r="245">
          <cell r="B245">
            <v>14</v>
          </cell>
          <cell r="C245">
            <v>1832.66</v>
          </cell>
          <cell r="D245">
            <v>1842.2</v>
          </cell>
          <cell r="E245">
            <v>1843.12</v>
          </cell>
          <cell r="F245">
            <v>1847.62</v>
          </cell>
          <cell r="G245">
            <v>1890.56</v>
          </cell>
          <cell r="H245">
            <v>1918.13</v>
          </cell>
          <cell r="I245">
            <v>1941.33</v>
          </cell>
          <cell r="J245">
            <v>1965.31</v>
          </cell>
          <cell r="K245">
            <v>1981.12</v>
          </cell>
          <cell r="L245">
            <v>1995.25</v>
          </cell>
          <cell r="M245">
            <v>2070.69</v>
          </cell>
          <cell r="N245">
            <v>2215.5100000000002</v>
          </cell>
        </row>
        <row r="246">
          <cell r="B246">
            <v>15</v>
          </cell>
          <cell r="C246">
            <v>1833.01</v>
          </cell>
          <cell r="D246">
            <v>1842.26</v>
          </cell>
          <cell r="E246">
            <v>1843.01</v>
          </cell>
          <cell r="F246">
            <v>1849.14</v>
          </cell>
          <cell r="G246">
            <v>1891.47</v>
          </cell>
          <cell r="H246">
            <v>1918.89</v>
          </cell>
          <cell r="I246">
            <v>1942.14</v>
          </cell>
          <cell r="J246">
            <v>1965.88</v>
          </cell>
          <cell r="K246">
            <v>1981.32</v>
          </cell>
          <cell r="L246">
            <v>1997.09</v>
          </cell>
          <cell r="M246">
            <v>2076.14</v>
          </cell>
          <cell r="N246">
            <v>2216.36</v>
          </cell>
        </row>
        <row r="247">
          <cell r="B247">
            <v>16</v>
          </cell>
          <cell r="C247">
            <v>1833.36</v>
          </cell>
          <cell r="D247">
            <v>1842.32</v>
          </cell>
          <cell r="E247">
            <v>1842.89</v>
          </cell>
          <cell r="F247">
            <v>1850.66</v>
          </cell>
          <cell r="G247">
            <v>1892.38</v>
          </cell>
          <cell r="H247">
            <v>1919.66</v>
          </cell>
          <cell r="I247">
            <v>1942.95</v>
          </cell>
          <cell r="J247">
            <v>1966.44</v>
          </cell>
          <cell r="K247">
            <v>1981.51</v>
          </cell>
          <cell r="L247">
            <v>1998.93</v>
          </cell>
          <cell r="M247">
            <v>2081.6</v>
          </cell>
          <cell r="N247">
            <v>2217.21</v>
          </cell>
        </row>
        <row r="248">
          <cell r="B248">
            <v>17</v>
          </cell>
          <cell r="C248">
            <v>1833.72</v>
          </cell>
          <cell r="D248">
            <v>1842.39</v>
          </cell>
          <cell r="E248">
            <v>1842.77</v>
          </cell>
          <cell r="F248">
            <v>1852.19</v>
          </cell>
          <cell r="G248">
            <v>1893.29</v>
          </cell>
          <cell r="H248">
            <v>1920.42</v>
          </cell>
          <cell r="I248">
            <v>1943.76</v>
          </cell>
          <cell r="J248">
            <v>1967.01</v>
          </cell>
          <cell r="K248">
            <v>1981.71</v>
          </cell>
          <cell r="L248">
            <v>2000.78</v>
          </cell>
          <cell r="M248">
            <v>2087.0700000000002</v>
          </cell>
          <cell r="N248">
            <v>2218.0700000000002</v>
          </cell>
        </row>
        <row r="249">
          <cell r="B249">
            <v>18</v>
          </cell>
          <cell r="C249">
            <v>1834.07</v>
          </cell>
          <cell r="D249">
            <v>1842.45</v>
          </cell>
          <cell r="E249">
            <v>1842.65</v>
          </cell>
          <cell r="F249">
            <v>1853.71</v>
          </cell>
          <cell r="G249">
            <v>1894.2</v>
          </cell>
          <cell r="H249">
            <v>1921.18</v>
          </cell>
          <cell r="I249">
            <v>1944.57</v>
          </cell>
          <cell r="J249">
            <v>1967.58</v>
          </cell>
          <cell r="K249">
            <v>1981.91</v>
          </cell>
          <cell r="L249">
            <v>2002.62</v>
          </cell>
          <cell r="M249">
            <v>2092.56</v>
          </cell>
          <cell r="N249">
            <v>2218.92</v>
          </cell>
        </row>
        <row r="250">
          <cell r="B250">
            <v>19</v>
          </cell>
          <cell r="C250">
            <v>1834.43</v>
          </cell>
          <cell r="D250">
            <v>1842.51</v>
          </cell>
          <cell r="E250">
            <v>1842.53</v>
          </cell>
          <cell r="F250">
            <v>1855.24</v>
          </cell>
          <cell r="G250">
            <v>1895.11</v>
          </cell>
          <cell r="H250">
            <v>1921.95</v>
          </cell>
          <cell r="I250">
            <v>1945.38</v>
          </cell>
          <cell r="J250">
            <v>1968.15</v>
          </cell>
          <cell r="K250">
            <v>1982.11</v>
          </cell>
          <cell r="L250">
            <v>2004.47</v>
          </cell>
          <cell r="M250">
            <v>2098.0700000000002</v>
          </cell>
          <cell r="N250">
            <v>2219.7800000000002</v>
          </cell>
        </row>
        <row r="251">
          <cell r="B251">
            <v>20</v>
          </cell>
          <cell r="C251">
            <v>1834.78</v>
          </cell>
          <cell r="D251">
            <v>1842.58</v>
          </cell>
          <cell r="E251">
            <v>1842.41</v>
          </cell>
          <cell r="F251">
            <v>1856.77</v>
          </cell>
          <cell r="G251">
            <v>1896.02</v>
          </cell>
          <cell r="H251">
            <v>1922.71</v>
          </cell>
          <cell r="I251">
            <v>1946.19</v>
          </cell>
          <cell r="J251">
            <v>1968.72</v>
          </cell>
          <cell r="K251">
            <v>1982.31</v>
          </cell>
          <cell r="L251">
            <v>2006.32</v>
          </cell>
          <cell r="M251">
            <v>2103.59</v>
          </cell>
          <cell r="N251">
            <v>2220.63</v>
          </cell>
        </row>
        <row r="252">
          <cell r="B252">
            <v>21</v>
          </cell>
          <cell r="C252">
            <v>1835.13</v>
          </cell>
          <cell r="D252">
            <v>1842.64</v>
          </cell>
          <cell r="E252">
            <v>1842.29</v>
          </cell>
          <cell r="F252">
            <v>1858.29</v>
          </cell>
          <cell r="G252">
            <v>1896.93</v>
          </cell>
          <cell r="H252">
            <v>1923.48</v>
          </cell>
          <cell r="I252">
            <v>1947</v>
          </cell>
          <cell r="J252">
            <v>1969.29</v>
          </cell>
          <cell r="K252">
            <v>1982.5</v>
          </cell>
          <cell r="L252">
            <v>2008.17</v>
          </cell>
          <cell r="M252">
            <v>2109.12</v>
          </cell>
          <cell r="N252">
            <v>2221.48</v>
          </cell>
        </row>
        <row r="253">
          <cell r="B253">
            <v>22</v>
          </cell>
          <cell r="C253">
            <v>1835.49</v>
          </cell>
          <cell r="D253">
            <v>1842.71</v>
          </cell>
          <cell r="E253">
            <v>1842.17</v>
          </cell>
          <cell r="F253">
            <v>1859.82</v>
          </cell>
          <cell r="G253">
            <v>1897.84</v>
          </cell>
          <cell r="H253">
            <v>1924.24</v>
          </cell>
          <cell r="I253">
            <v>1947.81</v>
          </cell>
          <cell r="J253">
            <v>1969.86</v>
          </cell>
          <cell r="K253">
            <v>1982.7</v>
          </cell>
          <cell r="L253">
            <v>2010.02</v>
          </cell>
          <cell r="M253">
            <v>2114.67</v>
          </cell>
          <cell r="N253">
            <v>2222.34</v>
          </cell>
        </row>
        <row r="254">
          <cell r="B254">
            <v>23</v>
          </cell>
          <cell r="C254">
            <v>1835.84</v>
          </cell>
          <cell r="D254">
            <v>1842.77</v>
          </cell>
          <cell r="E254">
            <v>1842.05</v>
          </cell>
          <cell r="F254">
            <v>1861.36</v>
          </cell>
          <cell r="G254">
            <v>1898.75</v>
          </cell>
          <cell r="H254">
            <v>1925.01</v>
          </cell>
          <cell r="I254">
            <v>1948.62</v>
          </cell>
          <cell r="J254">
            <v>1970.43</v>
          </cell>
          <cell r="K254">
            <v>1982.9</v>
          </cell>
          <cell r="L254">
            <v>2011.88</v>
          </cell>
          <cell r="M254">
            <v>2120.23</v>
          </cell>
          <cell r="N254">
            <v>2223.19</v>
          </cell>
        </row>
        <row r="255">
          <cell r="B255">
            <v>24</v>
          </cell>
          <cell r="C255">
            <v>1836.2</v>
          </cell>
          <cell r="D255">
            <v>1842.83</v>
          </cell>
          <cell r="E255">
            <v>1841.93</v>
          </cell>
          <cell r="F255">
            <v>1862.89</v>
          </cell>
          <cell r="G255">
            <v>1899.67</v>
          </cell>
          <cell r="H255">
            <v>1925.77</v>
          </cell>
          <cell r="I255">
            <v>1949.44</v>
          </cell>
          <cell r="J255">
            <v>1971</v>
          </cell>
          <cell r="K255">
            <v>1983.1</v>
          </cell>
          <cell r="L255">
            <v>2013.73</v>
          </cell>
          <cell r="M255">
            <v>2125.81</v>
          </cell>
          <cell r="N255">
            <v>2224.0500000000002</v>
          </cell>
        </row>
        <row r="256">
          <cell r="B256">
            <v>25</v>
          </cell>
          <cell r="C256">
            <v>1836.55</v>
          </cell>
          <cell r="D256">
            <v>1842.9</v>
          </cell>
          <cell r="E256">
            <v>1841.82</v>
          </cell>
          <cell r="F256">
            <v>1864.42</v>
          </cell>
          <cell r="G256">
            <v>1900.58</v>
          </cell>
          <cell r="H256">
            <v>1926.54</v>
          </cell>
          <cell r="I256">
            <v>1950.25</v>
          </cell>
          <cell r="J256">
            <v>1971.57</v>
          </cell>
          <cell r="K256">
            <v>1983.3</v>
          </cell>
          <cell r="L256">
            <v>2015.59</v>
          </cell>
          <cell r="M256">
            <v>2131.4</v>
          </cell>
          <cell r="N256">
            <v>2224.91</v>
          </cell>
        </row>
        <row r="257">
          <cell r="B257">
            <v>26</v>
          </cell>
          <cell r="C257">
            <v>1836.91</v>
          </cell>
          <cell r="D257">
            <v>1842.96</v>
          </cell>
          <cell r="E257">
            <v>1841.7</v>
          </cell>
          <cell r="F257">
            <v>1865.96</v>
          </cell>
          <cell r="G257">
            <v>1901.49</v>
          </cell>
          <cell r="H257">
            <v>1927.3</v>
          </cell>
          <cell r="I257">
            <v>1951.06</v>
          </cell>
          <cell r="J257">
            <v>1972.14</v>
          </cell>
          <cell r="K257">
            <v>1983.49</v>
          </cell>
          <cell r="L257">
            <v>2017.45</v>
          </cell>
          <cell r="M257">
            <v>2137.0100000000002</v>
          </cell>
          <cell r="N257">
            <v>2225.7600000000002</v>
          </cell>
        </row>
        <row r="258">
          <cell r="B258">
            <v>27</v>
          </cell>
          <cell r="C258">
            <v>1837.26</v>
          </cell>
          <cell r="D258">
            <v>1843.02</v>
          </cell>
          <cell r="E258">
            <v>1841.58</v>
          </cell>
          <cell r="F258">
            <v>1867.49</v>
          </cell>
          <cell r="G258">
            <v>1902.41</v>
          </cell>
          <cell r="H258">
            <v>1928.07</v>
          </cell>
          <cell r="I258">
            <v>1951.87</v>
          </cell>
          <cell r="J258">
            <v>1972.71</v>
          </cell>
          <cell r="K258">
            <v>1983.69</v>
          </cell>
          <cell r="L258">
            <v>2019.31</v>
          </cell>
          <cell r="M258">
            <v>2142.63</v>
          </cell>
          <cell r="N258">
            <v>2226.62</v>
          </cell>
        </row>
        <row r="259">
          <cell r="B259">
            <v>28</v>
          </cell>
          <cell r="C259">
            <v>1837.62</v>
          </cell>
          <cell r="D259">
            <v>1843.09</v>
          </cell>
          <cell r="E259">
            <v>1841.46</v>
          </cell>
          <cell r="F259">
            <v>1869.03</v>
          </cell>
          <cell r="G259">
            <v>1903.32</v>
          </cell>
          <cell r="H259">
            <v>1928.84</v>
          </cell>
          <cell r="I259">
            <v>1952.69</v>
          </cell>
          <cell r="J259">
            <v>1973.28</v>
          </cell>
          <cell r="K259">
            <v>1983.89</v>
          </cell>
          <cell r="L259">
            <v>2021.18</v>
          </cell>
          <cell r="M259">
            <v>2148.27</v>
          </cell>
          <cell r="N259">
            <v>2227.48</v>
          </cell>
        </row>
        <row r="260">
          <cell r="B260">
            <v>29</v>
          </cell>
          <cell r="C260">
            <v>1837.97</v>
          </cell>
          <cell r="D260">
            <v>1843.15</v>
          </cell>
          <cell r="E260">
            <v>1841.34</v>
          </cell>
          <cell r="F260">
            <v>1870.57</v>
          </cell>
          <cell r="G260">
            <v>1904.23</v>
          </cell>
          <cell r="H260">
            <v>1929.6</v>
          </cell>
          <cell r="I260">
            <v>1953.5</v>
          </cell>
          <cell r="J260">
            <v>1973.85</v>
          </cell>
          <cell r="K260">
            <v>1984.09</v>
          </cell>
          <cell r="L260">
            <v>2023.04</v>
          </cell>
          <cell r="M260">
            <v>2153.92</v>
          </cell>
          <cell r="N260">
            <v>2228.33</v>
          </cell>
        </row>
        <row r="261">
          <cell r="B261">
            <v>30</v>
          </cell>
          <cell r="C261">
            <v>1838.32</v>
          </cell>
          <cell r="E261">
            <v>1841.22</v>
          </cell>
          <cell r="F261">
            <v>1872.11</v>
          </cell>
          <cell r="G261">
            <v>1905.15</v>
          </cell>
          <cell r="H261">
            <v>1930.37</v>
          </cell>
          <cell r="I261">
            <v>1954.32</v>
          </cell>
          <cell r="J261">
            <v>1974.42</v>
          </cell>
          <cell r="K261">
            <v>1984.29</v>
          </cell>
          <cell r="L261">
            <v>2024.91</v>
          </cell>
          <cell r="M261">
            <v>2159.58</v>
          </cell>
          <cell r="N261">
            <v>2229.19</v>
          </cell>
        </row>
        <row r="262">
          <cell r="B262">
            <v>31</v>
          </cell>
          <cell r="C262">
            <v>1838.68</v>
          </cell>
          <cell r="E262">
            <v>1841.1</v>
          </cell>
          <cell r="G262">
            <v>1906.06</v>
          </cell>
          <cell r="I262">
            <v>1955.13</v>
          </cell>
          <cell r="J262">
            <v>1974.99</v>
          </cell>
          <cell r="L262">
            <v>2026.77</v>
          </cell>
          <cell r="N262">
            <v>2230.0500000000002</v>
          </cell>
        </row>
        <row r="264">
          <cell r="B264">
            <v>1</v>
          </cell>
          <cell r="C264">
            <v>2230.91</v>
          </cell>
          <cell r="D264">
            <v>2260.98</v>
          </cell>
          <cell r="E264">
            <v>2319.13</v>
          </cell>
          <cell r="F264">
            <v>2374.08</v>
          </cell>
          <cell r="G264">
            <v>2435.06</v>
          </cell>
          <cell r="H264">
            <v>2494.79</v>
          </cell>
          <cell r="I264">
            <v>2546.1799999999998</v>
          </cell>
          <cell r="J264">
            <v>2629.6</v>
          </cell>
          <cell r="K264">
            <v>2679.93</v>
          </cell>
          <cell r="L264">
            <v>2706.61</v>
          </cell>
          <cell r="M264">
            <v>2737.2</v>
          </cell>
          <cell r="N264">
            <v>2775.78</v>
          </cell>
        </row>
        <row r="265">
          <cell r="B265">
            <v>2</v>
          </cell>
          <cell r="C265">
            <v>2231.77</v>
          </cell>
          <cell r="D265">
            <v>2262</v>
          </cell>
          <cell r="E265">
            <v>2321.66</v>
          </cell>
          <cell r="F265">
            <v>2375.59</v>
          </cell>
          <cell r="G265">
            <v>2437.3000000000002</v>
          </cell>
          <cell r="H265">
            <v>2496.62</v>
          </cell>
          <cell r="I265">
            <v>2547.86</v>
          </cell>
          <cell r="J265">
            <v>2632.68</v>
          </cell>
          <cell r="K265">
            <v>2681.05</v>
          </cell>
          <cell r="L265">
            <v>2707.41</v>
          </cell>
          <cell r="M265">
            <v>2738.25</v>
          </cell>
          <cell r="N265">
            <v>2777.16</v>
          </cell>
        </row>
        <row r="266">
          <cell r="B266">
            <v>3</v>
          </cell>
          <cell r="C266">
            <v>2232.62</v>
          </cell>
          <cell r="D266">
            <v>2263.0100000000002</v>
          </cell>
          <cell r="E266">
            <v>2324.1999999999998</v>
          </cell>
          <cell r="F266">
            <v>2377.11</v>
          </cell>
          <cell r="G266">
            <v>2439.54</v>
          </cell>
          <cell r="H266">
            <v>2498.4499999999998</v>
          </cell>
          <cell r="I266">
            <v>2549.54</v>
          </cell>
          <cell r="J266">
            <v>2635.77</v>
          </cell>
          <cell r="K266">
            <v>2682.16</v>
          </cell>
          <cell r="L266">
            <v>2708.22</v>
          </cell>
          <cell r="M266">
            <v>2739.31</v>
          </cell>
          <cell r="N266">
            <v>2778.54</v>
          </cell>
        </row>
        <row r="267">
          <cell r="B267">
            <v>4</v>
          </cell>
          <cell r="C267">
            <v>2233.48</v>
          </cell>
          <cell r="D267">
            <v>2264.0300000000002</v>
          </cell>
          <cell r="E267">
            <v>2326.73</v>
          </cell>
          <cell r="F267">
            <v>2378.63</v>
          </cell>
          <cell r="G267">
            <v>2441.79</v>
          </cell>
          <cell r="H267">
            <v>2500.2800000000002</v>
          </cell>
          <cell r="I267">
            <v>2551.23</v>
          </cell>
          <cell r="J267">
            <v>2638.86</v>
          </cell>
          <cell r="K267">
            <v>2683.28</v>
          </cell>
          <cell r="L267">
            <v>2709.03</v>
          </cell>
          <cell r="M267">
            <v>2740.36</v>
          </cell>
          <cell r="N267">
            <v>2779.92</v>
          </cell>
        </row>
        <row r="268">
          <cell r="B268">
            <v>5</v>
          </cell>
          <cell r="C268">
            <v>2234.34</v>
          </cell>
          <cell r="D268">
            <v>2265.04</v>
          </cell>
          <cell r="E268">
            <v>2329.27</v>
          </cell>
          <cell r="F268">
            <v>2380.15</v>
          </cell>
          <cell r="G268">
            <v>2444.04</v>
          </cell>
          <cell r="H268">
            <v>2502.12</v>
          </cell>
          <cell r="I268">
            <v>2552.91</v>
          </cell>
          <cell r="J268">
            <v>2641.95</v>
          </cell>
          <cell r="K268">
            <v>2684.4</v>
          </cell>
          <cell r="L268">
            <v>2709.84</v>
          </cell>
          <cell r="M268">
            <v>2741.41</v>
          </cell>
          <cell r="N268">
            <v>2781.3</v>
          </cell>
        </row>
        <row r="269">
          <cell r="B269">
            <v>6</v>
          </cell>
          <cell r="C269">
            <v>2235.1999999999998</v>
          </cell>
          <cell r="D269">
            <v>2266.06</v>
          </cell>
          <cell r="E269">
            <v>2331.81</v>
          </cell>
          <cell r="F269">
            <v>2381.67</v>
          </cell>
          <cell r="G269">
            <v>2446.29</v>
          </cell>
          <cell r="H269">
            <v>2503.9499999999998</v>
          </cell>
          <cell r="I269">
            <v>2554.6</v>
          </cell>
          <cell r="J269">
            <v>2645.05</v>
          </cell>
          <cell r="K269">
            <v>2685.52</v>
          </cell>
          <cell r="L269">
            <v>2710.65</v>
          </cell>
          <cell r="M269">
            <v>2742.47</v>
          </cell>
          <cell r="N269">
            <v>2782.68</v>
          </cell>
        </row>
        <row r="270">
          <cell r="B270">
            <v>7</v>
          </cell>
          <cell r="C270">
            <v>2236.06</v>
          </cell>
          <cell r="D270">
            <v>2267.0700000000002</v>
          </cell>
          <cell r="E270">
            <v>2334.36</v>
          </cell>
          <cell r="F270">
            <v>2383.19</v>
          </cell>
          <cell r="G270">
            <v>2448.54</v>
          </cell>
          <cell r="H270">
            <v>2505.79</v>
          </cell>
          <cell r="I270">
            <v>2556.2800000000002</v>
          </cell>
          <cell r="J270">
            <v>2648.15</v>
          </cell>
          <cell r="K270">
            <v>2686.64</v>
          </cell>
          <cell r="L270">
            <v>2711.46</v>
          </cell>
          <cell r="M270">
            <v>2743.52</v>
          </cell>
          <cell r="N270">
            <v>2784.06</v>
          </cell>
        </row>
        <row r="271">
          <cell r="B271">
            <v>8</v>
          </cell>
          <cell r="C271">
            <v>2236.92</v>
          </cell>
          <cell r="D271">
            <v>2268.09</v>
          </cell>
          <cell r="E271">
            <v>2336.9</v>
          </cell>
          <cell r="F271">
            <v>2384.7199999999998</v>
          </cell>
          <cell r="G271">
            <v>2450.8000000000002</v>
          </cell>
          <cell r="H271">
            <v>2507.63</v>
          </cell>
          <cell r="I271">
            <v>2557.9699999999998</v>
          </cell>
          <cell r="J271">
            <v>2651.26</v>
          </cell>
          <cell r="K271">
            <v>2687.76</v>
          </cell>
          <cell r="L271">
            <v>2712.27</v>
          </cell>
          <cell r="M271">
            <v>2744.58</v>
          </cell>
          <cell r="N271">
            <v>2785.44</v>
          </cell>
        </row>
        <row r="272">
          <cell r="B272">
            <v>9</v>
          </cell>
          <cell r="C272">
            <v>2237.7800000000002</v>
          </cell>
          <cell r="D272">
            <v>2269.11</v>
          </cell>
          <cell r="E272">
            <v>2339.4499999999998</v>
          </cell>
          <cell r="F272">
            <v>2386.2399999999998</v>
          </cell>
          <cell r="G272">
            <v>2453.0500000000002</v>
          </cell>
          <cell r="H272">
            <v>2509.4699999999998</v>
          </cell>
          <cell r="I272">
            <v>2559.66</v>
          </cell>
          <cell r="J272">
            <v>2654.37</v>
          </cell>
          <cell r="K272">
            <v>2688.88</v>
          </cell>
          <cell r="L272">
            <v>2713.08</v>
          </cell>
          <cell r="M272">
            <v>2745.64</v>
          </cell>
          <cell r="N272">
            <v>2786.82</v>
          </cell>
        </row>
        <row r="273">
          <cell r="B273">
            <v>10</v>
          </cell>
          <cell r="C273">
            <v>2238.7800000000002</v>
          </cell>
          <cell r="D273">
            <v>2271.59</v>
          </cell>
          <cell r="E273">
            <v>2340.94</v>
          </cell>
          <cell r="F273">
            <v>2388.44</v>
          </cell>
          <cell r="G273">
            <v>2454.85</v>
          </cell>
          <cell r="H273">
            <v>2511.13</v>
          </cell>
          <cell r="I273">
            <v>2562.66</v>
          </cell>
          <cell r="J273">
            <v>2655.48</v>
          </cell>
          <cell r="K273">
            <v>2689.68</v>
          </cell>
          <cell r="L273">
            <v>2714.12</v>
          </cell>
          <cell r="M273">
            <v>2747</v>
          </cell>
          <cell r="N273">
            <v>2788.25</v>
          </cell>
        </row>
        <row r="274">
          <cell r="B274">
            <v>11</v>
          </cell>
          <cell r="C274">
            <v>2239.79</v>
          </cell>
          <cell r="D274">
            <v>2274.06</v>
          </cell>
          <cell r="E274">
            <v>2342.44</v>
          </cell>
          <cell r="F274">
            <v>2390.64</v>
          </cell>
          <cell r="G274">
            <v>2456.65</v>
          </cell>
          <cell r="H274">
            <v>2512.79</v>
          </cell>
          <cell r="I274">
            <v>2565.67</v>
          </cell>
          <cell r="J274">
            <v>2656.58</v>
          </cell>
          <cell r="K274">
            <v>2690.49</v>
          </cell>
          <cell r="L274">
            <v>2715.17</v>
          </cell>
          <cell r="M274">
            <v>2748.37</v>
          </cell>
          <cell r="N274">
            <v>2789.68</v>
          </cell>
        </row>
        <row r="275">
          <cell r="B275">
            <v>12</v>
          </cell>
          <cell r="C275">
            <v>2240.79</v>
          </cell>
          <cell r="D275">
            <v>2276.54</v>
          </cell>
          <cell r="E275">
            <v>2343.94</v>
          </cell>
          <cell r="F275">
            <v>2392.84</v>
          </cell>
          <cell r="G275">
            <v>2458.4499999999998</v>
          </cell>
          <cell r="H275">
            <v>2514.44</v>
          </cell>
          <cell r="I275">
            <v>2568.6799999999998</v>
          </cell>
          <cell r="J275">
            <v>2657.69</v>
          </cell>
          <cell r="K275">
            <v>2691.29</v>
          </cell>
          <cell r="L275">
            <v>2716.21</v>
          </cell>
          <cell r="M275">
            <v>2749.73</v>
          </cell>
          <cell r="N275">
            <v>2791.1</v>
          </cell>
        </row>
        <row r="276">
          <cell r="B276">
            <v>13</v>
          </cell>
          <cell r="C276">
            <v>2241.8000000000002</v>
          </cell>
          <cell r="D276">
            <v>2279.0300000000002</v>
          </cell>
          <cell r="E276">
            <v>2345.44</v>
          </cell>
          <cell r="F276">
            <v>2395.04</v>
          </cell>
          <cell r="G276">
            <v>2460.2600000000002</v>
          </cell>
          <cell r="H276">
            <v>2516.1</v>
          </cell>
          <cell r="I276">
            <v>2571.69</v>
          </cell>
          <cell r="J276">
            <v>2658.8</v>
          </cell>
          <cell r="K276">
            <v>2692.09</v>
          </cell>
          <cell r="L276">
            <v>2717.26</v>
          </cell>
          <cell r="M276">
            <v>2751.1</v>
          </cell>
          <cell r="N276">
            <v>2792.53</v>
          </cell>
        </row>
        <row r="277">
          <cell r="B277">
            <v>14</v>
          </cell>
          <cell r="C277">
            <v>2242.8000000000002</v>
          </cell>
          <cell r="D277">
            <v>2281.5100000000002</v>
          </cell>
          <cell r="E277">
            <v>2346.96</v>
          </cell>
          <cell r="F277">
            <v>2397.25</v>
          </cell>
          <cell r="G277">
            <v>2462.06</v>
          </cell>
          <cell r="H277">
            <v>2517.77</v>
          </cell>
          <cell r="I277">
            <v>2574.6999999999998</v>
          </cell>
          <cell r="J277">
            <v>2659.91</v>
          </cell>
          <cell r="K277">
            <v>2692.9</v>
          </cell>
          <cell r="L277">
            <v>2718.3</v>
          </cell>
          <cell r="M277">
            <v>2752.46</v>
          </cell>
          <cell r="N277">
            <v>2793.96</v>
          </cell>
        </row>
        <row r="278">
          <cell r="B278">
            <v>15</v>
          </cell>
          <cell r="C278">
            <v>2243.81</v>
          </cell>
          <cell r="D278">
            <v>2284</v>
          </cell>
          <cell r="E278">
            <v>2348.4299999999998</v>
          </cell>
          <cell r="F278">
            <v>2399.46</v>
          </cell>
          <cell r="G278">
            <v>2463.87</v>
          </cell>
          <cell r="H278">
            <v>2519.4299999999998</v>
          </cell>
          <cell r="I278">
            <v>2577.7199999999998</v>
          </cell>
          <cell r="J278">
            <v>2661.01</v>
          </cell>
          <cell r="K278">
            <v>2693.7</v>
          </cell>
          <cell r="L278">
            <v>2719.35</v>
          </cell>
          <cell r="M278">
            <v>2753.83</v>
          </cell>
          <cell r="N278">
            <v>2795.4</v>
          </cell>
        </row>
        <row r="279">
          <cell r="B279">
            <v>16</v>
          </cell>
          <cell r="C279">
            <v>2244.8200000000002</v>
          </cell>
          <cell r="D279">
            <v>2286.4899999999998</v>
          </cell>
          <cell r="E279">
            <v>2349.9299999999998</v>
          </cell>
          <cell r="F279">
            <v>2401.67</v>
          </cell>
          <cell r="G279">
            <v>2465.6799999999998</v>
          </cell>
          <cell r="H279">
            <v>2521.09</v>
          </cell>
          <cell r="I279">
            <v>2580.75</v>
          </cell>
          <cell r="J279">
            <v>2662.12</v>
          </cell>
          <cell r="K279">
            <v>2694.51</v>
          </cell>
          <cell r="L279">
            <v>2720.4</v>
          </cell>
          <cell r="M279">
            <v>2755.19</v>
          </cell>
          <cell r="N279">
            <v>2796.83</v>
          </cell>
        </row>
        <row r="280">
          <cell r="B280">
            <v>17</v>
          </cell>
          <cell r="C280">
            <v>2245.8200000000002</v>
          </cell>
          <cell r="D280">
            <v>2288.9899999999998</v>
          </cell>
          <cell r="E280">
            <v>2351.44</v>
          </cell>
          <cell r="F280">
            <v>2403.88</v>
          </cell>
          <cell r="G280">
            <v>2467.4899999999998</v>
          </cell>
          <cell r="H280">
            <v>2522.7600000000002</v>
          </cell>
          <cell r="I280">
            <v>2583.77</v>
          </cell>
          <cell r="J280">
            <v>2663.23</v>
          </cell>
          <cell r="K280">
            <v>2695.31</v>
          </cell>
          <cell r="L280">
            <v>2721.44</v>
          </cell>
          <cell r="M280">
            <v>2756.56</v>
          </cell>
          <cell r="N280">
            <v>2798.26</v>
          </cell>
        </row>
        <row r="281">
          <cell r="B281">
            <v>18</v>
          </cell>
          <cell r="C281">
            <v>2246.83</v>
          </cell>
          <cell r="D281">
            <v>2291.4899999999998</v>
          </cell>
          <cell r="E281">
            <v>2352.94</v>
          </cell>
          <cell r="F281">
            <v>2406.09</v>
          </cell>
          <cell r="G281">
            <v>2469.3000000000002</v>
          </cell>
          <cell r="H281">
            <v>2524.42</v>
          </cell>
          <cell r="I281">
            <v>2586.8000000000002</v>
          </cell>
          <cell r="J281">
            <v>2664.34</v>
          </cell>
          <cell r="K281">
            <v>2696.12</v>
          </cell>
          <cell r="L281">
            <v>2722.49</v>
          </cell>
          <cell r="M281">
            <v>2757.93</v>
          </cell>
          <cell r="N281">
            <v>2799.69</v>
          </cell>
        </row>
        <row r="282">
          <cell r="B282">
            <v>19</v>
          </cell>
          <cell r="C282">
            <v>2247.84</v>
          </cell>
          <cell r="D282">
            <v>2293.9899999999998</v>
          </cell>
          <cell r="E282">
            <v>2354.44</v>
          </cell>
          <cell r="F282">
            <v>2408.31</v>
          </cell>
          <cell r="G282">
            <v>2471.11</v>
          </cell>
          <cell r="H282">
            <v>2526.09</v>
          </cell>
          <cell r="I282">
            <v>2589.84</v>
          </cell>
          <cell r="J282">
            <v>2665.45</v>
          </cell>
          <cell r="K282">
            <v>2696.92</v>
          </cell>
          <cell r="L282">
            <v>2723.54</v>
          </cell>
          <cell r="M282">
            <v>2759.3</v>
          </cell>
          <cell r="N282">
            <v>2801.13</v>
          </cell>
        </row>
        <row r="283">
          <cell r="B283">
            <v>20</v>
          </cell>
          <cell r="C283">
            <v>2248.85</v>
          </cell>
          <cell r="D283">
            <v>2296.4899999999998</v>
          </cell>
          <cell r="E283">
            <v>2355.9499999999998</v>
          </cell>
          <cell r="F283">
            <v>2410.52</v>
          </cell>
          <cell r="G283">
            <v>2472.92</v>
          </cell>
          <cell r="H283">
            <v>2527.7600000000002</v>
          </cell>
          <cell r="I283">
            <v>2592.87</v>
          </cell>
          <cell r="J283">
            <v>2666.56</v>
          </cell>
          <cell r="K283">
            <v>2697.73</v>
          </cell>
          <cell r="L283">
            <v>2724.59</v>
          </cell>
          <cell r="M283">
            <v>2760.67</v>
          </cell>
          <cell r="N283">
            <v>2802.56</v>
          </cell>
        </row>
        <row r="284">
          <cell r="B284">
            <v>21</v>
          </cell>
          <cell r="C284">
            <v>2249.86</v>
          </cell>
          <cell r="D284">
            <v>2298.9899999999998</v>
          </cell>
          <cell r="E284">
            <v>2357.4499999999998</v>
          </cell>
          <cell r="F284">
            <v>2412.7399999999998</v>
          </cell>
          <cell r="G284">
            <v>2474.7399999999998</v>
          </cell>
          <cell r="H284">
            <v>2529.4299999999998</v>
          </cell>
          <cell r="I284">
            <v>2595.91</v>
          </cell>
          <cell r="J284">
            <v>2667.67</v>
          </cell>
          <cell r="K284">
            <v>2698.53</v>
          </cell>
          <cell r="L284">
            <v>2725.64</v>
          </cell>
          <cell r="M284">
            <v>2762.04</v>
          </cell>
          <cell r="N284">
            <v>2804</v>
          </cell>
        </row>
        <row r="285">
          <cell r="B285">
            <v>22</v>
          </cell>
          <cell r="C285">
            <v>2250.86</v>
          </cell>
          <cell r="D285">
            <v>2301.5</v>
          </cell>
          <cell r="E285">
            <v>2358.96</v>
          </cell>
          <cell r="F285">
            <v>2414.9699999999998</v>
          </cell>
          <cell r="G285">
            <v>2476.5500000000002</v>
          </cell>
          <cell r="H285">
            <v>2531.1</v>
          </cell>
          <cell r="I285">
            <v>2598.96</v>
          </cell>
          <cell r="J285">
            <v>2668.79</v>
          </cell>
          <cell r="K285">
            <v>2699.34</v>
          </cell>
          <cell r="L285">
            <v>2726.69</v>
          </cell>
          <cell r="M285">
            <v>2763.41</v>
          </cell>
          <cell r="N285">
            <v>2805.43</v>
          </cell>
        </row>
        <row r="286">
          <cell r="B286">
            <v>23</v>
          </cell>
          <cell r="C286">
            <v>2251.87</v>
          </cell>
          <cell r="D286">
            <v>2304.0100000000002</v>
          </cell>
          <cell r="E286">
            <v>2360.4699999999998</v>
          </cell>
          <cell r="F286">
            <v>2417.19</v>
          </cell>
          <cell r="G286">
            <v>2478.37</v>
          </cell>
          <cell r="H286">
            <v>2532.77</v>
          </cell>
          <cell r="I286">
            <v>2602.0100000000002</v>
          </cell>
          <cell r="J286">
            <v>2669.9</v>
          </cell>
          <cell r="K286">
            <v>2700.15</v>
          </cell>
          <cell r="L286">
            <v>2727.74</v>
          </cell>
          <cell r="M286">
            <v>2764.78</v>
          </cell>
          <cell r="N286">
            <v>2806.87</v>
          </cell>
        </row>
        <row r="287">
          <cell r="B287">
            <v>24</v>
          </cell>
          <cell r="C287">
            <v>2252.88</v>
          </cell>
          <cell r="D287">
            <v>2306.5300000000002</v>
          </cell>
          <cell r="E287">
            <v>2361.9699999999998</v>
          </cell>
          <cell r="F287">
            <v>2419.42</v>
          </cell>
          <cell r="G287">
            <v>2480.19</v>
          </cell>
          <cell r="H287">
            <v>2534.44</v>
          </cell>
          <cell r="I287">
            <v>2605.06</v>
          </cell>
          <cell r="J287">
            <v>2671.01</v>
          </cell>
          <cell r="K287">
            <v>2700.95</v>
          </cell>
          <cell r="L287">
            <v>2728.78</v>
          </cell>
          <cell r="M287">
            <v>2766.16</v>
          </cell>
          <cell r="N287">
            <v>2808.31</v>
          </cell>
        </row>
        <row r="288">
          <cell r="B288">
            <v>25</v>
          </cell>
          <cell r="C288">
            <v>2253.9</v>
          </cell>
          <cell r="D288">
            <v>2309.04</v>
          </cell>
          <cell r="E288">
            <v>2363.48</v>
          </cell>
          <cell r="F288">
            <v>2421.64</v>
          </cell>
          <cell r="G288">
            <v>2482.0100000000002</v>
          </cell>
          <cell r="H288">
            <v>2536.11</v>
          </cell>
          <cell r="I288">
            <v>2608.11</v>
          </cell>
          <cell r="J288">
            <v>2672.12</v>
          </cell>
          <cell r="K288">
            <v>2701.76</v>
          </cell>
          <cell r="L288">
            <v>2729.84</v>
          </cell>
          <cell r="M288">
            <v>2767.53</v>
          </cell>
          <cell r="N288">
            <v>2809.75</v>
          </cell>
        </row>
        <row r="289">
          <cell r="B289">
            <v>26</v>
          </cell>
          <cell r="C289">
            <v>2254.91</v>
          </cell>
          <cell r="D289">
            <v>2311.56</v>
          </cell>
          <cell r="E289">
            <v>2364.9899999999998</v>
          </cell>
          <cell r="F289">
            <v>2423.88</v>
          </cell>
          <cell r="G289">
            <v>2483.83</v>
          </cell>
          <cell r="H289">
            <v>2537.79</v>
          </cell>
          <cell r="I289">
            <v>2611.17</v>
          </cell>
          <cell r="J289">
            <v>2673.24</v>
          </cell>
          <cell r="K289">
            <v>2702.57</v>
          </cell>
          <cell r="L289">
            <v>2730.89</v>
          </cell>
          <cell r="M289">
            <v>2768.9</v>
          </cell>
          <cell r="N289">
            <v>2811.18</v>
          </cell>
        </row>
        <row r="290">
          <cell r="B290">
            <v>27</v>
          </cell>
          <cell r="C290">
            <v>2255.92</v>
          </cell>
          <cell r="D290">
            <v>2314.08</v>
          </cell>
          <cell r="E290">
            <v>2366.5</v>
          </cell>
          <cell r="F290">
            <v>2426.11</v>
          </cell>
          <cell r="G290">
            <v>2485.65</v>
          </cell>
          <cell r="H290">
            <v>2539.46</v>
          </cell>
          <cell r="I290">
            <v>2614.23</v>
          </cell>
          <cell r="J290">
            <v>2674.35</v>
          </cell>
          <cell r="K290">
            <v>2703.37</v>
          </cell>
          <cell r="L290">
            <v>2731.94</v>
          </cell>
          <cell r="M290">
            <v>2770.28</v>
          </cell>
          <cell r="N290">
            <v>2812.62</v>
          </cell>
        </row>
        <row r="291">
          <cell r="B291">
            <v>28</v>
          </cell>
          <cell r="C291">
            <v>2256.9299999999998</v>
          </cell>
          <cell r="D291">
            <v>2316.61</v>
          </cell>
          <cell r="E291">
            <v>2368.02</v>
          </cell>
          <cell r="F291">
            <v>2428.34</v>
          </cell>
          <cell r="G291">
            <v>2487.48</v>
          </cell>
          <cell r="H291">
            <v>2541.14</v>
          </cell>
          <cell r="I291">
            <v>2617.3000000000002</v>
          </cell>
          <cell r="J291">
            <v>2675.47</v>
          </cell>
          <cell r="K291">
            <v>2704.18</v>
          </cell>
          <cell r="L291">
            <v>2732.99</v>
          </cell>
          <cell r="M291">
            <v>2771.65</v>
          </cell>
          <cell r="N291">
            <v>2814.06</v>
          </cell>
        </row>
        <row r="292">
          <cell r="B292">
            <v>29</v>
          </cell>
          <cell r="C292">
            <v>2257.94</v>
          </cell>
          <cell r="E292">
            <v>2369.5300000000002</v>
          </cell>
          <cell r="F292">
            <v>2430.58</v>
          </cell>
          <cell r="G292">
            <v>2489.3000000000002</v>
          </cell>
          <cell r="H292">
            <v>2542.8200000000002</v>
          </cell>
          <cell r="I292">
            <v>2620.37</v>
          </cell>
          <cell r="J292">
            <v>2676.58</v>
          </cell>
          <cell r="K292">
            <v>2704.99</v>
          </cell>
          <cell r="L292">
            <v>2734.04</v>
          </cell>
          <cell r="M292">
            <v>2773.03</v>
          </cell>
          <cell r="N292">
            <v>2815.51</v>
          </cell>
        </row>
        <row r="293">
          <cell r="B293">
            <v>30</v>
          </cell>
          <cell r="C293">
            <v>2258.96</v>
          </cell>
          <cell r="E293">
            <v>2371.04</v>
          </cell>
          <cell r="F293">
            <v>2432.8200000000002</v>
          </cell>
          <cell r="G293">
            <v>2491.13</v>
          </cell>
          <cell r="H293">
            <v>2544.5</v>
          </cell>
          <cell r="I293">
            <v>2623.44</v>
          </cell>
          <cell r="J293">
            <v>2677.7</v>
          </cell>
          <cell r="K293">
            <v>2705.8</v>
          </cell>
          <cell r="L293">
            <v>2735.09</v>
          </cell>
          <cell r="M293">
            <v>2774.4</v>
          </cell>
          <cell r="N293">
            <v>2816.95</v>
          </cell>
        </row>
        <row r="294">
          <cell r="B294">
            <v>31</v>
          </cell>
          <cell r="C294">
            <v>2259.9699999999998</v>
          </cell>
          <cell r="E294">
            <v>2372.56</v>
          </cell>
          <cell r="G294">
            <v>2492.96</v>
          </cell>
          <cell r="I294">
            <v>2626.52</v>
          </cell>
          <cell r="J294">
            <v>2678.81</v>
          </cell>
          <cell r="L294">
            <v>2736.14</v>
          </cell>
          <cell r="N294">
            <v>2818.39</v>
          </cell>
        </row>
      </sheetData>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Page"/>
      <sheetName val="Input"/>
      <sheetName val="Curves"/>
      <sheetName val="GoSeven"/>
      <sheetName val="GoEight"/>
      <sheetName val="GrThree"/>
      <sheetName val="GrFour"/>
      <sheetName val="HOne"/>
      <sheetName val="HTwo"/>
      <sheetName val="JOne"/>
      <sheetName val="JTwo"/>
      <sheetName val="KOne"/>
      <sheetName val="MOne"/>
      <sheetName val="MTwo"/>
      <sheetName val="StartShut"/>
      <sheetName val="Calc"/>
      <sheetName val="Inc. HR"/>
      <sheetName val="cscv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row r="8">
          <cell r="A8">
            <v>5</v>
          </cell>
        </row>
        <row r="38">
          <cell r="D38">
            <v>19.63580208099</v>
          </cell>
        </row>
        <row r="39">
          <cell r="D39">
            <v>19.746735330503999</v>
          </cell>
        </row>
        <row r="40">
          <cell r="D40">
            <v>19.857668580018</v>
          </cell>
        </row>
        <row r="41">
          <cell r="D41">
            <v>19.968601829532002</v>
          </cell>
        </row>
        <row r="42">
          <cell r="D42">
            <v>20.079535079046</v>
          </cell>
        </row>
        <row r="43">
          <cell r="D43">
            <v>20.190468328560002</v>
          </cell>
        </row>
        <row r="44">
          <cell r="D44">
            <v>20.301401578074</v>
          </cell>
        </row>
        <row r="45">
          <cell r="D45">
            <v>20.412334827588001</v>
          </cell>
        </row>
        <row r="46">
          <cell r="D46">
            <v>20.523268077101999</v>
          </cell>
        </row>
        <row r="47">
          <cell r="D47">
            <v>20.634201326616001</v>
          </cell>
        </row>
        <row r="48">
          <cell r="D48">
            <v>20.745134576129999</v>
          </cell>
        </row>
        <row r="49">
          <cell r="D49">
            <v>20.856067825644004</v>
          </cell>
        </row>
        <row r="50">
          <cell r="D50">
            <v>20.967001075158002</v>
          </cell>
        </row>
        <row r="51">
          <cell r="D51">
            <v>21.077934324672</v>
          </cell>
        </row>
        <row r="52">
          <cell r="D52">
            <v>21.188867574185998</v>
          </cell>
        </row>
        <row r="53">
          <cell r="D53">
            <v>21.2998008237</v>
          </cell>
        </row>
        <row r="54">
          <cell r="D54">
            <v>21.410734073213998</v>
          </cell>
        </row>
        <row r="55">
          <cell r="D55">
            <v>21.521667322728</v>
          </cell>
        </row>
        <row r="56">
          <cell r="D56">
            <v>21.632600572242001</v>
          </cell>
        </row>
        <row r="57">
          <cell r="D57">
            <v>21.743533821755999</v>
          </cell>
        </row>
        <row r="58">
          <cell r="D58">
            <v>21.854467071269998</v>
          </cell>
        </row>
        <row r="59">
          <cell r="D59">
            <v>21.965400320783999</v>
          </cell>
        </row>
        <row r="60">
          <cell r="D60">
            <v>22.076333570298001</v>
          </cell>
        </row>
        <row r="61">
          <cell r="D61">
            <v>22.187266819811999</v>
          </cell>
        </row>
        <row r="62">
          <cell r="D62">
            <v>22.298200069325997</v>
          </cell>
        </row>
        <row r="63">
          <cell r="D63">
            <v>22.409133318839999</v>
          </cell>
        </row>
        <row r="64">
          <cell r="D64">
            <v>22.520066568354</v>
          </cell>
        </row>
        <row r="65">
          <cell r="D65">
            <v>22.630999817867998</v>
          </cell>
        </row>
        <row r="66">
          <cell r="D66">
            <v>22.741933067382</v>
          </cell>
        </row>
        <row r="67">
          <cell r="D67">
            <v>22.852866316895998</v>
          </cell>
        </row>
        <row r="68">
          <cell r="D68">
            <v>22.96379956641</v>
          </cell>
        </row>
        <row r="69">
          <cell r="D69">
            <v>23.074732815923998</v>
          </cell>
        </row>
        <row r="70">
          <cell r="D70">
            <v>23.185666065438003</v>
          </cell>
        </row>
        <row r="71">
          <cell r="D71">
            <v>23.296599314952001</v>
          </cell>
        </row>
        <row r="72">
          <cell r="D72">
            <v>23.407532564466003</v>
          </cell>
        </row>
        <row r="73">
          <cell r="D73">
            <v>23.518465813980001</v>
          </cell>
        </row>
        <row r="74">
          <cell r="D74">
            <v>23.629399063494002</v>
          </cell>
        </row>
        <row r="75">
          <cell r="D75">
            <v>23.740332313008004</v>
          </cell>
        </row>
        <row r="76">
          <cell r="D76">
            <v>23.851265562522002</v>
          </cell>
        </row>
        <row r="77">
          <cell r="D77">
            <v>23.962198812035997</v>
          </cell>
        </row>
        <row r="78">
          <cell r="D78">
            <v>24.073132061549998</v>
          </cell>
        </row>
        <row r="79">
          <cell r="D79">
            <v>24.184065311064</v>
          </cell>
        </row>
        <row r="80">
          <cell r="D80">
            <v>24.294998560577998</v>
          </cell>
        </row>
        <row r="81">
          <cell r="D81">
            <v>24.405931810092</v>
          </cell>
        </row>
        <row r="82">
          <cell r="D82">
            <v>24.516865059605998</v>
          </cell>
        </row>
        <row r="83">
          <cell r="D83">
            <v>24.627798309119999</v>
          </cell>
        </row>
      </sheetData>
      <sheetData sheetId="16" refreshError="1"/>
      <sheetData sheetId="17"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RR - Phase I"/>
      <sheetName val="IRR - Land Sale (PP)"/>
      <sheetName val="IRR - Land Sale (Waterfall)"/>
      <sheetName val="Deal Summary"/>
      <sheetName val="Land Sources &amp; Uses"/>
      <sheetName val="Land Assemblage Details"/>
      <sheetName val="Assemblage Valuation Summary"/>
      <sheetName val="Phase I - Components"/>
      <sheetName val="Phase I S&amp;U"/>
      <sheetName val="Operating Proforma Summary"/>
      <sheetName val="Convention Hotel Proforma"/>
      <sheetName val="Signature Hotel Proforma"/>
      <sheetName val="Select Service Hotel Proforma"/>
      <sheetName val="Retail Proforma"/>
      <sheetName val="Parking Proforma"/>
      <sheetName val="Signage Proforma"/>
      <sheetName val="Phase I - Retail Assumpt"/>
      <sheetName val="Phase I - Conv. Hotel Assumpt"/>
      <sheetName val="Phase I - Conv. Ops Assumpt"/>
      <sheetName val="Phase I - Sign Hotel Assumpt"/>
      <sheetName val="Phase I - Sign. Hotel Ops Assum"/>
      <sheetName val="Phase I - Sel. Serv. Assumpt"/>
      <sheetName val="Phase I - Sel. Serv. Ops Assump"/>
      <sheetName val="Phase I - Parking Assumpt"/>
      <sheetName val="Phase I - Signage Assumptions"/>
      <sheetName val="&lt;Divider2&gt;"/>
      <sheetName val="Summary Sources"/>
      <sheetName val="IRR"/>
      <sheetName val="Client Data---&gt;"/>
      <sheetName val="Land Budget"/>
      <sheetName val="Predevelopment"/>
      <sheetName val="Actuals"/>
      <sheetName val="GGI Miami Worldcenter Financial"/>
      <sheetName val="Assumption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ow r="68">
          <cell r="J68">
            <v>107659252.5263584</v>
          </cell>
        </row>
      </sheetData>
      <sheetData sheetId="28"/>
      <sheetData sheetId="29"/>
      <sheetData sheetId="30"/>
      <sheetData sheetId="31"/>
      <sheetData sheetId="32" refreshError="1"/>
      <sheetData sheetId="33"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3 BU"/>
      <sheetName val="12 BU"/>
      <sheetName val="5 BU"/>
      <sheetName val="23 BU"/>
      <sheetName val="1 BU"/>
      <sheetName val="38 BU"/>
      <sheetName val="Sch Index"/>
      <sheetName val="Exchange Codes"/>
      <sheetName val="IRR - Land Sale (PP)"/>
      <sheetName val="COA"/>
      <sheetName val="8 BU"/>
      <sheetName val="Detail"/>
    </sheetNames>
    <sheetDataSet>
      <sheetData sheetId="0" refreshError="1">
        <row r="1">
          <cell r="A1" t="str">
            <v>Cirque du Soleil Nevada, Inc. (Co. 12)</v>
          </cell>
        </row>
        <row r="9">
          <cell r="A9" t="str">
            <v>DOCUMENT</v>
          </cell>
          <cell r="B9" t="str">
            <v>NO_DOCUMEN</v>
          </cell>
          <cell r="C9" t="str">
            <v>ID_DOC</v>
          </cell>
          <cell r="D9" t="str">
            <v>DATE_DOC</v>
          </cell>
          <cell r="E9" t="str">
            <v>REF_LOT</v>
          </cell>
          <cell r="F9" t="str">
            <v>AN_PER</v>
          </cell>
          <cell r="G9" t="str">
            <v>CTRE_COUT</v>
          </cell>
          <cell r="H9" t="str">
            <v>NATURE</v>
          </cell>
          <cell r="I9" t="str">
            <v>PROJET</v>
          </cell>
          <cell r="J9" t="str">
            <v>DESC</v>
          </cell>
          <cell r="K9" t="str">
            <v>DEVISE</v>
          </cell>
          <cell r="L9" t="str">
            <v>VALEUR</v>
          </cell>
          <cell r="M9" t="str">
            <v>Sort Category (OK, RI, RO, X)</v>
          </cell>
          <cell r="N9" t="str">
            <v>Summary Level- (S)ummary, (D)etail</v>
          </cell>
          <cell r="O9" t="str">
            <v>Sort Order</v>
          </cell>
          <cell r="P9" t="str">
            <v>Compound Code</v>
          </cell>
          <cell r="Q9" t="str">
            <v>Special Groupings</v>
          </cell>
          <cell r="R9" t="str">
            <v>RO or RI G/L Account</v>
          </cell>
          <cell r="S9" t="str">
            <v>RO or RI Schedule No.</v>
          </cell>
          <cell r="T9" t="str">
            <v>Payment Received From</v>
          </cell>
          <cell r="U9" t="str">
            <v>Description</v>
          </cell>
          <cell r="V9" t="str">
            <v>G/L Account</v>
          </cell>
          <cell r="W9" t="str">
            <v>Amount</v>
          </cell>
          <cell r="X9" t="str">
            <v>Absolute Value</v>
          </cell>
        </row>
        <row r="10">
          <cell r="A10" t="str">
            <v xml:space="preserve"> 01</v>
          </cell>
          <cell r="B10" t="str">
            <v>000394</v>
          </cell>
          <cell r="C10" t="str">
            <v>Jrnl</v>
          </cell>
          <cell r="D10" t="str">
            <v>19/May/1998</v>
          </cell>
          <cell r="E10" t="str">
            <v>KPUR0490</v>
          </cell>
          <cell r="F10" t="str">
            <v>1998/05</v>
          </cell>
          <cell r="G10" t="str">
            <v>081890</v>
          </cell>
          <cell r="H10" t="str">
            <v>37120</v>
          </cell>
          <cell r="I10" t="str">
            <v>080000</v>
          </cell>
          <cell r="J10" t="str">
            <v>INTEREST CETTQ APR</v>
          </cell>
          <cell r="K10" t="str">
            <v>C1</v>
          </cell>
          <cell r="L10">
            <v>-6.95</v>
          </cell>
          <cell r="M10" t="str">
            <v>ok</v>
          </cell>
          <cell r="N10" t="str">
            <v>s</v>
          </cell>
          <cell r="O10">
            <v>1</v>
          </cell>
          <cell r="P10" t="str">
            <v>37120-1</v>
          </cell>
          <cell r="Q10" t="str">
            <v>ib</v>
          </cell>
          <cell r="R10" t="str">
            <v xml:space="preserve"> </v>
          </cell>
          <cell r="S10" t="str">
            <v xml:space="preserve"> </v>
          </cell>
          <cell r="T10" t="str">
            <v>Caisse d'economics des travailleurs</v>
          </cell>
          <cell r="U10" t="str">
            <v>Interest on Balance</v>
          </cell>
          <cell r="V10" t="str">
            <v>37120</v>
          </cell>
          <cell r="W10">
            <v>-6.95</v>
          </cell>
          <cell r="X10">
            <v>6.95</v>
          </cell>
        </row>
        <row r="11">
          <cell r="A11" t="str">
            <v xml:space="preserve"> 01</v>
          </cell>
          <cell r="B11" t="str">
            <v>000395</v>
          </cell>
          <cell r="C11" t="str">
            <v>Jrnl</v>
          </cell>
          <cell r="D11" t="str">
            <v>09/May/1998</v>
          </cell>
          <cell r="E11" t="str">
            <v>KPUR0490</v>
          </cell>
          <cell r="F11" t="str">
            <v>1998/05</v>
          </cell>
          <cell r="G11" t="str">
            <v>081890</v>
          </cell>
          <cell r="H11" t="str">
            <v>37120</v>
          </cell>
          <cell r="I11" t="str">
            <v>080000</v>
          </cell>
          <cell r="J11" t="str">
            <v>INTEREST CETTQ APR</v>
          </cell>
          <cell r="K11" t="str">
            <v>D1</v>
          </cell>
          <cell r="L11">
            <v>-27.98</v>
          </cell>
          <cell r="M11" t="str">
            <v>ok</v>
          </cell>
          <cell r="N11" t="str">
            <v>s</v>
          </cell>
          <cell r="O11">
            <v>1</v>
          </cell>
          <cell r="P11" t="str">
            <v>37120-1</v>
          </cell>
          <cell r="Q11" t="str">
            <v>ib</v>
          </cell>
          <cell r="R11" t="str">
            <v xml:space="preserve"> </v>
          </cell>
          <cell r="S11" t="str">
            <v xml:space="preserve"> </v>
          </cell>
          <cell r="T11" t="str">
            <v>Caisse d'economics des travailleurs</v>
          </cell>
          <cell r="U11" t="str">
            <v>Interest on Balance</v>
          </cell>
          <cell r="V11" t="str">
            <v>37120</v>
          </cell>
          <cell r="W11">
            <v>-27.98</v>
          </cell>
          <cell r="X11">
            <v>27.98</v>
          </cell>
        </row>
        <row r="12">
          <cell r="A12" t="str">
            <v xml:space="preserve"> 01</v>
          </cell>
          <cell r="B12" t="str">
            <v>000492</v>
          </cell>
          <cell r="C12" t="str">
            <v>Jrnl</v>
          </cell>
          <cell r="D12" t="str">
            <v>31/Jul/1998</v>
          </cell>
          <cell r="E12" t="str">
            <v>CWAN0005</v>
          </cell>
          <cell r="F12" t="str">
            <v>1998/07</v>
          </cell>
          <cell r="G12" t="str">
            <v>081890</v>
          </cell>
          <cell r="H12" t="str">
            <v>37120</v>
          </cell>
          <cell r="I12" t="str">
            <v>080000</v>
          </cell>
          <cell r="J12" t="str">
            <v>INTEREST CETTQ JUNE</v>
          </cell>
          <cell r="K12" t="str">
            <v>D1</v>
          </cell>
          <cell r="L12">
            <v>-76.150000000000006</v>
          </cell>
          <cell r="M12" t="str">
            <v>ok</v>
          </cell>
          <cell r="N12" t="str">
            <v>s</v>
          </cell>
          <cell r="O12">
            <v>1</v>
          </cell>
          <cell r="P12" t="str">
            <v>37120-1</v>
          </cell>
          <cell r="Q12" t="str">
            <v>ib</v>
          </cell>
          <cell r="R12" t="str">
            <v xml:space="preserve"> </v>
          </cell>
          <cell r="S12" t="str">
            <v xml:space="preserve"> </v>
          </cell>
          <cell r="T12" t="str">
            <v>Caisse d'economics des travailleurs</v>
          </cell>
          <cell r="U12" t="str">
            <v>Interest on Balance</v>
          </cell>
          <cell r="V12" t="str">
            <v>37120</v>
          </cell>
          <cell r="W12">
            <v>-76.150000000000006</v>
          </cell>
          <cell r="X12">
            <v>76.150000000000006</v>
          </cell>
        </row>
        <row r="13">
          <cell r="A13" t="str">
            <v xml:space="preserve"> 01</v>
          </cell>
          <cell r="B13" t="str">
            <v>000586</v>
          </cell>
          <cell r="C13" t="str">
            <v>Jrnl</v>
          </cell>
          <cell r="D13" t="str">
            <v>30/Sep/1998</v>
          </cell>
          <cell r="E13" t="str">
            <v>CWAN0143</v>
          </cell>
          <cell r="F13" t="str">
            <v>1998/09</v>
          </cell>
          <cell r="G13" t="str">
            <v>081890</v>
          </cell>
          <cell r="H13" t="str">
            <v>37120</v>
          </cell>
          <cell r="I13" t="str">
            <v>080000</v>
          </cell>
          <cell r="J13" t="str">
            <v>INTEREST CETTQ AUGUST</v>
          </cell>
          <cell r="K13" t="str">
            <v>D1</v>
          </cell>
          <cell r="L13">
            <v>-76.489999999999995</v>
          </cell>
          <cell r="M13" t="str">
            <v>ok</v>
          </cell>
          <cell r="N13" t="str">
            <v>s</v>
          </cell>
          <cell r="O13">
            <v>1</v>
          </cell>
          <cell r="P13" t="str">
            <v>37120-1</v>
          </cell>
          <cell r="Q13" t="str">
            <v>ib</v>
          </cell>
          <cell r="R13" t="str">
            <v xml:space="preserve"> </v>
          </cell>
          <cell r="S13" t="str">
            <v xml:space="preserve"> </v>
          </cell>
          <cell r="T13" t="str">
            <v>Caisse d'economics des travailleurs</v>
          </cell>
          <cell r="U13" t="str">
            <v>Interest on Balance</v>
          </cell>
          <cell r="V13" t="str">
            <v>37120</v>
          </cell>
          <cell r="W13">
            <v>-76.489999999999995</v>
          </cell>
          <cell r="X13">
            <v>76.489999999999995</v>
          </cell>
        </row>
        <row r="14">
          <cell r="A14" t="str">
            <v xml:space="preserve"> 01</v>
          </cell>
          <cell r="B14" t="str">
            <v>000436</v>
          </cell>
          <cell r="C14" t="str">
            <v>Jrnl</v>
          </cell>
          <cell r="D14" t="str">
            <v>23/Jun/1998</v>
          </cell>
          <cell r="E14" t="str">
            <v>TLOH1911</v>
          </cell>
          <cell r="F14" t="str">
            <v>1998/06</v>
          </cell>
          <cell r="G14" t="str">
            <v>081890</v>
          </cell>
          <cell r="H14" t="str">
            <v>37120</v>
          </cell>
          <cell r="I14" t="str">
            <v>080000</v>
          </cell>
          <cell r="J14" t="str">
            <v>Interest Cettq May</v>
          </cell>
          <cell r="K14" t="str">
            <v>C1</v>
          </cell>
          <cell r="L14">
            <v>-84.99</v>
          </cell>
          <cell r="M14" t="str">
            <v>ok</v>
          </cell>
          <cell r="N14" t="str">
            <v>s</v>
          </cell>
          <cell r="O14">
            <v>1</v>
          </cell>
          <cell r="P14" t="str">
            <v>37120-1</v>
          </cell>
          <cell r="Q14" t="str">
            <v>ib</v>
          </cell>
          <cell r="R14" t="str">
            <v xml:space="preserve"> </v>
          </cell>
          <cell r="S14" t="str">
            <v xml:space="preserve"> </v>
          </cell>
          <cell r="T14" t="str">
            <v>Caisse d'economics des travailleurs</v>
          </cell>
          <cell r="U14" t="str">
            <v>Interest on Balance</v>
          </cell>
          <cell r="V14" t="str">
            <v>37120</v>
          </cell>
          <cell r="W14">
            <v>-84.99</v>
          </cell>
          <cell r="X14">
            <v>84.99</v>
          </cell>
        </row>
        <row r="15">
          <cell r="A15" t="str">
            <v>DOCUMENT</v>
          </cell>
          <cell r="B15" t="str">
            <v>NO_DOCUMEN</v>
          </cell>
          <cell r="C15" t="str">
            <v>ID_DOC</v>
          </cell>
          <cell r="D15" t="str">
            <v>DATE_DOC</v>
          </cell>
          <cell r="E15" t="str">
            <v>REF_LOT</v>
          </cell>
          <cell r="F15" t="str">
            <v>AN_PER</v>
          </cell>
          <cell r="G15" t="str">
            <v>CTRE_COUT</v>
          </cell>
          <cell r="H15" t="str">
            <v>NATURE</v>
          </cell>
          <cell r="I15" t="str">
            <v>PROJET</v>
          </cell>
          <cell r="J15" t="str">
            <v>DESC</v>
          </cell>
          <cell r="K15" t="str">
            <v>DEVISE</v>
          </cell>
          <cell r="L15" t="str">
            <v>VALEUR</v>
          </cell>
          <cell r="M15" t="str">
            <v>Sort Category (OK, RI, RO, X)</v>
          </cell>
          <cell r="N15" t="str">
            <v>Summary Level- (S)ummary, (D)etail</v>
          </cell>
          <cell r="O15" t="str">
            <v>Sort Order</v>
          </cell>
          <cell r="P15" t="str">
            <v>Compound Code</v>
          </cell>
          <cell r="Q15" t="str">
            <v>Special Groupings</v>
          </cell>
          <cell r="R15" t="str">
            <v>RO or RI G/L Account</v>
          </cell>
          <cell r="S15" t="str">
            <v>RO or RI Schedule No.</v>
          </cell>
          <cell r="T15" t="str">
            <v>Supplier</v>
          </cell>
          <cell r="U15" t="str">
            <v>Description</v>
          </cell>
          <cell r="V15" t="str">
            <v>Ref #</v>
          </cell>
          <cell r="W15" t="str">
            <v>G/L Account</v>
          </cell>
          <cell r="X15" t="str">
            <v>Amount</v>
          </cell>
        </row>
        <row r="16">
          <cell r="A16" t="str">
            <v>01</v>
          </cell>
          <cell r="B16" t="str">
            <v>000851</v>
          </cell>
          <cell r="C16" t="str">
            <v>Jrnl</v>
          </cell>
          <cell r="D16" t="str">
            <v>31/Dec/1998</v>
          </cell>
          <cell r="E16" t="str">
            <v>JPEA0031</v>
          </cell>
          <cell r="F16" t="str">
            <v>1998/12</v>
          </cell>
          <cell r="G16" t="str">
            <v>060140</v>
          </cell>
          <cell r="H16">
            <v>53020</v>
          </cell>
          <cell r="I16">
            <v>995060</v>
          </cell>
          <cell r="J16" t="str">
            <v>PRE-OPENING DEF EXP.</v>
          </cell>
          <cell r="K16" t="str">
            <v>D1</v>
          </cell>
          <cell r="L16">
            <v>1017</v>
          </cell>
          <cell r="M16" t="str">
            <v>x</v>
          </cell>
          <cell r="N16" t="str">
            <v>S</v>
          </cell>
          <cell r="O16" t="str">
            <v>Error</v>
          </cell>
          <cell r="P16" t="str">
            <v>53020-Error</v>
          </cell>
          <cell r="Q16" t="str">
            <v>U</v>
          </cell>
          <cell r="R16" t="str">
            <v xml:space="preserve"> </v>
          </cell>
          <cell r="S16" t="str">
            <v xml:space="preserve"> </v>
          </cell>
          <cell r="T16" t="str">
            <v>Unknown</v>
          </cell>
          <cell r="U16" t="str">
            <v>Unknown- To be Researched</v>
          </cell>
          <cell r="V16" t="str">
            <v xml:space="preserve"> </v>
          </cell>
          <cell r="W16">
            <v>53020</v>
          </cell>
          <cell r="X16">
            <v>1017</v>
          </cell>
        </row>
        <row r="17">
          <cell r="A17" t="str">
            <v>01</v>
          </cell>
          <cell r="B17" t="str">
            <v>000851</v>
          </cell>
          <cell r="C17" t="str">
            <v>Jrnl</v>
          </cell>
          <cell r="D17" t="str">
            <v>31/Dec/1998</v>
          </cell>
          <cell r="E17" t="str">
            <v>JPEA0031</v>
          </cell>
          <cell r="F17" t="str">
            <v>1998/12</v>
          </cell>
          <cell r="G17" t="str">
            <v>060140</v>
          </cell>
          <cell r="H17">
            <v>53020</v>
          </cell>
          <cell r="I17">
            <v>995060</v>
          </cell>
          <cell r="J17" t="str">
            <v>PRE-OPENING DEF EXP.</v>
          </cell>
          <cell r="K17" t="str">
            <v>D1</v>
          </cell>
          <cell r="L17">
            <v>-85</v>
          </cell>
          <cell r="M17" t="str">
            <v>x</v>
          </cell>
          <cell r="N17" t="str">
            <v>s</v>
          </cell>
          <cell r="O17">
            <v>1</v>
          </cell>
          <cell r="P17" t="str">
            <v>37120-1</v>
          </cell>
          <cell r="Q17" t="str">
            <v>ib</v>
          </cell>
          <cell r="R17" t="str">
            <v xml:space="preserve"> </v>
          </cell>
          <cell r="S17" t="str">
            <v xml:space="preserve"> </v>
          </cell>
          <cell r="T17" t="str">
            <v>Caisse d'economics des travailleurs</v>
          </cell>
          <cell r="U17" t="str">
            <v>Input</v>
          </cell>
          <cell r="V17" t="str">
            <v xml:space="preserve"> </v>
          </cell>
          <cell r="W17">
            <v>53020</v>
          </cell>
          <cell r="X17">
            <v>-85</v>
          </cell>
        </row>
        <row r="18">
          <cell r="A18" t="str">
            <v>01</v>
          </cell>
          <cell r="B18" t="str">
            <v>000851</v>
          </cell>
          <cell r="C18" t="str">
            <v>Jrnl</v>
          </cell>
          <cell r="D18" t="str">
            <v>31/Dec/1998</v>
          </cell>
          <cell r="E18" t="str">
            <v>JPEA0031</v>
          </cell>
          <cell r="F18" t="str">
            <v>1998/12</v>
          </cell>
          <cell r="G18" t="str">
            <v>060140</v>
          </cell>
          <cell r="H18">
            <v>53020</v>
          </cell>
          <cell r="I18">
            <v>995060</v>
          </cell>
          <cell r="J18" t="str">
            <v>PRE-OPENING DEF EXP.</v>
          </cell>
          <cell r="K18" t="str">
            <v>D1</v>
          </cell>
          <cell r="L18">
            <v>-4132.47</v>
          </cell>
          <cell r="M18" t="str">
            <v>XXXXX</v>
          </cell>
          <cell r="N18" t="str">
            <v>s</v>
          </cell>
          <cell r="O18">
            <v>1</v>
          </cell>
          <cell r="P18" t="str">
            <v>37120-1</v>
          </cell>
          <cell r="Q18" t="str">
            <v>ib</v>
          </cell>
          <cell r="R18" t="str">
            <v xml:space="preserve"> </v>
          </cell>
          <cell r="S18" t="str">
            <v xml:space="preserve"> </v>
          </cell>
          <cell r="T18" t="str">
            <v>Caisse d'economics des travailleurs</v>
          </cell>
          <cell r="U18" t="str">
            <v>Input</v>
          </cell>
          <cell r="V18" t="str">
            <v xml:space="preserve"> </v>
          </cell>
          <cell r="W18">
            <v>53020</v>
          </cell>
          <cell r="X18">
            <v>-4132.47</v>
          </cell>
        </row>
        <row r="19">
          <cell r="A19" t="str">
            <v>01</v>
          </cell>
          <cell r="B19" t="str">
            <v>000851</v>
          </cell>
          <cell r="C19" t="str">
            <v>Jrnl</v>
          </cell>
          <cell r="D19" t="str">
            <v>31/Dec/1998</v>
          </cell>
          <cell r="E19" t="str">
            <v>JPEA0031</v>
          </cell>
          <cell r="F19" t="str">
            <v>1998/12</v>
          </cell>
          <cell r="G19" t="str">
            <v>060140</v>
          </cell>
          <cell r="H19">
            <v>53020</v>
          </cell>
          <cell r="I19">
            <v>995060</v>
          </cell>
          <cell r="J19" t="str">
            <v>PRE-OPENING DEF EXP.</v>
          </cell>
          <cell r="K19" t="str">
            <v>D1</v>
          </cell>
          <cell r="L19">
            <v>-6206.24</v>
          </cell>
          <cell r="M19" t="str">
            <v>XXXX</v>
          </cell>
          <cell r="N19" t="str">
            <v>s</v>
          </cell>
          <cell r="O19">
            <v>1</v>
          </cell>
          <cell r="P19" t="str">
            <v>37120-1</v>
          </cell>
          <cell r="Q19" t="str">
            <v>ib</v>
          </cell>
          <cell r="R19" t="str">
            <v xml:space="preserve"> </v>
          </cell>
          <cell r="S19" t="str">
            <v xml:space="preserve"> </v>
          </cell>
          <cell r="T19" t="str">
            <v>Caisse d'economics des travailleurs</v>
          </cell>
          <cell r="U19" t="str">
            <v>Input</v>
          </cell>
          <cell r="V19" t="str">
            <v xml:space="preserve"> </v>
          </cell>
          <cell r="W19">
            <v>53020</v>
          </cell>
          <cell r="X19">
            <v>-6206.24</v>
          </cell>
        </row>
        <row r="20">
          <cell r="A20" t="str">
            <v xml:space="preserve"> 75</v>
          </cell>
          <cell r="B20" t="str">
            <v>002953</v>
          </cell>
          <cell r="C20" t="str">
            <v>cshp</v>
          </cell>
          <cell r="D20" t="str">
            <v>04/Nov/1998</v>
          </cell>
          <cell r="E20" t="str">
            <v>CWAN0313</v>
          </cell>
          <cell r="F20" t="str">
            <v>1998/11</v>
          </cell>
          <cell r="G20" t="str">
            <v>400140</v>
          </cell>
          <cell r="H20" t="str">
            <v>53020</v>
          </cell>
          <cell r="I20" t="str">
            <v>608000</v>
          </cell>
          <cell r="J20" t="str">
            <v>BROWNE ZUKOW CASE</v>
          </cell>
          <cell r="K20" t="str">
            <v>D1</v>
          </cell>
          <cell r="L20">
            <v>8523.2000000000007</v>
          </cell>
          <cell r="M20" t="str">
            <v>X</v>
          </cell>
          <cell r="N20" t="str">
            <v>S</v>
          </cell>
          <cell r="O20" t="str">
            <v>X</v>
          </cell>
          <cell r="P20" t="str">
            <v>53020-X</v>
          </cell>
          <cell r="Q20" t="str">
            <v>PR</v>
          </cell>
          <cell r="R20" t="str">
            <v xml:space="preserve"> </v>
          </cell>
          <cell r="S20" t="str">
            <v xml:space="preserve"> </v>
          </cell>
          <cell r="T20" t="str">
            <v>Browne Zukov Case</v>
          </cell>
          <cell r="U20" t="str">
            <v>Public Relations Consultant</v>
          </cell>
          <cell r="V20" t="str">
            <v xml:space="preserve"> </v>
          </cell>
          <cell r="W20" t="str">
            <v>53020</v>
          </cell>
          <cell r="X20">
            <v>8523.2000000000007</v>
          </cell>
        </row>
        <row r="21">
          <cell r="A21" t="str">
            <v xml:space="preserve"> 67</v>
          </cell>
          <cell r="B21" t="str">
            <v>201145</v>
          </cell>
          <cell r="C21" t="str">
            <v>Psbc</v>
          </cell>
          <cell r="D21" t="str">
            <v>23/Nov/1998</v>
          </cell>
          <cell r="E21" t="str">
            <v>SHUG0156</v>
          </cell>
          <cell r="F21" t="str">
            <v>1998/12</v>
          </cell>
          <cell r="G21" t="str">
            <v>403220</v>
          </cell>
          <cell r="H21" t="str">
            <v>72005</v>
          </cell>
          <cell r="I21" t="str">
            <v>608000</v>
          </cell>
          <cell r="J21" t="str">
            <v>ACCOUNTANTS INC KING</v>
          </cell>
          <cell r="K21" t="str">
            <v>D1</v>
          </cell>
          <cell r="L21">
            <v>620.16</v>
          </cell>
          <cell r="M21" t="str">
            <v>OK</v>
          </cell>
          <cell r="N21" t="str">
            <v>S</v>
          </cell>
          <cell r="O21">
            <v>1</v>
          </cell>
          <cell r="P21" t="str">
            <v>72005-1</v>
          </cell>
          <cell r="Q21" t="str">
            <v>ATL</v>
          </cell>
          <cell r="R21" t="str">
            <v xml:space="preserve"> </v>
          </cell>
          <cell r="S21" t="str">
            <v xml:space="preserve"> </v>
          </cell>
          <cell r="T21" t="str">
            <v>Accountants, Inc.</v>
          </cell>
          <cell r="U21" t="str">
            <v>Agency Temporary Labor</v>
          </cell>
          <cell r="V21" t="str">
            <v xml:space="preserve"> </v>
          </cell>
          <cell r="W21" t="str">
            <v>72005</v>
          </cell>
          <cell r="X21">
            <v>620.16</v>
          </cell>
        </row>
        <row r="22">
          <cell r="A22" t="str">
            <v xml:space="preserve"> 01</v>
          </cell>
          <cell r="B22" t="str">
            <v>000764</v>
          </cell>
          <cell r="C22" t="str">
            <v>Jrnl</v>
          </cell>
          <cell r="D22" t="str">
            <v>16/Dec/1998</v>
          </cell>
          <cell r="E22" t="str">
            <v>NTON0068</v>
          </cell>
          <cell r="F22" t="str">
            <v>1998/12</v>
          </cell>
          <cell r="G22" t="str">
            <v>403890</v>
          </cell>
          <cell r="H22" t="str">
            <v>37120</v>
          </cell>
          <cell r="I22" t="str">
            <v>608000</v>
          </cell>
          <cell r="J22" t="str">
            <v>Interest CETTQ - Nov 98</v>
          </cell>
          <cell r="K22" t="str">
            <v>D1</v>
          </cell>
          <cell r="L22">
            <v>-343.26</v>
          </cell>
          <cell r="M22" t="str">
            <v>ok</v>
          </cell>
          <cell r="N22" t="str">
            <v>s</v>
          </cell>
          <cell r="O22">
            <v>1</v>
          </cell>
          <cell r="P22" t="str">
            <v>37120-1</v>
          </cell>
          <cell r="Q22" t="str">
            <v>ib</v>
          </cell>
          <cell r="R22" t="str">
            <v xml:space="preserve"> </v>
          </cell>
          <cell r="S22" t="str">
            <v xml:space="preserve"> </v>
          </cell>
          <cell r="T22" t="str">
            <v>Accountants, Inc. Total</v>
          </cell>
          <cell r="U22" t="str">
            <v>Interest on Balance</v>
          </cell>
          <cell r="V22" t="str">
            <v>37120</v>
          </cell>
          <cell r="W22">
            <v>-343.26</v>
          </cell>
          <cell r="X22">
            <v>620.16</v>
          </cell>
        </row>
        <row r="23">
          <cell r="A23" t="str">
            <v xml:space="preserve"> 67</v>
          </cell>
          <cell r="B23" t="str">
            <v>201330</v>
          </cell>
          <cell r="C23" t="str">
            <v>Psbc</v>
          </cell>
          <cell r="D23" t="str">
            <v>06/Nov/1998</v>
          </cell>
          <cell r="E23" t="str">
            <v>DPAS0283</v>
          </cell>
          <cell r="F23" t="str">
            <v>1998/12</v>
          </cell>
          <cell r="G23" t="str">
            <v>070240</v>
          </cell>
          <cell r="H23" t="str">
            <v>53020</v>
          </cell>
          <cell r="I23" t="str">
            <v>010000</v>
          </cell>
          <cell r="J23" t="str">
            <v>HEENAN BLAIKIE</v>
          </cell>
          <cell r="K23" t="str">
            <v>C1</v>
          </cell>
          <cell r="L23">
            <v>118.54</v>
          </cell>
          <cell r="M23" t="str">
            <v>X</v>
          </cell>
          <cell r="N23" t="str">
            <v>S</v>
          </cell>
          <cell r="O23" t="str">
            <v>Error</v>
          </cell>
          <cell r="P23" t="str">
            <v>53020-Error</v>
          </cell>
          <cell r="Q23" t="str">
            <v>L</v>
          </cell>
          <cell r="R23" t="str">
            <v xml:space="preserve"> </v>
          </cell>
          <cell r="S23" t="str">
            <v xml:space="preserve"> </v>
          </cell>
          <cell r="T23" t="str">
            <v>Heenan Blaikie</v>
          </cell>
          <cell r="U23" t="str">
            <v>Legal- Contract Review</v>
          </cell>
          <cell r="V23" t="str">
            <v xml:space="preserve"> </v>
          </cell>
          <cell r="W23" t="str">
            <v>53020</v>
          </cell>
          <cell r="X23">
            <v>118.54</v>
          </cell>
        </row>
        <row r="24">
          <cell r="A24" t="str">
            <v xml:space="preserve"> 67</v>
          </cell>
          <cell r="B24" t="str">
            <v>200305</v>
          </cell>
          <cell r="C24" t="str">
            <v>Psbc</v>
          </cell>
          <cell r="D24" t="str">
            <v>27/Mar/1998</v>
          </cell>
          <cell r="E24" t="str">
            <v>KPUR0293</v>
          </cell>
          <cell r="F24" t="str">
            <v>1998/04</v>
          </cell>
          <cell r="G24" t="str">
            <v>061140</v>
          </cell>
          <cell r="H24" t="str">
            <v>53020</v>
          </cell>
          <cell r="I24" t="str">
            <v>010000</v>
          </cell>
          <cell r="J24" t="str">
            <v>SAMSON BELAIR SERV.END12/31/97</v>
          </cell>
          <cell r="K24" t="str">
            <v>D1</v>
          </cell>
          <cell r="L24">
            <v>950</v>
          </cell>
          <cell r="M24" t="str">
            <v>x</v>
          </cell>
          <cell r="N24" t="str">
            <v>S</v>
          </cell>
          <cell r="O24" t="str">
            <v>Error</v>
          </cell>
          <cell r="P24" t="str">
            <v>53020-Error</v>
          </cell>
          <cell r="Q24" t="str">
            <v>A</v>
          </cell>
          <cell r="R24" t="str">
            <v xml:space="preserve"> </v>
          </cell>
          <cell r="S24" t="str">
            <v xml:space="preserve"> </v>
          </cell>
          <cell r="T24" t="str">
            <v>Samson Belair</v>
          </cell>
          <cell r="U24" t="str">
            <v>Accounting Audit</v>
          </cell>
          <cell r="V24" t="str">
            <v xml:space="preserve"> </v>
          </cell>
          <cell r="W24" t="str">
            <v>53020</v>
          </cell>
          <cell r="X24">
            <v>950</v>
          </cell>
        </row>
        <row r="25">
          <cell r="A25" t="str">
            <v xml:space="preserve"> 03</v>
          </cell>
          <cell r="B25" t="str">
            <v>000007</v>
          </cell>
          <cell r="C25" t="str">
            <v>Rvsl</v>
          </cell>
          <cell r="D25" t="str">
            <v>31/Dec/1997</v>
          </cell>
          <cell r="E25" t="str">
            <v>JFOR0396</v>
          </cell>
          <cell r="F25" t="str">
            <v>1998/01</v>
          </cell>
          <cell r="G25" t="str">
            <v>061140</v>
          </cell>
          <cell r="H25" t="str">
            <v>53020</v>
          </cell>
          <cell r="I25" t="str">
            <v>010000</v>
          </cell>
          <cell r="J25" t="str">
            <v>ACCRUED PROF FEES. DEC.97</v>
          </cell>
          <cell r="K25" t="str">
            <v>C1</v>
          </cell>
          <cell r="L25">
            <v>-2783</v>
          </cell>
          <cell r="M25" t="str">
            <v>x</v>
          </cell>
          <cell r="N25" t="str">
            <v>S</v>
          </cell>
          <cell r="O25" t="str">
            <v>Error</v>
          </cell>
          <cell r="P25" t="str">
            <v>53020-Error</v>
          </cell>
          <cell r="Q25" t="str">
            <v>A</v>
          </cell>
          <cell r="R25" t="str">
            <v xml:space="preserve"> </v>
          </cell>
          <cell r="S25" t="str">
            <v xml:space="preserve"> </v>
          </cell>
          <cell r="T25" t="str">
            <v>Samson Belair</v>
          </cell>
          <cell r="U25" t="str">
            <v>Accounting Audit</v>
          </cell>
          <cell r="V25" t="str">
            <v xml:space="preserve"> </v>
          </cell>
          <cell r="W25" t="str">
            <v>53020</v>
          </cell>
          <cell r="X25">
            <v>-2783</v>
          </cell>
        </row>
        <row r="26">
          <cell r="A26" t="str">
            <v xml:space="preserve"> 67</v>
          </cell>
          <cell r="B26" t="str">
            <v>200559</v>
          </cell>
          <cell r="C26" t="str">
            <v>Psbc</v>
          </cell>
          <cell r="D26" t="str">
            <v>20/Jul/1998</v>
          </cell>
          <cell r="E26" t="str">
            <v>KPUR0849</v>
          </cell>
          <cell r="F26" t="str">
            <v>1998/08</v>
          </cell>
          <cell r="G26" t="str">
            <v>061140</v>
          </cell>
          <cell r="H26" t="str">
            <v>53020</v>
          </cell>
          <cell r="I26" t="str">
            <v>010000</v>
          </cell>
          <cell r="J26" t="str">
            <v>SAMSON BELAIR PE 12/31/97</v>
          </cell>
          <cell r="K26" t="str">
            <v>D1</v>
          </cell>
          <cell r="L26">
            <v>2850</v>
          </cell>
          <cell r="M26" t="str">
            <v>x</v>
          </cell>
          <cell r="N26" t="str">
            <v>S</v>
          </cell>
          <cell r="O26" t="str">
            <v>X</v>
          </cell>
          <cell r="P26" t="str">
            <v>53020-X</v>
          </cell>
          <cell r="Q26" t="str">
            <v>A</v>
          </cell>
          <cell r="R26" t="str">
            <v xml:space="preserve"> </v>
          </cell>
          <cell r="S26" t="str">
            <v xml:space="preserve"> </v>
          </cell>
          <cell r="T26" t="str">
            <v>Samson Belair</v>
          </cell>
          <cell r="U26" t="str">
            <v>Accounting Audit</v>
          </cell>
          <cell r="V26" t="str">
            <v xml:space="preserve"> </v>
          </cell>
          <cell r="W26" t="str">
            <v>53020</v>
          </cell>
          <cell r="X26">
            <v>2850</v>
          </cell>
        </row>
        <row r="27">
          <cell r="A27" t="str">
            <v xml:space="preserve"> 67</v>
          </cell>
          <cell r="B27" t="str">
            <v>201074</v>
          </cell>
          <cell r="C27" t="str">
            <v>Psbc</v>
          </cell>
          <cell r="D27" t="str">
            <v>04/Nov/1998</v>
          </cell>
          <cell r="E27" t="str">
            <v>SHUG0146</v>
          </cell>
          <cell r="F27" t="str">
            <v>1998/11</v>
          </cell>
          <cell r="G27" t="str">
            <v>400140</v>
          </cell>
          <cell r="H27" t="str">
            <v>53020</v>
          </cell>
          <cell r="I27" t="str">
            <v>608000</v>
          </cell>
          <cell r="J27" t="str">
            <v>SANTERRE TRANSLATION O INV</v>
          </cell>
          <cell r="K27" t="str">
            <v>C1</v>
          </cell>
          <cell r="L27">
            <v>25.9</v>
          </cell>
          <cell r="M27" t="str">
            <v>x</v>
          </cell>
          <cell r="N27" t="str">
            <v>S</v>
          </cell>
          <cell r="O27" t="str">
            <v>Error</v>
          </cell>
          <cell r="P27" t="str">
            <v>53020-Error</v>
          </cell>
          <cell r="Q27" t="str">
            <v>LT</v>
          </cell>
          <cell r="R27" t="str">
            <v xml:space="preserve"> </v>
          </cell>
          <cell r="S27" t="str">
            <v xml:space="preserve"> </v>
          </cell>
          <cell r="T27" t="str">
            <v>Santerre</v>
          </cell>
          <cell r="U27" t="str">
            <v>Language Translation</v>
          </cell>
          <cell r="V27" t="str">
            <v xml:space="preserve"> </v>
          </cell>
          <cell r="W27" t="str">
            <v>53020</v>
          </cell>
          <cell r="X27">
            <v>25.9</v>
          </cell>
        </row>
        <row r="28">
          <cell r="A28" t="str">
            <v xml:space="preserve"> 75</v>
          </cell>
          <cell r="B28" t="str">
            <v>002952</v>
          </cell>
          <cell r="C28" t="str">
            <v>cshp</v>
          </cell>
          <cell r="D28" t="str">
            <v>04/Nov/1998</v>
          </cell>
          <cell r="E28" t="str">
            <v>CWAN0313</v>
          </cell>
          <cell r="F28" t="str">
            <v>1998/11</v>
          </cell>
          <cell r="G28" t="str">
            <v>400140</v>
          </cell>
          <cell r="H28" t="str">
            <v>53020</v>
          </cell>
          <cell r="I28" t="str">
            <v>608000</v>
          </cell>
          <cell r="J28" t="str">
            <v>THE PUBLICITY OFFICE</v>
          </cell>
          <cell r="K28" t="str">
            <v>D1</v>
          </cell>
          <cell r="L28">
            <v>8000</v>
          </cell>
          <cell r="M28" t="str">
            <v>X</v>
          </cell>
          <cell r="N28" t="str">
            <v>S</v>
          </cell>
          <cell r="O28" t="str">
            <v>X</v>
          </cell>
          <cell r="P28" t="str">
            <v>53020-X</v>
          </cell>
          <cell r="Q28" t="str">
            <v>PR</v>
          </cell>
          <cell r="R28" t="str">
            <v xml:space="preserve"> </v>
          </cell>
          <cell r="S28" t="str">
            <v xml:space="preserve"> </v>
          </cell>
          <cell r="T28" t="str">
            <v>The Publicity Office</v>
          </cell>
          <cell r="U28" t="str">
            <v>Public Relations Consultant</v>
          </cell>
          <cell r="V28" t="str">
            <v xml:space="preserve"> </v>
          </cell>
          <cell r="W28" t="str">
            <v>53020</v>
          </cell>
          <cell r="X28">
            <v>8000</v>
          </cell>
        </row>
        <row r="29">
          <cell r="A29" t="str">
            <v xml:space="preserve"> 67</v>
          </cell>
          <cell r="B29" t="str">
            <v>200395</v>
          </cell>
          <cell r="C29" t="str">
            <v>Psbc</v>
          </cell>
          <cell r="D29" t="str">
            <v>12/May/1998</v>
          </cell>
          <cell r="E29" t="str">
            <v>TLOH1710</v>
          </cell>
          <cell r="F29" t="str">
            <v>1998/05</v>
          </cell>
          <cell r="G29" t="str">
            <v>400140</v>
          </cell>
          <cell r="H29" t="str">
            <v>53020</v>
          </cell>
          <cell r="I29" t="str">
            <v>608005</v>
          </cell>
          <cell r="J29" t="str">
            <v>CDS(40) ZHANNA SHNAYDER</v>
          </cell>
          <cell r="K29" t="str">
            <v>C1</v>
          </cell>
          <cell r="L29">
            <v>20.91</v>
          </cell>
          <cell r="M29" t="str">
            <v>XX</v>
          </cell>
          <cell r="N29" t="str">
            <v>s</v>
          </cell>
          <cell r="O29" t="str">
            <v xml:space="preserve"> </v>
          </cell>
          <cell r="P29" t="str">
            <v xml:space="preserve">53020- </v>
          </cell>
          <cell r="Q29" t="str">
            <v>si</v>
          </cell>
          <cell r="R29" t="str">
            <v xml:space="preserve"> </v>
          </cell>
          <cell r="S29" t="str">
            <v xml:space="preserve"> </v>
          </cell>
          <cell r="T29" t="str">
            <v>Well Fargo</v>
          </cell>
          <cell r="U29" t="str">
            <v>Input</v>
          </cell>
          <cell r="V29" t="str">
            <v xml:space="preserve"> </v>
          </cell>
          <cell r="W29" t="str">
            <v>53020</v>
          </cell>
          <cell r="X29">
            <v>20.91</v>
          </cell>
        </row>
        <row r="30">
          <cell r="A30" t="str">
            <v xml:space="preserve"> 01</v>
          </cell>
          <cell r="B30" t="str">
            <v>000919</v>
          </cell>
          <cell r="C30" t="str">
            <v>Jrnl</v>
          </cell>
          <cell r="D30" t="str">
            <v>31/Dec/1998</v>
          </cell>
          <cell r="E30" t="str">
            <v>MPAS0024</v>
          </cell>
          <cell r="F30" t="str">
            <v>1998/12</v>
          </cell>
          <cell r="G30" t="str">
            <v>400140</v>
          </cell>
          <cell r="H30" t="str">
            <v>53020</v>
          </cell>
          <cell r="I30" t="str">
            <v>608000</v>
          </cell>
          <cell r="J30" t="str">
            <v>BB to Partner/Slides/Photos</v>
          </cell>
          <cell r="K30" t="str">
            <v>D1</v>
          </cell>
          <cell r="L30">
            <v>-25.9</v>
          </cell>
          <cell r="M30" t="str">
            <v>x</v>
          </cell>
          <cell r="N30" t="str">
            <v>s</v>
          </cell>
          <cell r="O30">
            <v>1</v>
          </cell>
          <cell r="P30" t="str">
            <v>37120-1</v>
          </cell>
          <cell r="Q30" t="str">
            <v>si</v>
          </cell>
          <cell r="R30" t="str">
            <v xml:space="preserve"> </v>
          </cell>
          <cell r="S30" t="str">
            <v xml:space="preserve"> </v>
          </cell>
          <cell r="T30" t="str">
            <v>Well Fargo</v>
          </cell>
          <cell r="U30" t="str">
            <v>Input</v>
          </cell>
          <cell r="V30" t="str">
            <v xml:space="preserve"> </v>
          </cell>
          <cell r="W30" t="str">
            <v>53020</v>
          </cell>
          <cell r="X30">
            <v>-25.9</v>
          </cell>
        </row>
        <row r="31">
          <cell r="A31" t="str">
            <v xml:space="preserve"> 75</v>
          </cell>
          <cell r="B31" t="str">
            <v>002015</v>
          </cell>
          <cell r="C31" t="str">
            <v>cshp</v>
          </cell>
          <cell r="D31" t="str">
            <v>15/Jan/1998</v>
          </cell>
          <cell r="E31" t="str">
            <v>MCOS0205</v>
          </cell>
          <cell r="F31" t="str">
            <v>1998/01</v>
          </cell>
          <cell r="G31" t="str">
            <v>060140</v>
          </cell>
          <cell r="H31" t="str">
            <v>53020</v>
          </cell>
          <cell r="I31" t="str">
            <v>010000</v>
          </cell>
          <cell r="J31" t="str">
            <v>DELAWARE SECRETARY OF STATE</v>
          </cell>
          <cell r="K31" t="str">
            <v>D1</v>
          </cell>
          <cell r="L31">
            <v>50</v>
          </cell>
          <cell r="M31" t="str">
            <v>XXXXXX</v>
          </cell>
          <cell r="N31" t="str">
            <v>s</v>
          </cell>
          <cell r="O31" t="str">
            <v xml:space="preserve"> </v>
          </cell>
          <cell r="P31" t="str">
            <v xml:space="preserve">53020- </v>
          </cell>
          <cell r="Q31" t="str">
            <v>si</v>
          </cell>
          <cell r="R31" t="str">
            <v xml:space="preserve"> </v>
          </cell>
          <cell r="S31" t="str">
            <v xml:space="preserve"> </v>
          </cell>
          <cell r="T31" t="str">
            <v>Well Fargo</v>
          </cell>
          <cell r="U31" t="str">
            <v>Input</v>
          </cell>
          <cell r="V31" t="str">
            <v xml:space="preserve"> </v>
          </cell>
          <cell r="W31" t="str">
            <v>53020</v>
          </cell>
          <cell r="X31">
            <v>50</v>
          </cell>
        </row>
        <row r="32">
          <cell r="A32" t="str">
            <v xml:space="preserve"> 75</v>
          </cell>
          <cell r="B32" t="str">
            <v>002456</v>
          </cell>
          <cell r="C32" t="str">
            <v>cshp</v>
          </cell>
          <cell r="D32" t="str">
            <v>24/Jun/1998</v>
          </cell>
          <cell r="E32" t="str">
            <v>KPUR0610</v>
          </cell>
          <cell r="F32" t="str">
            <v>1998/06</v>
          </cell>
          <cell r="G32" t="str">
            <v>070245</v>
          </cell>
          <cell r="H32" t="str">
            <v>53020</v>
          </cell>
          <cell r="I32" t="str">
            <v>010000</v>
          </cell>
          <cell r="J32" t="str">
            <v>ST OF NV-FILING FEE</v>
          </cell>
          <cell r="K32" t="str">
            <v>D1</v>
          </cell>
          <cell r="L32">
            <v>85</v>
          </cell>
          <cell r="M32" t="str">
            <v>x</v>
          </cell>
          <cell r="N32" t="str">
            <v>s</v>
          </cell>
          <cell r="O32" t="str">
            <v xml:space="preserve"> </v>
          </cell>
          <cell r="P32" t="str">
            <v xml:space="preserve">53020- </v>
          </cell>
          <cell r="Q32" t="str">
            <v>si</v>
          </cell>
          <cell r="R32" t="str">
            <v xml:space="preserve"> </v>
          </cell>
          <cell r="S32" t="str">
            <v xml:space="preserve"> </v>
          </cell>
          <cell r="T32" t="str">
            <v>Well Fargo</v>
          </cell>
          <cell r="U32" t="str">
            <v>Input</v>
          </cell>
          <cell r="V32" t="str">
            <v xml:space="preserve"> </v>
          </cell>
          <cell r="W32" t="str">
            <v>53020</v>
          </cell>
          <cell r="X32">
            <v>85</v>
          </cell>
        </row>
        <row r="33">
          <cell r="A33" t="str">
            <v xml:space="preserve"> 01</v>
          </cell>
          <cell r="B33" t="str">
            <v>000894</v>
          </cell>
          <cell r="C33" t="str">
            <v>Jrnl</v>
          </cell>
          <cell r="D33" t="str">
            <v>31/Dec/1998</v>
          </cell>
          <cell r="E33" t="str">
            <v>DPAN0008</v>
          </cell>
          <cell r="F33" t="str">
            <v>1998/12</v>
          </cell>
          <cell r="G33" t="str">
            <v>070240</v>
          </cell>
          <cell r="H33" t="str">
            <v>53020</v>
          </cell>
          <cell r="I33" t="str">
            <v>995070</v>
          </cell>
          <cell r="J33" t="str">
            <v>Pre-Opening Def Exp 12/98</v>
          </cell>
          <cell r="K33" t="str">
            <v>D1</v>
          </cell>
          <cell r="L33">
            <v>-118.54</v>
          </cell>
          <cell r="M33" t="str">
            <v>X</v>
          </cell>
          <cell r="N33" t="str">
            <v>s</v>
          </cell>
          <cell r="O33">
            <v>1</v>
          </cell>
          <cell r="P33" t="str">
            <v>37120-1</v>
          </cell>
          <cell r="Q33" t="str">
            <v>si</v>
          </cell>
          <cell r="R33" t="str">
            <v xml:space="preserve"> </v>
          </cell>
          <cell r="S33" t="str">
            <v xml:space="preserve"> </v>
          </cell>
          <cell r="T33" t="str">
            <v>Well Fargo</v>
          </cell>
          <cell r="U33" t="str">
            <v>Input</v>
          </cell>
          <cell r="V33" t="str">
            <v xml:space="preserve"> </v>
          </cell>
          <cell r="W33" t="str">
            <v>53020</v>
          </cell>
          <cell r="X33">
            <v>-118.54</v>
          </cell>
        </row>
        <row r="34">
          <cell r="A34" t="str">
            <v xml:space="preserve"> 60</v>
          </cell>
          <cell r="B34" t="str">
            <v>200005</v>
          </cell>
          <cell r="C34" t="str">
            <v>PInv</v>
          </cell>
          <cell r="D34" t="str">
            <v>14/Jan/1998</v>
          </cell>
          <cell r="E34" t="str">
            <v>MMAR0301</v>
          </cell>
          <cell r="F34" t="str">
            <v>1998/01</v>
          </cell>
          <cell r="G34" t="str">
            <v>070240</v>
          </cell>
          <cell r="H34" t="str">
            <v>53020</v>
          </cell>
          <cell r="I34" t="str">
            <v>010000</v>
          </cell>
          <cell r="J34" t="str">
            <v>BERNHARD &amp; LESLIE CHTD.,BC12</v>
          </cell>
          <cell r="K34" t="str">
            <v>D1</v>
          </cell>
          <cell r="L34">
            <v>168.75</v>
          </cell>
          <cell r="M34" t="str">
            <v>XXXX</v>
          </cell>
          <cell r="N34" t="str">
            <v>s</v>
          </cell>
          <cell r="O34" t="str">
            <v xml:space="preserve"> </v>
          </cell>
          <cell r="P34" t="str">
            <v xml:space="preserve">53020- </v>
          </cell>
          <cell r="Q34" t="str">
            <v>si</v>
          </cell>
          <cell r="R34" t="str">
            <v xml:space="preserve"> </v>
          </cell>
          <cell r="S34" t="str">
            <v xml:space="preserve"> </v>
          </cell>
          <cell r="T34" t="str">
            <v>Well Fargo</v>
          </cell>
          <cell r="U34" t="str">
            <v>Input</v>
          </cell>
          <cell r="V34" t="str">
            <v xml:space="preserve"> </v>
          </cell>
          <cell r="W34" t="str">
            <v>53020</v>
          </cell>
          <cell r="X34">
            <v>168.75</v>
          </cell>
        </row>
        <row r="35">
          <cell r="A35" t="str">
            <v xml:space="preserve"> 67</v>
          </cell>
          <cell r="B35" t="str">
            <v>200396</v>
          </cell>
          <cell r="C35" t="str">
            <v>Psbc</v>
          </cell>
          <cell r="D35" t="str">
            <v>13/May/1998</v>
          </cell>
          <cell r="E35" t="str">
            <v>TLOH1715</v>
          </cell>
          <cell r="F35" t="str">
            <v>1998/05</v>
          </cell>
          <cell r="G35" t="str">
            <v>400140</v>
          </cell>
          <cell r="H35" t="str">
            <v>53020</v>
          </cell>
          <cell r="I35" t="str">
            <v>608005</v>
          </cell>
          <cell r="J35" t="str">
            <v>CDS(13) HAMEL TRANSLATION FEE</v>
          </cell>
          <cell r="K35" t="str">
            <v>D1</v>
          </cell>
          <cell r="L35">
            <v>250</v>
          </cell>
          <cell r="M35" t="str">
            <v>XX</v>
          </cell>
          <cell r="N35" t="str">
            <v>s</v>
          </cell>
          <cell r="O35" t="str">
            <v xml:space="preserve"> </v>
          </cell>
          <cell r="P35" t="str">
            <v xml:space="preserve">53020- </v>
          </cell>
          <cell r="Q35" t="str">
            <v>si</v>
          </cell>
          <cell r="R35" t="str">
            <v xml:space="preserve"> </v>
          </cell>
          <cell r="S35" t="str">
            <v xml:space="preserve"> </v>
          </cell>
          <cell r="T35" t="str">
            <v>Well Fargo</v>
          </cell>
          <cell r="U35" t="str">
            <v>Input</v>
          </cell>
          <cell r="V35" t="str">
            <v xml:space="preserve"> </v>
          </cell>
          <cell r="W35" t="str">
            <v>53020</v>
          </cell>
          <cell r="X35">
            <v>250</v>
          </cell>
        </row>
        <row r="36">
          <cell r="A36" t="str">
            <v xml:space="preserve"> 60</v>
          </cell>
          <cell r="B36" t="str">
            <v>200005</v>
          </cell>
          <cell r="C36" t="str">
            <v>PInv</v>
          </cell>
          <cell r="D36" t="str">
            <v>14/Jan/1998</v>
          </cell>
          <cell r="E36" t="str">
            <v>MMAR0301</v>
          </cell>
          <cell r="F36" t="str">
            <v>1998/01</v>
          </cell>
          <cell r="G36" t="str">
            <v>070240</v>
          </cell>
          <cell r="H36" t="str">
            <v>53020</v>
          </cell>
          <cell r="I36" t="str">
            <v>010000</v>
          </cell>
          <cell r="J36" t="str">
            <v>BERNHARD &amp; LESLIE CHTD.,BC12</v>
          </cell>
          <cell r="K36" t="str">
            <v>D1</v>
          </cell>
          <cell r="L36">
            <v>281.25</v>
          </cell>
          <cell r="M36" t="str">
            <v>XXXX</v>
          </cell>
          <cell r="N36" t="str">
            <v>s</v>
          </cell>
          <cell r="O36" t="str">
            <v xml:space="preserve"> </v>
          </cell>
          <cell r="P36" t="str">
            <v xml:space="preserve">53020- </v>
          </cell>
          <cell r="Q36" t="str">
            <v>si</v>
          </cell>
          <cell r="R36" t="str">
            <v xml:space="preserve"> </v>
          </cell>
          <cell r="S36" t="str">
            <v xml:space="preserve"> </v>
          </cell>
          <cell r="T36" t="str">
            <v>Well Fargo</v>
          </cell>
          <cell r="U36" t="str">
            <v>Input</v>
          </cell>
          <cell r="V36" t="str">
            <v xml:space="preserve"> </v>
          </cell>
          <cell r="W36" t="str">
            <v>53020</v>
          </cell>
          <cell r="X36">
            <v>281.25</v>
          </cell>
        </row>
        <row r="37">
          <cell r="A37" t="str">
            <v xml:space="preserve"> 67</v>
          </cell>
          <cell r="B37" t="str">
            <v>200555</v>
          </cell>
          <cell r="C37" t="str">
            <v>Psbc</v>
          </cell>
          <cell r="D37" t="str">
            <v>08/Jul/1998</v>
          </cell>
          <cell r="E37" t="str">
            <v>KPUR0847</v>
          </cell>
          <cell r="F37" t="str">
            <v>1998/08</v>
          </cell>
          <cell r="G37" t="str">
            <v>070240</v>
          </cell>
          <cell r="H37" t="str">
            <v>53020</v>
          </cell>
          <cell r="I37" t="str">
            <v>010000</v>
          </cell>
          <cell r="J37" t="str">
            <v>BERHARD &amp; LESLIE PO 00020</v>
          </cell>
          <cell r="K37" t="str">
            <v>D1</v>
          </cell>
          <cell r="L37">
            <v>310</v>
          </cell>
          <cell r="M37" t="str">
            <v>XXXX</v>
          </cell>
          <cell r="N37" t="str">
            <v>s</v>
          </cell>
          <cell r="O37" t="str">
            <v xml:space="preserve"> </v>
          </cell>
          <cell r="P37" t="str">
            <v xml:space="preserve">53020- </v>
          </cell>
          <cell r="Q37" t="str">
            <v>si</v>
          </cell>
          <cell r="R37" t="str">
            <v xml:space="preserve"> </v>
          </cell>
          <cell r="S37" t="str">
            <v xml:space="preserve"> </v>
          </cell>
          <cell r="T37" t="str">
            <v>Well Fargo</v>
          </cell>
          <cell r="U37" t="str">
            <v>Input</v>
          </cell>
          <cell r="V37" t="str">
            <v xml:space="preserve"> </v>
          </cell>
          <cell r="W37" t="str">
            <v>53020</v>
          </cell>
          <cell r="X37">
            <v>310</v>
          </cell>
        </row>
        <row r="38">
          <cell r="A38" t="str">
            <v xml:space="preserve"> 67</v>
          </cell>
          <cell r="B38" t="str">
            <v>200273</v>
          </cell>
          <cell r="C38" t="str">
            <v>Psbc</v>
          </cell>
          <cell r="D38" t="str">
            <v>19/Mar/1998</v>
          </cell>
          <cell r="E38" t="str">
            <v>KPUR0205</v>
          </cell>
          <cell r="F38" t="str">
            <v>1998/04</v>
          </cell>
          <cell r="G38" t="str">
            <v>400140</v>
          </cell>
          <cell r="H38" t="str">
            <v>53020</v>
          </cell>
          <cell r="I38" t="str">
            <v>608005</v>
          </cell>
          <cell r="J38" t="str">
            <v>ROMANOVA TRANSLATION</v>
          </cell>
          <cell r="K38" t="str">
            <v>D1</v>
          </cell>
          <cell r="L38">
            <v>350</v>
          </cell>
          <cell r="M38" t="str">
            <v>XX</v>
          </cell>
          <cell r="N38" t="str">
            <v>s</v>
          </cell>
          <cell r="O38" t="str">
            <v xml:space="preserve"> </v>
          </cell>
          <cell r="P38" t="str">
            <v xml:space="preserve">53020- </v>
          </cell>
          <cell r="Q38" t="str">
            <v>si</v>
          </cell>
          <cell r="R38" t="str">
            <v xml:space="preserve"> </v>
          </cell>
          <cell r="S38" t="str">
            <v xml:space="preserve"> </v>
          </cell>
          <cell r="T38" t="str">
            <v>Well Fargo</v>
          </cell>
          <cell r="U38" t="str">
            <v>Input</v>
          </cell>
          <cell r="V38" t="str">
            <v xml:space="preserve"> </v>
          </cell>
          <cell r="W38" t="str">
            <v>53020</v>
          </cell>
          <cell r="X38">
            <v>350</v>
          </cell>
        </row>
        <row r="39">
          <cell r="A39" t="str">
            <v xml:space="preserve"> 67</v>
          </cell>
          <cell r="B39" t="str">
            <v>200303</v>
          </cell>
          <cell r="C39" t="str">
            <v>Psbc</v>
          </cell>
          <cell r="D39" t="str">
            <v>11/Apr/1998</v>
          </cell>
          <cell r="E39" t="str">
            <v>KPUR0293</v>
          </cell>
          <cell r="F39" t="str">
            <v>1998/04</v>
          </cell>
          <cell r="G39" t="str">
            <v>400140</v>
          </cell>
          <cell r="H39" t="str">
            <v>53020</v>
          </cell>
          <cell r="I39" t="str">
            <v>608005</v>
          </cell>
          <cell r="J39" t="str">
            <v>IGOR AREFIEV TRANS. OPR3212</v>
          </cell>
          <cell r="K39" t="str">
            <v>D1</v>
          </cell>
          <cell r="L39">
            <v>400</v>
          </cell>
          <cell r="M39" t="str">
            <v>XX</v>
          </cell>
          <cell r="N39" t="str">
            <v>s</v>
          </cell>
          <cell r="O39" t="str">
            <v xml:space="preserve"> </v>
          </cell>
          <cell r="P39" t="str">
            <v xml:space="preserve">53020- </v>
          </cell>
          <cell r="Q39" t="str">
            <v>si</v>
          </cell>
          <cell r="R39" t="str">
            <v xml:space="preserve"> </v>
          </cell>
          <cell r="S39" t="str">
            <v xml:space="preserve"> </v>
          </cell>
          <cell r="T39" t="str">
            <v>Well Fargo</v>
          </cell>
          <cell r="U39" t="str">
            <v>Input</v>
          </cell>
          <cell r="V39" t="str">
            <v xml:space="preserve"> </v>
          </cell>
          <cell r="W39" t="str">
            <v>53020</v>
          </cell>
          <cell r="X39">
            <v>400</v>
          </cell>
        </row>
        <row r="40">
          <cell r="A40" t="str">
            <v xml:space="preserve"> 67</v>
          </cell>
          <cell r="B40" t="str">
            <v>200240</v>
          </cell>
          <cell r="C40" t="str">
            <v>Psbc</v>
          </cell>
          <cell r="D40" t="str">
            <v>09/Feb/1998</v>
          </cell>
          <cell r="E40" t="str">
            <v>KPUR0067</v>
          </cell>
          <cell r="F40" t="str">
            <v>1998/03</v>
          </cell>
          <cell r="G40" t="str">
            <v>070240</v>
          </cell>
          <cell r="H40" t="str">
            <v>53020</v>
          </cell>
          <cell r="I40" t="str">
            <v>010000</v>
          </cell>
          <cell r="J40" t="str">
            <v>BERNHARD &amp; LESLIE PO 13</v>
          </cell>
          <cell r="K40" t="str">
            <v>D1</v>
          </cell>
          <cell r="L40">
            <v>448.75</v>
          </cell>
          <cell r="M40" t="str">
            <v>XXXX</v>
          </cell>
          <cell r="N40" t="str">
            <v>s</v>
          </cell>
          <cell r="O40" t="str">
            <v xml:space="preserve"> </v>
          </cell>
          <cell r="P40" t="str">
            <v xml:space="preserve">53020- </v>
          </cell>
          <cell r="Q40" t="str">
            <v>si</v>
          </cell>
          <cell r="R40" t="str">
            <v xml:space="preserve"> </v>
          </cell>
          <cell r="S40" t="str">
            <v xml:space="preserve"> </v>
          </cell>
          <cell r="T40" t="str">
            <v>Well Fargo</v>
          </cell>
          <cell r="U40" t="str">
            <v>Input</v>
          </cell>
          <cell r="V40" t="str">
            <v xml:space="preserve"> </v>
          </cell>
          <cell r="W40" t="str">
            <v>53020</v>
          </cell>
          <cell r="X40">
            <v>448.75</v>
          </cell>
        </row>
        <row r="41">
          <cell r="A41" t="str">
            <v xml:space="preserve"> 60</v>
          </cell>
          <cell r="B41" t="str">
            <v>200005</v>
          </cell>
          <cell r="C41" t="str">
            <v>PInv</v>
          </cell>
          <cell r="D41" t="str">
            <v>14/Jan/1998</v>
          </cell>
          <cell r="E41" t="str">
            <v>MMAR0301</v>
          </cell>
          <cell r="F41" t="str">
            <v>1998/01</v>
          </cell>
          <cell r="G41" t="str">
            <v>070240</v>
          </cell>
          <cell r="H41" t="str">
            <v>53020</v>
          </cell>
          <cell r="I41" t="str">
            <v>010000</v>
          </cell>
          <cell r="J41" t="str">
            <v>BERNHARD &amp; LESLIE CHTD.,BC12</v>
          </cell>
          <cell r="K41" t="str">
            <v>D1</v>
          </cell>
          <cell r="L41">
            <v>450</v>
          </cell>
          <cell r="M41" t="str">
            <v>XXXX</v>
          </cell>
          <cell r="N41" t="str">
            <v>s</v>
          </cell>
          <cell r="O41" t="str">
            <v xml:space="preserve"> </v>
          </cell>
          <cell r="P41" t="str">
            <v xml:space="preserve">53020- </v>
          </cell>
          <cell r="Q41" t="str">
            <v>si</v>
          </cell>
          <cell r="R41" t="str">
            <v xml:space="preserve"> </v>
          </cell>
          <cell r="S41" t="str">
            <v xml:space="preserve"> </v>
          </cell>
          <cell r="T41" t="str">
            <v>Well Fargo</v>
          </cell>
          <cell r="U41" t="str">
            <v>Input</v>
          </cell>
          <cell r="V41" t="str">
            <v xml:space="preserve"> </v>
          </cell>
          <cell r="W41" t="str">
            <v>53020</v>
          </cell>
          <cell r="X41">
            <v>450</v>
          </cell>
        </row>
        <row r="42">
          <cell r="A42" t="str">
            <v xml:space="preserve"> 75</v>
          </cell>
          <cell r="B42" t="str">
            <v>010801</v>
          </cell>
          <cell r="C42" t="str">
            <v>cshp</v>
          </cell>
          <cell r="D42" t="str">
            <v>14/Aug/1998</v>
          </cell>
          <cell r="E42" t="str">
            <v>KPUR0844</v>
          </cell>
          <cell r="F42" t="str">
            <v>1998/08</v>
          </cell>
          <cell r="G42" t="str">
            <v>853140</v>
          </cell>
          <cell r="H42" t="str">
            <v>53020</v>
          </cell>
          <cell r="I42" t="str">
            <v>601000</v>
          </cell>
          <cell r="J42" t="str">
            <v>VARI-LITE PRODUCTION PO 52061</v>
          </cell>
          <cell r="K42" t="str">
            <v>D1</v>
          </cell>
          <cell r="L42">
            <v>450</v>
          </cell>
          <cell r="M42" t="str">
            <v>X</v>
          </cell>
          <cell r="N42" t="str">
            <v>s</v>
          </cell>
          <cell r="O42" t="str">
            <v xml:space="preserve"> </v>
          </cell>
          <cell r="P42" t="str">
            <v xml:space="preserve">53020- </v>
          </cell>
          <cell r="Q42" t="str">
            <v>si</v>
          </cell>
          <cell r="R42" t="str">
            <v xml:space="preserve"> </v>
          </cell>
          <cell r="S42" t="str">
            <v xml:space="preserve"> </v>
          </cell>
          <cell r="T42" t="str">
            <v>Well Fargo</v>
          </cell>
          <cell r="U42" t="str">
            <v>Input</v>
          </cell>
          <cell r="V42" t="str">
            <v xml:space="preserve"> </v>
          </cell>
          <cell r="W42" t="str">
            <v>53020</v>
          </cell>
          <cell r="X42">
            <v>450</v>
          </cell>
        </row>
        <row r="43">
          <cell r="A43" t="str">
            <v xml:space="preserve"> 01</v>
          </cell>
          <cell r="B43" t="str">
            <v>000538</v>
          </cell>
          <cell r="C43" t="str">
            <v>Jrnl</v>
          </cell>
          <cell r="D43" t="str">
            <v>31/Aug/1998</v>
          </cell>
          <cell r="E43" t="str">
            <v>CWAN0055</v>
          </cell>
          <cell r="F43" t="str">
            <v>1998/08</v>
          </cell>
          <cell r="G43" t="str">
            <v>853140</v>
          </cell>
          <cell r="H43" t="str">
            <v>53020</v>
          </cell>
          <cell r="I43" t="str">
            <v>601000</v>
          </cell>
          <cell r="J43" t="str">
            <v>VOID CK#10801 PO 52061</v>
          </cell>
          <cell r="K43" t="str">
            <v>D1</v>
          </cell>
          <cell r="L43">
            <v>-450</v>
          </cell>
          <cell r="M43" t="str">
            <v>X</v>
          </cell>
          <cell r="N43" t="str">
            <v>s</v>
          </cell>
          <cell r="O43" t="str">
            <v xml:space="preserve"> </v>
          </cell>
          <cell r="P43" t="str">
            <v xml:space="preserve">53020- </v>
          </cell>
          <cell r="Q43" t="str">
            <v>si</v>
          </cell>
          <cell r="R43" t="str">
            <v xml:space="preserve"> </v>
          </cell>
          <cell r="S43" t="str">
            <v xml:space="preserve"> </v>
          </cell>
          <cell r="T43" t="str">
            <v>Well Fargo</v>
          </cell>
          <cell r="U43" t="str">
            <v>Input</v>
          </cell>
          <cell r="V43" t="str">
            <v xml:space="preserve"> </v>
          </cell>
          <cell r="W43" t="str">
            <v>53020</v>
          </cell>
          <cell r="X43">
            <v>-450</v>
          </cell>
        </row>
        <row r="44">
          <cell r="A44" t="str">
            <v xml:space="preserve"> 75</v>
          </cell>
          <cell r="B44" t="str">
            <v>002053</v>
          </cell>
          <cell r="C44" t="str">
            <v>cshp</v>
          </cell>
          <cell r="D44" t="str">
            <v>26/Jan/1998</v>
          </cell>
          <cell r="E44" t="str">
            <v>SHUG0067</v>
          </cell>
          <cell r="F44" t="str">
            <v>1998/01</v>
          </cell>
          <cell r="G44" t="str">
            <v>400140</v>
          </cell>
          <cell r="H44" t="str">
            <v>53020</v>
          </cell>
          <cell r="I44" t="str">
            <v>608005</v>
          </cell>
          <cell r="J44" t="str">
            <v>KIM K. RUSSELL BELL ORIENTAT</v>
          </cell>
          <cell r="K44" t="str">
            <v>D1</v>
          </cell>
          <cell r="L44">
            <v>794.65</v>
          </cell>
          <cell r="M44" t="str">
            <v>XX</v>
          </cell>
          <cell r="N44" t="str">
            <v>s</v>
          </cell>
          <cell r="O44" t="str">
            <v xml:space="preserve"> </v>
          </cell>
          <cell r="P44" t="str">
            <v xml:space="preserve">53020- </v>
          </cell>
          <cell r="Q44" t="str">
            <v>si</v>
          </cell>
          <cell r="R44" t="str">
            <v xml:space="preserve"> </v>
          </cell>
          <cell r="S44" t="str">
            <v xml:space="preserve"> </v>
          </cell>
          <cell r="T44" t="str">
            <v>Well Fargo</v>
          </cell>
          <cell r="U44" t="str">
            <v>Input</v>
          </cell>
          <cell r="V44" t="str">
            <v xml:space="preserve"> </v>
          </cell>
          <cell r="W44" t="str">
            <v>53020</v>
          </cell>
          <cell r="X44">
            <v>794.65</v>
          </cell>
        </row>
        <row r="45">
          <cell r="A45" t="str">
            <v xml:space="preserve"> 67</v>
          </cell>
          <cell r="B45" t="str">
            <v>200304</v>
          </cell>
          <cell r="C45" t="str">
            <v>Psbc</v>
          </cell>
          <cell r="D45" t="str">
            <v>23/Mar/1998</v>
          </cell>
          <cell r="E45" t="str">
            <v>KPUR0293</v>
          </cell>
          <cell r="F45" t="str">
            <v>1998/04</v>
          </cell>
          <cell r="G45" t="str">
            <v>400140</v>
          </cell>
          <cell r="H45" t="str">
            <v>53020</v>
          </cell>
          <cell r="I45" t="str">
            <v>608005</v>
          </cell>
          <cell r="J45" t="str">
            <v>NANCY HAHN PO OPR3214</v>
          </cell>
          <cell r="K45" t="str">
            <v>D1</v>
          </cell>
          <cell r="L45">
            <v>1000</v>
          </cell>
          <cell r="M45" t="str">
            <v>XX</v>
          </cell>
          <cell r="N45" t="str">
            <v>s</v>
          </cell>
          <cell r="O45" t="str">
            <v xml:space="preserve"> </v>
          </cell>
          <cell r="P45" t="str">
            <v xml:space="preserve">53020- </v>
          </cell>
          <cell r="Q45" t="str">
            <v>pl</v>
          </cell>
          <cell r="R45" t="str">
            <v xml:space="preserve"> </v>
          </cell>
          <cell r="S45" t="str">
            <v xml:space="preserve"> </v>
          </cell>
          <cell r="T45" t="str">
            <v>Willis Corroon- General &amp; Professional Liability Insurance</v>
          </cell>
          <cell r="U45" t="str">
            <v>Input</v>
          </cell>
          <cell r="V45" t="str">
            <v xml:space="preserve"> </v>
          </cell>
          <cell r="W45" t="str">
            <v>53020</v>
          </cell>
          <cell r="X45">
            <v>1000</v>
          </cell>
        </row>
        <row r="46">
          <cell r="A46" t="str">
            <v xml:space="preserve"> 67</v>
          </cell>
          <cell r="B46" t="str">
            <v>200260</v>
          </cell>
          <cell r="C46" t="str">
            <v>Psbc</v>
          </cell>
          <cell r="D46" t="str">
            <v>16/Feb/1998</v>
          </cell>
          <cell r="E46" t="str">
            <v>KPUR0137</v>
          </cell>
          <cell r="F46" t="str">
            <v>1998/03</v>
          </cell>
          <cell r="G46" t="str">
            <v>070240</v>
          </cell>
          <cell r="H46" t="str">
            <v>53020</v>
          </cell>
          <cell r="I46" t="str">
            <v>010000</v>
          </cell>
          <cell r="J46" t="str">
            <v>LEXTRA PO OOO14</v>
          </cell>
          <cell r="K46" t="str">
            <v>C1</v>
          </cell>
          <cell r="L46">
            <v>1605.9</v>
          </cell>
          <cell r="M46" t="str">
            <v>XXXX</v>
          </cell>
          <cell r="N46" t="str">
            <v>s</v>
          </cell>
          <cell r="O46" t="str">
            <v xml:space="preserve"> </v>
          </cell>
          <cell r="P46" t="str">
            <v xml:space="preserve">53020- </v>
          </cell>
          <cell r="R46" t="str">
            <v xml:space="preserve"> </v>
          </cell>
          <cell r="S46" t="str">
            <v xml:space="preserve"> </v>
          </cell>
          <cell r="U46" t="str">
            <v>Input</v>
          </cell>
          <cell r="V46" t="str">
            <v xml:space="preserve"> </v>
          </cell>
          <cell r="W46" t="str">
            <v>53020</v>
          </cell>
          <cell r="X46">
            <v>1605.9</v>
          </cell>
        </row>
        <row r="47">
          <cell r="A47" t="str">
            <v xml:space="preserve"> 61</v>
          </cell>
          <cell r="B47" t="str">
            <v>200060</v>
          </cell>
          <cell r="C47" t="str">
            <v>PCNt</v>
          </cell>
          <cell r="D47" t="str">
            <v>08/Dec/1998</v>
          </cell>
          <cell r="E47" t="str">
            <v>TMIN0012</v>
          </cell>
          <cell r="F47" t="str">
            <v>1998/12</v>
          </cell>
          <cell r="G47" t="str">
            <v>853140</v>
          </cell>
          <cell r="H47" t="str">
            <v>53020</v>
          </cell>
          <cell r="I47" t="str">
            <v>601000</v>
          </cell>
          <cell r="J47" t="str">
            <v>VARI-LITE CREDIT MEMO</v>
          </cell>
          <cell r="K47" t="str">
            <v>D1</v>
          </cell>
          <cell r="L47">
            <v>-1800</v>
          </cell>
          <cell r="M47" t="str">
            <v>X</v>
          </cell>
          <cell r="N47" t="str">
            <v>s</v>
          </cell>
          <cell r="O47" t="str">
            <v xml:space="preserve"> </v>
          </cell>
          <cell r="P47" t="str">
            <v xml:space="preserve">53020- </v>
          </cell>
          <cell r="R47" t="str">
            <v xml:space="preserve"> </v>
          </cell>
          <cell r="S47" t="str">
            <v xml:space="preserve"> </v>
          </cell>
          <cell r="U47" t="str">
            <v>Input</v>
          </cell>
          <cell r="V47" t="str">
            <v xml:space="preserve"> </v>
          </cell>
          <cell r="W47" t="str">
            <v>53020</v>
          </cell>
          <cell r="X47">
            <v>-1800</v>
          </cell>
        </row>
        <row r="48">
          <cell r="A48" t="str">
            <v xml:space="preserve"> 67</v>
          </cell>
          <cell r="B48" t="str">
            <v>201082</v>
          </cell>
          <cell r="C48" t="str">
            <v>Psbc</v>
          </cell>
          <cell r="D48" t="str">
            <v>20/Oct/1998</v>
          </cell>
          <cell r="E48" t="str">
            <v>SHUG0149</v>
          </cell>
          <cell r="F48" t="str">
            <v>1998/12</v>
          </cell>
          <cell r="G48" t="str">
            <v>853140</v>
          </cell>
          <cell r="H48" t="str">
            <v>53020</v>
          </cell>
          <cell r="I48" t="str">
            <v>601000</v>
          </cell>
          <cell r="J48" t="str">
            <v>VARI-LITE PO 77</v>
          </cell>
          <cell r="K48" t="str">
            <v>D1</v>
          </cell>
          <cell r="L48">
            <v>1800</v>
          </cell>
          <cell r="M48" t="str">
            <v>X</v>
          </cell>
          <cell r="N48" t="str">
            <v>s</v>
          </cell>
          <cell r="O48" t="str">
            <v xml:space="preserve"> </v>
          </cell>
          <cell r="P48" t="str">
            <v xml:space="preserve">53020- </v>
          </cell>
          <cell r="R48" t="str">
            <v xml:space="preserve"> </v>
          </cell>
          <cell r="S48" t="str">
            <v xml:space="preserve"> </v>
          </cell>
          <cell r="U48" t="str">
            <v>Input</v>
          </cell>
          <cell r="V48" t="str">
            <v xml:space="preserve"> </v>
          </cell>
          <cell r="W48" t="str">
            <v>53020</v>
          </cell>
          <cell r="X48">
            <v>1800</v>
          </cell>
        </row>
        <row r="49">
          <cell r="A49" t="str">
            <v xml:space="preserve"> 01</v>
          </cell>
          <cell r="B49" t="str">
            <v>000897</v>
          </cell>
          <cell r="C49" t="str">
            <v>Jrnl</v>
          </cell>
          <cell r="D49" t="str">
            <v>31/Dec/1998</v>
          </cell>
          <cell r="E49" t="str">
            <v>NTON0163</v>
          </cell>
          <cell r="F49" t="str">
            <v>1998/12</v>
          </cell>
          <cell r="G49" t="str">
            <v>061140</v>
          </cell>
          <cell r="H49" t="str">
            <v>53020</v>
          </cell>
          <cell r="I49" t="str">
            <v>995061</v>
          </cell>
          <cell r="J49" t="str">
            <v>Corr JE 851</v>
          </cell>
          <cell r="K49" t="str">
            <v>D1</v>
          </cell>
          <cell r="L49">
            <v>-2034</v>
          </cell>
          <cell r="M49" t="str">
            <v>x</v>
          </cell>
          <cell r="N49" t="str">
            <v>S</v>
          </cell>
          <cell r="O49" t="str">
            <v>Error</v>
          </cell>
          <cell r="P49" t="str">
            <v>53020-Error</v>
          </cell>
          <cell r="R49" t="str">
            <v xml:space="preserve"> </v>
          </cell>
          <cell r="S49" t="str">
            <v xml:space="preserve"> </v>
          </cell>
          <cell r="U49" t="str">
            <v>Input</v>
          </cell>
          <cell r="V49" t="str">
            <v xml:space="preserve"> </v>
          </cell>
          <cell r="W49" t="str">
            <v>53020</v>
          </cell>
          <cell r="X49">
            <v>-2034</v>
          </cell>
        </row>
        <row r="50">
          <cell r="A50" t="str">
            <v xml:space="preserve"> 01</v>
          </cell>
          <cell r="B50" t="str">
            <v>000826</v>
          </cell>
          <cell r="C50" t="str">
            <v>Jrnl</v>
          </cell>
          <cell r="D50" t="str">
            <v>31/Dec/1998</v>
          </cell>
          <cell r="E50" t="str">
            <v>KROS0021</v>
          </cell>
          <cell r="F50" t="str">
            <v>1998/12</v>
          </cell>
          <cell r="G50" t="str">
            <v>400140</v>
          </cell>
          <cell r="H50" t="str">
            <v>53020</v>
          </cell>
          <cell r="I50" t="str">
            <v>990060</v>
          </cell>
          <cell r="J50" t="str">
            <v>Def. Pre-Opening 12/31/98</v>
          </cell>
          <cell r="K50" t="str">
            <v>D1</v>
          </cell>
          <cell r="L50">
            <v>-2815.56</v>
          </cell>
          <cell r="M50" t="str">
            <v>XX</v>
          </cell>
          <cell r="N50" t="str">
            <v>s</v>
          </cell>
          <cell r="O50" t="str">
            <v xml:space="preserve"> </v>
          </cell>
          <cell r="P50" t="str">
            <v xml:space="preserve">53020- </v>
          </cell>
          <cell r="R50" t="str">
            <v xml:space="preserve"> </v>
          </cell>
          <cell r="S50" t="str">
            <v xml:space="preserve"> </v>
          </cell>
          <cell r="U50" t="str">
            <v>Input</v>
          </cell>
          <cell r="V50" t="str">
            <v xml:space="preserve"> </v>
          </cell>
          <cell r="W50" t="str">
            <v>53020</v>
          </cell>
          <cell r="X50">
            <v>-2815.56</v>
          </cell>
        </row>
        <row r="51">
          <cell r="A51" t="str">
            <v xml:space="preserve"> 02</v>
          </cell>
          <cell r="B51" t="str">
            <v>000032</v>
          </cell>
          <cell r="C51" t="str">
            <v>Accl</v>
          </cell>
          <cell r="D51" t="str">
            <v>30/Sep/1998</v>
          </cell>
          <cell r="E51" t="str">
            <v>DPAS0154</v>
          </cell>
          <cell r="F51" t="str">
            <v>1998/09</v>
          </cell>
          <cell r="G51" t="str">
            <v>400140</v>
          </cell>
          <cell r="H51" t="str">
            <v>53020</v>
          </cell>
          <cell r="I51" t="str">
            <v>990060</v>
          </cell>
          <cell r="J51" t="str">
            <v>PRE-OPENING DEF. EXP.</v>
          </cell>
          <cell r="K51" t="str">
            <v>D1</v>
          </cell>
          <cell r="L51">
            <v>-2815.56</v>
          </cell>
          <cell r="M51" t="str">
            <v>X</v>
          </cell>
          <cell r="N51" t="str">
            <v>s</v>
          </cell>
          <cell r="O51" t="str">
            <v xml:space="preserve"> </v>
          </cell>
          <cell r="P51" t="str">
            <v xml:space="preserve">53020- </v>
          </cell>
          <cell r="R51" t="str">
            <v xml:space="preserve"> </v>
          </cell>
          <cell r="S51" t="str">
            <v xml:space="preserve"> </v>
          </cell>
          <cell r="U51" t="str">
            <v>Input</v>
          </cell>
          <cell r="V51" t="str">
            <v xml:space="preserve"> </v>
          </cell>
          <cell r="W51" t="str">
            <v>53020</v>
          </cell>
          <cell r="X51">
            <v>-2815.56</v>
          </cell>
        </row>
        <row r="52">
          <cell r="A52" t="str">
            <v xml:space="preserve"> 03</v>
          </cell>
          <cell r="B52" t="str">
            <v>000032</v>
          </cell>
          <cell r="C52" t="str">
            <v>Rvsl</v>
          </cell>
          <cell r="D52" t="str">
            <v>30/Sep/1998</v>
          </cell>
          <cell r="E52" t="str">
            <v>DPAS0154</v>
          </cell>
          <cell r="F52" t="str">
            <v>1998/10</v>
          </cell>
          <cell r="G52" t="str">
            <v>400140</v>
          </cell>
          <cell r="H52" t="str">
            <v>53020</v>
          </cell>
          <cell r="I52" t="str">
            <v>990060</v>
          </cell>
          <cell r="J52" t="str">
            <v>PRE-OPENING DEF. EXP.</v>
          </cell>
          <cell r="K52" t="str">
            <v>D1</v>
          </cell>
          <cell r="L52">
            <v>2815.56</v>
          </cell>
          <cell r="M52" t="str">
            <v>X</v>
          </cell>
          <cell r="N52" t="str">
            <v>s</v>
          </cell>
          <cell r="O52" t="str">
            <v xml:space="preserve"> </v>
          </cell>
          <cell r="P52" t="str">
            <v xml:space="preserve">53020- </v>
          </cell>
          <cell r="R52" t="str">
            <v xml:space="preserve"> </v>
          </cell>
          <cell r="S52" t="str">
            <v xml:space="preserve"> </v>
          </cell>
          <cell r="U52" t="str">
            <v>Input</v>
          </cell>
          <cell r="V52" t="str">
            <v xml:space="preserve"> </v>
          </cell>
          <cell r="W52" t="str">
            <v>53020</v>
          </cell>
          <cell r="X52">
            <v>2815.56</v>
          </cell>
        </row>
        <row r="53">
          <cell r="A53" t="str">
            <v xml:space="preserve"> 67</v>
          </cell>
          <cell r="B53" t="str">
            <v>200342</v>
          </cell>
          <cell r="C53" t="str">
            <v>Psbc</v>
          </cell>
          <cell r="D53" t="str">
            <v>26/Feb/1998</v>
          </cell>
          <cell r="E53" t="str">
            <v>KPUR0307</v>
          </cell>
          <cell r="F53" t="str">
            <v>1998/04</v>
          </cell>
          <cell r="G53" t="str">
            <v>070240</v>
          </cell>
          <cell r="H53" t="str">
            <v>53020</v>
          </cell>
          <cell r="I53" t="str">
            <v>010000</v>
          </cell>
          <cell r="J53" t="str">
            <v>HEENAN BLAIKIE PO 0019</v>
          </cell>
          <cell r="K53" t="str">
            <v>C1</v>
          </cell>
          <cell r="L53">
            <v>2941.59</v>
          </cell>
          <cell r="M53" t="str">
            <v>XXXX</v>
          </cell>
          <cell r="N53" t="str">
            <v>s</v>
          </cell>
          <cell r="O53" t="str">
            <v xml:space="preserve"> </v>
          </cell>
          <cell r="P53" t="str">
            <v xml:space="preserve">53020- </v>
          </cell>
          <cell r="R53" t="str">
            <v xml:space="preserve"> </v>
          </cell>
          <cell r="S53" t="str">
            <v xml:space="preserve"> </v>
          </cell>
          <cell r="U53" t="str">
            <v>Input</v>
          </cell>
          <cell r="V53" t="str">
            <v xml:space="preserve"> </v>
          </cell>
          <cell r="W53" t="str">
            <v>53020</v>
          </cell>
          <cell r="X53">
            <v>2941.59</v>
          </cell>
        </row>
        <row r="54">
          <cell r="A54" t="str">
            <v xml:space="preserve"> 75</v>
          </cell>
          <cell r="B54" t="str">
            <v>000033</v>
          </cell>
          <cell r="C54" t="str">
            <v>cshp</v>
          </cell>
          <cell r="D54" t="str">
            <v>17/Jun/1998</v>
          </cell>
          <cell r="E54" t="str">
            <v>KPUR0572</v>
          </cell>
          <cell r="F54" t="str">
            <v>1998/06</v>
          </cell>
          <cell r="G54" t="str">
            <v>060140</v>
          </cell>
          <cell r="H54" t="str">
            <v>53020</v>
          </cell>
          <cell r="I54" t="str">
            <v>010000</v>
          </cell>
          <cell r="J54" t="str">
            <v>SAMSON BELAIR DELOITTE &amp; TOUCH</v>
          </cell>
          <cell r="K54" t="str">
            <v>C1</v>
          </cell>
          <cell r="L54">
            <v>4082.47</v>
          </cell>
          <cell r="M54" t="str">
            <v>XXXXX</v>
          </cell>
          <cell r="N54" t="str">
            <v>s</v>
          </cell>
          <cell r="O54" t="str">
            <v xml:space="preserve"> </v>
          </cell>
          <cell r="P54" t="str">
            <v xml:space="preserve">53020- </v>
          </cell>
          <cell r="R54" t="str">
            <v xml:space="preserve"> </v>
          </cell>
          <cell r="S54" t="str">
            <v xml:space="preserve"> </v>
          </cell>
          <cell r="U54" t="str">
            <v>Input</v>
          </cell>
          <cell r="V54" t="str">
            <v xml:space="preserve"> </v>
          </cell>
          <cell r="W54" t="str">
            <v>53020</v>
          </cell>
          <cell r="X54">
            <v>4082.47</v>
          </cell>
        </row>
        <row r="55">
          <cell r="A55" t="str">
            <v xml:space="preserve"> 01</v>
          </cell>
          <cell r="B55" t="str">
            <v>000919</v>
          </cell>
          <cell r="C55" t="str">
            <v>Jrnl</v>
          </cell>
          <cell r="D55" t="str">
            <v>31/Dec/1998</v>
          </cell>
          <cell r="E55" t="str">
            <v>MPAS0024</v>
          </cell>
          <cell r="F55" t="str">
            <v>1998/12</v>
          </cell>
          <cell r="G55" t="str">
            <v>400140</v>
          </cell>
          <cell r="H55" t="str">
            <v>53020</v>
          </cell>
          <cell r="I55" t="str">
            <v>608000</v>
          </cell>
          <cell r="J55" t="str">
            <v>BB to Partner-Invitations</v>
          </cell>
          <cell r="K55" t="str">
            <v>D1</v>
          </cell>
          <cell r="L55">
            <v>-16523.2</v>
          </cell>
          <cell r="M55" t="str">
            <v>X</v>
          </cell>
          <cell r="N55" t="str">
            <v>s</v>
          </cell>
          <cell r="O55" t="str">
            <v>X</v>
          </cell>
          <cell r="P55" t="str">
            <v>37120-X</v>
          </cell>
          <cell r="R55" t="str">
            <v xml:space="preserve"> </v>
          </cell>
          <cell r="S55" t="str">
            <v xml:space="preserve"> </v>
          </cell>
          <cell r="U55" t="str">
            <v>Input</v>
          </cell>
          <cell r="V55" t="str">
            <v xml:space="preserve"> </v>
          </cell>
          <cell r="W55" t="str">
            <v>53020</v>
          </cell>
          <cell r="X55">
            <v>-16523.2</v>
          </cell>
        </row>
        <row r="56">
          <cell r="A56" t="str">
            <v xml:space="preserve"> 75</v>
          </cell>
          <cell r="B56" t="str">
            <v>003015</v>
          </cell>
          <cell r="C56" t="str">
            <v>cshp</v>
          </cell>
          <cell r="D56" t="str">
            <v>21/Dec/1998</v>
          </cell>
          <cell r="E56" t="str">
            <v>TMIN0038</v>
          </cell>
          <cell r="F56" t="str">
            <v>1998/12</v>
          </cell>
          <cell r="G56" t="str">
            <v>403220</v>
          </cell>
          <cell r="H56" t="str">
            <v>72005</v>
          </cell>
          <cell r="I56" t="str">
            <v>608000</v>
          </cell>
          <cell r="J56" t="str">
            <v>ACCOUNTANTS, INC.</v>
          </cell>
          <cell r="K56" t="str">
            <v>D1</v>
          </cell>
          <cell r="L56">
            <v>1044.48</v>
          </cell>
          <cell r="M56" t="str">
            <v>OK</v>
          </cell>
          <cell r="N56" t="str">
            <v>S</v>
          </cell>
          <cell r="O56">
            <v>1</v>
          </cell>
          <cell r="P56" t="str">
            <v>72005-1</v>
          </cell>
          <cell r="Q56" t="str">
            <v>ATL</v>
          </cell>
          <cell r="R56" t="str">
            <v xml:space="preserve"> </v>
          </cell>
          <cell r="S56" t="str">
            <v xml:space="preserve"> </v>
          </cell>
          <cell r="T56" t="str">
            <v>Accountants, Inc.</v>
          </cell>
          <cell r="U56">
            <v>0</v>
          </cell>
          <cell r="V56" t="str">
            <v>37120</v>
          </cell>
          <cell r="W56">
            <v>4704.7299999999996</v>
          </cell>
          <cell r="X56">
            <v>4704.7299999999996</v>
          </cell>
        </row>
        <row r="57">
          <cell r="A57" t="str">
            <v xml:space="preserve"> 01</v>
          </cell>
          <cell r="B57" t="str">
            <v>000264</v>
          </cell>
          <cell r="C57" t="str">
            <v>Jrnl</v>
          </cell>
          <cell r="D57" t="str">
            <v>28/Feb/1998</v>
          </cell>
          <cell r="E57" t="str">
            <v>SHUG0084</v>
          </cell>
          <cell r="F57" t="str">
            <v>1998/02</v>
          </cell>
          <cell r="G57" t="str">
            <v>853890</v>
          </cell>
          <cell r="H57" t="str">
            <v>37120</v>
          </cell>
          <cell r="I57" t="str">
            <v>601000</v>
          </cell>
          <cell r="J57" t="str">
            <v>Interest sweeps Feb</v>
          </cell>
          <cell r="K57" t="str">
            <v>D1</v>
          </cell>
          <cell r="L57">
            <v>-5215.53</v>
          </cell>
          <cell r="M57" t="str">
            <v>x</v>
          </cell>
          <cell r="N57" t="str">
            <v>s</v>
          </cell>
          <cell r="O57" t="str">
            <v>X</v>
          </cell>
          <cell r="P57" t="str">
            <v>37120-X</v>
          </cell>
          <cell r="R57" t="str">
            <v xml:space="preserve"> </v>
          </cell>
          <cell r="S57" t="str">
            <v xml:space="preserve"> </v>
          </cell>
          <cell r="T57" t="str">
            <v>Accountants, Inc. Total</v>
          </cell>
          <cell r="U57">
            <v>0</v>
          </cell>
          <cell r="V57" t="str">
            <v>37120</v>
          </cell>
          <cell r="W57">
            <v>-5215.53</v>
          </cell>
          <cell r="X57">
            <v>5215.53</v>
          </cell>
        </row>
        <row r="58">
          <cell r="A58" t="str">
            <v xml:space="preserve"> 67</v>
          </cell>
          <cell r="B58" t="str">
            <v>201298</v>
          </cell>
          <cell r="C58" t="str">
            <v>Psbc</v>
          </cell>
          <cell r="D58" t="str">
            <v>30/Sep/1998</v>
          </cell>
          <cell r="E58" t="str">
            <v>DPAS0280</v>
          </cell>
          <cell r="F58" t="str">
            <v>1998/12</v>
          </cell>
          <cell r="G58" t="str">
            <v>402840</v>
          </cell>
          <cell r="H58" t="str">
            <v>72005</v>
          </cell>
          <cell r="I58" t="str">
            <v>608006</v>
          </cell>
          <cell r="J58" t="str">
            <v>APPLEONE</v>
          </cell>
          <cell r="K58" t="str">
            <v>D1</v>
          </cell>
          <cell r="L58">
            <v>100</v>
          </cell>
          <cell r="M58" t="str">
            <v>OK</v>
          </cell>
          <cell r="N58" t="str">
            <v>S</v>
          </cell>
          <cell r="O58">
            <v>1</v>
          </cell>
          <cell r="P58" t="str">
            <v>72005-1</v>
          </cell>
          <cell r="Q58" t="str">
            <v>ATL</v>
          </cell>
          <cell r="R58" t="str">
            <v xml:space="preserve"> </v>
          </cell>
          <cell r="S58" t="str">
            <v xml:space="preserve"> </v>
          </cell>
          <cell r="T58" t="str">
            <v>AppleOne Employment Services</v>
          </cell>
          <cell r="U58">
            <v>0</v>
          </cell>
          <cell r="V58" t="str">
            <v>37120</v>
          </cell>
          <cell r="W58">
            <v>5215.53</v>
          </cell>
          <cell r="X58">
            <v>5215.53</v>
          </cell>
        </row>
        <row r="59">
          <cell r="A59" t="str">
            <v xml:space="preserve"> 67</v>
          </cell>
          <cell r="B59" t="str">
            <v>201303</v>
          </cell>
          <cell r="C59" t="str">
            <v>Psbc</v>
          </cell>
          <cell r="D59" t="str">
            <v>02/Dec/1998</v>
          </cell>
          <cell r="E59" t="str">
            <v>DPAS0280</v>
          </cell>
          <cell r="F59" t="str">
            <v>1998/12</v>
          </cell>
          <cell r="G59" t="str">
            <v>402840</v>
          </cell>
          <cell r="H59" t="str">
            <v>72005</v>
          </cell>
          <cell r="I59" t="str">
            <v>608006</v>
          </cell>
          <cell r="J59" t="str">
            <v>APPLEONE</v>
          </cell>
          <cell r="K59" t="str">
            <v>D1</v>
          </cell>
          <cell r="L59">
            <v>335.63</v>
          </cell>
          <cell r="M59" t="str">
            <v>OK</v>
          </cell>
          <cell r="N59" t="str">
            <v>S</v>
          </cell>
          <cell r="O59">
            <v>1</v>
          </cell>
          <cell r="P59" t="str">
            <v>72005-1</v>
          </cell>
          <cell r="Q59" t="str">
            <v>ATL</v>
          </cell>
          <cell r="R59" t="str">
            <v xml:space="preserve"> </v>
          </cell>
          <cell r="S59" t="str">
            <v xml:space="preserve"> </v>
          </cell>
          <cell r="T59" t="str">
            <v>AppleOne Employment Services</v>
          </cell>
          <cell r="U59">
            <v>0</v>
          </cell>
          <cell r="V59" t="str">
            <v>37120</v>
          </cell>
          <cell r="W59">
            <v>-5666.77</v>
          </cell>
          <cell r="X59">
            <v>5666.77</v>
          </cell>
        </row>
        <row r="60">
          <cell r="A60" t="str">
            <v xml:space="preserve"> 67</v>
          </cell>
          <cell r="B60" t="str">
            <v>201068</v>
          </cell>
          <cell r="C60" t="str">
            <v>Psbc</v>
          </cell>
          <cell r="D60" t="str">
            <v>30/Sep/1998</v>
          </cell>
          <cell r="E60" t="str">
            <v>SHUG0114</v>
          </cell>
          <cell r="F60" t="str">
            <v>1998/11</v>
          </cell>
          <cell r="G60" t="str">
            <v>402840</v>
          </cell>
          <cell r="H60" t="str">
            <v>72005</v>
          </cell>
          <cell r="I60" t="str">
            <v>608006</v>
          </cell>
          <cell r="J60" t="str">
            <v>APPLEONE DIPIERO</v>
          </cell>
          <cell r="K60" t="str">
            <v>D1</v>
          </cell>
          <cell r="L60">
            <v>340</v>
          </cell>
          <cell r="M60" t="str">
            <v>OK</v>
          </cell>
          <cell r="N60" t="str">
            <v>S</v>
          </cell>
          <cell r="O60">
            <v>1</v>
          </cell>
          <cell r="P60" t="str">
            <v>72005-1</v>
          </cell>
          <cell r="Q60" t="str">
            <v>ATL</v>
          </cell>
          <cell r="R60" t="str">
            <v xml:space="preserve"> </v>
          </cell>
          <cell r="S60" t="str">
            <v xml:space="preserve"> </v>
          </cell>
          <cell r="T60" t="str">
            <v>AppleOne Employment Services</v>
          </cell>
          <cell r="U60">
            <v>0</v>
          </cell>
          <cell r="V60" t="str">
            <v>37120</v>
          </cell>
          <cell r="W60">
            <v>5666.77</v>
          </cell>
          <cell r="X60">
            <v>5666.77</v>
          </cell>
        </row>
        <row r="61">
          <cell r="A61" t="str">
            <v xml:space="preserve"> 67</v>
          </cell>
          <cell r="B61" t="str">
            <v>201302</v>
          </cell>
          <cell r="C61" t="str">
            <v>Psbc</v>
          </cell>
          <cell r="D61" t="str">
            <v>09/Dec/1998</v>
          </cell>
          <cell r="E61" t="str">
            <v>DPAS0280</v>
          </cell>
          <cell r="F61" t="str">
            <v>1998/12</v>
          </cell>
          <cell r="G61" t="str">
            <v>402840</v>
          </cell>
          <cell r="H61" t="str">
            <v>72005</v>
          </cell>
          <cell r="I61" t="str">
            <v>608006</v>
          </cell>
          <cell r="J61" t="str">
            <v>APPLEONE</v>
          </cell>
          <cell r="K61" t="str">
            <v>D1</v>
          </cell>
          <cell r="L61">
            <v>450</v>
          </cell>
          <cell r="M61" t="str">
            <v>OK</v>
          </cell>
          <cell r="N61" t="str">
            <v>S</v>
          </cell>
          <cell r="O61">
            <v>1</v>
          </cell>
          <cell r="P61" t="str">
            <v>72005-1</v>
          </cell>
          <cell r="Q61" t="str">
            <v>ATL</v>
          </cell>
          <cell r="R61" t="str">
            <v xml:space="preserve"> </v>
          </cell>
          <cell r="S61" t="str">
            <v xml:space="preserve"> </v>
          </cell>
          <cell r="T61" t="str">
            <v>AppleOne Employment Services</v>
          </cell>
          <cell r="U61">
            <v>0</v>
          </cell>
          <cell r="V61" t="str">
            <v>37120</v>
          </cell>
          <cell r="W61">
            <v>6924.16</v>
          </cell>
          <cell r="X61">
            <v>6924.16</v>
          </cell>
        </row>
        <row r="62">
          <cell r="A62" t="str">
            <v xml:space="preserve"> 67</v>
          </cell>
          <cell r="B62" t="str">
            <v>201067</v>
          </cell>
          <cell r="C62" t="str">
            <v>Psbc</v>
          </cell>
          <cell r="D62" t="str">
            <v>21/Oct/1998</v>
          </cell>
          <cell r="E62" t="str">
            <v>SHUG0114</v>
          </cell>
          <cell r="F62" t="str">
            <v>1998/11</v>
          </cell>
          <cell r="G62" t="str">
            <v>402840</v>
          </cell>
          <cell r="H62" t="str">
            <v>72005</v>
          </cell>
          <cell r="I62" t="str">
            <v>608006</v>
          </cell>
          <cell r="J62" t="str">
            <v>APPLEONE DIPIERO</v>
          </cell>
          <cell r="K62" t="str">
            <v>D1</v>
          </cell>
          <cell r="L62">
            <v>547.5</v>
          </cell>
          <cell r="M62" t="str">
            <v>OK</v>
          </cell>
          <cell r="N62" t="str">
            <v>S</v>
          </cell>
          <cell r="O62">
            <v>1</v>
          </cell>
          <cell r="P62" t="str">
            <v>72005-1</v>
          </cell>
          <cell r="Q62" t="str">
            <v>ATL</v>
          </cell>
          <cell r="R62" t="str">
            <v xml:space="preserve"> </v>
          </cell>
          <cell r="S62" t="str">
            <v xml:space="preserve"> </v>
          </cell>
          <cell r="T62" t="str">
            <v>AppleOne Employment Services</v>
          </cell>
          <cell r="U62">
            <v>0</v>
          </cell>
          <cell r="V62" t="str">
            <v>37120</v>
          </cell>
          <cell r="W62">
            <v>-6924.16</v>
          </cell>
          <cell r="X62">
            <v>6924.16</v>
          </cell>
        </row>
        <row r="63">
          <cell r="A63" t="str">
            <v xml:space="preserve"> 67</v>
          </cell>
          <cell r="B63" t="str">
            <v>201065</v>
          </cell>
          <cell r="C63" t="str">
            <v>Psbc</v>
          </cell>
          <cell r="D63" t="str">
            <v>28/Oct/1998</v>
          </cell>
          <cell r="E63" t="str">
            <v>SHUG0114</v>
          </cell>
          <cell r="F63" t="str">
            <v>1998/11</v>
          </cell>
          <cell r="G63" t="str">
            <v>402840</v>
          </cell>
          <cell r="H63" t="str">
            <v>72005</v>
          </cell>
          <cell r="I63" t="str">
            <v>608000</v>
          </cell>
          <cell r="J63" t="str">
            <v>APPLEONE DIPIERO</v>
          </cell>
          <cell r="K63" t="str">
            <v>D1</v>
          </cell>
          <cell r="L63">
            <v>570</v>
          </cell>
          <cell r="M63" t="str">
            <v>OK</v>
          </cell>
          <cell r="N63" t="str">
            <v>S</v>
          </cell>
          <cell r="O63">
            <v>1</v>
          </cell>
          <cell r="P63" t="str">
            <v>72005-1</v>
          </cell>
          <cell r="Q63" t="str">
            <v>ATL</v>
          </cell>
          <cell r="R63" t="str">
            <v xml:space="preserve"> </v>
          </cell>
          <cell r="S63" t="str">
            <v xml:space="preserve"> </v>
          </cell>
          <cell r="T63" t="str">
            <v>AppleOne Employment Services</v>
          </cell>
          <cell r="U63">
            <v>0</v>
          </cell>
          <cell r="V63" t="str">
            <v>37120</v>
          </cell>
          <cell r="W63">
            <v>6924.16</v>
          </cell>
          <cell r="X63">
            <v>6924.16</v>
          </cell>
        </row>
        <row r="64">
          <cell r="A64" t="str">
            <v xml:space="preserve"> 75</v>
          </cell>
          <cell r="B64" t="str">
            <v>003016</v>
          </cell>
          <cell r="C64" t="str">
            <v>cshp</v>
          </cell>
          <cell r="D64" t="str">
            <v>21/Dec/1998</v>
          </cell>
          <cell r="E64" t="str">
            <v>TMIN0038</v>
          </cell>
          <cell r="F64" t="str">
            <v>1998/12</v>
          </cell>
          <cell r="G64" t="str">
            <v>400850</v>
          </cell>
          <cell r="H64" t="str">
            <v>72005</v>
          </cell>
          <cell r="I64" t="str">
            <v>608000</v>
          </cell>
          <cell r="J64" t="str">
            <v>APPLE ONE EMPLOYMENT SERVICES</v>
          </cell>
          <cell r="K64" t="str">
            <v>D1</v>
          </cell>
          <cell r="L64">
            <v>600</v>
          </cell>
          <cell r="M64" t="str">
            <v>OK</v>
          </cell>
          <cell r="N64" t="str">
            <v>S</v>
          </cell>
          <cell r="O64">
            <v>1</v>
          </cell>
          <cell r="P64" t="str">
            <v>72005-1</v>
          </cell>
          <cell r="Q64" t="str">
            <v>ATL</v>
          </cell>
          <cell r="R64" t="str">
            <v xml:space="preserve"> </v>
          </cell>
          <cell r="S64" t="str">
            <v xml:space="preserve"> </v>
          </cell>
          <cell r="T64" t="str">
            <v>AppleOne Employment Services</v>
          </cell>
          <cell r="U64">
            <v>0</v>
          </cell>
          <cell r="V64" t="str">
            <v>37120</v>
          </cell>
          <cell r="W64">
            <v>-6924.16</v>
          </cell>
          <cell r="X64">
            <v>6924.16</v>
          </cell>
        </row>
        <row r="65">
          <cell r="A65" t="str">
            <v xml:space="preserve"> 67</v>
          </cell>
          <cell r="B65" t="str">
            <v>201066</v>
          </cell>
          <cell r="C65" t="str">
            <v>Psbc</v>
          </cell>
          <cell r="D65" t="str">
            <v>11/Nov/1998</v>
          </cell>
          <cell r="E65" t="str">
            <v>SHUG0114</v>
          </cell>
          <cell r="F65" t="str">
            <v>1998/11</v>
          </cell>
          <cell r="G65" t="str">
            <v>402840</v>
          </cell>
          <cell r="H65" t="str">
            <v>72005</v>
          </cell>
          <cell r="I65" t="str">
            <v>608000</v>
          </cell>
          <cell r="J65" t="str">
            <v>APPLEONE DIPIERO</v>
          </cell>
          <cell r="K65" t="str">
            <v>D1</v>
          </cell>
          <cell r="L65">
            <v>600</v>
          </cell>
          <cell r="M65" t="str">
            <v>OK</v>
          </cell>
          <cell r="N65" t="str">
            <v>S</v>
          </cell>
          <cell r="O65">
            <v>1</v>
          </cell>
          <cell r="P65" t="str">
            <v>72005-1</v>
          </cell>
          <cell r="Q65" t="str">
            <v>ATL</v>
          </cell>
          <cell r="R65" t="str">
            <v xml:space="preserve"> </v>
          </cell>
          <cell r="S65" t="str">
            <v xml:space="preserve"> </v>
          </cell>
          <cell r="T65" t="str">
            <v>AppleOne Employment Services</v>
          </cell>
          <cell r="U65">
            <v>0</v>
          </cell>
          <cell r="V65" t="str">
            <v>37120</v>
          </cell>
          <cell r="W65">
            <v>-7798.13</v>
          </cell>
          <cell r="X65">
            <v>7798.13</v>
          </cell>
        </row>
        <row r="66">
          <cell r="A66" t="str">
            <v xml:space="preserve"> 67</v>
          </cell>
          <cell r="B66" t="str">
            <v>200945</v>
          </cell>
          <cell r="C66" t="str">
            <v>Psbc</v>
          </cell>
          <cell r="D66" t="str">
            <v>14/Oct/1998</v>
          </cell>
          <cell r="E66" t="str">
            <v>CWAN0290</v>
          </cell>
          <cell r="F66" t="str">
            <v>1998/11</v>
          </cell>
          <cell r="G66" t="str">
            <v>400850</v>
          </cell>
          <cell r="H66" t="str">
            <v>72005</v>
          </cell>
          <cell r="I66" t="str">
            <v>608006</v>
          </cell>
          <cell r="J66" t="str">
            <v>APPLEONE EMPLOYMENT DIPIERO</v>
          </cell>
          <cell r="K66" t="str">
            <v>D1</v>
          </cell>
          <cell r="L66">
            <v>600</v>
          </cell>
          <cell r="M66" t="str">
            <v>OK</v>
          </cell>
          <cell r="N66" t="str">
            <v>S</v>
          </cell>
          <cell r="O66">
            <v>1</v>
          </cell>
          <cell r="P66" t="str">
            <v>72005-1</v>
          </cell>
          <cell r="Q66" t="str">
            <v>ATL</v>
          </cell>
          <cell r="R66" t="str">
            <v xml:space="preserve"> </v>
          </cell>
          <cell r="S66" t="str">
            <v xml:space="preserve"> </v>
          </cell>
          <cell r="T66" t="str">
            <v>AppleOne Employment Services</v>
          </cell>
          <cell r="U66">
            <v>0</v>
          </cell>
          <cell r="V66" t="str">
            <v>37120</v>
          </cell>
          <cell r="W66">
            <v>7798.13</v>
          </cell>
          <cell r="X66">
            <v>7798.13</v>
          </cell>
        </row>
        <row r="67">
          <cell r="A67" t="str">
            <v xml:space="preserve"> 67</v>
          </cell>
          <cell r="B67" t="str">
            <v>200943</v>
          </cell>
          <cell r="C67" t="str">
            <v>Psbc</v>
          </cell>
          <cell r="D67" t="str">
            <v>07/Oct/1998</v>
          </cell>
          <cell r="E67" t="str">
            <v>CWAN0290</v>
          </cell>
          <cell r="F67" t="str">
            <v>1998/11</v>
          </cell>
          <cell r="G67" t="str">
            <v>400850</v>
          </cell>
          <cell r="H67" t="str">
            <v>72005</v>
          </cell>
          <cell r="I67" t="str">
            <v>608006</v>
          </cell>
          <cell r="J67" t="str">
            <v>APPLEONE EMPLOYMENT DIPIERO</v>
          </cell>
          <cell r="K67" t="str">
            <v>D1</v>
          </cell>
          <cell r="L67">
            <v>622.5</v>
          </cell>
          <cell r="M67" t="str">
            <v>OK</v>
          </cell>
          <cell r="N67" t="str">
            <v>S</v>
          </cell>
          <cell r="O67">
            <v>1</v>
          </cell>
          <cell r="P67" t="str">
            <v>72005-1</v>
          </cell>
          <cell r="Q67" t="str">
            <v>ATL</v>
          </cell>
          <cell r="R67" t="str">
            <v xml:space="preserve"> </v>
          </cell>
          <cell r="S67" t="str">
            <v xml:space="preserve"> </v>
          </cell>
          <cell r="T67" t="str">
            <v>AppleOne Employment Services</v>
          </cell>
          <cell r="U67">
            <v>0</v>
          </cell>
          <cell r="V67" t="str">
            <v>37120</v>
          </cell>
          <cell r="W67">
            <v>-8065.85</v>
          </cell>
          <cell r="X67">
            <v>8065.85</v>
          </cell>
        </row>
        <row r="68">
          <cell r="A68" t="str">
            <v xml:space="preserve"> 67</v>
          </cell>
          <cell r="B68" t="str">
            <v>201064</v>
          </cell>
          <cell r="C68" t="str">
            <v>Psbc</v>
          </cell>
          <cell r="D68" t="str">
            <v>04/Nov/1998</v>
          </cell>
          <cell r="E68" t="str">
            <v>SHUG0114</v>
          </cell>
          <cell r="F68" t="str">
            <v>1998/11</v>
          </cell>
          <cell r="G68" t="str">
            <v>402840</v>
          </cell>
          <cell r="H68" t="str">
            <v>72005</v>
          </cell>
          <cell r="I68" t="str">
            <v>608000</v>
          </cell>
          <cell r="J68" t="str">
            <v>APPLEONE DIPIERO</v>
          </cell>
          <cell r="K68" t="str">
            <v>D1</v>
          </cell>
          <cell r="L68">
            <v>735</v>
          </cell>
          <cell r="M68" t="str">
            <v>OK</v>
          </cell>
          <cell r="N68" t="str">
            <v>S</v>
          </cell>
          <cell r="O68">
            <v>1</v>
          </cell>
          <cell r="P68" t="str">
            <v>72005-1</v>
          </cell>
          <cell r="Q68" t="str">
            <v>ATL</v>
          </cell>
          <cell r="R68" t="str">
            <v xml:space="preserve"> </v>
          </cell>
          <cell r="S68" t="str">
            <v xml:space="preserve"> </v>
          </cell>
          <cell r="T68" t="str">
            <v>AppleOne Employment Services</v>
          </cell>
          <cell r="U68">
            <v>0</v>
          </cell>
          <cell r="V68" t="str">
            <v>37120</v>
          </cell>
          <cell r="W68">
            <v>8065.85</v>
          </cell>
          <cell r="X68">
            <v>8065.85</v>
          </cell>
        </row>
        <row r="69">
          <cell r="A69" t="str">
            <v xml:space="preserve"> 01</v>
          </cell>
          <cell r="B69" t="str">
            <v>000265</v>
          </cell>
          <cell r="C69" t="str">
            <v>Jrnl</v>
          </cell>
          <cell r="D69" t="str">
            <v>28/Feb/1998</v>
          </cell>
          <cell r="E69" t="str">
            <v>SHUG0084</v>
          </cell>
          <cell r="F69" t="str">
            <v>1998/02</v>
          </cell>
          <cell r="G69" t="str">
            <v>853890</v>
          </cell>
          <cell r="H69" t="str">
            <v>37120</v>
          </cell>
          <cell r="I69" t="str">
            <v>601000</v>
          </cell>
          <cell r="J69" t="str">
            <v>Interest sweeps jan</v>
          </cell>
          <cell r="K69" t="str">
            <v>D1</v>
          </cell>
          <cell r="L69">
            <v>-10215.700000000001</v>
          </cell>
          <cell r="M69" t="str">
            <v>x</v>
          </cell>
          <cell r="N69" t="str">
            <v>s</v>
          </cell>
          <cell r="O69" t="str">
            <v>X</v>
          </cell>
          <cell r="P69" t="str">
            <v>37120-X</v>
          </cell>
          <cell r="R69" t="str">
            <v xml:space="preserve"> </v>
          </cell>
          <cell r="S69" t="str">
            <v xml:space="preserve"> </v>
          </cell>
          <cell r="T69" t="str">
            <v>AppleOne Employment Services Total</v>
          </cell>
          <cell r="U69">
            <v>0</v>
          </cell>
          <cell r="V69" t="str">
            <v>37120</v>
          </cell>
          <cell r="W69">
            <v>-10215.700000000001</v>
          </cell>
          <cell r="X69">
            <v>10215.700000000001</v>
          </cell>
        </row>
        <row r="70">
          <cell r="A70" t="str">
            <v xml:space="preserve"> 75</v>
          </cell>
          <cell r="B70" t="str">
            <v>003076</v>
          </cell>
          <cell r="C70" t="str">
            <v>cshp</v>
          </cell>
          <cell r="D70" t="str">
            <v>11/Nov/1998</v>
          </cell>
          <cell r="E70" t="str">
            <v>KPUR1021</v>
          </cell>
          <cell r="F70" t="str">
            <v>1998/11</v>
          </cell>
          <cell r="G70" t="str">
            <v>403220</v>
          </cell>
          <cell r="H70" t="str">
            <v>72005</v>
          </cell>
          <cell r="I70" t="str">
            <v>608000</v>
          </cell>
          <cell r="J70" t="str">
            <v>EASTRIDGE TEMPS WANNER10/25</v>
          </cell>
          <cell r="K70" t="str">
            <v>D1</v>
          </cell>
          <cell r="L70">
            <v>371.84</v>
          </cell>
          <cell r="M70" t="str">
            <v>OK</v>
          </cell>
          <cell r="N70" t="str">
            <v>S</v>
          </cell>
          <cell r="O70">
            <v>1</v>
          </cell>
          <cell r="P70" t="str">
            <v>72005-1</v>
          </cell>
          <cell r="Q70" t="str">
            <v>ATL</v>
          </cell>
          <cell r="R70" t="str">
            <v xml:space="preserve"> </v>
          </cell>
          <cell r="S70" t="str">
            <v xml:space="preserve"> </v>
          </cell>
          <cell r="T70" t="str">
            <v>Eastridge Temporary Services</v>
          </cell>
          <cell r="U70">
            <v>0</v>
          </cell>
          <cell r="V70" t="str">
            <v>37120</v>
          </cell>
          <cell r="W70">
            <v>10215.700000000001</v>
          </cell>
          <cell r="X70">
            <v>10215.700000000001</v>
          </cell>
        </row>
        <row r="71">
          <cell r="A71" t="str">
            <v xml:space="preserve"> 75</v>
          </cell>
          <cell r="B71" t="str">
            <v>003076</v>
          </cell>
          <cell r="C71" t="str">
            <v>cshp</v>
          </cell>
          <cell r="D71" t="str">
            <v>11/Nov/1998</v>
          </cell>
          <cell r="E71" t="str">
            <v>KPUR1021</v>
          </cell>
          <cell r="F71" t="str">
            <v>1998/11</v>
          </cell>
          <cell r="G71" t="str">
            <v>403220</v>
          </cell>
          <cell r="H71" t="str">
            <v>72005</v>
          </cell>
          <cell r="I71" t="str">
            <v>608006</v>
          </cell>
          <cell r="J71" t="str">
            <v>EASTRIDGE TEMPS WANNER10/4</v>
          </cell>
          <cell r="K71" t="str">
            <v>D1</v>
          </cell>
          <cell r="L71">
            <v>534.52</v>
          </cell>
          <cell r="M71" t="str">
            <v>OK</v>
          </cell>
          <cell r="N71" t="str">
            <v>S</v>
          </cell>
          <cell r="O71">
            <v>1</v>
          </cell>
          <cell r="P71" t="str">
            <v>72005-1</v>
          </cell>
          <cell r="Q71" t="str">
            <v>ATL</v>
          </cell>
          <cell r="R71" t="str">
            <v xml:space="preserve"> </v>
          </cell>
          <cell r="S71" t="str">
            <v xml:space="preserve"> </v>
          </cell>
          <cell r="T71" t="str">
            <v>Eastridge Temporary Services</v>
          </cell>
          <cell r="U71" t="str">
            <v>Agency Temporary Labor</v>
          </cell>
          <cell r="V71" t="str">
            <v xml:space="preserve"> </v>
          </cell>
          <cell r="W71" t="str">
            <v>72005</v>
          </cell>
          <cell r="X71">
            <v>534.52</v>
          </cell>
        </row>
        <row r="72">
          <cell r="A72" t="str">
            <v xml:space="preserve"> 75</v>
          </cell>
          <cell r="B72" t="str">
            <v>003014</v>
          </cell>
          <cell r="C72" t="str">
            <v>cshp</v>
          </cell>
          <cell r="D72" t="str">
            <v>21/Dec/1998</v>
          </cell>
          <cell r="E72" t="str">
            <v>TMIN0038</v>
          </cell>
          <cell r="F72" t="str">
            <v>1998/12</v>
          </cell>
          <cell r="G72" t="str">
            <v>403220</v>
          </cell>
          <cell r="H72" t="str">
            <v>72005</v>
          </cell>
          <cell r="I72" t="str">
            <v>608000</v>
          </cell>
          <cell r="J72" t="str">
            <v>EASTRIDGE TEMPS</v>
          </cell>
          <cell r="K72" t="str">
            <v>D1</v>
          </cell>
          <cell r="L72">
            <v>650.72</v>
          </cell>
          <cell r="M72" t="str">
            <v>OK</v>
          </cell>
          <cell r="N72" t="str">
            <v>S</v>
          </cell>
          <cell r="O72">
            <v>1</v>
          </cell>
          <cell r="P72" t="str">
            <v>72005-1</v>
          </cell>
          <cell r="Q72" t="str">
            <v>ATL</v>
          </cell>
          <cell r="R72" t="str">
            <v xml:space="preserve"> </v>
          </cell>
          <cell r="S72" t="str">
            <v xml:space="preserve"> </v>
          </cell>
          <cell r="T72" t="str">
            <v>Eastridge Temporary Services</v>
          </cell>
          <cell r="U72" t="str">
            <v>Agency Temporary Labor</v>
          </cell>
          <cell r="V72" t="str">
            <v xml:space="preserve"> </v>
          </cell>
          <cell r="W72" t="str">
            <v>72005</v>
          </cell>
          <cell r="X72">
            <v>650.72</v>
          </cell>
        </row>
        <row r="73">
          <cell r="A73" t="str">
            <v xml:space="preserve"> 75</v>
          </cell>
          <cell r="B73" t="str">
            <v>003076</v>
          </cell>
          <cell r="C73" t="str">
            <v>cshp</v>
          </cell>
          <cell r="D73" t="str">
            <v>11/Nov/1998</v>
          </cell>
          <cell r="E73" t="str">
            <v>KPUR1021</v>
          </cell>
          <cell r="F73" t="str">
            <v>1998/11</v>
          </cell>
          <cell r="G73" t="str">
            <v>403220</v>
          </cell>
          <cell r="H73" t="str">
            <v>72005</v>
          </cell>
          <cell r="I73" t="str">
            <v>608000</v>
          </cell>
          <cell r="J73" t="str">
            <v>EASTRIDGE TEMPS WANNER10/11-18</v>
          </cell>
          <cell r="K73" t="str">
            <v>D1</v>
          </cell>
          <cell r="L73">
            <v>947.03</v>
          </cell>
          <cell r="M73" t="str">
            <v>OK</v>
          </cell>
          <cell r="N73" t="str">
            <v>S</v>
          </cell>
          <cell r="O73">
            <v>1</v>
          </cell>
          <cell r="P73" t="str">
            <v>72005-1</v>
          </cell>
          <cell r="Q73" t="str">
            <v>ATL</v>
          </cell>
          <cell r="R73" t="str">
            <v xml:space="preserve"> </v>
          </cell>
          <cell r="S73" t="str">
            <v xml:space="preserve"> </v>
          </cell>
          <cell r="T73" t="str">
            <v>Eastridge Temporary Services</v>
          </cell>
          <cell r="U73" t="str">
            <v>Agency Temporary Labor</v>
          </cell>
          <cell r="V73" t="str">
            <v xml:space="preserve"> </v>
          </cell>
          <cell r="W73" t="str">
            <v>72005</v>
          </cell>
          <cell r="X73">
            <v>947.03</v>
          </cell>
        </row>
        <row r="74">
          <cell r="A74" t="str">
            <v xml:space="preserve"> 01</v>
          </cell>
          <cell r="B74" t="str">
            <v>000763</v>
          </cell>
          <cell r="C74" t="str">
            <v>Jrnl</v>
          </cell>
          <cell r="D74" t="str">
            <v>16/Dec/1998</v>
          </cell>
          <cell r="E74" t="str">
            <v>NTON0068</v>
          </cell>
          <cell r="F74" t="str">
            <v>1998/12</v>
          </cell>
          <cell r="G74" t="str">
            <v>403890</v>
          </cell>
          <cell r="H74" t="str">
            <v>37130</v>
          </cell>
          <cell r="I74" t="str">
            <v>080000</v>
          </cell>
          <cell r="J74" t="str">
            <v>Interst Sweeps Nov 98</v>
          </cell>
          <cell r="K74" t="str">
            <v>D1</v>
          </cell>
          <cell r="L74">
            <v>-4.1500000000000004</v>
          </cell>
          <cell r="M74" t="str">
            <v>ok</v>
          </cell>
          <cell r="N74" t="str">
            <v>s</v>
          </cell>
          <cell r="O74">
            <v>1</v>
          </cell>
          <cell r="P74" t="str">
            <v>37130-1</v>
          </cell>
          <cell r="Q74" t="str">
            <v>si</v>
          </cell>
          <cell r="R74" t="str">
            <v xml:space="preserve"> </v>
          </cell>
          <cell r="S74" t="str">
            <v xml:space="preserve"> </v>
          </cell>
          <cell r="T74" t="str">
            <v>Eastridge Temporary Services Total</v>
          </cell>
          <cell r="U74" t="str">
            <v>Sweep Interest</v>
          </cell>
          <cell r="V74" t="str">
            <v>37130</v>
          </cell>
          <cell r="W74">
            <v>-4.1500000000000004</v>
          </cell>
          <cell r="X74">
            <v>2504.1099999999997</v>
          </cell>
        </row>
        <row r="75">
          <cell r="A75" t="str">
            <v xml:space="preserve"> 67</v>
          </cell>
          <cell r="B75" t="str">
            <v>201326</v>
          </cell>
          <cell r="C75" t="str">
            <v>Psbc</v>
          </cell>
          <cell r="D75" t="str">
            <v>25/Sep/1998</v>
          </cell>
          <cell r="E75" t="str">
            <v>DPAS0280</v>
          </cell>
          <cell r="F75" t="str">
            <v>1998/12</v>
          </cell>
          <cell r="G75" t="str">
            <v>400140</v>
          </cell>
          <cell r="H75" t="str">
            <v>53020</v>
          </cell>
          <cell r="I75" t="str">
            <v>408000</v>
          </cell>
          <cell r="J75" t="str">
            <v>FACILITEC</v>
          </cell>
          <cell r="K75" t="str">
            <v>D1</v>
          </cell>
          <cell r="L75">
            <v>603.57000000000005</v>
          </cell>
          <cell r="M75" t="str">
            <v>OK</v>
          </cell>
          <cell r="N75" t="str">
            <v>S</v>
          </cell>
          <cell r="O75">
            <v>1</v>
          </cell>
          <cell r="P75" t="str">
            <v>53020-1</v>
          </cell>
          <cell r="Q75" t="str">
            <v>FC</v>
          </cell>
          <cell r="R75" t="str">
            <v xml:space="preserve"> </v>
          </cell>
          <cell r="S75" t="str">
            <v xml:space="preserve"> </v>
          </cell>
          <cell r="T75" t="str">
            <v>Facilitec</v>
          </cell>
          <cell r="U75" t="str">
            <v>Facility Consultants- Office Reorg</v>
          </cell>
          <cell r="V75" t="str">
            <v xml:space="preserve"> </v>
          </cell>
          <cell r="W75" t="str">
            <v>53020</v>
          </cell>
          <cell r="X75">
            <v>603.57000000000005</v>
          </cell>
        </row>
        <row r="76">
          <cell r="A76" t="str">
            <v xml:space="preserve"> 01</v>
          </cell>
          <cell r="B76" t="str">
            <v>000741</v>
          </cell>
          <cell r="C76" t="str">
            <v>Jrnl</v>
          </cell>
          <cell r="D76" t="str">
            <v>09/Dec/1998</v>
          </cell>
          <cell r="E76" t="str">
            <v>NTON0044</v>
          </cell>
          <cell r="F76" t="str">
            <v>1998/12</v>
          </cell>
          <cell r="G76" t="str">
            <v>950895</v>
          </cell>
          <cell r="H76" t="str">
            <v>37130</v>
          </cell>
          <cell r="I76" t="str">
            <v>090001</v>
          </cell>
          <cell r="J76" t="str">
            <v>IntAdvNov98CDSBTrFaxWells</v>
          </cell>
          <cell r="K76" t="str">
            <v>D1</v>
          </cell>
          <cell r="L76">
            <v>-133.01</v>
          </cell>
          <cell r="M76" t="str">
            <v>ok</v>
          </cell>
          <cell r="N76" t="str">
            <v>s</v>
          </cell>
          <cell r="O76">
            <v>1</v>
          </cell>
          <cell r="P76" t="str">
            <v>37130-1</v>
          </cell>
          <cell r="Q76" t="str">
            <v>si</v>
          </cell>
          <cell r="R76" t="str">
            <v xml:space="preserve"> </v>
          </cell>
          <cell r="S76" t="str">
            <v xml:space="preserve"> </v>
          </cell>
          <cell r="T76" t="str">
            <v>Facilitec Total</v>
          </cell>
          <cell r="U76" t="str">
            <v>Sweep Interest</v>
          </cell>
          <cell r="V76" t="str">
            <v>37130</v>
          </cell>
          <cell r="W76">
            <v>-133.01</v>
          </cell>
          <cell r="X76">
            <v>603.57000000000005</v>
          </cell>
        </row>
        <row r="77">
          <cell r="A77" t="str">
            <v xml:space="preserve"> 75</v>
          </cell>
          <cell r="B77" t="str">
            <v>003067</v>
          </cell>
          <cell r="C77" t="str">
            <v>cshp</v>
          </cell>
          <cell r="D77" t="str">
            <v>10/Nov/1998</v>
          </cell>
          <cell r="E77" t="str">
            <v>KPUR1015</v>
          </cell>
          <cell r="F77" t="str">
            <v>1998/11</v>
          </cell>
          <cell r="G77" t="str">
            <v>400850</v>
          </cell>
          <cell r="H77" t="str">
            <v>72005</v>
          </cell>
          <cell r="I77" t="str">
            <v>608000</v>
          </cell>
          <cell r="J77" t="str">
            <v>HILL &amp; HILL DESIGNS PO 3314</v>
          </cell>
          <cell r="K77" t="str">
            <v>D1</v>
          </cell>
          <cell r="L77">
            <v>2614.63</v>
          </cell>
          <cell r="M77" t="str">
            <v>OK</v>
          </cell>
          <cell r="N77" t="str">
            <v>S</v>
          </cell>
          <cell r="O77">
            <v>1</v>
          </cell>
          <cell r="P77" t="str">
            <v>72005-1</v>
          </cell>
          <cell r="Q77" t="str">
            <v>FC</v>
          </cell>
          <cell r="R77" t="str">
            <v xml:space="preserve"> </v>
          </cell>
          <cell r="S77" t="str">
            <v xml:space="preserve"> </v>
          </cell>
          <cell r="T77" t="str">
            <v>Hill &amp; Hill Designs</v>
          </cell>
          <cell r="U77" t="str">
            <v>Facility Consultants- Office Reorg</v>
          </cell>
          <cell r="V77" t="str">
            <v xml:space="preserve"> </v>
          </cell>
          <cell r="W77" t="str">
            <v>72005</v>
          </cell>
          <cell r="X77">
            <v>2614.63</v>
          </cell>
        </row>
        <row r="78">
          <cell r="A78" t="str">
            <v xml:space="preserve"> 01</v>
          </cell>
          <cell r="B78" t="str">
            <v>000460</v>
          </cell>
          <cell r="C78" t="str">
            <v>Jrnl</v>
          </cell>
          <cell r="D78" t="str">
            <v>30/Jun/1998</v>
          </cell>
          <cell r="E78" t="str">
            <v>KPUR0692</v>
          </cell>
          <cell r="F78" t="str">
            <v>1998/06</v>
          </cell>
          <cell r="G78" t="str">
            <v>081890</v>
          </cell>
          <cell r="H78" t="str">
            <v>37130</v>
          </cell>
          <cell r="I78" t="str">
            <v>080000</v>
          </cell>
          <cell r="J78" t="str">
            <v>RECLASS INT. SWEEP 01-05</v>
          </cell>
          <cell r="K78" t="str">
            <v>C1</v>
          </cell>
          <cell r="L78">
            <v>-631.76</v>
          </cell>
          <cell r="M78" t="str">
            <v>ok</v>
          </cell>
          <cell r="N78" t="str">
            <v>s</v>
          </cell>
          <cell r="O78">
            <v>1</v>
          </cell>
          <cell r="P78" t="str">
            <v>37130-1</v>
          </cell>
          <cell r="Q78" t="str">
            <v>si</v>
          </cell>
          <cell r="R78" t="str">
            <v xml:space="preserve"> </v>
          </cell>
          <cell r="S78" t="str">
            <v xml:space="preserve"> </v>
          </cell>
          <cell r="T78" t="str">
            <v>Hill &amp; Hill Designs Total</v>
          </cell>
          <cell r="U78" t="str">
            <v>Sweep Interest</v>
          </cell>
          <cell r="V78" t="str">
            <v>37130</v>
          </cell>
          <cell r="W78">
            <v>-631.76</v>
          </cell>
          <cell r="X78">
            <v>2614.63</v>
          </cell>
        </row>
        <row r="79">
          <cell r="A79" t="str">
            <v xml:space="preserve"> 67</v>
          </cell>
          <cell r="B79" t="str">
            <v>200302</v>
          </cell>
          <cell r="C79" t="str">
            <v>Psbc</v>
          </cell>
          <cell r="D79" t="str">
            <v>11/Apr/1998</v>
          </cell>
          <cell r="E79" t="str">
            <v>KPUR0293</v>
          </cell>
          <cell r="F79" t="str">
            <v>1998/04</v>
          </cell>
          <cell r="G79" t="str">
            <v>853820</v>
          </cell>
          <cell r="H79" t="str">
            <v>72005</v>
          </cell>
          <cell r="I79" t="str">
            <v>601000</v>
          </cell>
          <cell r="J79" t="str">
            <v>ANNA ROMANOVA TRANSLATION</v>
          </cell>
          <cell r="K79" t="str">
            <v>D1</v>
          </cell>
          <cell r="L79">
            <v>270</v>
          </cell>
          <cell r="M79" t="str">
            <v>OK</v>
          </cell>
          <cell r="N79" t="str">
            <v>S</v>
          </cell>
          <cell r="O79">
            <v>1</v>
          </cell>
          <cell r="P79" t="str">
            <v>72005-1</v>
          </cell>
          <cell r="Q79" t="str">
            <v>LT</v>
          </cell>
          <cell r="R79" t="str">
            <v xml:space="preserve"> </v>
          </cell>
          <cell r="S79" t="str">
            <v xml:space="preserve"> </v>
          </cell>
          <cell r="T79" t="str">
            <v>Anna Romanova</v>
          </cell>
          <cell r="U79" t="str">
            <v>Language Translation</v>
          </cell>
          <cell r="V79" t="str">
            <v xml:space="preserve"> </v>
          </cell>
          <cell r="W79" t="str">
            <v>72005</v>
          </cell>
          <cell r="X79">
            <v>270</v>
          </cell>
        </row>
        <row r="80">
          <cell r="A80" t="str">
            <v xml:space="preserve"> 67</v>
          </cell>
          <cell r="B80" t="str">
            <v>200577</v>
          </cell>
          <cell r="C80" t="str">
            <v>Psbc</v>
          </cell>
          <cell r="D80" t="str">
            <v>13/Aug/1998</v>
          </cell>
          <cell r="E80" t="str">
            <v>KPUR0851</v>
          </cell>
          <cell r="F80" t="str">
            <v>1998/08</v>
          </cell>
          <cell r="G80" t="str">
            <v>853820</v>
          </cell>
          <cell r="H80" t="str">
            <v>72005</v>
          </cell>
          <cell r="I80" t="str">
            <v>601000</v>
          </cell>
          <cell r="J80" t="str">
            <v>ROMANOVA PO 52063</v>
          </cell>
          <cell r="K80" t="str">
            <v>D1</v>
          </cell>
          <cell r="L80">
            <v>380</v>
          </cell>
          <cell r="M80" t="str">
            <v>OK</v>
          </cell>
          <cell r="N80" t="str">
            <v>S</v>
          </cell>
          <cell r="O80">
            <v>1</v>
          </cell>
          <cell r="P80" t="str">
            <v>72005-1</v>
          </cell>
          <cell r="Q80" t="str">
            <v>LT</v>
          </cell>
          <cell r="R80" t="str">
            <v xml:space="preserve"> </v>
          </cell>
          <cell r="S80" t="str">
            <v xml:space="preserve"> </v>
          </cell>
          <cell r="T80" t="str">
            <v>Anna Romanova</v>
          </cell>
          <cell r="U80" t="str">
            <v>Language Translation</v>
          </cell>
          <cell r="V80" t="str">
            <v xml:space="preserve"> </v>
          </cell>
          <cell r="W80" t="str">
            <v>72005</v>
          </cell>
          <cell r="X80">
            <v>380</v>
          </cell>
        </row>
        <row r="81">
          <cell r="A81" t="str">
            <v xml:space="preserve"> 67</v>
          </cell>
          <cell r="B81" t="str">
            <v>200406</v>
          </cell>
          <cell r="C81" t="str">
            <v>Psbc</v>
          </cell>
          <cell r="D81" t="str">
            <v>16/May/1998</v>
          </cell>
          <cell r="E81" t="str">
            <v>MWAL0008</v>
          </cell>
          <cell r="F81" t="str">
            <v>1998/05</v>
          </cell>
          <cell r="G81" t="str">
            <v>853820</v>
          </cell>
          <cell r="H81" t="str">
            <v>72005</v>
          </cell>
          <cell r="I81" t="str">
            <v>601000</v>
          </cell>
          <cell r="J81" t="str">
            <v>Anna Romanova BEL98-51146</v>
          </cell>
          <cell r="K81" t="str">
            <v>D1</v>
          </cell>
          <cell r="L81">
            <v>460</v>
          </cell>
          <cell r="M81" t="str">
            <v>OK</v>
          </cell>
          <cell r="N81" t="str">
            <v>S</v>
          </cell>
          <cell r="O81">
            <v>1</v>
          </cell>
          <cell r="P81" t="str">
            <v>72005-1</v>
          </cell>
          <cell r="Q81" t="str">
            <v>LT</v>
          </cell>
          <cell r="R81" t="str">
            <v xml:space="preserve"> </v>
          </cell>
          <cell r="S81" t="str">
            <v xml:space="preserve"> </v>
          </cell>
          <cell r="T81" t="str">
            <v>Anna Romanova</v>
          </cell>
          <cell r="U81" t="str">
            <v>Language Translation</v>
          </cell>
          <cell r="V81" t="str">
            <v xml:space="preserve"> </v>
          </cell>
          <cell r="W81" t="str">
            <v>72005</v>
          </cell>
          <cell r="X81">
            <v>460</v>
          </cell>
        </row>
        <row r="82">
          <cell r="A82" t="str">
            <v xml:space="preserve"> 67</v>
          </cell>
          <cell r="B82" t="str">
            <v>200360</v>
          </cell>
          <cell r="C82" t="str">
            <v>Psbc</v>
          </cell>
          <cell r="D82" t="str">
            <v>02/May/1998</v>
          </cell>
          <cell r="E82" t="str">
            <v>KPUR0405</v>
          </cell>
          <cell r="F82" t="str">
            <v>1998/05</v>
          </cell>
          <cell r="G82" t="str">
            <v>853820</v>
          </cell>
          <cell r="H82" t="str">
            <v>72005</v>
          </cell>
          <cell r="I82" t="str">
            <v>601000</v>
          </cell>
          <cell r="J82" t="str">
            <v>ROMANOVA TRANSLATION 5/2/98</v>
          </cell>
          <cell r="K82" t="str">
            <v>D1</v>
          </cell>
          <cell r="L82">
            <v>650</v>
          </cell>
          <cell r="M82" t="str">
            <v>OK</v>
          </cell>
          <cell r="N82" t="str">
            <v>S</v>
          </cell>
          <cell r="O82">
            <v>1</v>
          </cell>
          <cell r="P82" t="str">
            <v>72005-1</v>
          </cell>
          <cell r="Q82" t="str">
            <v>LT</v>
          </cell>
          <cell r="R82" t="str">
            <v xml:space="preserve"> </v>
          </cell>
          <cell r="S82" t="str">
            <v xml:space="preserve"> </v>
          </cell>
          <cell r="T82" t="str">
            <v>Anna Romanova</v>
          </cell>
          <cell r="U82" t="str">
            <v>Language Translation</v>
          </cell>
          <cell r="V82" t="str">
            <v xml:space="preserve"> </v>
          </cell>
          <cell r="W82" t="str">
            <v>72005</v>
          </cell>
          <cell r="X82">
            <v>650</v>
          </cell>
        </row>
        <row r="83">
          <cell r="A83" t="str">
            <v xml:space="preserve"> 67</v>
          </cell>
          <cell r="B83" t="str">
            <v>200432</v>
          </cell>
          <cell r="C83" t="str">
            <v>Psbc</v>
          </cell>
          <cell r="D83" t="str">
            <v>30/May/1998</v>
          </cell>
          <cell r="E83" t="str">
            <v>MWAL0015</v>
          </cell>
          <cell r="F83" t="str">
            <v>1998/06</v>
          </cell>
          <cell r="G83" t="str">
            <v>853820</v>
          </cell>
          <cell r="H83" t="str">
            <v>72005</v>
          </cell>
          <cell r="I83" t="str">
            <v>601000</v>
          </cell>
          <cell r="J83" t="str">
            <v>Anna Romanova PO#BEl98-51286</v>
          </cell>
          <cell r="K83" t="str">
            <v>D1</v>
          </cell>
          <cell r="L83">
            <v>1040</v>
          </cell>
          <cell r="M83" t="str">
            <v>OK</v>
          </cell>
          <cell r="N83" t="str">
            <v>S</v>
          </cell>
          <cell r="O83">
            <v>1</v>
          </cell>
          <cell r="P83" t="str">
            <v>72005-1</v>
          </cell>
          <cell r="Q83" t="str">
            <v>LT</v>
          </cell>
          <cell r="R83" t="str">
            <v xml:space="preserve"> </v>
          </cell>
          <cell r="S83" t="str">
            <v xml:space="preserve"> </v>
          </cell>
          <cell r="T83" t="str">
            <v>Anna Romanova</v>
          </cell>
          <cell r="U83" t="str">
            <v>Language Translation</v>
          </cell>
          <cell r="V83" t="str">
            <v xml:space="preserve"> </v>
          </cell>
          <cell r="W83" t="str">
            <v>72005</v>
          </cell>
          <cell r="X83">
            <v>1040</v>
          </cell>
        </row>
        <row r="84">
          <cell r="A84" t="str">
            <v xml:space="preserve"> 67</v>
          </cell>
          <cell r="B84" t="str">
            <v>200455</v>
          </cell>
          <cell r="C84" t="str">
            <v>Psbc</v>
          </cell>
          <cell r="D84" t="str">
            <v>15/Jun/1998</v>
          </cell>
          <cell r="E84" t="str">
            <v>MWAL0029</v>
          </cell>
          <cell r="F84" t="str">
            <v>1998/06</v>
          </cell>
          <cell r="G84" t="str">
            <v>853820</v>
          </cell>
          <cell r="H84" t="str">
            <v>72005</v>
          </cell>
          <cell r="I84" t="str">
            <v>601000</v>
          </cell>
          <cell r="J84" t="str">
            <v>A Romanova PO#BEL98-51478</v>
          </cell>
          <cell r="K84" t="str">
            <v>D1</v>
          </cell>
          <cell r="L84">
            <v>1160</v>
          </cell>
          <cell r="M84" t="str">
            <v>OK</v>
          </cell>
          <cell r="N84" t="str">
            <v>S</v>
          </cell>
          <cell r="O84">
            <v>1</v>
          </cell>
          <cell r="P84" t="str">
            <v>72005-1</v>
          </cell>
          <cell r="Q84" t="str">
            <v>LT</v>
          </cell>
          <cell r="R84" t="str">
            <v xml:space="preserve"> </v>
          </cell>
          <cell r="S84" t="str">
            <v xml:space="preserve"> </v>
          </cell>
          <cell r="T84" t="str">
            <v>Anna Romanova</v>
          </cell>
          <cell r="U84" t="str">
            <v>Language Translation</v>
          </cell>
          <cell r="V84" t="str">
            <v xml:space="preserve"> </v>
          </cell>
          <cell r="W84" t="str">
            <v>72005</v>
          </cell>
          <cell r="X84">
            <v>1160</v>
          </cell>
        </row>
        <row r="85">
          <cell r="A85" t="str">
            <v xml:space="preserve"> 01</v>
          </cell>
          <cell r="B85" t="str">
            <v>000546</v>
          </cell>
          <cell r="C85" t="str">
            <v>Jrnl</v>
          </cell>
          <cell r="D85" t="str">
            <v>31/Aug/1998</v>
          </cell>
          <cell r="E85" t="str">
            <v>TLOH2054</v>
          </cell>
          <cell r="F85" t="str">
            <v>1998/08</v>
          </cell>
          <cell r="G85" t="str">
            <v>853820</v>
          </cell>
          <cell r="H85" t="str">
            <v>72005</v>
          </cell>
          <cell r="I85" t="str">
            <v>601000</v>
          </cell>
          <cell r="J85" t="str">
            <v>ZDA - 1099 ROMANOVA</v>
          </cell>
          <cell r="K85" t="str">
            <v>D1</v>
          </cell>
          <cell r="L85">
            <v>1280</v>
          </cell>
          <cell r="M85" t="str">
            <v>OK</v>
          </cell>
          <cell r="N85" t="str">
            <v>S</v>
          </cell>
          <cell r="O85">
            <v>1</v>
          </cell>
          <cell r="P85" t="str">
            <v>72005-1</v>
          </cell>
          <cell r="Q85" t="str">
            <v>LT</v>
          </cell>
          <cell r="R85" t="str">
            <v xml:space="preserve"> </v>
          </cell>
          <cell r="S85" t="str">
            <v xml:space="preserve"> </v>
          </cell>
          <cell r="T85" t="str">
            <v>Anna Romanova</v>
          </cell>
          <cell r="U85" t="str">
            <v>Language Translation</v>
          </cell>
          <cell r="V85" t="str">
            <v xml:space="preserve"> </v>
          </cell>
          <cell r="W85" t="str">
            <v>72005</v>
          </cell>
          <cell r="X85">
            <v>1280</v>
          </cell>
        </row>
        <row r="86">
          <cell r="A86" t="str">
            <v xml:space="preserve"> 75</v>
          </cell>
          <cell r="B86" t="str">
            <v>002482</v>
          </cell>
          <cell r="C86" t="str">
            <v>cshp</v>
          </cell>
          <cell r="D86" t="str">
            <v>08/Jul/1998</v>
          </cell>
          <cell r="E86" t="str">
            <v>KPUR0682</v>
          </cell>
          <cell r="F86" t="str">
            <v>1998/07</v>
          </cell>
          <cell r="G86" t="str">
            <v>853820</v>
          </cell>
          <cell r="H86" t="str">
            <v>72005</v>
          </cell>
          <cell r="I86" t="str">
            <v>601000</v>
          </cell>
          <cell r="J86" t="str">
            <v>ANNA ROMANOVA PO 51659</v>
          </cell>
          <cell r="K86" t="str">
            <v>D1</v>
          </cell>
          <cell r="L86">
            <v>1360</v>
          </cell>
          <cell r="M86" t="str">
            <v>OK</v>
          </cell>
          <cell r="N86" t="str">
            <v>S</v>
          </cell>
          <cell r="O86">
            <v>1</v>
          </cell>
          <cell r="P86" t="str">
            <v>72005-1</v>
          </cell>
          <cell r="Q86" t="str">
            <v>LT</v>
          </cell>
          <cell r="R86" t="str">
            <v xml:space="preserve"> </v>
          </cell>
          <cell r="S86" t="str">
            <v xml:space="preserve"> </v>
          </cell>
          <cell r="T86" t="str">
            <v>Anna Romanova</v>
          </cell>
          <cell r="U86" t="str">
            <v>Language Translation</v>
          </cell>
          <cell r="V86" t="str">
            <v xml:space="preserve"> </v>
          </cell>
          <cell r="W86" t="str">
            <v>72005</v>
          </cell>
          <cell r="X86">
            <v>1360</v>
          </cell>
        </row>
        <row r="87">
          <cell r="A87" t="str">
            <v xml:space="preserve"> 75</v>
          </cell>
          <cell r="B87" t="str">
            <v>002515</v>
          </cell>
          <cell r="C87" t="str">
            <v>cshp</v>
          </cell>
          <cell r="D87" t="str">
            <v>29/Jul/1998</v>
          </cell>
          <cell r="E87" t="str">
            <v>MWAL0075</v>
          </cell>
          <cell r="F87" t="str">
            <v>1998/09</v>
          </cell>
          <cell r="G87" t="str">
            <v>853820</v>
          </cell>
          <cell r="H87" t="str">
            <v>72005</v>
          </cell>
          <cell r="I87" t="str">
            <v>601000</v>
          </cell>
          <cell r="J87" t="str">
            <v>Anna Romanova</v>
          </cell>
          <cell r="K87" t="str">
            <v>D1</v>
          </cell>
          <cell r="L87">
            <v>1860</v>
          </cell>
          <cell r="M87" t="str">
            <v>OK</v>
          </cell>
          <cell r="N87" t="str">
            <v>S</v>
          </cell>
          <cell r="O87">
            <v>1</v>
          </cell>
          <cell r="P87" t="str">
            <v>72005-1</v>
          </cell>
          <cell r="Q87" t="str">
            <v>LT</v>
          </cell>
          <cell r="R87" t="str">
            <v xml:space="preserve"> </v>
          </cell>
          <cell r="S87" t="str">
            <v xml:space="preserve"> </v>
          </cell>
          <cell r="T87" t="str">
            <v>Anna Romanova</v>
          </cell>
          <cell r="U87" t="str">
            <v>Language Translation</v>
          </cell>
          <cell r="V87" t="str">
            <v xml:space="preserve"> </v>
          </cell>
          <cell r="W87" t="str">
            <v>72005</v>
          </cell>
          <cell r="X87">
            <v>1860</v>
          </cell>
        </row>
        <row r="88">
          <cell r="A88" t="str">
            <v xml:space="preserve"> 01</v>
          </cell>
          <cell r="B88" t="str">
            <v>000462</v>
          </cell>
          <cell r="C88" t="str">
            <v>Jrnl</v>
          </cell>
          <cell r="D88" t="str">
            <v>30/Jun/1998</v>
          </cell>
          <cell r="E88" t="str">
            <v>KPUR0692</v>
          </cell>
          <cell r="F88" t="str">
            <v>1998/06</v>
          </cell>
          <cell r="G88" t="str">
            <v>403890</v>
          </cell>
          <cell r="H88" t="str">
            <v>37130</v>
          </cell>
          <cell r="I88" t="str">
            <v>608000</v>
          </cell>
          <cell r="J88" t="str">
            <v>RECLASS APR INTEREST SWEEPS</v>
          </cell>
          <cell r="K88" t="str">
            <v>D1</v>
          </cell>
          <cell r="L88">
            <v>-46.46</v>
          </cell>
          <cell r="M88" t="str">
            <v>xi</v>
          </cell>
          <cell r="N88" t="str">
            <v>s</v>
          </cell>
          <cell r="O88" t="str">
            <v>Error</v>
          </cell>
          <cell r="P88" t="str">
            <v>37130-Error</v>
          </cell>
          <cell r="R88" t="str">
            <v xml:space="preserve"> </v>
          </cell>
          <cell r="S88" t="str">
            <v xml:space="preserve"> </v>
          </cell>
          <cell r="T88" t="str">
            <v>Anna Romanova Total</v>
          </cell>
          <cell r="U88">
            <v>0</v>
          </cell>
          <cell r="V88" t="str">
            <v>37130</v>
          </cell>
          <cell r="W88">
            <v>-46.46</v>
          </cell>
          <cell r="X88">
            <v>46.46</v>
          </cell>
        </row>
        <row r="89">
          <cell r="A89" t="str">
            <v xml:space="preserve"> 01</v>
          </cell>
          <cell r="B89" t="str">
            <v>000722</v>
          </cell>
          <cell r="C89" t="str">
            <v>Jrnl</v>
          </cell>
          <cell r="D89" t="str">
            <v>23/Nov/1998</v>
          </cell>
          <cell r="E89" t="str">
            <v>NTON0028</v>
          </cell>
          <cell r="F89" t="str">
            <v>1998/11</v>
          </cell>
          <cell r="G89" t="str">
            <v>401220</v>
          </cell>
          <cell r="H89" t="str">
            <v>72005</v>
          </cell>
          <cell r="I89" t="str">
            <v>608000</v>
          </cell>
          <cell r="J89" t="str">
            <v>PE 11/7 Arlt - Kingman</v>
          </cell>
          <cell r="K89" t="str">
            <v>D1</v>
          </cell>
          <cell r="L89">
            <v>120</v>
          </cell>
          <cell r="M89" t="str">
            <v>OK</v>
          </cell>
          <cell r="N89" t="str">
            <v>S</v>
          </cell>
          <cell r="O89">
            <v>1</v>
          </cell>
          <cell r="P89" t="str">
            <v>72005-1</v>
          </cell>
          <cell r="Q89" t="str">
            <v>MC</v>
          </cell>
          <cell r="R89" t="str">
            <v xml:space="preserve"> </v>
          </cell>
          <cell r="S89" t="str">
            <v xml:space="preserve"> </v>
          </cell>
          <cell r="T89" t="str">
            <v>Dr. Kingman</v>
          </cell>
          <cell r="U89">
            <v>0</v>
          </cell>
          <cell r="V89" t="str">
            <v>37130</v>
          </cell>
          <cell r="W89">
            <v>-837.53</v>
          </cell>
          <cell r="X89">
            <v>837.53</v>
          </cell>
        </row>
        <row r="90">
          <cell r="A90" t="str">
            <v xml:space="preserve"> 01</v>
          </cell>
          <cell r="B90" t="str">
            <v>000746</v>
          </cell>
          <cell r="C90" t="str">
            <v>Jrnl</v>
          </cell>
          <cell r="D90" t="str">
            <v>11/Dec/1998</v>
          </cell>
          <cell r="E90" t="str">
            <v>NTON0052</v>
          </cell>
          <cell r="F90" t="str">
            <v>1998/12</v>
          </cell>
          <cell r="G90" t="str">
            <v>401220</v>
          </cell>
          <cell r="H90" t="str">
            <v>72005</v>
          </cell>
          <cell r="I90" t="str">
            <v>608000</v>
          </cell>
          <cell r="J90" t="str">
            <v>PE 11/21 Arlt- Kingman</v>
          </cell>
          <cell r="K90" t="str">
            <v>D1</v>
          </cell>
          <cell r="L90">
            <v>240</v>
          </cell>
          <cell r="M90" t="str">
            <v>OK</v>
          </cell>
          <cell r="N90" t="str">
            <v>S</v>
          </cell>
          <cell r="O90">
            <v>1</v>
          </cell>
          <cell r="P90" t="str">
            <v>72005-1</v>
          </cell>
          <cell r="Q90" t="str">
            <v>MC</v>
          </cell>
          <cell r="R90" t="str">
            <v xml:space="preserve"> </v>
          </cell>
          <cell r="S90" t="str">
            <v xml:space="preserve"> </v>
          </cell>
          <cell r="T90" t="str">
            <v>Dr. Kingman</v>
          </cell>
          <cell r="U90">
            <v>0</v>
          </cell>
          <cell r="V90" t="str">
            <v>37130</v>
          </cell>
          <cell r="W90">
            <v>-1617.29</v>
          </cell>
          <cell r="X90">
            <v>1617.29</v>
          </cell>
        </row>
        <row r="91">
          <cell r="A91" t="str">
            <v xml:space="preserve"> 01</v>
          </cell>
          <cell r="B91" t="str">
            <v>000731</v>
          </cell>
          <cell r="C91" t="str">
            <v>Jrnl</v>
          </cell>
          <cell r="D91" t="str">
            <v>30/Nov/1998</v>
          </cell>
          <cell r="E91" t="str">
            <v>NTON0035</v>
          </cell>
          <cell r="F91" t="str">
            <v>1998/11</v>
          </cell>
          <cell r="G91" t="str">
            <v>400220</v>
          </cell>
          <cell r="H91" t="str">
            <v>72005</v>
          </cell>
          <cell r="I91" t="str">
            <v>608006</v>
          </cell>
          <cell r="J91" t="str">
            <v>Ck #498 Dr. Kingman</v>
          </cell>
          <cell r="K91" t="str">
            <v>D1</v>
          </cell>
          <cell r="L91">
            <v>550</v>
          </cell>
          <cell r="M91" t="str">
            <v>OK</v>
          </cell>
          <cell r="N91" t="str">
            <v>S</v>
          </cell>
          <cell r="O91">
            <v>1</v>
          </cell>
          <cell r="P91" t="str">
            <v>72005-1</v>
          </cell>
          <cell r="Q91" t="str">
            <v>MC</v>
          </cell>
          <cell r="R91" t="str">
            <v xml:space="preserve"> </v>
          </cell>
          <cell r="S91" t="str">
            <v xml:space="preserve"> </v>
          </cell>
          <cell r="T91" t="str">
            <v>Dr. Kingman</v>
          </cell>
          <cell r="U91">
            <v>0</v>
          </cell>
          <cell r="V91" t="str">
            <v>37130</v>
          </cell>
          <cell r="W91">
            <v>2501.2800000000002</v>
          </cell>
          <cell r="X91">
            <v>2501.2800000000002</v>
          </cell>
        </row>
        <row r="92">
          <cell r="A92" t="str">
            <v xml:space="preserve"> 01</v>
          </cell>
          <cell r="B92" t="str">
            <v>000730</v>
          </cell>
          <cell r="C92" t="str">
            <v>Jrnl</v>
          </cell>
          <cell r="D92" t="str">
            <v>10/Nov/1998</v>
          </cell>
          <cell r="E92" t="str">
            <v>NTON0035</v>
          </cell>
          <cell r="F92" t="str">
            <v>1998/11</v>
          </cell>
          <cell r="G92" t="str">
            <v>400220</v>
          </cell>
          <cell r="H92" t="str">
            <v>72005</v>
          </cell>
          <cell r="I92" t="str">
            <v>608000</v>
          </cell>
          <cell r="J92" t="str">
            <v>Ck #534 Dr. Kingman</v>
          </cell>
          <cell r="K92" t="str">
            <v>D1</v>
          </cell>
          <cell r="L92">
            <v>880</v>
          </cell>
          <cell r="M92" t="str">
            <v>OK</v>
          </cell>
          <cell r="N92" t="str">
            <v>S</v>
          </cell>
          <cell r="O92">
            <v>1</v>
          </cell>
          <cell r="P92" t="str">
            <v>72005-1</v>
          </cell>
          <cell r="Q92" t="str">
            <v>MC</v>
          </cell>
          <cell r="R92" t="str">
            <v xml:space="preserve"> </v>
          </cell>
          <cell r="S92" t="str">
            <v xml:space="preserve"> </v>
          </cell>
          <cell r="T92" t="str">
            <v>Dr. Kingman</v>
          </cell>
          <cell r="U92" t="str">
            <v>Medical Consultant</v>
          </cell>
          <cell r="V92" t="str">
            <v xml:space="preserve"> </v>
          </cell>
          <cell r="W92" t="str">
            <v>72005</v>
          </cell>
          <cell r="X92">
            <v>880</v>
          </cell>
        </row>
        <row r="93">
          <cell r="A93" t="str">
            <v xml:space="preserve"> 01</v>
          </cell>
          <cell r="B93" t="str">
            <v>000746</v>
          </cell>
          <cell r="C93" t="str">
            <v>Jrnl</v>
          </cell>
          <cell r="D93" t="str">
            <v>11/Dec/1998</v>
          </cell>
          <cell r="E93" t="str">
            <v>NTON0052</v>
          </cell>
          <cell r="F93" t="str">
            <v>1998/12</v>
          </cell>
          <cell r="G93" t="str">
            <v>401220</v>
          </cell>
          <cell r="H93" t="str">
            <v>72005</v>
          </cell>
          <cell r="I93" t="str">
            <v>608000</v>
          </cell>
          <cell r="J93" t="str">
            <v>PE 11/21 Kingman</v>
          </cell>
          <cell r="K93" t="str">
            <v>D1</v>
          </cell>
          <cell r="L93">
            <v>1100</v>
          </cell>
          <cell r="M93" t="str">
            <v>OK</v>
          </cell>
          <cell r="N93" t="str">
            <v>S</v>
          </cell>
          <cell r="O93">
            <v>1</v>
          </cell>
          <cell r="P93" t="str">
            <v>72005-1</v>
          </cell>
          <cell r="Q93" t="str">
            <v>MC</v>
          </cell>
          <cell r="R93" t="str">
            <v xml:space="preserve"> </v>
          </cell>
          <cell r="S93" t="str">
            <v xml:space="preserve"> </v>
          </cell>
          <cell r="T93" t="str">
            <v>Dr. Kingman</v>
          </cell>
          <cell r="U93">
            <v>0</v>
          </cell>
          <cell r="V93" t="str">
            <v>37130</v>
          </cell>
          <cell r="W93">
            <v>4.1500000000000004</v>
          </cell>
          <cell r="X93">
            <v>4.1500000000000004</v>
          </cell>
        </row>
        <row r="94">
          <cell r="A94" t="str">
            <v xml:space="preserve"> 01</v>
          </cell>
          <cell r="B94" t="str">
            <v>000722</v>
          </cell>
          <cell r="C94" t="str">
            <v>Jrnl</v>
          </cell>
          <cell r="D94" t="str">
            <v>23/Nov/1998</v>
          </cell>
          <cell r="E94" t="str">
            <v>NTON0028</v>
          </cell>
          <cell r="F94" t="str">
            <v>1998/11</v>
          </cell>
          <cell r="G94" t="str">
            <v>401220</v>
          </cell>
          <cell r="H94" t="str">
            <v>72005</v>
          </cell>
          <cell r="I94" t="str">
            <v>608000</v>
          </cell>
          <cell r="J94" t="str">
            <v>PE 11/7 Kingman</v>
          </cell>
          <cell r="K94" t="str">
            <v>D1</v>
          </cell>
          <cell r="L94">
            <v>1100</v>
          </cell>
          <cell r="M94" t="str">
            <v>OK</v>
          </cell>
          <cell r="N94" t="str">
            <v>S</v>
          </cell>
          <cell r="O94">
            <v>1</v>
          </cell>
          <cell r="P94" t="str">
            <v>72005-1</v>
          </cell>
          <cell r="Q94" t="str">
            <v>MC</v>
          </cell>
          <cell r="R94" t="str">
            <v xml:space="preserve"> </v>
          </cell>
          <cell r="S94" t="str">
            <v xml:space="preserve"> </v>
          </cell>
          <cell r="T94" t="str">
            <v>Dr. Kingman</v>
          </cell>
          <cell r="U94">
            <v>0</v>
          </cell>
          <cell r="V94" t="str">
            <v>37130</v>
          </cell>
          <cell r="W94">
            <v>-4.1500000000000004</v>
          </cell>
          <cell r="X94">
            <v>4.1500000000000004</v>
          </cell>
        </row>
        <row r="95">
          <cell r="A95" t="str">
            <v xml:space="preserve"> 01</v>
          </cell>
          <cell r="B95" t="str">
            <v>000776</v>
          </cell>
          <cell r="C95" t="str">
            <v>Jrnl</v>
          </cell>
          <cell r="D95" t="str">
            <v>17/Dec/1998</v>
          </cell>
          <cell r="E95" t="str">
            <v>NTON0082</v>
          </cell>
          <cell r="F95" t="str">
            <v>1998/12</v>
          </cell>
          <cell r="G95" t="str">
            <v>401220</v>
          </cell>
          <cell r="H95" t="str">
            <v>72005</v>
          </cell>
          <cell r="I95" t="str">
            <v>608000</v>
          </cell>
          <cell r="J95" t="str">
            <v>PE 12/5 Kingman</v>
          </cell>
          <cell r="K95" t="str">
            <v>D1</v>
          </cell>
          <cell r="L95">
            <v>1100</v>
          </cell>
          <cell r="M95" t="str">
            <v>OK</v>
          </cell>
          <cell r="N95" t="str">
            <v>S</v>
          </cell>
          <cell r="O95">
            <v>1</v>
          </cell>
          <cell r="P95" t="str">
            <v>72005-1</v>
          </cell>
          <cell r="Q95" t="str">
            <v>MC</v>
          </cell>
          <cell r="R95" t="str">
            <v xml:space="preserve"> </v>
          </cell>
          <cell r="S95" t="str">
            <v xml:space="preserve"> </v>
          </cell>
          <cell r="T95" t="str">
            <v>Dr. Kingman</v>
          </cell>
          <cell r="U95">
            <v>0</v>
          </cell>
          <cell r="V95" t="str">
            <v>37130</v>
          </cell>
          <cell r="W95">
            <v>-4.3</v>
          </cell>
          <cell r="X95">
            <v>4.3</v>
          </cell>
        </row>
        <row r="96">
          <cell r="A96" t="str">
            <v xml:space="preserve"> 01</v>
          </cell>
          <cell r="B96" t="str">
            <v>000813</v>
          </cell>
          <cell r="C96" t="str">
            <v>Jrnl</v>
          </cell>
          <cell r="D96" t="str">
            <v>31/Dec/1998</v>
          </cell>
          <cell r="E96" t="str">
            <v>KROS0018</v>
          </cell>
          <cell r="F96" t="str">
            <v>1998/12</v>
          </cell>
          <cell r="G96" t="str">
            <v>400220</v>
          </cell>
          <cell r="H96" t="str">
            <v>72005</v>
          </cell>
          <cell r="I96" t="str">
            <v>608006</v>
          </cell>
          <cell r="J96" t="str">
            <v>Ck 455 Dr. Kingman</v>
          </cell>
          <cell r="K96" t="str">
            <v>D1</v>
          </cell>
          <cell r="L96">
            <v>1155</v>
          </cell>
          <cell r="M96" t="str">
            <v>OK</v>
          </cell>
          <cell r="N96" t="str">
            <v>S</v>
          </cell>
          <cell r="O96">
            <v>1</v>
          </cell>
          <cell r="P96" t="str">
            <v>72005-1</v>
          </cell>
          <cell r="Q96" t="str">
            <v>MC</v>
          </cell>
          <cell r="R96" t="str">
            <v xml:space="preserve"> </v>
          </cell>
          <cell r="S96" t="str">
            <v xml:space="preserve"> </v>
          </cell>
          <cell r="T96" t="str">
            <v>Dr. Kingman</v>
          </cell>
          <cell r="U96">
            <v>0</v>
          </cell>
          <cell r="V96" t="str">
            <v>37130</v>
          </cell>
          <cell r="W96">
            <v>-4.3</v>
          </cell>
          <cell r="X96">
            <v>4.3</v>
          </cell>
        </row>
        <row r="97">
          <cell r="A97" t="str">
            <v xml:space="preserve"> 75</v>
          </cell>
          <cell r="B97" t="str">
            <v>002595</v>
          </cell>
          <cell r="C97" t="str">
            <v>cshp</v>
          </cell>
          <cell r="D97" t="str">
            <v>16/Sep/1998</v>
          </cell>
          <cell r="E97" t="str">
            <v>MWAL0081</v>
          </cell>
          <cell r="F97" t="str">
            <v>1998/09</v>
          </cell>
          <cell r="G97" t="str">
            <v>400220</v>
          </cell>
          <cell r="H97" t="str">
            <v>72005</v>
          </cell>
          <cell r="I97" t="str">
            <v>608005</v>
          </cell>
          <cell r="J97" t="str">
            <v>John Kingman, M.D.</v>
          </cell>
          <cell r="K97" t="str">
            <v>D1</v>
          </cell>
          <cell r="L97">
            <v>1910</v>
          </cell>
          <cell r="M97" t="str">
            <v>OK</v>
          </cell>
          <cell r="N97" t="str">
            <v>S</v>
          </cell>
          <cell r="O97">
            <v>1</v>
          </cell>
          <cell r="P97" t="str">
            <v>72005-1</v>
          </cell>
          <cell r="Q97" t="str">
            <v>MC</v>
          </cell>
          <cell r="R97" t="str">
            <v xml:space="preserve"> </v>
          </cell>
          <cell r="S97" t="str">
            <v xml:space="preserve"> </v>
          </cell>
          <cell r="T97" t="str">
            <v>Dr. Kingman</v>
          </cell>
          <cell r="U97">
            <v>0</v>
          </cell>
          <cell r="V97" t="str">
            <v>37130</v>
          </cell>
          <cell r="W97">
            <v>4.3</v>
          </cell>
          <cell r="X97">
            <v>4.3</v>
          </cell>
        </row>
        <row r="98">
          <cell r="A98" t="str">
            <v xml:space="preserve"> 01</v>
          </cell>
          <cell r="B98" t="str">
            <v>000806</v>
          </cell>
          <cell r="C98" t="str">
            <v>Jrnl</v>
          </cell>
          <cell r="D98" t="str">
            <v>30/Dec/1998</v>
          </cell>
          <cell r="E98" t="str">
            <v>NTON0116</v>
          </cell>
          <cell r="F98" t="str">
            <v>1998/12</v>
          </cell>
          <cell r="G98" t="str">
            <v>403890</v>
          </cell>
          <cell r="H98" t="str">
            <v>37130</v>
          </cell>
          <cell r="I98" t="str">
            <v>080000</v>
          </cell>
          <cell r="J98" t="str">
            <v>RevDoc763 Int Sweeps 10/98</v>
          </cell>
          <cell r="K98" t="str">
            <v>D1</v>
          </cell>
          <cell r="L98">
            <v>4.3</v>
          </cell>
          <cell r="M98" t="str">
            <v>x</v>
          </cell>
          <cell r="N98" t="str">
            <v>s</v>
          </cell>
          <cell r="O98" t="str">
            <v>X</v>
          </cell>
          <cell r="P98" t="str">
            <v>37130-X</v>
          </cell>
          <cell r="R98" t="str">
            <v xml:space="preserve"> </v>
          </cell>
          <cell r="S98" t="str">
            <v xml:space="preserve"> </v>
          </cell>
          <cell r="T98" t="str">
            <v>Dr. Kingman Total</v>
          </cell>
          <cell r="U98">
            <v>0</v>
          </cell>
          <cell r="V98" t="str">
            <v>37130</v>
          </cell>
          <cell r="W98">
            <v>4.3</v>
          </cell>
          <cell r="X98">
            <v>4.3</v>
          </cell>
        </row>
        <row r="99">
          <cell r="A99" t="str">
            <v xml:space="preserve"> 75</v>
          </cell>
          <cell r="B99" t="str">
            <v>002185</v>
          </cell>
          <cell r="C99" t="str">
            <v>cshp</v>
          </cell>
          <cell r="D99" t="str">
            <v>08/May/1998</v>
          </cell>
          <cell r="E99" t="str">
            <v>KPUR0411</v>
          </cell>
          <cell r="F99" t="str">
            <v>1998/05</v>
          </cell>
          <cell r="G99" t="str">
            <v>853820</v>
          </cell>
          <cell r="H99" t="str">
            <v>72005</v>
          </cell>
          <cell r="I99" t="str">
            <v>601000</v>
          </cell>
          <cell r="J99" t="str">
            <v>FRANCOIS DUPUIS PO 51027</v>
          </cell>
          <cell r="K99" t="str">
            <v>D1</v>
          </cell>
          <cell r="L99">
            <v>1500</v>
          </cell>
          <cell r="M99" t="str">
            <v>OK</v>
          </cell>
          <cell r="N99" t="str">
            <v>S</v>
          </cell>
          <cell r="O99">
            <v>1</v>
          </cell>
          <cell r="P99" t="str">
            <v>72005-1</v>
          </cell>
          <cell r="Q99" t="str">
            <v>TPC</v>
          </cell>
          <cell r="R99" t="str">
            <v xml:space="preserve"> </v>
          </cell>
          <cell r="S99" t="str">
            <v xml:space="preserve"> </v>
          </cell>
          <cell r="T99" t="str">
            <v>Francois Dupuis</v>
          </cell>
          <cell r="U99">
            <v>0</v>
          </cell>
          <cell r="V99" t="str">
            <v>37130</v>
          </cell>
          <cell r="W99">
            <v>-46.46</v>
          </cell>
          <cell r="X99">
            <v>46.46</v>
          </cell>
        </row>
        <row r="100">
          <cell r="A100" t="str">
            <v xml:space="preserve"> 67</v>
          </cell>
          <cell r="B100" t="str">
            <v>200433</v>
          </cell>
          <cell r="C100" t="str">
            <v>Psbc</v>
          </cell>
          <cell r="D100" t="str">
            <v>30/May/1998</v>
          </cell>
          <cell r="E100" t="str">
            <v>MWAL0015</v>
          </cell>
          <cell r="F100" t="str">
            <v>1998/06</v>
          </cell>
          <cell r="G100" t="str">
            <v>853820</v>
          </cell>
          <cell r="H100" t="str">
            <v>72005</v>
          </cell>
          <cell r="I100" t="str">
            <v>601000</v>
          </cell>
          <cell r="J100" t="str">
            <v>F Dupuis BEL98-51027</v>
          </cell>
          <cell r="K100" t="str">
            <v>D1</v>
          </cell>
          <cell r="L100">
            <v>2000</v>
          </cell>
          <cell r="M100" t="str">
            <v>OK</v>
          </cell>
          <cell r="N100" t="str">
            <v>S</v>
          </cell>
          <cell r="O100">
            <v>1</v>
          </cell>
          <cell r="P100" t="str">
            <v>72005-1</v>
          </cell>
          <cell r="Q100" t="str">
            <v>TPC</v>
          </cell>
          <cell r="R100" t="str">
            <v xml:space="preserve"> </v>
          </cell>
          <cell r="S100" t="str">
            <v xml:space="preserve"> </v>
          </cell>
          <cell r="T100" t="str">
            <v>Francois Dupuis</v>
          </cell>
          <cell r="U100">
            <v>0</v>
          </cell>
          <cell r="V100" t="str">
            <v>37130</v>
          </cell>
          <cell r="W100">
            <v>46.46</v>
          </cell>
          <cell r="X100">
            <v>46.46</v>
          </cell>
        </row>
        <row r="101">
          <cell r="A101" t="str">
            <v xml:space="preserve"> 75</v>
          </cell>
          <cell r="B101" t="str">
            <v>002514</v>
          </cell>
          <cell r="C101" t="str">
            <v>cshp</v>
          </cell>
          <cell r="D101" t="str">
            <v>29/Jul/1998</v>
          </cell>
          <cell r="E101" t="str">
            <v>MWAL0075</v>
          </cell>
          <cell r="F101" t="str">
            <v>1998/09</v>
          </cell>
          <cell r="G101" t="str">
            <v>853820</v>
          </cell>
          <cell r="H101" t="str">
            <v>72005</v>
          </cell>
          <cell r="I101" t="str">
            <v>601000</v>
          </cell>
          <cell r="J101" t="str">
            <v>Francois Dupuis</v>
          </cell>
          <cell r="K101" t="str">
            <v>D1</v>
          </cell>
          <cell r="L101">
            <v>2000</v>
          </cell>
          <cell r="M101" t="str">
            <v>OK</v>
          </cell>
          <cell r="N101" t="str">
            <v>S</v>
          </cell>
          <cell r="O101">
            <v>1</v>
          </cell>
          <cell r="P101" t="str">
            <v>72005-1</v>
          </cell>
          <cell r="Q101" t="str">
            <v>TPC</v>
          </cell>
          <cell r="R101" t="str">
            <v xml:space="preserve"> </v>
          </cell>
          <cell r="S101" t="str">
            <v xml:space="preserve"> </v>
          </cell>
          <cell r="T101" t="str">
            <v>Francois Dupuis</v>
          </cell>
          <cell r="U101">
            <v>0</v>
          </cell>
          <cell r="V101" t="str">
            <v>37130</v>
          </cell>
          <cell r="W101">
            <v>-837.53</v>
          </cell>
          <cell r="X101">
            <v>837.53</v>
          </cell>
        </row>
        <row r="102">
          <cell r="A102" t="str">
            <v xml:space="preserve"> 75</v>
          </cell>
          <cell r="B102" t="str">
            <v>002618</v>
          </cell>
          <cell r="C102" t="str">
            <v>cshp</v>
          </cell>
          <cell r="D102" t="str">
            <v>17/Sep/1998</v>
          </cell>
          <cell r="E102" t="str">
            <v>MWAL0083</v>
          </cell>
          <cell r="F102" t="str">
            <v>1998/09</v>
          </cell>
          <cell r="G102" t="str">
            <v>853820</v>
          </cell>
          <cell r="H102" t="str">
            <v>72005</v>
          </cell>
          <cell r="I102" t="str">
            <v>601000</v>
          </cell>
          <cell r="J102" t="str">
            <v>Francois Dupuis</v>
          </cell>
          <cell r="K102" t="str">
            <v>D1</v>
          </cell>
          <cell r="L102">
            <v>2000</v>
          </cell>
          <cell r="M102" t="str">
            <v>OK</v>
          </cell>
          <cell r="N102" t="str">
            <v>S</v>
          </cell>
          <cell r="O102">
            <v>1</v>
          </cell>
          <cell r="P102" t="str">
            <v>72005-1</v>
          </cell>
          <cell r="Q102" t="str">
            <v>TPC</v>
          </cell>
          <cell r="R102" t="str">
            <v xml:space="preserve"> </v>
          </cell>
          <cell r="S102" t="str">
            <v xml:space="preserve"> </v>
          </cell>
          <cell r="T102" t="str">
            <v>Francois Dupuis</v>
          </cell>
          <cell r="U102">
            <v>0</v>
          </cell>
          <cell r="V102" t="str">
            <v>37130</v>
          </cell>
          <cell r="W102">
            <v>837.53</v>
          </cell>
          <cell r="X102">
            <v>837.53</v>
          </cell>
        </row>
      </sheetData>
      <sheetData sheetId="1" refreshError="1">
        <row r="9">
          <cell r="A9" t="str">
            <v>DOCUMENT</v>
          </cell>
        </row>
        <row r="10">
          <cell r="A10" t="str">
            <v xml:space="preserve"> 01</v>
          </cell>
          <cell r="B10" t="str">
            <v>000775</v>
          </cell>
          <cell r="C10" t="str">
            <v>Jrnl</v>
          </cell>
          <cell r="D10" t="str">
            <v>10/Dec/1998</v>
          </cell>
          <cell r="E10" t="str">
            <v>DPAN0004</v>
          </cell>
          <cell r="F10" t="str">
            <v>1998/12</v>
          </cell>
          <cell r="G10" t="str">
            <v>000000</v>
          </cell>
          <cell r="H10" t="str">
            <v>22605</v>
          </cell>
          <cell r="I10" t="str">
            <v>608000</v>
          </cell>
          <cell r="J10" t="str">
            <v>CPP Tax-Thomas</v>
          </cell>
          <cell r="K10" t="str">
            <v>D1</v>
          </cell>
          <cell r="L10">
            <v>613.57000000000005</v>
          </cell>
          <cell r="M10" t="str">
            <v>X</v>
          </cell>
          <cell r="N10" t="str">
            <v>Summary Level- (S)ummary, (D)etail</v>
          </cell>
          <cell r="O10" t="str">
            <v>Sort Order</v>
          </cell>
          <cell r="P10" t="str">
            <v>Compound Code</v>
          </cell>
          <cell r="Q10" t="str">
            <v>Special Groupings</v>
          </cell>
          <cell r="R10" t="str">
            <v>RO or RI G/L Account</v>
          </cell>
          <cell r="S10" t="str">
            <v>RO or RI Schedule No.</v>
          </cell>
          <cell r="T10" t="str">
            <v>Payment Paid To</v>
          </cell>
          <cell r="U10" t="str">
            <v>Description</v>
          </cell>
          <cell r="V10" t="str">
            <v>G/L Account</v>
          </cell>
          <cell r="W10" t="str">
            <v>Amount</v>
          </cell>
          <cell r="X10" t="str">
            <v>Absolute Value</v>
          </cell>
        </row>
        <row r="11">
          <cell r="A11" t="str">
            <v xml:space="preserve"> 01</v>
          </cell>
          <cell r="B11" t="str">
            <v>000775</v>
          </cell>
          <cell r="C11" t="str">
            <v>Jrnl</v>
          </cell>
          <cell r="D11" t="str">
            <v>10/Dec/1998</v>
          </cell>
          <cell r="E11" t="str">
            <v>DPAN0004</v>
          </cell>
          <cell r="F11" t="str">
            <v>1998/12</v>
          </cell>
          <cell r="G11" t="str">
            <v>000000</v>
          </cell>
          <cell r="H11" t="str">
            <v>22605</v>
          </cell>
          <cell r="I11" t="str">
            <v>608000</v>
          </cell>
          <cell r="J11" t="str">
            <v>CPP Tax-Van strykonck</v>
          </cell>
          <cell r="K11" t="str">
            <v>D1</v>
          </cell>
          <cell r="L11">
            <v>616.85</v>
          </cell>
          <cell r="M11" t="str">
            <v>X</v>
          </cell>
          <cell r="N11" t="str">
            <v>s</v>
          </cell>
          <cell r="O11" t="str">
            <v>X</v>
          </cell>
          <cell r="P11" t="str">
            <v>58070-X</v>
          </cell>
          <cell r="Q11" t="str">
            <v>U</v>
          </cell>
          <cell r="R11" t="str">
            <v xml:space="preserve"> </v>
          </cell>
          <cell r="S11" t="str">
            <v xml:space="preserve"> </v>
          </cell>
          <cell r="T11" t="str">
            <v>Unknown</v>
          </cell>
          <cell r="U11" t="str">
            <v>Unknown</v>
          </cell>
          <cell r="V11" t="str">
            <v>58070</v>
          </cell>
          <cell r="W11">
            <v>-777354.74</v>
          </cell>
          <cell r="X11">
            <v>777354.74</v>
          </cell>
        </row>
        <row r="12">
          <cell r="A12" t="str">
            <v xml:space="preserve"> 01</v>
          </cell>
          <cell r="B12" t="str">
            <v>000775</v>
          </cell>
          <cell r="C12" t="str">
            <v>Jrnl</v>
          </cell>
          <cell r="D12" t="str">
            <v>10/Dec/1998</v>
          </cell>
          <cell r="E12" t="str">
            <v>DPAN0004</v>
          </cell>
          <cell r="F12" t="str">
            <v>1998/12</v>
          </cell>
          <cell r="G12" t="str">
            <v>000000</v>
          </cell>
          <cell r="H12" t="str">
            <v>22605</v>
          </cell>
          <cell r="I12" t="str">
            <v>608000</v>
          </cell>
          <cell r="J12" t="str">
            <v>FICA Refund-Van Strydonch</v>
          </cell>
          <cell r="K12" t="str">
            <v>D1</v>
          </cell>
          <cell r="L12">
            <v>-1246</v>
          </cell>
          <cell r="M12" t="str">
            <v>X</v>
          </cell>
          <cell r="O12" t="str">
            <v>X</v>
          </cell>
          <cell r="P12" t="str">
            <v>58070-X</v>
          </cell>
          <cell r="R12" t="str">
            <v xml:space="preserve"> </v>
          </cell>
          <cell r="S12" t="str">
            <v xml:space="preserve"> </v>
          </cell>
          <cell r="T12" t="str">
            <v>Input</v>
          </cell>
          <cell r="U12" t="str">
            <v>Input</v>
          </cell>
          <cell r="V12" t="str">
            <v>58070</v>
          </cell>
          <cell r="W12">
            <v>-61077.58</v>
          </cell>
          <cell r="X12">
            <v>61077.58</v>
          </cell>
        </row>
        <row r="13">
          <cell r="A13" t="str">
            <v xml:space="preserve"> 02</v>
          </cell>
          <cell r="B13" t="str">
            <v>000060</v>
          </cell>
          <cell r="C13" t="str">
            <v>Accl</v>
          </cell>
          <cell r="D13" t="str">
            <v>18/Dec/1998</v>
          </cell>
          <cell r="E13" t="str">
            <v>KROS0023</v>
          </cell>
          <cell r="F13" t="str">
            <v>1998/12</v>
          </cell>
          <cell r="G13" t="str">
            <v>000000</v>
          </cell>
          <cell r="H13" t="str">
            <v>22675</v>
          </cell>
          <cell r="I13" t="str">
            <v>608000</v>
          </cell>
          <cell r="J13" t="str">
            <v>12/6 @ 12/31 Accrual</v>
          </cell>
          <cell r="K13" t="str">
            <v>D1</v>
          </cell>
          <cell r="L13">
            <v>74607.740000000005</v>
          </cell>
          <cell r="M13" t="str">
            <v>X</v>
          </cell>
          <cell r="O13" t="str">
            <v>X</v>
          </cell>
          <cell r="P13" t="str">
            <v>58070-X</v>
          </cell>
          <cell r="R13" t="str">
            <v xml:space="preserve"> </v>
          </cell>
          <cell r="S13" t="str">
            <v xml:space="preserve"> </v>
          </cell>
          <cell r="T13" t="str">
            <v>Input</v>
          </cell>
          <cell r="U13" t="str">
            <v>Input</v>
          </cell>
          <cell r="V13" t="str">
            <v>58070</v>
          </cell>
          <cell r="W13">
            <v>-40890.699999999997</v>
          </cell>
          <cell r="X13">
            <v>40890.699999999997</v>
          </cell>
        </row>
        <row r="14">
          <cell r="A14" t="str">
            <v xml:space="preserve"> 02</v>
          </cell>
          <cell r="B14" t="str">
            <v>000044</v>
          </cell>
          <cell r="C14" t="str">
            <v>Accl</v>
          </cell>
          <cell r="D14" t="str">
            <v>22/Nov/1998</v>
          </cell>
          <cell r="E14" t="str">
            <v>NTON0028</v>
          </cell>
          <cell r="F14" t="str">
            <v>1998/11</v>
          </cell>
          <cell r="G14" t="str">
            <v>000000</v>
          </cell>
          <cell r="H14" t="str">
            <v>22620</v>
          </cell>
          <cell r="I14" t="str">
            <v>608000</v>
          </cell>
          <cell r="J14" t="str">
            <v>Acc 11/8@11/30 Tax</v>
          </cell>
          <cell r="K14" t="str">
            <v>D1</v>
          </cell>
          <cell r="L14">
            <v>-146098.85999999999</v>
          </cell>
          <cell r="M14" t="str">
            <v>X</v>
          </cell>
          <cell r="N14" t="str">
            <v>s</v>
          </cell>
          <cell r="O14">
            <v>1</v>
          </cell>
          <cell r="P14" t="str">
            <v>58070-1</v>
          </cell>
          <cell r="Q14" t="str">
            <v>AD</v>
          </cell>
          <cell r="R14" t="str">
            <v xml:space="preserve"> </v>
          </cell>
          <cell r="S14" t="str">
            <v xml:space="preserve"> </v>
          </cell>
          <cell r="T14" t="str">
            <v>CDS-America</v>
          </cell>
          <cell r="U14" t="str">
            <v>Interest on Intercompany Advance</v>
          </cell>
          <cell r="V14" t="str">
            <v>58070</v>
          </cell>
          <cell r="W14">
            <v>559.16999999999996</v>
          </cell>
          <cell r="X14">
            <v>559.16999999999996</v>
          </cell>
        </row>
        <row r="15">
          <cell r="A15" t="str">
            <v xml:space="preserve"> 03</v>
          </cell>
          <cell r="B15" t="str">
            <v>000044</v>
          </cell>
          <cell r="C15" t="str">
            <v>Rvsl</v>
          </cell>
          <cell r="D15" t="str">
            <v>22/Nov/1998</v>
          </cell>
          <cell r="E15" t="str">
            <v>NTON0028</v>
          </cell>
          <cell r="F15" t="str">
            <v>1998/12</v>
          </cell>
          <cell r="G15" t="str">
            <v>000000</v>
          </cell>
          <cell r="H15" t="str">
            <v>22620</v>
          </cell>
          <cell r="I15" t="str">
            <v>608000</v>
          </cell>
          <cell r="J15" t="str">
            <v>Acc 11/8@11/30 Tax</v>
          </cell>
          <cell r="K15" t="str">
            <v>D1</v>
          </cell>
          <cell r="L15">
            <v>146098.85999999999</v>
          </cell>
          <cell r="M15" t="str">
            <v>X</v>
          </cell>
          <cell r="N15" t="str">
            <v>s</v>
          </cell>
          <cell r="O15">
            <v>1</v>
          </cell>
          <cell r="P15" t="str">
            <v>58070-1</v>
          </cell>
          <cell r="Q15" t="str">
            <v>AD</v>
          </cell>
          <cell r="R15" t="str">
            <v xml:space="preserve"> </v>
          </cell>
          <cell r="S15" t="str">
            <v xml:space="preserve"> </v>
          </cell>
          <cell r="T15" t="str">
            <v>CDS-America</v>
          </cell>
          <cell r="U15" t="str">
            <v>Interest on Intercompany Advance</v>
          </cell>
          <cell r="V15" t="str">
            <v>58070</v>
          </cell>
          <cell r="W15">
            <v>2616.8200000000002</v>
          </cell>
          <cell r="X15">
            <v>2616.8200000000002</v>
          </cell>
        </row>
        <row r="16">
          <cell r="A16" t="str">
            <v xml:space="preserve"> 01</v>
          </cell>
          <cell r="B16" t="str">
            <v>000246</v>
          </cell>
          <cell r="C16" t="str">
            <v>Jrnl</v>
          </cell>
          <cell r="D16" t="str">
            <v>28/Feb/1998</v>
          </cell>
          <cell r="E16" t="str">
            <v>KPUR0034</v>
          </cell>
          <cell r="F16" t="str">
            <v>1998/02</v>
          </cell>
          <cell r="G16" t="str">
            <v>000000</v>
          </cell>
          <cell r="H16" t="str">
            <v>22620</v>
          </cell>
          <cell r="I16" t="str">
            <v>090001</v>
          </cell>
          <cell r="J16" t="str">
            <v>ADJ FOR TAX</v>
          </cell>
          <cell r="K16" t="str">
            <v>D1</v>
          </cell>
          <cell r="L16">
            <v>66.38</v>
          </cell>
          <cell r="M16" t="str">
            <v>X</v>
          </cell>
          <cell r="N16" t="str">
            <v>s</v>
          </cell>
          <cell r="O16">
            <v>1</v>
          </cell>
          <cell r="P16" t="str">
            <v>58070-1</v>
          </cell>
          <cell r="Q16" t="str">
            <v>AD</v>
          </cell>
          <cell r="R16" t="str">
            <v xml:space="preserve"> </v>
          </cell>
          <cell r="S16" t="str">
            <v xml:space="preserve"> </v>
          </cell>
          <cell r="T16" t="str">
            <v>CDS-America</v>
          </cell>
          <cell r="U16" t="str">
            <v>Interest on Intercompany Advance</v>
          </cell>
          <cell r="V16" t="str">
            <v>58070</v>
          </cell>
          <cell r="W16">
            <v>2660.96</v>
          </cell>
          <cell r="X16">
            <v>2660.96</v>
          </cell>
        </row>
        <row r="17">
          <cell r="A17" t="str">
            <v xml:space="preserve"> 01</v>
          </cell>
          <cell r="B17" t="str">
            <v>000732</v>
          </cell>
          <cell r="C17" t="str">
            <v>Jrnl</v>
          </cell>
          <cell r="D17" t="str">
            <v>30/Nov/1998</v>
          </cell>
          <cell r="E17" t="str">
            <v>NTON0035</v>
          </cell>
          <cell r="F17" t="str">
            <v>1998/11</v>
          </cell>
          <cell r="G17" t="str">
            <v>000000</v>
          </cell>
          <cell r="H17" t="str">
            <v>22620</v>
          </cell>
          <cell r="I17" t="str">
            <v>608000</v>
          </cell>
          <cell r="J17" t="str">
            <v>ANP (9/27@10/10) Tax</v>
          </cell>
          <cell r="K17" t="str">
            <v>D1</v>
          </cell>
          <cell r="L17">
            <v>77821.649999999994</v>
          </cell>
          <cell r="M17" t="str">
            <v>X</v>
          </cell>
          <cell r="N17" t="str">
            <v>s</v>
          </cell>
          <cell r="O17">
            <v>1</v>
          </cell>
          <cell r="P17" t="str">
            <v>58070-1</v>
          </cell>
          <cell r="Q17" t="str">
            <v>AD</v>
          </cell>
          <cell r="R17" t="str">
            <v xml:space="preserve"> </v>
          </cell>
          <cell r="S17" t="str">
            <v xml:space="preserve"> </v>
          </cell>
          <cell r="T17" t="str">
            <v>CDS-America</v>
          </cell>
          <cell r="U17" t="str">
            <v>Interest on Intercompany Advance</v>
          </cell>
          <cell r="V17" t="str">
            <v>58070</v>
          </cell>
          <cell r="W17">
            <v>2773.78</v>
          </cell>
          <cell r="X17">
            <v>2773.78</v>
          </cell>
        </row>
        <row r="18">
          <cell r="A18" t="str">
            <v xml:space="preserve"> 01</v>
          </cell>
          <cell r="B18" t="str">
            <v>000484</v>
          </cell>
          <cell r="C18" t="str">
            <v>Jrnl</v>
          </cell>
          <cell r="D18" t="str">
            <v>09/Jul/1998</v>
          </cell>
          <cell r="E18" t="str">
            <v>TLOH2008</v>
          </cell>
          <cell r="F18" t="str">
            <v>1998/07</v>
          </cell>
          <cell r="G18" t="str">
            <v>000000</v>
          </cell>
          <cell r="H18" t="str">
            <v>22620</v>
          </cell>
          <cell r="I18" t="str">
            <v>608000</v>
          </cell>
          <cell r="J18" t="str">
            <v>ANP(6/7@6/20)TAX</v>
          </cell>
          <cell r="K18" t="str">
            <v>D1</v>
          </cell>
          <cell r="L18">
            <v>2504.63</v>
          </cell>
          <cell r="M18" t="str">
            <v>X</v>
          </cell>
          <cell r="N18" t="str">
            <v>s</v>
          </cell>
          <cell r="O18">
            <v>1</v>
          </cell>
          <cell r="P18" t="str">
            <v>58070-1</v>
          </cell>
          <cell r="Q18" t="str">
            <v>AD</v>
          </cell>
          <cell r="R18" t="str">
            <v xml:space="preserve"> </v>
          </cell>
          <cell r="S18" t="str">
            <v xml:space="preserve"> </v>
          </cell>
          <cell r="T18" t="str">
            <v>CDS-America</v>
          </cell>
          <cell r="U18" t="str">
            <v>Interest on Intercompany Advance</v>
          </cell>
          <cell r="V18" t="str">
            <v>58070</v>
          </cell>
          <cell r="W18">
            <v>2790.95</v>
          </cell>
          <cell r="X18">
            <v>2790.95</v>
          </cell>
        </row>
        <row r="19">
          <cell r="A19" t="str">
            <v xml:space="preserve"> 02</v>
          </cell>
          <cell r="B19" t="str">
            <v>000060</v>
          </cell>
          <cell r="C19" t="str">
            <v>Accl</v>
          </cell>
          <cell r="D19" t="str">
            <v>18/Dec/1998</v>
          </cell>
          <cell r="E19" t="str">
            <v>KROS0023</v>
          </cell>
          <cell r="F19" t="str">
            <v>1998/12</v>
          </cell>
          <cell r="G19" t="str">
            <v>000000</v>
          </cell>
          <cell r="H19" t="str">
            <v>22665</v>
          </cell>
          <cell r="I19" t="str">
            <v>608000</v>
          </cell>
          <cell r="J19" t="str">
            <v>12/6 @ 12/31 Net</v>
          </cell>
          <cell r="K19" t="str">
            <v>D1</v>
          </cell>
          <cell r="L19">
            <v>-284590.02</v>
          </cell>
          <cell r="M19" t="str">
            <v>OK</v>
          </cell>
          <cell r="N19" t="str">
            <v>s</v>
          </cell>
          <cell r="O19">
            <v>1</v>
          </cell>
          <cell r="P19" t="str">
            <v>58070-1</v>
          </cell>
          <cell r="Q19" t="str">
            <v>AD</v>
          </cell>
          <cell r="R19" t="str">
            <v xml:space="preserve"> </v>
          </cell>
          <cell r="S19" t="str">
            <v xml:space="preserve"> </v>
          </cell>
          <cell r="T19" t="str">
            <v>CDS-Group</v>
          </cell>
          <cell r="U19" t="str">
            <v>Interest on Intercompany Advance</v>
          </cell>
          <cell r="V19" t="str">
            <v>58070</v>
          </cell>
          <cell r="W19">
            <v>6847.4</v>
          </cell>
          <cell r="X19">
            <v>6847.4</v>
          </cell>
        </row>
        <row r="20">
          <cell r="A20" t="str">
            <v xml:space="preserve"> 01</v>
          </cell>
          <cell r="B20" t="str">
            <v>000393</v>
          </cell>
          <cell r="C20" t="str">
            <v>Jrnl</v>
          </cell>
          <cell r="D20" t="str">
            <v>19/May/1998</v>
          </cell>
          <cell r="E20" t="str">
            <v>KPUR0490</v>
          </cell>
          <cell r="F20" t="str">
            <v>1998/05</v>
          </cell>
          <cell r="G20" t="str">
            <v>000000</v>
          </cell>
          <cell r="H20" t="str">
            <v>22620</v>
          </cell>
          <cell r="I20" t="str">
            <v>090001</v>
          </cell>
          <cell r="J20" t="str">
            <v>TAX REFUND KENN</v>
          </cell>
          <cell r="K20" t="str">
            <v>D1</v>
          </cell>
          <cell r="L20">
            <v>-66.38</v>
          </cell>
          <cell r="M20" t="str">
            <v>X</v>
          </cell>
          <cell r="O20" t="str">
            <v>X</v>
          </cell>
          <cell r="P20" t="str">
            <v>58070-X</v>
          </cell>
          <cell r="R20" t="str">
            <v xml:space="preserve"> </v>
          </cell>
          <cell r="S20" t="str">
            <v xml:space="preserve"> </v>
          </cell>
          <cell r="T20" t="str">
            <v>Input</v>
          </cell>
          <cell r="U20" t="str">
            <v>Input</v>
          </cell>
          <cell r="V20" t="str">
            <v>58070</v>
          </cell>
          <cell r="W20">
            <v>40890.699999999997</v>
          </cell>
          <cell r="X20">
            <v>40890.699999999997</v>
          </cell>
        </row>
        <row r="21">
          <cell r="A21" t="str">
            <v xml:space="preserve"> 01</v>
          </cell>
          <cell r="B21" t="str">
            <v>000665</v>
          </cell>
          <cell r="C21" t="str">
            <v>Jrnl</v>
          </cell>
          <cell r="D21" t="str">
            <v>22/Oct/1998</v>
          </cell>
          <cell r="E21" t="str">
            <v>NTON0008</v>
          </cell>
          <cell r="F21" t="str">
            <v>1998/10</v>
          </cell>
          <cell r="G21" t="str">
            <v>000000</v>
          </cell>
          <cell r="H21" t="str">
            <v>22620</v>
          </cell>
          <cell r="I21" t="str">
            <v>608000</v>
          </cell>
          <cell r="J21" t="str">
            <v>To Correct JE 000658</v>
          </cell>
          <cell r="K21" t="str">
            <v>D1</v>
          </cell>
          <cell r="L21">
            <v>-69581.86</v>
          </cell>
          <cell r="M21" t="str">
            <v>X</v>
          </cell>
          <cell r="N21" t="str">
            <v>s</v>
          </cell>
          <cell r="O21">
            <v>1</v>
          </cell>
          <cell r="P21" t="str">
            <v>58070-1</v>
          </cell>
          <cell r="Q21" t="str">
            <v>AD</v>
          </cell>
          <cell r="R21" t="str">
            <v xml:space="preserve"> </v>
          </cell>
          <cell r="S21" t="str">
            <v xml:space="preserve"> </v>
          </cell>
          <cell r="T21" t="str">
            <v>CDS-Holding</v>
          </cell>
          <cell r="U21" t="str">
            <v>Interest on Intercompany Advance</v>
          </cell>
          <cell r="V21" t="str">
            <v>58070</v>
          </cell>
          <cell r="W21">
            <v>42624.13</v>
          </cell>
          <cell r="X21">
            <v>42624.13</v>
          </cell>
        </row>
        <row r="22">
          <cell r="A22" t="str">
            <v xml:space="preserve"> 01</v>
          </cell>
          <cell r="B22" t="str">
            <v>000679</v>
          </cell>
          <cell r="C22" t="str">
            <v>Jrnl</v>
          </cell>
          <cell r="D22" t="str">
            <v>22/Oct/1998</v>
          </cell>
          <cell r="E22" t="str">
            <v>NTON0009</v>
          </cell>
          <cell r="F22" t="str">
            <v>1998/10</v>
          </cell>
          <cell r="G22" t="str">
            <v>000000</v>
          </cell>
          <cell r="H22" t="str">
            <v>22620</v>
          </cell>
          <cell r="I22" t="str">
            <v>608000</v>
          </cell>
          <cell r="J22" t="str">
            <v>To Correct JE 000659</v>
          </cell>
          <cell r="K22" t="str">
            <v>D1</v>
          </cell>
          <cell r="L22">
            <v>69581.86</v>
          </cell>
          <cell r="M22" t="str">
            <v>X</v>
          </cell>
          <cell r="N22" t="str">
            <v>s</v>
          </cell>
          <cell r="O22">
            <v>1</v>
          </cell>
          <cell r="P22" t="str">
            <v>58070-1</v>
          </cell>
          <cell r="Q22" t="str">
            <v>AD</v>
          </cell>
          <cell r="R22" t="str">
            <v xml:space="preserve"> </v>
          </cell>
          <cell r="S22" t="str">
            <v xml:space="preserve"> </v>
          </cell>
          <cell r="T22" t="str">
            <v>CDS-Holding</v>
          </cell>
          <cell r="U22" t="str">
            <v>Interest on Intercompany Advance</v>
          </cell>
          <cell r="V22" t="str">
            <v>58070</v>
          </cell>
          <cell r="W22">
            <v>42650.11</v>
          </cell>
          <cell r="X22">
            <v>42650.11</v>
          </cell>
        </row>
        <row r="23">
          <cell r="A23" t="str">
            <v xml:space="preserve"> 01</v>
          </cell>
          <cell r="B23" t="str">
            <v>000664</v>
          </cell>
          <cell r="C23" t="str">
            <v>Jrnl</v>
          </cell>
          <cell r="D23" t="str">
            <v>22/Oct/1998</v>
          </cell>
          <cell r="E23" t="str">
            <v>NTON0008</v>
          </cell>
          <cell r="F23" t="str">
            <v>1998/10</v>
          </cell>
          <cell r="G23" t="str">
            <v>000000</v>
          </cell>
          <cell r="H23" t="str">
            <v>22620</v>
          </cell>
          <cell r="I23" t="str">
            <v>608000</v>
          </cell>
          <cell r="J23" t="str">
            <v>To Reverse JE 000658</v>
          </cell>
          <cell r="K23" t="str">
            <v>D1</v>
          </cell>
          <cell r="L23">
            <v>-69581.86</v>
          </cell>
          <cell r="M23" t="str">
            <v>X</v>
          </cell>
          <cell r="N23" t="str">
            <v>s</v>
          </cell>
          <cell r="O23">
            <v>1</v>
          </cell>
          <cell r="P23" t="str">
            <v>58070-1</v>
          </cell>
          <cell r="Q23" t="str">
            <v>AD</v>
          </cell>
          <cell r="R23" t="str">
            <v xml:space="preserve"> </v>
          </cell>
          <cell r="S23" t="str">
            <v xml:space="preserve"> </v>
          </cell>
          <cell r="T23" t="str">
            <v>CDS-Group</v>
          </cell>
          <cell r="U23" t="str">
            <v>Interest on Intercompany Advance</v>
          </cell>
          <cell r="V23" t="str">
            <v>58070</v>
          </cell>
          <cell r="W23">
            <v>61077.58</v>
          </cell>
          <cell r="X23">
            <v>61077.58</v>
          </cell>
        </row>
        <row r="24">
          <cell r="A24" t="str">
            <v xml:space="preserve"> 01</v>
          </cell>
          <cell r="B24" t="str">
            <v>000678</v>
          </cell>
          <cell r="C24" t="str">
            <v>Jrnl</v>
          </cell>
          <cell r="D24" t="str">
            <v>22/Oct/1998</v>
          </cell>
          <cell r="E24" t="str">
            <v>NTON0009</v>
          </cell>
          <cell r="F24" t="str">
            <v>1998/10</v>
          </cell>
          <cell r="G24" t="str">
            <v>000000</v>
          </cell>
          <cell r="H24" t="str">
            <v>22620</v>
          </cell>
          <cell r="I24" t="str">
            <v>608000</v>
          </cell>
          <cell r="J24" t="str">
            <v>To Reverse JE 659</v>
          </cell>
          <cell r="K24" t="str">
            <v>D1</v>
          </cell>
          <cell r="L24">
            <v>69581.86</v>
          </cell>
          <cell r="M24" t="str">
            <v>X</v>
          </cell>
          <cell r="O24" t="str">
            <v>X</v>
          </cell>
          <cell r="P24" t="str">
            <v>58070-X</v>
          </cell>
          <cell r="R24" t="str">
            <v xml:space="preserve"> </v>
          </cell>
          <cell r="S24" t="str">
            <v xml:space="preserve"> </v>
          </cell>
          <cell r="T24" t="str">
            <v>Input</v>
          </cell>
          <cell r="U24" t="str">
            <v>Input</v>
          </cell>
          <cell r="V24" t="str">
            <v>58070</v>
          </cell>
          <cell r="W24">
            <v>61077.58</v>
          </cell>
          <cell r="X24">
            <v>61077.58</v>
          </cell>
        </row>
        <row r="25">
          <cell r="A25" t="str">
            <v xml:space="preserve"> 01</v>
          </cell>
          <cell r="B25" t="str">
            <v>000259</v>
          </cell>
          <cell r="C25" t="str">
            <v>Jrnl</v>
          </cell>
          <cell r="D25" t="str">
            <v>27/Feb/1998</v>
          </cell>
          <cell r="E25" t="str">
            <v>TLOH1230</v>
          </cell>
          <cell r="F25" t="str">
            <v>1998/02</v>
          </cell>
          <cell r="G25" t="str">
            <v>000000</v>
          </cell>
          <cell r="H25" t="str">
            <v>22620</v>
          </cell>
          <cell r="I25" t="str">
            <v>601000</v>
          </cell>
          <cell r="J25" t="str">
            <v>ZCY (1/18@1/31) TAX</v>
          </cell>
          <cell r="K25" t="str">
            <v>D1</v>
          </cell>
          <cell r="L25">
            <v>4682.34</v>
          </cell>
          <cell r="M25" t="str">
            <v>X</v>
          </cell>
          <cell r="N25" t="str">
            <v>s</v>
          </cell>
          <cell r="O25">
            <v>1</v>
          </cell>
          <cell r="P25" t="str">
            <v>58070-1</v>
          </cell>
          <cell r="Q25" t="str">
            <v>AD</v>
          </cell>
          <cell r="R25" t="str">
            <v xml:space="preserve"> </v>
          </cell>
          <cell r="S25" t="str">
            <v xml:space="preserve"> </v>
          </cell>
          <cell r="T25" t="str">
            <v>CDS-Holding</v>
          </cell>
          <cell r="U25" t="str">
            <v>Interest on Intercompany Advance</v>
          </cell>
          <cell r="V25" t="str">
            <v>58070</v>
          </cell>
          <cell r="W25">
            <v>73449.41</v>
          </cell>
          <cell r="X25">
            <v>73449.41</v>
          </cell>
        </row>
        <row r="26">
          <cell r="A26" t="str">
            <v xml:space="preserve"> 01</v>
          </cell>
          <cell r="B26" t="str">
            <v>000224</v>
          </cell>
          <cell r="C26" t="str">
            <v>Jrnl</v>
          </cell>
          <cell r="D26" t="str">
            <v>31/Jan/1998</v>
          </cell>
          <cell r="E26" t="str">
            <v>TLOH1087</v>
          </cell>
          <cell r="F26" t="str">
            <v>1998/01</v>
          </cell>
          <cell r="G26" t="str">
            <v>000000</v>
          </cell>
          <cell r="H26" t="str">
            <v>22620</v>
          </cell>
          <cell r="I26" t="str">
            <v>601000</v>
          </cell>
          <cell r="J26" t="str">
            <v>ZCY (1/4@1/17) Tax</v>
          </cell>
          <cell r="K26" t="str">
            <v>D1</v>
          </cell>
          <cell r="L26">
            <v>4431.2</v>
          </cell>
          <cell r="M26" t="str">
            <v>X</v>
          </cell>
          <cell r="N26" t="str">
            <v>s</v>
          </cell>
          <cell r="O26">
            <v>1</v>
          </cell>
          <cell r="P26" t="str">
            <v>58070-1</v>
          </cell>
          <cell r="Q26" t="str">
            <v>AD</v>
          </cell>
          <cell r="R26" t="str">
            <v xml:space="preserve"> </v>
          </cell>
          <cell r="S26" t="str">
            <v xml:space="preserve"> </v>
          </cell>
          <cell r="T26" t="str">
            <v>CDS-Holding</v>
          </cell>
          <cell r="U26" t="str">
            <v>Interest on Intercompany Advance</v>
          </cell>
          <cell r="V26" t="str">
            <v>58070</v>
          </cell>
          <cell r="W26">
            <v>90947.57</v>
          </cell>
          <cell r="X26">
            <v>90947.57</v>
          </cell>
        </row>
        <row r="27">
          <cell r="A27" t="str">
            <v xml:space="preserve"> 01</v>
          </cell>
          <cell r="B27" t="str">
            <v>000225</v>
          </cell>
          <cell r="C27" t="str">
            <v>Jrnl</v>
          </cell>
          <cell r="D27" t="str">
            <v>31/Jan/1998</v>
          </cell>
          <cell r="E27" t="str">
            <v>TLOH1087</v>
          </cell>
          <cell r="F27" t="str">
            <v>1998/01</v>
          </cell>
          <cell r="G27" t="str">
            <v>000000</v>
          </cell>
          <cell r="H27" t="str">
            <v>22620</v>
          </cell>
          <cell r="I27" t="str">
            <v>601000</v>
          </cell>
          <cell r="J27" t="str">
            <v>ZCY (1/4@1/17) Tax</v>
          </cell>
          <cell r="K27" t="str">
            <v>D1</v>
          </cell>
          <cell r="L27">
            <v>-4431.2</v>
          </cell>
          <cell r="M27" t="str">
            <v>X</v>
          </cell>
          <cell r="N27" t="str">
            <v>s</v>
          </cell>
          <cell r="O27">
            <v>1</v>
          </cell>
          <cell r="P27" t="str">
            <v>58070-1</v>
          </cell>
          <cell r="Q27" t="str">
            <v>AD</v>
          </cell>
          <cell r="R27" t="str">
            <v xml:space="preserve"> </v>
          </cell>
          <cell r="S27" t="str">
            <v xml:space="preserve"> </v>
          </cell>
          <cell r="T27" t="str">
            <v>CDS-Holding</v>
          </cell>
          <cell r="U27" t="str">
            <v>Interest on Intercompany Advance</v>
          </cell>
          <cell r="V27" t="str">
            <v>58070</v>
          </cell>
          <cell r="W27">
            <v>101724.78</v>
          </cell>
          <cell r="X27">
            <v>101724.78</v>
          </cell>
        </row>
        <row r="28">
          <cell r="A28" t="str">
            <v xml:space="preserve"> 01</v>
          </cell>
          <cell r="B28" t="str">
            <v>000208</v>
          </cell>
          <cell r="C28" t="str">
            <v>Jrnl</v>
          </cell>
          <cell r="D28" t="str">
            <v>19/Jan/1998</v>
          </cell>
          <cell r="E28" t="str">
            <v>TLOH1004</v>
          </cell>
          <cell r="F28" t="str">
            <v>1998/01</v>
          </cell>
          <cell r="G28" t="str">
            <v>000000</v>
          </cell>
          <cell r="H28" t="str">
            <v>22620</v>
          </cell>
          <cell r="I28" t="str">
            <v>601000</v>
          </cell>
          <cell r="J28" t="str">
            <v>ZCY (12/21@01/03)</v>
          </cell>
          <cell r="K28" t="str">
            <v>D1</v>
          </cell>
          <cell r="L28">
            <v>1633.37</v>
          </cell>
          <cell r="M28" t="str">
            <v>X</v>
          </cell>
          <cell r="N28" t="str">
            <v>s</v>
          </cell>
          <cell r="O28">
            <v>1</v>
          </cell>
          <cell r="P28" t="str">
            <v>58070-1</v>
          </cell>
          <cell r="Q28" t="str">
            <v>AD</v>
          </cell>
          <cell r="R28" t="str">
            <v xml:space="preserve"> </v>
          </cell>
          <cell r="S28" t="str">
            <v xml:space="preserve"> </v>
          </cell>
          <cell r="T28" t="str">
            <v>CDS-Holding</v>
          </cell>
          <cell r="U28" t="str">
            <v>Interest on Intercompany Advance</v>
          </cell>
          <cell r="V28" t="str">
            <v>58070</v>
          </cell>
          <cell r="W28">
            <v>103688.15</v>
          </cell>
          <cell r="X28">
            <v>103688.15</v>
          </cell>
        </row>
        <row r="29">
          <cell r="A29" t="str">
            <v xml:space="preserve"> 01</v>
          </cell>
          <cell r="B29" t="str">
            <v>000239</v>
          </cell>
          <cell r="C29" t="str">
            <v>Jrnl</v>
          </cell>
          <cell r="D29" t="str">
            <v>12/Feb/1998</v>
          </cell>
          <cell r="E29" t="str">
            <v>KPUR0008</v>
          </cell>
          <cell r="F29" t="str">
            <v>1998/02</v>
          </cell>
          <cell r="G29" t="str">
            <v>000000</v>
          </cell>
          <cell r="H29" t="str">
            <v>22620</v>
          </cell>
          <cell r="I29" t="str">
            <v>601000</v>
          </cell>
          <cell r="J29" t="str">
            <v>ZCY (12/21@01/03)</v>
          </cell>
          <cell r="K29" t="str">
            <v>D1</v>
          </cell>
          <cell r="L29">
            <v>1633.37</v>
          </cell>
          <cell r="M29" t="str">
            <v>X</v>
          </cell>
          <cell r="N29" t="str">
            <v>s</v>
          </cell>
          <cell r="O29">
            <v>1</v>
          </cell>
          <cell r="P29" t="str">
            <v>58070-1</v>
          </cell>
          <cell r="Q29" t="str">
            <v>AD</v>
          </cell>
          <cell r="R29" t="str">
            <v xml:space="preserve"> </v>
          </cell>
          <cell r="S29" t="str">
            <v xml:space="preserve"> </v>
          </cell>
          <cell r="T29" t="str">
            <v>CDS-Holding</v>
          </cell>
          <cell r="U29" t="str">
            <v>Interest on Intercompany Advance</v>
          </cell>
          <cell r="V29" t="str">
            <v>58070</v>
          </cell>
          <cell r="W29">
            <v>112148.46</v>
          </cell>
          <cell r="X29">
            <v>112148.46</v>
          </cell>
        </row>
        <row r="30">
          <cell r="A30" t="str">
            <v xml:space="preserve"> 01</v>
          </cell>
          <cell r="B30" t="str">
            <v>000260</v>
          </cell>
          <cell r="C30" t="str">
            <v>Jrnl</v>
          </cell>
          <cell r="D30" t="str">
            <v>28/Feb/1998</v>
          </cell>
          <cell r="E30" t="str">
            <v>TLOH1230</v>
          </cell>
          <cell r="F30" t="str">
            <v>1998/02</v>
          </cell>
          <cell r="G30" t="str">
            <v>000000</v>
          </cell>
          <cell r="H30" t="str">
            <v>22620</v>
          </cell>
          <cell r="I30" t="str">
            <v>601000</v>
          </cell>
          <cell r="J30" t="str">
            <v>ZCY (2/1@2/14) TAX</v>
          </cell>
          <cell r="K30" t="str">
            <v>D1</v>
          </cell>
          <cell r="L30">
            <v>9708.99</v>
          </cell>
          <cell r="M30" t="str">
            <v>X</v>
          </cell>
          <cell r="N30" t="str">
            <v>s</v>
          </cell>
          <cell r="O30">
            <v>1</v>
          </cell>
          <cell r="P30" t="str">
            <v>58070-1</v>
          </cell>
          <cell r="Q30" t="str">
            <v>AD</v>
          </cell>
          <cell r="R30" t="str">
            <v xml:space="preserve"> </v>
          </cell>
          <cell r="S30" t="str">
            <v xml:space="preserve"> </v>
          </cell>
          <cell r="T30" t="str">
            <v>CDS-Holding</v>
          </cell>
          <cell r="U30" t="str">
            <v>Interest on Intercompany Advance</v>
          </cell>
          <cell r="V30" t="str">
            <v>58070</v>
          </cell>
          <cell r="W30">
            <v>114401.49</v>
          </cell>
          <cell r="X30">
            <v>114401.49</v>
          </cell>
        </row>
        <row r="31">
          <cell r="A31" t="str">
            <v xml:space="preserve"> 01</v>
          </cell>
          <cell r="B31" t="str">
            <v>000308</v>
          </cell>
          <cell r="C31" t="str">
            <v>Jrnl</v>
          </cell>
          <cell r="D31" t="str">
            <v>30/Mar/1998</v>
          </cell>
          <cell r="E31" t="str">
            <v>KPUR0260</v>
          </cell>
          <cell r="F31" t="str">
            <v>1998/03</v>
          </cell>
          <cell r="G31" t="str">
            <v>000000</v>
          </cell>
          <cell r="H31" t="str">
            <v>22620</v>
          </cell>
          <cell r="I31" t="str">
            <v>601000</v>
          </cell>
          <cell r="J31" t="str">
            <v>ZCY (3/1@3/14)TAX</v>
          </cell>
          <cell r="K31" t="str">
            <v>D1</v>
          </cell>
          <cell r="L31">
            <v>10603.19</v>
          </cell>
          <cell r="M31" t="str">
            <v>X</v>
          </cell>
          <cell r="N31" t="str">
            <v>s</v>
          </cell>
          <cell r="O31">
            <v>1</v>
          </cell>
          <cell r="P31" t="str">
            <v>58070-1</v>
          </cell>
          <cell r="Q31" t="str">
            <v>AD</v>
          </cell>
          <cell r="R31" t="str">
            <v xml:space="preserve"> </v>
          </cell>
          <cell r="S31" t="str">
            <v xml:space="preserve"> </v>
          </cell>
          <cell r="T31" t="str">
            <v>CDS-Holding</v>
          </cell>
          <cell r="U31" t="str">
            <v>Interest on Intercompany Advance</v>
          </cell>
          <cell r="V31" t="str">
            <v>58070</v>
          </cell>
          <cell r="W31">
            <v>121827.53</v>
          </cell>
          <cell r="X31">
            <v>121827.53</v>
          </cell>
        </row>
        <row r="32">
          <cell r="A32" t="str">
            <v xml:space="preserve"> 01</v>
          </cell>
          <cell r="B32" t="str">
            <v>000367</v>
          </cell>
          <cell r="C32" t="str">
            <v>Jrnl</v>
          </cell>
          <cell r="D32" t="str">
            <v>08/May/1998</v>
          </cell>
          <cell r="E32" t="str">
            <v>KPUR0417</v>
          </cell>
          <cell r="F32" t="str">
            <v>1998/05</v>
          </cell>
          <cell r="G32" t="str">
            <v>000000</v>
          </cell>
          <cell r="H32" t="str">
            <v>22620</v>
          </cell>
          <cell r="I32" t="str">
            <v>601000</v>
          </cell>
          <cell r="J32" t="str">
            <v>ZCY (4/12@4/25)TAX</v>
          </cell>
          <cell r="K32" t="str">
            <v>D1</v>
          </cell>
          <cell r="L32">
            <v>32533.33</v>
          </cell>
          <cell r="M32" t="str">
            <v>X</v>
          </cell>
          <cell r="N32" t="str">
            <v>s</v>
          </cell>
          <cell r="O32">
            <v>1</v>
          </cell>
          <cell r="P32" t="str">
            <v>58070-1</v>
          </cell>
          <cell r="Q32" t="str">
            <v>AD</v>
          </cell>
          <cell r="R32" t="str">
            <v xml:space="preserve"> </v>
          </cell>
          <cell r="S32" t="str">
            <v xml:space="preserve"> </v>
          </cell>
          <cell r="T32" t="str">
            <v>CDS-Holding</v>
          </cell>
          <cell r="U32" t="str">
            <v>Interest on Intercompany Advance</v>
          </cell>
          <cell r="V32" t="str">
            <v>58070</v>
          </cell>
          <cell r="W32">
            <v>126055.38</v>
          </cell>
          <cell r="X32">
            <v>126055.38</v>
          </cell>
        </row>
        <row r="33">
          <cell r="A33" t="str">
            <v xml:space="preserve"> 01</v>
          </cell>
          <cell r="B33" t="str">
            <v>000442</v>
          </cell>
          <cell r="C33" t="str">
            <v>Jrnl</v>
          </cell>
          <cell r="D33" t="str">
            <v>24/Jun/1998</v>
          </cell>
          <cell r="E33" t="str">
            <v>KPUR0637</v>
          </cell>
          <cell r="F33" t="str">
            <v>1998/06</v>
          </cell>
          <cell r="G33" t="str">
            <v>000000</v>
          </cell>
          <cell r="H33" t="str">
            <v>22620</v>
          </cell>
          <cell r="I33" t="str">
            <v>601000</v>
          </cell>
          <cell r="J33" t="str">
            <v>ZCY (5-24@6-6)TAX</v>
          </cell>
          <cell r="K33" t="str">
            <v>D1</v>
          </cell>
          <cell r="L33">
            <v>33646.49</v>
          </cell>
          <cell r="M33" t="str">
            <v>X</v>
          </cell>
          <cell r="N33" t="str">
            <v>s</v>
          </cell>
          <cell r="O33">
            <v>1</v>
          </cell>
          <cell r="P33" t="str">
            <v>58070-1</v>
          </cell>
          <cell r="Q33" t="str">
            <v>AD</v>
          </cell>
          <cell r="R33" t="str">
            <v xml:space="preserve"> </v>
          </cell>
          <cell r="S33" t="str">
            <v xml:space="preserve"> </v>
          </cell>
          <cell r="T33" t="str">
            <v>CDS-Holding</v>
          </cell>
          <cell r="U33" t="str">
            <v>Interest on Intercompany Advance</v>
          </cell>
          <cell r="V33" t="str">
            <v>58070</v>
          </cell>
          <cell r="W33">
            <v>127555.05</v>
          </cell>
          <cell r="X33">
            <v>127555.05</v>
          </cell>
        </row>
        <row r="34">
          <cell r="A34" t="str">
            <v xml:space="preserve"> 01</v>
          </cell>
          <cell r="B34" t="str">
            <v>000542</v>
          </cell>
          <cell r="C34" t="str">
            <v>Jrnl</v>
          </cell>
          <cell r="D34" t="str">
            <v>27/Aug/1998</v>
          </cell>
          <cell r="E34" t="str">
            <v>KPUR0876</v>
          </cell>
          <cell r="F34" t="str">
            <v>1998/08</v>
          </cell>
          <cell r="G34" t="str">
            <v>000000</v>
          </cell>
          <cell r="H34" t="str">
            <v>22620</v>
          </cell>
          <cell r="I34" t="str">
            <v>601000</v>
          </cell>
          <cell r="J34" t="str">
            <v>ZCY (7/19@8/1) TAX</v>
          </cell>
          <cell r="K34" t="str">
            <v>D1</v>
          </cell>
          <cell r="L34">
            <v>19957.66</v>
          </cell>
          <cell r="M34" t="str">
            <v>X</v>
          </cell>
          <cell r="O34" t="str">
            <v xml:space="preserve"> </v>
          </cell>
          <cell r="P34" t="str">
            <v xml:space="preserve">58090- </v>
          </cell>
          <cell r="R34" t="str">
            <v xml:space="preserve"> </v>
          </cell>
          <cell r="S34" t="str">
            <v xml:space="preserve"> </v>
          </cell>
          <cell r="T34" t="str">
            <v>Input</v>
          </cell>
          <cell r="U34" t="str">
            <v>Input</v>
          </cell>
          <cell r="V34" t="str">
            <v>58090</v>
          </cell>
          <cell r="W34">
            <v>-264.5</v>
          </cell>
          <cell r="X34">
            <v>264.5</v>
          </cell>
        </row>
        <row r="35">
          <cell r="A35" t="str">
            <v xml:space="preserve"> 01</v>
          </cell>
          <cell r="B35" t="str">
            <v>000614</v>
          </cell>
          <cell r="C35" t="str">
            <v>Jrnl</v>
          </cell>
          <cell r="D35" t="str">
            <v>30/Sep/1998</v>
          </cell>
          <cell r="E35" t="str">
            <v>KPUR0961</v>
          </cell>
          <cell r="F35" t="str">
            <v>1998/09</v>
          </cell>
          <cell r="G35" t="str">
            <v>000000</v>
          </cell>
          <cell r="H35" t="str">
            <v>22620</v>
          </cell>
          <cell r="I35" t="str">
            <v>601000</v>
          </cell>
          <cell r="J35" t="str">
            <v>ZCY (7/5@7/18)TAX</v>
          </cell>
          <cell r="K35" t="str">
            <v>D1</v>
          </cell>
          <cell r="L35">
            <v>42608.31</v>
          </cell>
          <cell r="M35" t="str">
            <v>X</v>
          </cell>
          <cell r="O35" t="str">
            <v xml:space="preserve"> </v>
          </cell>
          <cell r="P35" t="str">
            <v xml:space="preserve">58090- </v>
          </cell>
          <cell r="R35" t="str">
            <v xml:space="preserve"> </v>
          </cell>
          <cell r="S35" t="str">
            <v xml:space="preserve"> </v>
          </cell>
          <cell r="T35" t="str">
            <v>Input</v>
          </cell>
          <cell r="U35" t="str">
            <v>Input</v>
          </cell>
          <cell r="V35" t="str">
            <v>58090</v>
          </cell>
          <cell r="W35">
            <v>234.5</v>
          </cell>
          <cell r="X35">
            <v>234.5</v>
          </cell>
        </row>
        <row r="36">
          <cell r="A36" t="str">
            <v xml:space="preserve"> 02</v>
          </cell>
          <cell r="B36" t="str">
            <v>000010</v>
          </cell>
          <cell r="C36" t="str">
            <v>Accl</v>
          </cell>
          <cell r="D36" t="str">
            <v>30/Jan/1998</v>
          </cell>
          <cell r="E36" t="str">
            <v>TLOH1023</v>
          </cell>
          <cell r="F36" t="str">
            <v>1998/01</v>
          </cell>
          <cell r="G36" t="str">
            <v>000000</v>
          </cell>
          <cell r="H36" t="str">
            <v>22620</v>
          </cell>
          <cell r="I36" t="str">
            <v>601000</v>
          </cell>
          <cell r="J36" t="str">
            <v>ZCY 01/17@01/31</v>
          </cell>
          <cell r="K36" t="str">
            <v>D1</v>
          </cell>
          <cell r="L36">
            <v>-1271.42</v>
          </cell>
          <cell r="M36" t="str">
            <v>X</v>
          </cell>
          <cell r="O36" t="str">
            <v xml:space="preserve"> </v>
          </cell>
          <cell r="P36" t="str">
            <v xml:space="preserve">58090- </v>
          </cell>
          <cell r="R36" t="str">
            <v xml:space="preserve"> </v>
          </cell>
          <cell r="S36" t="str">
            <v xml:space="preserve"> </v>
          </cell>
          <cell r="T36" t="str">
            <v>Input</v>
          </cell>
          <cell r="U36" t="str">
            <v>Input</v>
          </cell>
          <cell r="V36" t="str">
            <v>58090</v>
          </cell>
          <cell r="W36">
            <v>15</v>
          </cell>
          <cell r="X36">
            <v>15</v>
          </cell>
        </row>
        <row r="37">
          <cell r="A37" t="str">
            <v xml:space="preserve"> 03</v>
          </cell>
          <cell r="B37" t="str">
            <v>000010</v>
          </cell>
          <cell r="C37" t="str">
            <v>Rvsl</v>
          </cell>
          <cell r="D37" t="str">
            <v>30/Jan/1998</v>
          </cell>
          <cell r="E37" t="str">
            <v>TLOH1023</v>
          </cell>
          <cell r="F37" t="str">
            <v>1998/02</v>
          </cell>
          <cell r="G37" t="str">
            <v>000000</v>
          </cell>
          <cell r="H37" t="str">
            <v>22620</v>
          </cell>
          <cell r="I37" t="str">
            <v>601000</v>
          </cell>
          <cell r="J37" t="str">
            <v>ZCY 01/17@01/31</v>
          </cell>
          <cell r="K37" t="str">
            <v>D1</v>
          </cell>
          <cell r="L37">
            <v>1271.42</v>
          </cell>
          <cell r="M37" t="str">
            <v>X</v>
          </cell>
          <cell r="O37" t="str">
            <v xml:space="preserve"> </v>
          </cell>
          <cell r="P37" t="str">
            <v xml:space="preserve">58090- </v>
          </cell>
          <cell r="R37" t="str">
            <v xml:space="preserve"> </v>
          </cell>
          <cell r="S37" t="str">
            <v xml:space="preserve"> </v>
          </cell>
          <cell r="T37" t="str">
            <v>Input</v>
          </cell>
          <cell r="U37" t="str">
            <v>Input</v>
          </cell>
          <cell r="V37" t="str">
            <v>58090</v>
          </cell>
          <cell r="W37">
            <v>15</v>
          </cell>
          <cell r="X37">
            <v>15</v>
          </cell>
        </row>
        <row r="38">
          <cell r="A38" t="str">
            <v xml:space="preserve"> 01</v>
          </cell>
          <cell r="B38" t="str">
            <v>000218</v>
          </cell>
          <cell r="C38" t="str">
            <v>Jrnl</v>
          </cell>
          <cell r="D38" t="str">
            <v>31/Jan/1998</v>
          </cell>
          <cell r="E38" t="str">
            <v>TLOH1051</v>
          </cell>
          <cell r="F38" t="str">
            <v>1998/01</v>
          </cell>
          <cell r="G38" t="str">
            <v>000000</v>
          </cell>
          <cell r="H38" t="str">
            <v>22620</v>
          </cell>
          <cell r="I38" t="str">
            <v>601000</v>
          </cell>
          <cell r="J38" t="str">
            <v>ZCY 1/4@1/17 TAX</v>
          </cell>
          <cell r="K38" t="str">
            <v>D1</v>
          </cell>
          <cell r="L38">
            <v>-4431.2</v>
          </cell>
          <cell r="M38" t="str">
            <v>X</v>
          </cell>
          <cell r="N38" t="str">
            <v>s</v>
          </cell>
          <cell r="O38">
            <v>1</v>
          </cell>
          <cell r="P38" t="str">
            <v>58090-1</v>
          </cell>
          <cell r="Q38" t="str">
            <v>LF</v>
          </cell>
          <cell r="T38" t="str">
            <v>Wells Fargo</v>
          </cell>
          <cell r="U38" t="str">
            <v>Late Fees</v>
          </cell>
          <cell r="V38" t="str">
            <v>58090</v>
          </cell>
          <cell r="W38">
            <v>28</v>
          </cell>
          <cell r="X38">
            <v>28</v>
          </cell>
        </row>
        <row r="39">
          <cell r="A39" t="str">
            <v xml:space="preserve"> 01</v>
          </cell>
          <cell r="B39" t="str">
            <v>000209</v>
          </cell>
          <cell r="C39" t="str">
            <v>Jrnl</v>
          </cell>
          <cell r="D39" t="str">
            <v>19/Jan/1998</v>
          </cell>
          <cell r="E39" t="str">
            <v>TLOH1004</v>
          </cell>
          <cell r="F39" t="str">
            <v>1998/01</v>
          </cell>
          <cell r="G39" t="str">
            <v>000000</v>
          </cell>
          <cell r="H39" t="str">
            <v>22620</v>
          </cell>
          <cell r="I39" t="str">
            <v>601000</v>
          </cell>
          <cell r="J39" t="str">
            <v>ZCY 12/21@01/03/98</v>
          </cell>
          <cell r="K39" t="str">
            <v>D1</v>
          </cell>
          <cell r="L39">
            <v>-1633.37</v>
          </cell>
          <cell r="M39" t="str">
            <v>X</v>
          </cell>
          <cell r="N39" t="str">
            <v>s</v>
          </cell>
          <cell r="O39">
            <v>1</v>
          </cell>
          <cell r="P39" t="str">
            <v>58090-1</v>
          </cell>
          <cell r="Q39" t="str">
            <v>LF</v>
          </cell>
          <cell r="T39" t="str">
            <v>Wells Fargo</v>
          </cell>
          <cell r="U39" t="str">
            <v>Late Fees</v>
          </cell>
          <cell r="V39" t="str">
            <v>58090</v>
          </cell>
          <cell r="W39">
            <v>6.62</v>
          </cell>
          <cell r="X39">
            <v>6.62</v>
          </cell>
        </row>
        <row r="40">
          <cell r="A40" t="str">
            <v xml:space="preserve"> 03</v>
          </cell>
          <cell r="B40" t="str">
            <v>000009</v>
          </cell>
          <cell r="C40" t="str">
            <v>Rvsl</v>
          </cell>
          <cell r="D40" t="str">
            <v>31/Dec/1997</v>
          </cell>
          <cell r="E40" t="str">
            <v>TLOH0974</v>
          </cell>
          <cell r="F40" t="str">
            <v>1998/01</v>
          </cell>
          <cell r="G40" t="str">
            <v>000000</v>
          </cell>
          <cell r="H40" t="str">
            <v>22620</v>
          </cell>
          <cell r="I40" t="str">
            <v>601000</v>
          </cell>
          <cell r="J40" t="str">
            <v>ZCY 12/21@12/31/97</v>
          </cell>
          <cell r="K40" t="str">
            <v>D1</v>
          </cell>
          <cell r="L40">
            <v>1633.37</v>
          </cell>
          <cell r="M40" t="str">
            <v>X</v>
          </cell>
          <cell r="O40" t="str">
            <v>X</v>
          </cell>
          <cell r="P40" t="str">
            <v>58090-X</v>
          </cell>
          <cell r="R40" t="str">
            <v xml:space="preserve"> </v>
          </cell>
          <cell r="S40" t="str">
            <v xml:space="preserve"> </v>
          </cell>
          <cell r="T40" t="str">
            <v>Input</v>
          </cell>
          <cell r="U40" t="str">
            <v>Input</v>
          </cell>
          <cell r="V40" t="str">
            <v>58090</v>
          </cell>
          <cell r="W40">
            <v>234.5</v>
          </cell>
          <cell r="X40">
            <v>234.5</v>
          </cell>
        </row>
        <row r="41">
          <cell r="A41" t="str">
            <v xml:space="preserve"> 01</v>
          </cell>
          <cell r="B41" t="str">
            <v>000262</v>
          </cell>
          <cell r="C41" t="str">
            <v>Jrnl</v>
          </cell>
          <cell r="D41" t="str">
            <v>28/Feb/1998</v>
          </cell>
          <cell r="E41" t="str">
            <v>TLOH1230</v>
          </cell>
          <cell r="F41" t="str">
            <v>1998/02</v>
          </cell>
          <cell r="G41" t="str">
            <v>000000</v>
          </cell>
          <cell r="H41" t="str">
            <v>22620</v>
          </cell>
          <cell r="I41" t="str">
            <v>601000</v>
          </cell>
          <cell r="J41" t="str">
            <v>ZCY 2/1@2/14 TAX</v>
          </cell>
          <cell r="K41" t="str">
            <v>D1</v>
          </cell>
          <cell r="L41">
            <v>-9708.99</v>
          </cell>
          <cell r="M41" t="str">
            <v>X</v>
          </cell>
          <cell r="O41" t="str">
            <v>X</v>
          </cell>
          <cell r="P41" t="str">
            <v>58090-X</v>
          </cell>
          <cell r="R41" t="str">
            <v xml:space="preserve"> </v>
          </cell>
          <cell r="S41" t="str">
            <v xml:space="preserve"> </v>
          </cell>
          <cell r="T41" t="str">
            <v>Input</v>
          </cell>
          <cell r="U41" t="str">
            <v>Late fee</v>
          </cell>
          <cell r="V41" t="str">
            <v>58090</v>
          </cell>
          <cell r="W41">
            <v>-234.5</v>
          </cell>
          <cell r="X41">
            <v>234.5</v>
          </cell>
        </row>
      </sheetData>
      <sheetData sheetId="2" refreshError="1">
        <row r="9">
          <cell r="A9" t="str">
            <v>DOCUMENT</v>
          </cell>
          <cell r="B9" t="str">
            <v>NO_DOCUMEN</v>
          </cell>
          <cell r="C9" t="str">
            <v>ID_DOC</v>
          </cell>
          <cell r="D9" t="str">
            <v>DATE_DOC</v>
          </cell>
          <cell r="E9" t="str">
            <v>REF_LOT</v>
          </cell>
          <cell r="F9" t="str">
            <v>AN_PER</v>
          </cell>
          <cell r="G9" t="str">
            <v>CTRE_COUT</v>
          </cell>
          <cell r="H9" t="str">
            <v>NATURE</v>
          </cell>
          <cell r="I9" t="str">
            <v>PROJET</v>
          </cell>
          <cell r="J9" t="str">
            <v>DESC</v>
          </cell>
          <cell r="K9" t="str">
            <v>DEVISE</v>
          </cell>
          <cell r="L9" t="str">
            <v>VALEUR</v>
          </cell>
          <cell r="M9" t="str">
            <v>Sort Category (OK, RI, RO, X)</v>
          </cell>
        </row>
        <row r="10">
          <cell r="A10" t="str">
            <v>DOCUMENT</v>
          </cell>
          <cell r="B10" t="str">
            <v>NO_DOCUMEN</v>
          </cell>
          <cell r="C10" t="str">
            <v>ID_DOC</v>
          </cell>
          <cell r="D10" t="str">
            <v>DATE_DOC</v>
          </cell>
          <cell r="E10" t="str">
            <v>REF_LOT</v>
          </cell>
          <cell r="F10" t="str">
            <v>AN_PER</v>
          </cell>
          <cell r="G10" t="str">
            <v>CTRE_COUT</v>
          </cell>
          <cell r="H10" t="str">
            <v>NATURE</v>
          </cell>
          <cell r="I10" t="str">
            <v>PROJET</v>
          </cell>
          <cell r="J10" t="str">
            <v>DESC</v>
          </cell>
          <cell r="K10" t="str">
            <v>DEVISE</v>
          </cell>
          <cell r="L10" t="str">
            <v>VALEUR</v>
          </cell>
          <cell r="M10" t="str">
            <v>Sort Category (OK, RI, RO, X)</v>
          </cell>
        </row>
        <row r="11">
          <cell r="A11" t="str">
            <v xml:space="preserve"> 01</v>
          </cell>
          <cell r="B11" t="str">
            <v>000653</v>
          </cell>
          <cell r="C11" t="str">
            <v>Jrnl</v>
          </cell>
          <cell r="D11" t="str">
            <v>30/Sep/1998</v>
          </cell>
          <cell r="E11" t="str">
            <v>JBEN0702</v>
          </cell>
          <cell r="F11" t="str">
            <v>1998/09</v>
          </cell>
          <cell r="G11" t="str">
            <v>950530</v>
          </cell>
          <cell r="H11" t="str">
            <v>58070</v>
          </cell>
          <cell r="I11" t="str">
            <v>990001</v>
          </cell>
          <cell r="J11" t="str">
            <v>L.T. INTERESTS 3RD QR</v>
          </cell>
          <cell r="K11" t="str">
            <v>D1</v>
          </cell>
          <cell r="L11">
            <v>-777354.74</v>
          </cell>
          <cell r="M11" t="str">
            <v>x</v>
          </cell>
        </row>
        <row r="12">
          <cell r="A12" t="str">
            <v xml:space="preserve"> 03</v>
          </cell>
          <cell r="B12" t="str">
            <v>000014</v>
          </cell>
          <cell r="C12" t="str">
            <v>Rvsl</v>
          </cell>
          <cell r="D12" t="str">
            <v>31/Mar/1998</v>
          </cell>
          <cell r="E12" t="str">
            <v>TLOH1453</v>
          </cell>
          <cell r="F12" t="str">
            <v>1998/04</v>
          </cell>
          <cell r="G12" t="str">
            <v>950530</v>
          </cell>
          <cell r="H12" t="str">
            <v>58070</v>
          </cell>
          <cell r="I12" t="str">
            <v>090001</v>
          </cell>
          <cell r="J12" t="str">
            <v>PROV.INT.CDSH MARCH 98</v>
          </cell>
          <cell r="K12" t="str">
            <v>D1</v>
          </cell>
          <cell r="L12">
            <v>-61077.58</v>
          </cell>
          <cell r="M12" t="str">
            <v>X</v>
          </cell>
        </row>
        <row r="13">
          <cell r="A13" t="str">
            <v xml:space="preserve"> 03</v>
          </cell>
          <cell r="B13" t="str">
            <v>000008</v>
          </cell>
          <cell r="C13" t="str">
            <v>Rvsl</v>
          </cell>
          <cell r="D13" t="str">
            <v>31/Dec/1997</v>
          </cell>
          <cell r="E13" t="str">
            <v>ARAI0290</v>
          </cell>
          <cell r="F13" t="str">
            <v>1998/01</v>
          </cell>
          <cell r="G13" t="str">
            <v>950530</v>
          </cell>
          <cell r="H13" t="str">
            <v>58070</v>
          </cell>
          <cell r="I13" t="str">
            <v>090001</v>
          </cell>
          <cell r="J13" t="str">
            <v>Int of 12/97 to CDSH</v>
          </cell>
          <cell r="K13" t="str">
            <v>D1</v>
          </cell>
          <cell r="L13">
            <v>-40890.699999999997</v>
          </cell>
          <cell r="M13" t="str">
            <v>X</v>
          </cell>
        </row>
        <row r="14">
          <cell r="A14" t="str">
            <v xml:space="preserve"> 01</v>
          </cell>
          <cell r="B14" t="str">
            <v>000584</v>
          </cell>
          <cell r="C14" t="str">
            <v>Jrnl</v>
          </cell>
          <cell r="D14" t="str">
            <v>30/Sep/1998</v>
          </cell>
          <cell r="E14" t="str">
            <v>CWAN0143</v>
          </cell>
          <cell r="F14" t="str">
            <v>1998/09</v>
          </cell>
          <cell r="G14" t="str">
            <v>950530</v>
          </cell>
          <cell r="H14" t="str">
            <v>58070</v>
          </cell>
          <cell r="I14" t="str">
            <v>090001</v>
          </cell>
          <cell r="J14" t="str">
            <v>INT.ADV.AUG98 CDSA TR982591001</v>
          </cell>
          <cell r="K14" t="str">
            <v>D1</v>
          </cell>
          <cell r="L14">
            <v>559.16999999999996</v>
          </cell>
          <cell r="M14" t="str">
            <v>OK</v>
          </cell>
        </row>
        <row r="15">
          <cell r="A15" t="str">
            <v xml:space="preserve"> 01</v>
          </cell>
          <cell r="B15" t="str">
            <v>000741</v>
          </cell>
          <cell r="C15" t="str">
            <v>Jrnl</v>
          </cell>
          <cell r="D15" t="str">
            <v>09/Dec/1998</v>
          </cell>
          <cell r="E15" t="str">
            <v>NTON0044</v>
          </cell>
          <cell r="F15" t="str">
            <v>1998/12</v>
          </cell>
          <cell r="G15" t="str">
            <v>950530</v>
          </cell>
          <cell r="H15" t="str">
            <v>58070</v>
          </cell>
          <cell r="I15" t="str">
            <v>090001</v>
          </cell>
          <cell r="J15" t="str">
            <v>IntAdvNov98CDSA TLT2146</v>
          </cell>
          <cell r="K15" t="str">
            <v>D1</v>
          </cell>
          <cell r="L15">
            <v>2616.8200000000002</v>
          </cell>
          <cell r="M15" t="str">
            <v>OK</v>
          </cell>
        </row>
        <row r="16">
          <cell r="A16" t="str">
            <v xml:space="preserve"> 01</v>
          </cell>
          <cell r="B16" t="str">
            <v>000795</v>
          </cell>
          <cell r="C16" t="str">
            <v>Jrnl</v>
          </cell>
          <cell r="D16" t="str">
            <v>31/Dec/1998</v>
          </cell>
          <cell r="E16" t="str">
            <v>NPOI0958</v>
          </cell>
          <cell r="F16" t="str">
            <v>1998/12</v>
          </cell>
          <cell r="G16" t="str">
            <v>950530</v>
          </cell>
          <cell r="H16" t="str">
            <v>58070</v>
          </cell>
          <cell r="I16" t="str">
            <v>090001</v>
          </cell>
          <cell r="J16" t="str">
            <v>INT.ADV.CEC.98 CDSA</v>
          </cell>
          <cell r="K16" t="str">
            <v>D1</v>
          </cell>
          <cell r="L16">
            <v>2660.96</v>
          </cell>
          <cell r="M16" t="str">
            <v>OK</v>
          </cell>
        </row>
        <row r="17">
          <cell r="A17" t="str">
            <v xml:space="preserve"> 01</v>
          </cell>
          <cell r="B17" t="str">
            <v>000727</v>
          </cell>
          <cell r="C17" t="str">
            <v>Jrnl</v>
          </cell>
          <cell r="D17" t="str">
            <v>19/Nov/1998</v>
          </cell>
          <cell r="E17" t="str">
            <v>NTON0029</v>
          </cell>
          <cell r="F17" t="str">
            <v>1998/11</v>
          </cell>
          <cell r="G17" t="str">
            <v>950530</v>
          </cell>
          <cell r="H17" t="str">
            <v>58070</v>
          </cell>
          <cell r="I17" t="str">
            <v>090001</v>
          </cell>
          <cell r="J17" t="str">
            <v>IntAdv Oct98 CDSA TLT2023</v>
          </cell>
          <cell r="K17" t="str">
            <v>D1</v>
          </cell>
          <cell r="L17">
            <v>2773.78</v>
          </cell>
          <cell r="M17" t="str">
            <v>OK</v>
          </cell>
        </row>
        <row r="18">
          <cell r="A18" t="str">
            <v xml:space="preserve"> 01</v>
          </cell>
          <cell r="B18" t="str">
            <v>000631</v>
          </cell>
          <cell r="C18" t="str">
            <v>Jrnl</v>
          </cell>
          <cell r="D18" t="str">
            <v>30/Sep/1998</v>
          </cell>
          <cell r="E18" t="str">
            <v>JBEN0684</v>
          </cell>
          <cell r="F18" t="str">
            <v>1998/09</v>
          </cell>
          <cell r="G18" t="str">
            <v>950530</v>
          </cell>
          <cell r="H18" t="str">
            <v>58070</v>
          </cell>
          <cell r="I18" t="str">
            <v>090001</v>
          </cell>
          <cell r="J18" t="str">
            <v>INT.ADV.SEPT.98CDSA</v>
          </cell>
          <cell r="K18" t="str">
            <v>D1</v>
          </cell>
          <cell r="L18">
            <v>2790.95</v>
          </cell>
          <cell r="M18" t="str">
            <v>OK</v>
          </cell>
        </row>
        <row r="19">
          <cell r="A19" t="str">
            <v xml:space="preserve"> 01</v>
          </cell>
          <cell r="B19" t="str">
            <v>000794</v>
          </cell>
          <cell r="C19" t="str">
            <v>Jrnl</v>
          </cell>
          <cell r="D19" t="str">
            <v>31/Dec/1998</v>
          </cell>
          <cell r="E19" t="str">
            <v>NPOI0958</v>
          </cell>
          <cell r="F19" t="str">
            <v>1998/12</v>
          </cell>
          <cell r="G19" t="str">
            <v>950530</v>
          </cell>
          <cell r="H19" t="str">
            <v>58070</v>
          </cell>
          <cell r="I19" t="str">
            <v>090001</v>
          </cell>
          <cell r="J19" t="str">
            <v>INT.ADV. GRCDS DEC.98</v>
          </cell>
          <cell r="K19" t="str">
            <v>C1</v>
          </cell>
          <cell r="L19">
            <v>6847.4</v>
          </cell>
          <cell r="M19" t="str">
            <v>OK</v>
          </cell>
        </row>
        <row r="20">
          <cell r="A20" t="str">
            <v xml:space="preserve"> 01</v>
          </cell>
          <cell r="B20" t="str">
            <v>000213</v>
          </cell>
          <cell r="C20" t="str">
            <v>Jrnl</v>
          </cell>
          <cell r="D20" t="str">
            <v>23/Jan/1998</v>
          </cell>
          <cell r="E20" t="str">
            <v>TLOH1018</v>
          </cell>
          <cell r="F20" t="str">
            <v>1998/01</v>
          </cell>
          <cell r="G20" t="str">
            <v>950530</v>
          </cell>
          <cell r="H20" t="str">
            <v>58070</v>
          </cell>
          <cell r="I20" t="str">
            <v>090001</v>
          </cell>
          <cell r="J20" t="str">
            <v>INT.TO CDSH 12/97 TLT 1147</v>
          </cell>
          <cell r="K20" t="str">
            <v>D1</v>
          </cell>
          <cell r="L20">
            <v>40890.699999999997</v>
          </cell>
          <cell r="M20" t="str">
            <v>X</v>
          </cell>
        </row>
        <row r="21">
          <cell r="A21" t="str">
            <v xml:space="preserve"> 01</v>
          </cell>
          <cell r="B21" t="str">
            <v>000243</v>
          </cell>
          <cell r="C21" t="str">
            <v>Jrnl</v>
          </cell>
          <cell r="D21" t="str">
            <v>23/Feb/1998</v>
          </cell>
          <cell r="E21" t="str">
            <v>KPUR0034</v>
          </cell>
          <cell r="F21" t="str">
            <v>1998/02</v>
          </cell>
          <cell r="G21" t="str">
            <v>950530</v>
          </cell>
          <cell r="H21" t="str">
            <v>58070</v>
          </cell>
          <cell r="I21" t="str">
            <v>090001</v>
          </cell>
          <cell r="J21" t="str">
            <v>INT.ADV JAN98 TO CDSH TLT1215</v>
          </cell>
          <cell r="K21" t="str">
            <v>D1</v>
          </cell>
          <cell r="L21">
            <v>42624.13</v>
          </cell>
          <cell r="M21" t="str">
            <v>OK</v>
          </cell>
        </row>
        <row r="22">
          <cell r="A22" t="str">
            <v xml:space="preserve"> 01</v>
          </cell>
          <cell r="B22" t="str">
            <v>000288</v>
          </cell>
          <cell r="C22" t="str">
            <v>Jrnl</v>
          </cell>
          <cell r="D22" t="str">
            <v>19/Mar/1998</v>
          </cell>
          <cell r="E22" t="str">
            <v>KPUR0189</v>
          </cell>
          <cell r="F22" t="str">
            <v>1998/03</v>
          </cell>
          <cell r="G22" t="str">
            <v>950530</v>
          </cell>
          <cell r="H22" t="str">
            <v>58070</v>
          </cell>
          <cell r="I22" t="str">
            <v>090001</v>
          </cell>
          <cell r="J22" t="str">
            <v>INT. ADV. FEB 98 TO CDSH WELLS</v>
          </cell>
          <cell r="K22" t="str">
            <v>D1</v>
          </cell>
          <cell r="L22">
            <v>42650.11</v>
          </cell>
          <cell r="M22" t="str">
            <v>OK</v>
          </cell>
        </row>
        <row r="23">
          <cell r="A23" t="str">
            <v xml:space="preserve"> 01</v>
          </cell>
          <cell r="B23" t="str">
            <v>000355</v>
          </cell>
          <cell r="C23" t="str">
            <v>Jrnl</v>
          </cell>
          <cell r="D23" t="str">
            <v>27/Apr/1998</v>
          </cell>
          <cell r="E23" t="str">
            <v>SHUG0096</v>
          </cell>
          <cell r="F23" t="str">
            <v>1998/04</v>
          </cell>
          <cell r="G23" t="str">
            <v>950530</v>
          </cell>
          <cell r="H23" t="str">
            <v>58070</v>
          </cell>
          <cell r="I23" t="str">
            <v>090001</v>
          </cell>
          <cell r="J23" t="str">
            <v>PAIM.INT.ADV.MARCH98 CDSG TR</v>
          </cell>
          <cell r="K23" t="str">
            <v>D1</v>
          </cell>
          <cell r="L23">
            <v>61077.58</v>
          </cell>
          <cell r="M23" t="str">
            <v>OK</v>
          </cell>
        </row>
        <row r="24">
          <cell r="A24" t="str">
            <v xml:space="preserve"> 02</v>
          </cell>
          <cell r="B24" t="str">
            <v>000014</v>
          </cell>
          <cell r="C24" t="str">
            <v>Accl</v>
          </cell>
          <cell r="D24" t="str">
            <v>31/Mar/1998</v>
          </cell>
          <cell r="E24" t="str">
            <v>TLOH1453</v>
          </cell>
          <cell r="F24" t="str">
            <v>1998/03</v>
          </cell>
          <cell r="G24" t="str">
            <v>950530</v>
          </cell>
          <cell r="H24" t="str">
            <v>58070</v>
          </cell>
          <cell r="I24" t="str">
            <v>090001</v>
          </cell>
          <cell r="J24" t="str">
            <v>PROV.INT.CDSH MARCH 98</v>
          </cell>
          <cell r="K24" t="str">
            <v>D1</v>
          </cell>
          <cell r="L24">
            <v>61077.58</v>
          </cell>
          <cell r="M24" t="str">
            <v>X</v>
          </cell>
        </row>
        <row r="25">
          <cell r="A25" t="str">
            <v xml:space="preserve"> 01</v>
          </cell>
          <cell r="B25" t="str">
            <v>000381</v>
          </cell>
          <cell r="C25" t="str">
            <v>Jrnl</v>
          </cell>
          <cell r="D25" t="str">
            <v>21/May/1998</v>
          </cell>
          <cell r="E25" t="str">
            <v>KPUR0483</v>
          </cell>
          <cell r="F25" t="str">
            <v>1998/05</v>
          </cell>
          <cell r="G25" t="str">
            <v>950530</v>
          </cell>
          <cell r="H25" t="str">
            <v>58070</v>
          </cell>
          <cell r="I25" t="str">
            <v>090001</v>
          </cell>
          <cell r="J25" t="str">
            <v>PAIM.INT.ADV.APRIL98 CDSH TR.</v>
          </cell>
          <cell r="K25" t="str">
            <v>D1</v>
          </cell>
          <cell r="L25">
            <v>73449.41</v>
          </cell>
          <cell r="M25" t="str">
            <v>OK</v>
          </cell>
        </row>
        <row r="26">
          <cell r="A26" t="str">
            <v xml:space="preserve"> 01</v>
          </cell>
          <cell r="B26" t="str">
            <v>000427</v>
          </cell>
          <cell r="C26" t="str">
            <v>Jrnl</v>
          </cell>
          <cell r="D26" t="str">
            <v>17/Jun/1998</v>
          </cell>
          <cell r="E26" t="str">
            <v>KPUR0611</v>
          </cell>
          <cell r="F26" t="str">
            <v>1998/06</v>
          </cell>
          <cell r="G26" t="str">
            <v>950530</v>
          </cell>
          <cell r="H26" t="str">
            <v>58070</v>
          </cell>
          <cell r="I26" t="str">
            <v>090001</v>
          </cell>
          <cell r="J26" t="str">
            <v>PAIM.INT.ADV.MAY98 CDSH TR.98</v>
          </cell>
          <cell r="K26" t="str">
            <v>D1</v>
          </cell>
          <cell r="L26">
            <v>90947.57</v>
          </cell>
          <cell r="M26" t="str">
            <v>OK</v>
          </cell>
        </row>
        <row r="27">
          <cell r="A27" t="str">
            <v xml:space="preserve"> 01</v>
          </cell>
          <cell r="B27" t="str">
            <v>000445</v>
          </cell>
          <cell r="C27" t="str">
            <v>Jrnl</v>
          </cell>
          <cell r="D27" t="str">
            <v>30/Jun/1998</v>
          </cell>
          <cell r="E27" t="str">
            <v>TLOH1954</v>
          </cell>
          <cell r="F27" t="str">
            <v>1998/06</v>
          </cell>
          <cell r="G27" t="str">
            <v>950530</v>
          </cell>
          <cell r="H27" t="str">
            <v>58070</v>
          </cell>
          <cell r="I27" t="str">
            <v>090001</v>
          </cell>
          <cell r="J27" t="str">
            <v>INT.ADV.JUIN 98 CDSH</v>
          </cell>
          <cell r="K27" t="str">
            <v>D1</v>
          </cell>
          <cell r="L27">
            <v>101724.78</v>
          </cell>
          <cell r="M27" t="str">
            <v>OK</v>
          </cell>
        </row>
        <row r="28">
          <cell r="A28" t="str">
            <v xml:space="preserve"> 01</v>
          </cell>
          <cell r="B28" t="str">
            <v>000795</v>
          </cell>
          <cell r="C28" t="str">
            <v>Jrnl</v>
          </cell>
          <cell r="D28" t="str">
            <v>31/Dec/1998</v>
          </cell>
          <cell r="E28" t="str">
            <v>NPOI0958</v>
          </cell>
          <cell r="F28" t="str">
            <v>1998/12</v>
          </cell>
          <cell r="G28" t="str">
            <v>950530</v>
          </cell>
          <cell r="H28" t="str">
            <v>58070</v>
          </cell>
          <cell r="I28" t="str">
            <v>090001</v>
          </cell>
          <cell r="J28" t="str">
            <v>INT.ADV.DEC.98 CDSH</v>
          </cell>
          <cell r="K28" t="str">
            <v>D1</v>
          </cell>
          <cell r="L28">
            <v>103688.15</v>
          </cell>
          <cell r="M28" t="str">
            <v>OK</v>
          </cell>
        </row>
        <row r="29">
          <cell r="A29" t="str">
            <v xml:space="preserve"> 01</v>
          </cell>
          <cell r="B29" t="str">
            <v>000523</v>
          </cell>
          <cell r="C29" t="str">
            <v>Jrnl</v>
          </cell>
          <cell r="D29" t="str">
            <v>28/Aug/1998</v>
          </cell>
          <cell r="E29" t="str">
            <v>CWAN0039</v>
          </cell>
          <cell r="F29" t="str">
            <v>1998/08</v>
          </cell>
          <cell r="G29" t="str">
            <v>950530</v>
          </cell>
          <cell r="H29" t="str">
            <v>58070</v>
          </cell>
          <cell r="I29" t="str">
            <v>090001</v>
          </cell>
          <cell r="J29" t="str">
            <v>INT ADV 7/98CDSH TR982261001</v>
          </cell>
          <cell r="K29" t="str">
            <v>D1</v>
          </cell>
          <cell r="L29">
            <v>112148.46</v>
          </cell>
          <cell r="M29" t="str">
            <v>OK</v>
          </cell>
        </row>
        <row r="30">
          <cell r="A30" t="str">
            <v xml:space="preserve"> 01</v>
          </cell>
          <cell r="B30" t="str">
            <v>000741</v>
          </cell>
          <cell r="C30" t="str">
            <v>Jrnl</v>
          </cell>
          <cell r="D30" t="str">
            <v>09/Dec/1998</v>
          </cell>
          <cell r="E30" t="str">
            <v>NTON0044</v>
          </cell>
          <cell r="F30" t="str">
            <v>1998/12</v>
          </cell>
          <cell r="G30" t="str">
            <v>950530</v>
          </cell>
          <cell r="H30" t="str">
            <v>58070</v>
          </cell>
          <cell r="I30" t="str">
            <v>090001</v>
          </cell>
          <cell r="J30" t="str">
            <v>IntAdvNov98CDSHTR983421002</v>
          </cell>
          <cell r="K30" t="str">
            <v>D1</v>
          </cell>
          <cell r="L30">
            <v>114401.49</v>
          </cell>
          <cell r="M30" t="str">
            <v>OK</v>
          </cell>
        </row>
        <row r="31">
          <cell r="A31" t="str">
            <v xml:space="preserve"> 01</v>
          </cell>
          <cell r="B31" t="str">
            <v>000584</v>
          </cell>
          <cell r="C31" t="str">
            <v>Jrnl</v>
          </cell>
          <cell r="D31" t="str">
            <v>30/Sep/1998</v>
          </cell>
          <cell r="E31" t="str">
            <v>CWAN0143</v>
          </cell>
          <cell r="F31" t="str">
            <v>1998/09</v>
          </cell>
          <cell r="G31" t="str">
            <v>950530</v>
          </cell>
          <cell r="H31" t="str">
            <v>58070</v>
          </cell>
          <cell r="I31" t="str">
            <v>090001</v>
          </cell>
          <cell r="J31" t="str">
            <v>INT.ADV.AUG98 CDSH TR982591002</v>
          </cell>
          <cell r="K31" t="str">
            <v>D1</v>
          </cell>
          <cell r="L31">
            <v>121827.53</v>
          </cell>
          <cell r="M31" t="str">
            <v>OK</v>
          </cell>
        </row>
        <row r="32">
          <cell r="A32" t="str">
            <v xml:space="preserve"> 01</v>
          </cell>
          <cell r="B32" t="str">
            <v>000727</v>
          </cell>
          <cell r="C32" t="str">
            <v>Jrnl</v>
          </cell>
          <cell r="D32" t="str">
            <v>19/Nov/1998</v>
          </cell>
          <cell r="E32" t="str">
            <v>NTON0029</v>
          </cell>
          <cell r="F32" t="str">
            <v>1998/11</v>
          </cell>
          <cell r="G32" t="str">
            <v>950530</v>
          </cell>
          <cell r="H32" t="str">
            <v>58070</v>
          </cell>
          <cell r="I32" t="str">
            <v>090001</v>
          </cell>
          <cell r="J32" t="str">
            <v>IntAdv Oct98 CDSH TLT2022</v>
          </cell>
          <cell r="K32" t="str">
            <v>D1</v>
          </cell>
          <cell r="L32">
            <v>126055.38</v>
          </cell>
          <cell r="M32" t="str">
            <v>OK</v>
          </cell>
        </row>
        <row r="33">
          <cell r="A33" t="str">
            <v xml:space="preserve"> 01</v>
          </cell>
          <cell r="B33" t="str">
            <v>000631</v>
          </cell>
          <cell r="C33" t="str">
            <v>Jrnl</v>
          </cell>
          <cell r="D33" t="str">
            <v>30/Sep/1998</v>
          </cell>
          <cell r="E33" t="str">
            <v>JBEN0684</v>
          </cell>
          <cell r="F33" t="str">
            <v>1998/09</v>
          </cell>
          <cell r="G33" t="str">
            <v>950530</v>
          </cell>
          <cell r="H33" t="str">
            <v>58070</v>
          </cell>
          <cell r="I33" t="str">
            <v>090001</v>
          </cell>
          <cell r="J33" t="str">
            <v>INT.ADV.SEPT.98CDSH</v>
          </cell>
          <cell r="K33" t="str">
            <v>D1</v>
          </cell>
          <cell r="L33">
            <v>127555.05</v>
          </cell>
          <cell r="M33" t="str">
            <v>OK</v>
          </cell>
        </row>
        <row r="34">
          <cell r="A34" t="str">
            <v xml:space="preserve"> 01</v>
          </cell>
          <cell r="B34" t="str">
            <v>000826</v>
          </cell>
          <cell r="C34" t="str">
            <v>Jrnl</v>
          </cell>
          <cell r="D34" t="str">
            <v>31/Dec/1998</v>
          </cell>
          <cell r="E34" t="str">
            <v>KROS0021</v>
          </cell>
          <cell r="F34" t="str">
            <v>1998/12</v>
          </cell>
          <cell r="G34" t="str">
            <v>403355</v>
          </cell>
          <cell r="H34" t="str">
            <v>58090</v>
          </cell>
          <cell r="I34" t="str">
            <v>990060</v>
          </cell>
          <cell r="J34" t="str">
            <v>Def. Pre-Opening 12/31/98</v>
          </cell>
          <cell r="K34" t="str">
            <v>D1</v>
          </cell>
          <cell r="L34">
            <v>-264.5</v>
          </cell>
          <cell r="M34" t="str">
            <v>xi</v>
          </cell>
        </row>
        <row r="35">
          <cell r="A35" t="str">
            <v xml:space="preserve"> 75</v>
          </cell>
          <cell r="B35" t="str">
            <v>002200</v>
          </cell>
          <cell r="C35" t="str">
            <v>cshp</v>
          </cell>
          <cell r="D35" t="str">
            <v>28/Apr/1998</v>
          </cell>
          <cell r="E35" t="str">
            <v>KPUR0342</v>
          </cell>
          <cell r="F35" t="str">
            <v>1998/04</v>
          </cell>
          <cell r="G35" t="str">
            <v>403355</v>
          </cell>
          <cell r="H35" t="str">
            <v>58090</v>
          </cell>
          <cell r="I35" t="str">
            <v>608005</v>
          </cell>
          <cell r="J35" t="str">
            <v>NEVADA DEPARTMENT OF TAXATION</v>
          </cell>
          <cell r="K35" t="str">
            <v>D1</v>
          </cell>
          <cell r="L35">
            <v>234.5</v>
          </cell>
          <cell r="M35" t="str">
            <v>xi</v>
          </cell>
        </row>
        <row r="36">
          <cell r="A36" t="str">
            <v xml:space="preserve"> 01</v>
          </cell>
          <cell r="B36" t="str">
            <v>000752</v>
          </cell>
          <cell r="C36" t="str">
            <v>Jrnl</v>
          </cell>
          <cell r="D36" t="str">
            <v>11/Dec/1998</v>
          </cell>
          <cell r="E36" t="str">
            <v>NTON0052</v>
          </cell>
          <cell r="F36" t="str">
            <v>1998/12</v>
          </cell>
          <cell r="G36" t="str">
            <v>403355</v>
          </cell>
          <cell r="H36" t="str">
            <v>58090</v>
          </cell>
          <cell r="I36" t="str">
            <v>608005</v>
          </cell>
          <cell r="J36" t="str">
            <v>Reclass Custom Furn Penalty</v>
          </cell>
          <cell r="K36" t="str">
            <v>D1</v>
          </cell>
          <cell r="L36">
            <v>15</v>
          </cell>
          <cell r="M36" t="str">
            <v>xi</v>
          </cell>
        </row>
        <row r="37">
          <cell r="A37" t="str">
            <v xml:space="preserve"> 01</v>
          </cell>
          <cell r="B37" t="str">
            <v>000752</v>
          </cell>
          <cell r="C37" t="str">
            <v>Jrnl</v>
          </cell>
          <cell r="D37" t="str">
            <v>11/Dec/1998</v>
          </cell>
          <cell r="E37" t="str">
            <v>NTON0052</v>
          </cell>
          <cell r="F37" t="str">
            <v>1998/12</v>
          </cell>
          <cell r="G37" t="str">
            <v>403355</v>
          </cell>
          <cell r="H37" t="str">
            <v>58090</v>
          </cell>
          <cell r="I37" t="str">
            <v>608005</v>
          </cell>
          <cell r="J37" t="str">
            <v>Reclass Custom Furn Penalty</v>
          </cell>
          <cell r="K37" t="str">
            <v>D1</v>
          </cell>
          <cell r="L37">
            <v>15</v>
          </cell>
          <cell r="M37" t="str">
            <v>xi</v>
          </cell>
        </row>
        <row r="38">
          <cell r="A38" t="str">
            <v xml:space="preserve"> 75</v>
          </cell>
          <cell r="B38" t="str">
            <v>002673</v>
          </cell>
          <cell r="C38" t="str">
            <v>cshp</v>
          </cell>
          <cell r="D38" t="str">
            <v>15/Sep/1998</v>
          </cell>
          <cell r="E38" t="str">
            <v>KPUR0934</v>
          </cell>
          <cell r="F38" t="str">
            <v>1998/09</v>
          </cell>
          <cell r="G38" t="str">
            <v>403355</v>
          </cell>
          <cell r="H38" t="str">
            <v>58090</v>
          </cell>
          <cell r="I38" t="str">
            <v>608006</v>
          </cell>
          <cell r="J38" t="str">
            <v>PETTY CASH RING OVERDRAFT CG</v>
          </cell>
          <cell r="K38" t="str">
            <v>D1</v>
          </cell>
          <cell r="L38">
            <v>28</v>
          </cell>
          <cell r="M38" t="str">
            <v>OK</v>
          </cell>
        </row>
        <row r="39">
          <cell r="A39" t="str">
            <v xml:space="preserve"> 75</v>
          </cell>
          <cell r="B39" t="str">
            <v>003079</v>
          </cell>
          <cell r="C39" t="str">
            <v>cshp</v>
          </cell>
          <cell r="D39" t="str">
            <v>23/Nov/1998</v>
          </cell>
          <cell r="E39" t="str">
            <v>KPUR1031</v>
          </cell>
          <cell r="F39" t="str">
            <v>1998/11</v>
          </cell>
          <cell r="G39" t="str">
            <v>403355</v>
          </cell>
          <cell r="H39" t="str">
            <v>58090</v>
          </cell>
          <cell r="I39" t="str">
            <v>608000</v>
          </cell>
          <cell r="J39" t="str">
            <v>WELLS RODDHAM LATE FEE 11/98</v>
          </cell>
          <cell r="K39" t="str">
            <v>D1</v>
          </cell>
          <cell r="L39">
            <v>6.62</v>
          </cell>
          <cell r="M39" t="str">
            <v>OK</v>
          </cell>
        </row>
        <row r="40">
          <cell r="A40" t="str">
            <v xml:space="preserve"> 03</v>
          </cell>
          <cell r="B40" t="str">
            <v>000036</v>
          </cell>
          <cell r="C40" t="str">
            <v>Rvsl</v>
          </cell>
          <cell r="D40" t="str">
            <v>30/Sep/1998</v>
          </cell>
          <cell r="E40" t="str">
            <v>NTON0001</v>
          </cell>
          <cell r="F40" t="str">
            <v>1998/10</v>
          </cell>
          <cell r="G40" t="str">
            <v>403355</v>
          </cell>
          <cell r="H40" t="str">
            <v>58090</v>
          </cell>
          <cell r="I40" t="str">
            <v>990060</v>
          </cell>
          <cell r="J40" t="str">
            <v>Pre-Opening Def. Exp.</v>
          </cell>
          <cell r="K40" t="str">
            <v>D1</v>
          </cell>
          <cell r="L40">
            <v>234.5</v>
          </cell>
          <cell r="M40" t="str">
            <v>X</v>
          </cell>
        </row>
        <row r="41">
          <cell r="A41" t="str">
            <v xml:space="preserve"> 02</v>
          </cell>
          <cell r="B41" t="str">
            <v>000036</v>
          </cell>
          <cell r="C41" t="str">
            <v>Accl</v>
          </cell>
          <cell r="D41" t="str">
            <v>30/Sep/1998</v>
          </cell>
          <cell r="E41" t="str">
            <v>NTON0001</v>
          </cell>
          <cell r="F41" t="str">
            <v>1998/09</v>
          </cell>
          <cell r="G41" t="str">
            <v>403355</v>
          </cell>
          <cell r="H41" t="str">
            <v>58090</v>
          </cell>
          <cell r="I41" t="str">
            <v>990060</v>
          </cell>
          <cell r="J41" t="str">
            <v>Pre-Opening Def. Exp.</v>
          </cell>
          <cell r="K41" t="str">
            <v>D1</v>
          </cell>
          <cell r="L41">
            <v>-234.5</v>
          </cell>
          <cell r="M41" t="str">
            <v>X</v>
          </cell>
        </row>
        <row r="42">
          <cell r="A42" t="str">
            <v xml:space="preserve"> 01</v>
          </cell>
          <cell r="B42" t="str">
            <v>000271</v>
          </cell>
          <cell r="C42" t="str">
            <v>Jrnl</v>
          </cell>
          <cell r="D42" t="str">
            <v>16/Mar/1998</v>
          </cell>
          <cell r="E42" t="str">
            <v>KPUR0118</v>
          </cell>
          <cell r="F42" t="str">
            <v>1998/03</v>
          </cell>
          <cell r="G42" t="str">
            <v>000000</v>
          </cell>
          <cell r="H42" t="str">
            <v>22620</v>
          </cell>
          <cell r="I42" t="str">
            <v>601000</v>
          </cell>
          <cell r="J42" t="str">
            <v>ZCY 2/15@2/28 TAX</v>
          </cell>
          <cell r="K42" t="str">
            <v>D1</v>
          </cell>
          <cell r="L42">
            <v>-5605.67</v>
          </cell>
          <cell r="M42" t="str">
            <v>X</v>
          </cell>
        </row>
        <row r="43">
          <cell r="A43" t="str">
            <v xml:space="preserve"> 01</v>
          </cell>
          <cell r="B43" t="str">
            <v>000307</v>
          </cell>
          <cell r="C43" t="str">
            <v>Jrnl</v>
          </cell>
          <cell r="D43" t="str">
            <v>30/Mar/1998</v>
          </cell>
          <cell r="E43" t="str">
            <v>KPUR0260</v>
          </cell>
          <cell r="F43" t="str">
            <v>1998/03</v>
          </cell>
          <cell r="G43" t="str">
            <v>000000</v>
          </cell>
          <cell r="H43" t="str">
            <v>22620</v>
          </cell>
          <cell r="I43" t="str">
            <v>601000</v>
          </cell>
          <cell r="J43" t="str">
            <v>ZCY 3/1@3/14 TAX</v>
          </cell>
          <cell r="K43" t="str">
            <v>D1</v>
          </cell>
          <cell r="L43">
            <v>-10603.21</v>
          </cell>
          <cell r="M43" t="str">
            <v>X</v>
          </cell>
        </row>
        <row r="44">
          <cell r="A44" t="str">
            <v xml:space="preserve"> 01</v>
          </cell>
          <cell r="B44" t="str">
            <v>000326</v>
          </cell>
          <cell r="C44" t="str">
            <v>Jrnl</v>
          </cell>
          <cell r="D44" t="str">
            <v>14/Apr/1998</v>
          </cell>
          <cell r="E44" t="str">
            <v>KPUR0326</v>
          </cell>
          <cell r="F44" t="str">
            <v>1998/04</v>
          </cell>
          <cell r="G44" t="str">
            <v>000000</v>
          </cell>
          <cell r="H44" t="str">
            <v>22620</v>
          </cell>
          <cell r="I44" t="str">
            <v>601000</v>
          </cell>
          <cell r="J44" t="str">
            <v>ZCY 3/15@3/28 TAX</v>
          </cell>
          <cell r="K44" t="str">
            <v>D1</v>
          </cell>
          <cell r="L44">
            <v>-9592.36</v>
          </cell>
          <cell r="M44" t="str">
            <v>X</v>
          </cell>
        </row>
        <row r="45">
          <cell r="A45" t="str">
            <v xml:space="preserve"> 01</v>
          </cell>
          <cell r="B45" t="str">
            <v>000341</v>
          </cell>
          <cell r="C45" t="str">
            <v>Jrnl</v>
          </cell>
          <cell r="D45" t="str">
            <v>24/Apr/1998</v>
          </cell>
          <cell r="E45" t="str">
            <v>KPUR0351</v>
          </cell>
          <cell r="F45" t="str">
            <v>1998/04</v>
          </cell>
          <cell r="G45" t="str">
            <v>000000</v>
          </cell>
          <cell r="H45" t="str">
            <v>22620</v>
          </cell>
          <cell r="I45" t="str">
            <v>601000</v>
          </cell>
          <cell r="J45" t="str">
            <v>ZCY 3/29@4/11 TAX</v>
          </cell>
          <cell r="K45" t="str">
            <v>D1</v>
          </cell>
          <cell r="L45">
            <v>-29577.27</v>
          </cell>
          <cell r="M45" t="str">
            <v>X</v>
          </cell>
        </row>
        <row r="46">
          <cell r="A46" t="str">
            <v xml:space="preserve"> 01</v>
          </cell>
          <cell r="B46" t="str">
            <v>000390</v>
          </cell>
          <cell r="C46" t="str">
            <v>Jrnl</v>
          </cell>
          <cell r="D46" t="str">
            <v>25/May/1998</v>
          </cell>
          <cell r="E46" t="str">
            <v>KPUR0483</v>
          </cell>
          <cell r="F46" t="str">
            <v>1998/05</v>
          </cell>
          <cell r="G46" t="str">
            <v>000000</v>
          </cell>
          <cell r="H46" t="str">
            <v>22620</v>
          </cell>
          <cell r="I46" t="str">
            <v>601000</v>
          </cell>
          <cell r="J46" t="str">
            <v>ZCY 4/26@5/9 TAX</v>
          </cell>
          <cell r="K46" t="str">
            <v>D1</v>
          </cell>
          <cell r="L46">
            <v>-32279.29</v>
          </cell>
          <cell r="M46" t="str">
            <v>X</v>
          </cell>
        </row>
        <row r="47">
          <cell r="A47" t="str">
            <v xml:space="preserve"> 01</v>
          </cell>
          <cell r="B47" t="str">
            <v>000421</v>
          </cell>
          <cell r="C47" t="str">
            <v>Jrnl</v>
          </cell>
          <cell r="D47" t="str">
            <v>06/Jun/1998</v>
          </cell>
          <cell r="E47" t="str">
            <v>KPUR0590</v>
          </cell>
          <cell r="F47" t="str">
            <v>1998/06</v>
          </cell>
          <cell r="G47" t="str">
            <v>000000</v>
          </cell>
          <cell r="H47" t="str">
            <v>22620</v>
          </cell>
          <cell r="I47" t="str">
            <v>601000</v>
          </cell>
          <cell r="J47" t="str">
            <v>ZCY 5/10@5/23 TAX</v>
          </cell>
          <cell r="K47" t="str">
            <v>D1</v>
          </cell>
          <cell r="L47">
            <v>-31609.439999999999</v>
          </cell>
          <cell r="M47" t="str">
            <v>X</v>
          </cell>
        </row>
        <row r="48">
          <cell r="A48" t="str">
            <v xml:space="preserve"> 01</v>
          </cell>
          <cell r="B48" t="str">
            <v>000458</v>
          </cell>
          <cell r="C48" t="str">
            <v>Jrnl</v>
          </cell>
          <cell r="D48" t="str">
            <v>24/Jun/1998</v>
          </cell>
          <cell r="E48" t="str">
            <v>KPUR0692</v>
          </cell>
          <cell r="F48" t="str">
            <v>1998/06</v>
          </cell>
          <cell r="G48" t="str">
            <v>000000</v>
          </cell>
          <cell r="H48" t="str">
            <v>22620</v>
          </cell>
          <cell r="I48" t="str">
            <v>601000</v>
          </cell>
          <cell r="J48" t="str">
            <v>ZCY 5/24@6/6 TAX</v>
          </cell>
          <cell r="K48" t="str">
            <v>D1</v>
          </cell>
          <cell r="L48">
            <v>-33646.49</v>
          </cell>
          <cell r="M48" t="str">
            <v>X</v>
          </cell>
        </row>
        <row r="49">
          <cell r="A49" t="str">
            <v xml:space="preserve"> 02</v>
          </cell>
          <cell r="B49" t="str">
            <v>000020</v>
          </cell>
          <cell r="C49" t="str">
            <v>Accl</v>
          </cell>
          <cell r="D49" t="str">
            <v>30/Jun/1998</v>
          </cell>
          <cell r="E49" t="str">
            <v>KPUR0694</v>
          </cell>
          <cell r="F49" t="str">
            <v>1998/06</v>
          </cell>
          <cell r="G49" t="str">
            <v>000000</v>
          </cell>
          <cell r="H49" t="str">
            <v>22620</v>
          </cell>
          <cell r="I49" t="str">
            <v>601000</v>
          </cell>
          <cell r="J49" t="str">
            <v>ZCY 6/21@6/30 TAX ACC</v>
          </cell>
          <cell r="K49" t="str">
            <v>D1</v>
          </cell>
          <cell r="L49">
            <v>-24033.21</v>
          </cell>
          <cell r="M49" t="str">
            <v>X</v>
          </cell>
        </row>
        <row r="50">
          <cell r="A50" t="str">
            <v xml:space="preserve"> 03</v>
          </cell>
          <cell r="B50" t="str">
            <v>000020</v>
          </cell>
          <cell r="C50" t="str">
            <v>Rvsl</v>
          </cell>
          <cell r="D50" t="str">
            <v>30/Jun/1998</v>
          </cell>
          <cell r="E50" t="str">
            <v>KPUR0694</v>
          </cell>
          <cell r="F50" t="str">
            <v>1998/07</v>
          </cell>
          <cell r="G50" t="str">
            <v>000000</v>
          </cell>
          <cell r="H50" t="str">
            <v>22620</v>
          </cell>
          <cell r="I50" t="str">
            <v>601000</v>
          </cell>
          <cell r="J50" t="str">
            <v>ZCY 6/21@6/30 TAX ACC</v>
          </cell>
          <cell r="K50" t="str">
            <v>D1</v>
          </cell>
          <cell r="L50">
            <v>24033.21</v>
          </cell>
          <cell r="M50" t="str">
            <v>X</v>
          </cell>
        </row>
        <row r="51">
          <cell r="A51" t="str">
            <v xml:space="preserve"> 01</v>
          </cell>
          <cell r="B51" t="str">
            <v>000504</v>
          </cell>
          <cell r="C51" t="str">
            <v>Jrnl</v>
          </cell>
          <cell r="D51" t="str">
            <v>22/Jul/1998</v>
          </cell>
          <cell r="E51" t="str">
            <v>KPUR0808</v>
          </cell>
          <cell r="F51" t="str">
            <v>1998/07</v>
          </cell>
          <cell r="G51" t="str">
            <v>000000</v>
          </cell>
          <cell r="H51" t="str">
            <v>22620</v>
          </cell>
          <cell r="I51" t="str">
            <v>601000</v>
          </cell>
          <cell r="J51" t="str">
            <v>ZCY 6/21@7/4 TAX</v>
          </cell>
          <cell r="K51" t="str">
            <v>D1</v>
          </cell>
          <cell r="L51">
            <v>-36815.050000000003</v>
          </cell>
          <cell r="M51" t="str">
            <v>X</v>
          </cell>
        </row>
        <row r="52">
          <cell r="A52" t="str">
            <v xml:space="preserve"> 01</v>
          </cell>
          <cell r="B52" t="str">
            <v>000505</v>
          </cell>
          <cell r="C52" t="str">
            <v>Jrnl</v>
          </cell>
          <cell r="D52" t="str">
            <v>22/Jul/1998</v>
          </cell>
          <cell r="E52" t="str">
            <v>KPUR0808</v>
          </cell>
          <cell r="F52" t="str">
            <v>1998/07</v>
          </cell>
          <cell r="G52" t="str">
            <v>000000</v>
          </cell>
          <cell r="H52" t="str">
            <v>22620</v>
          </cell>
          <cell r="I52" t="str">
            <v>601000</v>
          </cell>
          <cell r="J52" t="str">
            <v>ZCY 6/21@7/4 TAX</v>
          </cell>
          <cell r="K52" t="str">
            <v>D1</v>
          </cell>
          <cell r="L52">
            <v>36815.050000000003</v>
          </cell>
          <cell r="M52" t="str">
            <v>X</v>
          </cell>
        </row>
        <row r="53">
          <cell r="A53" t="str">
            <v xml:space="preserve"> 01</v>
          </cell>
          <cell r="B53" t="str">
            <v>000498</v>
          </cell>
          <cell r="C53" t="str">
            <v>Jrnl</v>
          </cell>
          <cell r="D53" t="str">
            <v>31/Jul/1998</v>
          </cell>
          <cell r="E53" t="str">
            <v>KPUR0808</v>
          </cell>
          <cell r="F53" t="str">
            <v>1998/07</v>
          </cell>
          <cell r="G53" t="str">
            <v>000000</v>
          </cell>
          <cell r="H53" t="str">
            <v>22620</v>
          </cell>
          <cell r="I53" t="str">
            <v>601000</v>
          </cell>
          <cell r="J53" t="str">
            <v>ZCY 6/7 @6/20 TAX</v>
          </cell>
          <cell r="K53" t="str">
            <v>D1</v>
          </cell>
          <cell r="L53">
            <v>-35751.980000000003</v>
          </cell>
          <cell r="M53" t="str">
            <v>X</v>
          </cell>
        </row>
        <row r="54">
          <cell r="A54" t="str">
            <v xml:space="preserve"> 02</v>
          </cell>
          <cell r="B54" t="str">
            <v>000017</v>
          </cell>
          <cell r="C54" t="str">
            <v>Accl</v>
          </cell>
          <cell r="D54" t="str">
            <v>30/Jun/1998</v>
          </cell>
          <cell r="E54" t="str">
            <v>KPUR0694</v>
          </cell>
          <cell r="F54" t="str">
            <v>1998/06</v>
          </cell>
          <cell r="G54" t="str">
            <v>000000</v>
          </cell>
          <cell r="H54" t="str">
            <v>22620</v>
          </cell>
          <cell r="I54" t="str">
            <v>601000</v>
          </cell>
          <cell r="J54" t="str">
            <v>ZCY 6/7@6/20 ACC TAX</v>
          </cell>
          <cell r="K54" t="str">
            <v>D1</v>
          </cell>
          <cell r="L54">
            <v>-33646.49</v>
          </cell>
          <cell r="M54" t="str">
            <v>X</v>
          </cell>
        </row>
        <row r="55">
          <cell r="A55" t="str">
            <v xml:space="preserve"> 03</v>
          </cell>
          <cell r="B55" t="str">
            <v>000017</v>
          </cell>
          <cell r="C55" t="str">
            <v>Rvsl</v>
          </cell>
          <cell r="D55" t="str">
            <v>30/Jun/1998</v>
          </cell>
          <cell r="E55" t="str">
            <v>KPUR0694</v>
          </cell>
          <cell r="F55" t="str">
            <v>1998/07</v>
          </cell>
          <cell r="G55" t="str">
            <v>000000</v>
          </cell>
          <cell r="H55" t="str">
            <v>22620</v>
          </cell>
          <cell r="I55" t="str">
            <v>601000</v>
          </cell>
          <cell r="J55" t="str">
            <v>ZCY 6/7@6/20 ACC TAX</v>
          </cell>
          <cell r="K55" t="str">
            <v>D1</v>
          </cell>
          <cell r="L55">
            <v>33646.49</v>
          </cell>
          <cell r="M55" t="str">
            <v>X</v>
          </cell>
        </row>
        <row r="56">
          <cell r="A56" t="str">
            <v xml:space="preserve"> 01</v>
          </cell>
          <cell r="B56" t="str">
            <v>000497</v>
          </cell>
          <cell r="C56" t="str">
            <v>Jrnl</v>
          </cell>
          <cell r="D56" t="str">
            <v>11/Jul/1998</v>
          </cell>
          <cell r="E56" t="str">
            <v>KPUR0808</v>
          </cell>
          <cell r="F56" t="str">
            <v>1998/07</v>
          </cell>
          <cell r="G56" t="str">
            <v>000000</v>
          </cell>
          <cell r="H56" t="str">
            <v>22620</v>
          </cell>
          <cell r="I56" t="str">
            <v>601000</v>
          </cell>
          <cell r="J56" t="str">
            <v>ZCY 6/7@6/20 TAX</v>
          </cell>
          <cell r="K56" t="str">
            <v>D1</v>
          </cell>
          <cell r="L56">
            <v>35751.980000000003</v>
          </cell>
          <cell r="M56" t="str">
            <v>X</v>
          </cell>
        </row>
        <row r="57">
          <cell r="A57" t="str">
            <v xml:space="preserve"> 01</v>
          </cell>
          <cell r="B57" t="str">
            <v>000546</v>
          </cell>
          <cell r="C57" t="str">
            <v>Jrnl</v>
          </cell>
          <cell r="D57" t="str">
            <v>31/Aug/1998</v>
          </cell>
          <cell r="E57" t="str">
            <v>TLOH2054</v>
          </cell>
          <cell r="F57" t="str">
            <v>1998/08</v>
          </cell>
          <cell r="G57" t="str">
            <v>000000</v>
          </cell>
          <cell r="H57" t="str">
            <v>22620</v>
          </cell>
          <cell r="I57" t="str">
            <v>601000</v>
          </cell>
          <cell r="J57" t="str">
            <v>ZCY 7/19@8/1 TAX</v>
          </cell>
          <cell r="K57" t="str">
            <v>D1</v>
          </cell>
          <cell r="L57">
            <v>-19957.650000000001</v>
          </cell>
          <cell r="M57" t="str">
            <v>X</v>
          </cell>
        </row>
        <row r="58">
          <cell r="A58" t="str">
            <v xml:space="preserve"> 01</v>
          </cell>
          <cell r="B58" t="str">
            <v>000546</v>
          </cell>
          <cell r="C58" t="str">
            <v>Jrnl</v>
          </cell>
          <cell r="D58" t="str">
            <v>31/Aug/1998</v>
          </cell>
          <cell r="E58" t="str">
            <v>TLOH2054</v>
          </cell>
          <cell r="F58" t="str">
            <v>1998/08</v>
          </cell>
          <cell r="G58" t="str">
            <v>000000</v>
          </cell>
          <cell r="H58" t="str">
            <v>22620</v>
          </cell>
          <cell r="I58" t="str">
            <v>608000</v>
          </cell>
          <cell r="J58" t="str">
            <v>ZCY 7/19@8/1 TAX</v>
          </cell>
          <cell r="K58" t="str">
            <v>D1</v>
          </cell>
          <cell r="L58">
            <v>-19957.650000000001</v>
          </cell>
          <cell r="M58" t="str">
            <v>X</v>
          </cell>
        </row>
        <row r="59">
          <cell r="A59" t="str">
            <v xml:space="preserve"> 01</v>
          </cell>
          <cell r="B59" t="str">
            <v>000613</v>
          </cell>
          <cell r="C59" t="str">
            <v>Jrnl</v>
          </cell>
          <cell r="D59" t="str">
            <v>30/Sep/1998</v>
          </cell>
          <cell r="E59" t="str">
            <v>KPUR0961</v>
          </cell>
          <cell r="F59" t="str">
            <v>1998/09</v>
          </cell>
          <cell r="G59" t="str">
            <v>000000</v>
          </cell>
          <cell r="H59" t="str">
            <v>22620</v>
          </cell>
          <cell r="I59" t="str">
            <v>601000</v>
          </cell>
          <cell r="J59" t="str">
            <v>ZCY 7/5@7/18 TAX</v>
          </cell>
          <cell r="K59" t="str">
            <v>D1</v>
          </cell>
          <cell r="L59">
            <v>-42608.31</v>
          </cell>
          <cell r="M59" t="str">
            <v>X</v>
          </cell>
        </row>
        <row r="60">
          <cell r="A60" t="str">
            <v xml:space="preserve"> 01</v>
          </cell>
          <cell r="B60" t="str">
            <v>000772</v>
          </cell>
          <cell r="C60" t="str">
            <v>Jrnl</v>
          </cell>
          <cell r="D60" t="str">
            <v>07/Dec/1998</v>
          </cell>
          <cell r="E60" t="str">
            <v>DPAN0004</v>
          </cell>
          <cell r="F60" t="str">
            <v>1998/12</v>
          </cell>
          <cell r="G60" t="str">
            <v>000000</v>
          </cell>
          <cell r="H60" t="str">
            <v>22620</v>
          </cell>
          <cell r="I60" t="str">
            <v>608000</v>
          </cell>
          <cell r="J60" t="str">
            <v>ZCY FICA Tax Refund</v>
          </cell>
          <cell r="K60" t="str">
            <v>D1</v>
          </cell>
          <cell r="L60">
            <v>36609.870000000003</v>
          </cell>
          <cell r="M60" t="str">
            <v>X</v>
          </cell>
        </row>
        <row r="61">
          <cell r="A61" t="str">
            <v xml:space="preserve"> 01</v>
          </cell>
          <cell r="B61" t="str">
            <v>000773</v>
          </cell>
          <cell r="C61" t="str">
            <v>Jrnl</v>
          </cell>
          <cell r="D61" t="str">
            <v>07/Dec/1998</v>
          </cell>
          <cell r="E61" t="str">
            <v>DPAN0004</v>
          </cell>
          <cell r="F61" t="str">
            <v>1998/12</v>
          </cell>
          <cell r="G61" t="str">
            <v>000000</v>
          </cell>
          <cell r="H61" t="str">
            <v>22620</v>
          </cell>
          <cell r="I61" t="str">
            <v>608000</v>
          </cell>
          <cell r="J61" t="str">
            <v>ZCY YTD FICA Refund</v>
          </cell>
          <cell r="K61" t="str">
            <v>D1</v>
          </cell>
          <cell r="L61">
            <v>-36609.870000000003</v>
          </cell>
          <cell r="M61" t="str">
            <v>X</v>
          </cell>
        </row>
        <row r="62">
          <cell r="A62" t="str">
            <v xml:space="preserve"> 01</v>
          </cell>
          <cell r="B62" t="str">
            <v>000219</v>
          </cell>
          <cell r="C62" t="str">
            <v>Jrnl</v>
          </cell>
          <cell r="D62" t="str">
            <v>31/Jan/1998</v>
          </cell>
          <cell r="E62" t="str">
            <v>TLOH1051</v>
          </cell>
          <cell r="F62" t="str">
            <v>1998/01</v>
          </cell>
          <cell r="G62" t="str">
            <v>000000</v>
          </cell>
          <cell r="H62" t="str">
            <v>22620</v>
          </cell>
          <cell r="I62" t="str">
            <v>601000</v>
          </cell>
          <cell r="J62" t="str">
            <v>ZCY(1/4@1/17)TAX</v>
          </cell>
          <cell r="K62" t="str">
            <v>D1</v>
          </cell>
          <cell r="L62">
            <v>4431.2</v>
          </cell>
          <cell r="M62" t="str">
            <v>X</v>
          </cell>
        </row>
        <row r="63">
          <cell r="A63" t="str">
            <v xml:space="preserve"> 01</v>
          </cell>
          <cell r="B63" t="str">
            <v>000234</v>
          </cell>
          <cell r="C63" t="str">
            <v>Jrnl</v>
          </cell>
          <cell r="D63" t="str">
            <v>12/Feb/1998</v>
          </cell>
          <cell r="E63" t="str">
            <v>KPUR0008</v>
          </cell>
          <cell r="F63" t="str">
            <v>1998/02</v>
          </cell>
          <cell r="G63" t="str">
            <v>000000</v>
          </cell>
          <cell r="H63" t="str">
            <v>22620</v>
          </cell>
          <cell r="I63" t="str">
            <v>601000</v>
          </cell>
          <cell r="J63" t="str">
            <v>ZCY(12/21@01/03)</v>
          </cell>
          <cell r="K63" t="str">
            <v>D1</v>
          </cell>
          <cell r="L63">
            <v>-1633.37</v>
          </cell>
          <cell r="M63" t="str">
            <v>X</v>
          </cell>
        </row>
        <row r="64">
          <cell r="A64" t="str">
            <v xml:space="preserve"> 01</v>
          </cell>
          <cell r="B64" t="str">
            <v>000272</v>
          </cell>
          <cell r="C64" t="str">
            <v>Jrnl</v>
          </cell>
          <cell r="D64" t="str">
            <v>16/Mar/1998</v>
          </cell>
          <cell r="E64" t="str">
            <v>KPUR0118</v>
          </cell>
          <cell r="F64" t="str">
            <v>1998/03</v>
          </cell>
          <cell r="G64" t="str">
            <v>000000</v>
          </cell>
          <cell r="H64" t="str">
            <v>22620</v>
          </cell>
          <cell r="I64" t="str">
            <v>601000</v>
          </cell>
          <cell r="J64" t="str">
            <v>ZCY(2/15@2/28) TAX</v>
          </cell>
          <cell r="K64" t="str">
            <v>D1</v>
          </cell>
          <cell r="L64">
            <v>5605.66</v>
          </cell>
          <cell r="M64" t="str">
            <v>X</v>
          </cell>
        </row>
        <row r="65">
          <cell r="A65" t="str">
            <v xml:space="preserve"> 01</v>
          </cell>
          <cell r="B65" t="str">
            <v>000315</v>
          </cell>
          <cell r="C65" t="str">
            <v>Jrnl</v>
          </cell>
          <cell r="D65" t="str">
            <v>14/Apr/1998</v>
          </cell>
          <cell r="E65" t="str">
            <v>KPUR0269</v>
          </cell>
          <cell r="F65" t="str">
            <v>1998/04</v>
          </cell>
          <cell r="G65" t="str">
            <v>000000</v>
          </cell>
          <cell r="H65" t="str">
            <v>22620</v>
          </cell>
          <cell r="I65" t="str">
            <v>601000</v>
          </cell>
          <cell r="J65" t="str">
            <v>ZCY(3/15@3/28)TAX</v>
          </cell>
          <cell r="K65" t="str">
            <v>D1</v>
          </cell>
          <cell r="L65">
            <v>9592.36</v>
          </cell>
          <cell r="M65" t="str">
            <v>X</v>
          </cell>
        </row>
        <row r="66">
          <cell r="A66" t="str">
            <v xml:space="preserve"> 01</v>
          </cell>
          <cell r="B66" t="str">
            <v>000342</v>
          </cell>
          <cell r="C66" t="str">
            <v>Jrnl</v>
          </cell>
          <cell r="D66" t="str">
            <v>24/Apr/1998</v>
          </cell>
          <cell r="E66" t="str">
            <v>KPUR0351</v>
          </cell>
          <cell r="F66" t="str">
            <v>1998/04</v>
          </cell>
          <cell r="G66" t="str">
            <v>000000</v>
          </cell>
          <cell r="H66" t="str">
            <v>22620</v>
          </cell>
          <cell r="I66" t="str">
            <v>601000</v>
          </cell>
          <cell r="J66" t="str">
            <v>ZCY(3/29@4/11)TAX</v>
          </cell>
          <cell r="K66" t="str">
            <v>D1</v>
          </cell>
          <cell r="L66">
            <v>29577.27</v>
          </cell>
          <cell r="M66" t="str">
            <v>X</v>
          </cell>
        </row>
        <row r="67">
          <cell r="A67" t="str">
            <v xml:space="preserve"> 01</v>
          </cell>
          <cell r="B67" t="str">
            <v>000389</v>
          </cell>
          <cell r="C67" t="str">
            <v>Jrnl</v>
          </cell>
          <cell r="D67" t="str">
            <v>25/May/1998</v>
          </cell>
          <cell r="E67" t="str">
            <v>KPUR0483</v>
          </cell>
          <cell r="F67" t="str">
            <v>1998/05</v>
          </cell>
          <cell r="G67" t="str">
            <v>000000</v>
          </cell>
          <cell r="H67" t="str">
            <v>22620</v>
          </cell>
          <cell r="I67" t="str">
            <v>601000</v>
          </cell>
          <cell r="J67" t="str">
            <v>ZCY(4-26@5-9)TAX</v>
          </cell>
          <cell r="K67" t="str">
            <v>D1</v>
          </cell>
          <cell r="L67">
            <v>32279.29</v>
          </cell>
          <cell r="M67" t="str">
            <v>X</v>
          </cell>
        </row>
        <row r="68">
          <cell r="A68" t="str">
            <v xml:space="preserve"> 01</v>
          </cell>
          <cell r="B68" t="str">
            <v>000418</v>
          </cell>
          <cell r="C68" t="str">
            <v>Jrnl</v>
          </cell>
          <cell r="D68" t="str">
            <v>06/Jun/1998</v>
          </cell>
          <cell r="E68" t="str">
            <v>KPUR0590</v>
          </cell>
          <cell r="F68" t="str">
            <v>1998/06</v>
          </cell>
          <cell r="G68" t="str">
            <v>000000</v>
          </cell>
          <cell r="H68" t="str">
            <v>22620</v>
          </cell>
          <cell r="I68" t="str">
            <v>601000</v>
          </cell>
          <cell r="J68" t="str">
            <v>ZCY(5/10@5/23)TAX</v>
          </cell>
          <cell r="K68" t="str">
            <v>D1</v>
          </cell>
          <cell r="L68">
            <v>31609.439999999999</v>
          </cell>
          <cell r="M68" t="str">
            <v>X</v>
          </cell>
        </row>
        <row r="69">
          <cell r="A69" t="str">
            <v xml:space="preserve"> 01</v>
          </cell>
          <cell r="B69" t="str">
            <v>000255</v>
          </cell>
          <cell r="C69" t="str">
            <v>Jrnl</v>
          </cell>
          <cell r="D69" t="str">
            <v>27/Feb/1998</v>
          </cell>
          <cell r="E69" t="str">
            <v>TLOH1216</v>
          </cell>
          <cell r="F69" t="str">
            <v>1998/02</v>
          </cell>
          <cell r="G69" t="str">
            <v>000000</v>
          </cell>
          <cell r="H69" t="str">
            <v>22620</v>
          </cell>
          <cell r="I69" t="str">
            <v>601000</v>
          </cell>
          <cell r="J69" t="str">
            <v>ZCY1/18@1/31 TAX</v>
          </cell>
          <cell r="K69" t="str">
            <v>D1</v>
          </cell>
          <cell r="L69">
            <v>-4682.3599999999997</v>
          </cell>
          <cell r="M69" t="str">
            <v>X</v>
          </cell>
        </row>
        <row r="70">
          <cell r="A70" t="str">
            <v xml:space="preserve"> 01</v>
          </cell>
          <cell r="B70" t="str">
            <v>000341</v>
          </cell>
          <cell r="C70" t="str">
            <v>Jrnl</v>
          </cell>
          <cell r="D70" t="str">
            <v>24/Apr/1998</v>
          </cell>
          <cell r="E70" t="str">
            <v>KPUR0351</v>
          </cell>
          <cell r="F70" t="str">
            <v>1998/04</v>
          </cell>
          <cell r="G70" t="str">
            <v>000000</v>
          </cell>
          <cell r="H70" t="str">
            <v>22620</v>
          </cell>
          <cell r="I70" t="str">
            <v>601000</v>
          </cell>
          <cell r="J70" t="str">
            <v>ZDA 3/29@4/11 TAX</v>
          </cell>
          <cell r="K70" t="str">
            <v>D1</v>
          </cell>
          <cell r="L70">
            <v>-386.87</v>
          </cell>
          <cell r="M70" t="str">
            <v>X</v>
          </cell>
        </row>
        <row r="71">
          <cell r="A71" t="str">
            <v xml:space="preserve"> 01</v>
          </cell>
          <cell r="B71" t="str">
            <v>000368</v>
          </cell>
          <cell r="C71" t="str">
            <v>Jrnl</v>
          </cell>
          <cell r="D71" t="str">
            <v>08/May/1998</v>
          </cell>
          <cell r="E71" t="str">
            <v>KPUR0417</v>
          </cell>
          <cell r="F71" t="str">
            <v>1998/05</v>
          </cell>
          <cell r="G71" t="str">
            <v>000000</v>
          </cell>
          <cell r="H71" t="str">
            <v>22620</v>
          </cell>
          <cell r="I71" t="str">
            <v>601000</v>
          </cell>
          <cell r="J71" t="str">
            <v>ZDA 4/12@4/25 TAX</v>
          </cell>
          <cell r="K71" t="str">
            <v>D1</v>
          </cell>
          <cell r="L71">
            <v>-32533.33</v>
          </cell>
          <cell r="M71" t="str">
            <v>X</v>
          </cell>
        </row>
        <row r="72">
          <cell r="A72" t="str">
            <v xml:space="preserve"> 01</v>
          </cell>
          <cell r="B72" t="str">
            <v>000368</v>
          </cell>
          <cell r="C72" t="str">
            <v>Jrnl</v>
          </cell>
          <cell r="D72" t="str">
            <v>08/May/1998</v>
          </cell>
          <cell r="E72" t="str">
            <v>KPUR0417</v>
          </cell>
          <cell r="F72" t="str">
            <v>1998/05</v>
          </cell>
          <cell r="G72" t="str">
            <v>000000</v>
          </cell>
          <cell r="H72" t="str">
            <v>22620</v>
          </cell>
          <cell r="I72" t="str">
            <v>601000</v>
          </cell>
          <cell r="J72" t="str">
            <v>ZDA PE 4/25 TAX VOID</v>
          </cell>
          <cell r="K72" t="str">
            <v>D1</v>
          </cell>
          <cell r="L72">
            <v>386.87</v>
          </cell>
          <cell r="M72" t="str">
            <v>X</v>
          </cell>
        </row>
        <row r="73">
          <cell r="A73" t="str">
            <v xml:space="preserve"> 01</v>
          </cell>
          <cell r="B73" t="str">
            <v>000258</v>
          </cell>
          <cell r="C73" t="str">
            <v>Jrnl</v>
          </cell>
          <cell r="D73" t="str">
            <v>16/Feb/1998</v>
          </cell>
          <cell r="E73" t="str">
            <v>TLOH1230</v>
          </cell>
          <cell r="F73" t="str">
            <v>1998/02</v>
          </cell>
          <cell r="G73" t="str">
            <v>000000</v>
          </cell>
          <cell r="H73" t="str">
            <v>22620</v>
          </cell>
          <cell r="I73" t="str">
            <v>608000</v>
          </cell>
          <cell r="J73" t="str">
            <v>ZNP (1/18@1/31) TAX</v>
          </cell>
          <cell r="K73" t="str">
            <v>D1</v>
          </cell>
          <cell r="L73">
            <v>1547.7</v>
          </cell>
          <cell r="M73" t="str">
            <v>X</v>
          </cell>
        </row>
        <row r="74">
          <cell r="A74" t="str">
            <v xml:space="preserve"> 01</v>
          </cell>
          <cell r="B74" t="str">
            <v>000729</v>
          </cell>
          <cell r="C74" t="str">
            <v>Jrnl</v>
          </cell>
          <cell r="D74" t="str">
            <v>10/Nov/1998</v>
          </cell>
          <cell r="E74" t="str">
            <v>NTON0035</v>
          </cell>
          <cell r="F74" t="str">
            <v>1998/11</v>
          </cell>
          <cell r="G74" t="str">
            <v>000000</v>
          </cell>
          <cell r="H74" t="str">
            <v>22620</v>
          </cell>
          <cell r="I74" t="str">
            <v>608000</v>
          </cell>
          <cell r="J74" t="str">
            <v>ZNP (10/11@10/24) Tax</v>
          </cell>
          <cell r="K74" t="str">
            <v>D1</v>
          </cell>
          <cell r="L74">
            <v>81884.11</v>
          </cell>
          <cell r="M74" t="str">
            <v>X</v>
          </cell>
        </row>
        <row r="75">
          <cell r="A75" t="str">
            <v xml:space="preserve"> 01</v>
          </cell>
          <cell r="B75" t="str">
            <v>000721</v>
          </cell>
          <cell r="C75" t="str">
            <v>Jrnl</v>
          </cell>
          <cell r="D75" t="str">
            <v>23/Nov/1998</v>
          </cell>
          <cell r="E75" t="str">
            <v>NTON0028</v>
          </cell>
          <cell r="F75" t="str">
            <v>1998/11</v>
          </cell>
          <cell r="G75" t="str">
            <v>000000</v>
          </cell>
          <cell r="H75" t="str">
            <v>22620</v>
          </cell>
          <cell r="I75" t="str">
            <v>608000</v>
          </cell>
          <cell r="J75" t="str">
            <v>ZNP (10/25@11/7) Tax</v>
          </cell>
          <cell r="K75" t="str">
            <v>D1</v>
          </cell>
          <cell r="L75">
            <v>91311.79</v>
          </cell>
          <cell r="M75" t="str">
            <v>X</v>
          </cell>
        </row>
        <row r="76">
          <cell r="A76" t="str">
            <v xml:space="preserve"> 01</v>
          </cell>
          <cell r="B76" t="str">
            <v>000777</v>
          </cell>
          <cell r="C76" t="str">
            <v>Jrnl</v>
          </cell>
          <cell r="D76" t="str">
            <v>16/Dec/1998</v>
          </cell>
          <cell r="E76" t="str">
            <v>NTON0082</v>
          </cell>
          <cell r="F76" t="str">
            <v>1998/12</v>
          </cell>
          <cell r="G76" t="str">
            <v>000000</v>
          </cell>
          <cell r="H76" t="str">
            <v>22620</v>
          </cell>
          <cell r="I76" t="str">
            <v>608000</v>
          </cell>
          <cell r="J76" t="str">
            <v>ZNP (11/22@12/5) Tax</v>
          </cell>
          <cell r="K76" t="str">
            <v>D1</v>
          </cell>
          <cell r="L76">
            <v>89494.27</v>
          </cell>
          <cell r="M76" t="str">
            <v>X</v>
          </cell>
        </row>
        <row r="77">
          <cell r="A77" t="str">
            <v xml:space="preserve"> 01</v>
          </cell>
          <cell r="B77" t="str">
            <v>000263</v>
          </cell>
          <cell r="C77" t="str">
            <v>Jrnl</v>
          </cell>
          <cell r="D77" t="str">
            <v>28/Feb/1998</v>
          </cell>
          <cell r="E77" t="str">
            <v>TLOH1230</v>
          </cell>
          <cell r="F77" t="str">
            <v>1998/02</v>
          </cell>
          <cell r="G77" t="str">
            <v>000000</v>
          </cell>
          <cell r="H77" t="str">
            <v>22620</v>
          </cell>
          <cell r="I77" t="str">
            <v>608000</v>
          </cell>
          <cell r="J77" t="str">
            <v>ZNP (2/1@2/14) TAX</v>
          </cell>
          <cell r="K77" t="str">
            <v>D1</v>
          </cell>
          <cell r="L77">
            <v>4757.3100000000004</v>
          </cell>
          <cell r="M77" t="str">
            <v>X</v>
          </cell>
        </row>
        <row r="78">
          <cell r="A78" t="str">
            <v xml:space="preserve"> 01</v>
          </cell>
          <cell r="B78" t="str">
            <v>000542</v>
          </cell>
          <cell r="C78" t="str">
            <v>Jrnl</v>
          </cell>
          <cell r="D78" t="str">
            <v>27/Aug/1998</v>
          </cell>
          <cell r="E78" t="str">
            <v>KPUR0876</v>
          </cell>
          <cell r="F78" t="str">
            <v>1998/08</v>
          </cell>
          <cell r="G78" t="str">
            <v>000000</v>
          </cell>
          <cell r="H78" t="str">
            <v>22620</v>
          </cell>
          <cell r="I78" t="str">
            <v>608000</v>
          </cell>
          <cell r="J78" t="str">
            <v>ZNP (7/19@8/1)TAX</v>
          </cell>
          <cell r="K78" t="str">
            <v>D1</v>
          </cell>
          <cell r="L78">
            <v>19957.650000000001</v>
          </cell>
          <cell r="M78" t="str">
            <v>X</v>
          </cell>
        </row>
        <row r="79">
          <cell r="A79" t="str">
            <v xml:space="preserve"> 01</v>
          </cell>
          <cell r="B79" t="str">
            <v>000544</v>
          </cell>
          <cell r="C79" t="str">
            <v>Jrnl</v>
          </cell>
          <cell r="D79" t="str">
            <v>31/Aug/1998</v>
          </cell>
          <cell r="E79" t="str">
            <v>KPUR0876</v>
          </cell>
          <cell r="F79" t="str">
            <v>1998/08</v>
          </cell>
          <cell r="G79" t="str">
            <v>000000</v>
          </cell>
          <cell r="H79" t="str">
            <v>22620</v>
          </cell>
          <cell r="I79" t="str">
            <v>608000</v>
          </cell>
          <cell r="J79" t="str">
            <v>ZNP (7/19@8/1)TAX</v>
          </cell>
          <cell r="K79" t="str">
            <v>D1</v>
          </cell>
          <cell r="L79">
            <v>3343.94</v>
          </cell>
          <cell r="M79" t="str">
            <v>X</v>
          </cell>
        </row>
        <row r="80">
          <cell r="A80" t="str">
            <v xml:space="preserve"> 01</v>
          </cell>
          <cell r="B80" t="str">
            <v>000659</v>
          </cell>
          <cell r="C80" t="str">
            <v>Jrnl</v>
          </cell>
          <cell r="D80" t="str">
            <v>07/Oct/1998</v>
          </cell>
          <cell r="E80" t="str">
            <v>NTON0003</v>
          </cell>
          <cell r="F80" t="str">
            <v>1998/10</v>
          </cell>
          <cell r="G80" t="str">
            <v>000000</v>
          </cell>
          <cell r="H80" t="str">
            <v>22620</v>
          </cell>
          <cell r="I80" t="str">
            <v>608000</v>
          </cell>
          <cell r="J80" t="str">
            <v>ZNP (9/13@9/26) Tax</v>
          </cell>
          <cell r="K80" t="str">
            <v>D1</v>
          </cell>
          <cell r="L80">
            <v>-69581.86</v>
          </cell>
          <cell r="M80" t="str">
            <v>X</v>
          </cell>
        </row>
        <row r="81">
          <cell r="A81" t="str">
            <v xml:space="preserve"> 01</v>
          </cell>
          <cell r="B81" t="str">
            <v>000256</v>
          </cell>
          <cell r="C81" t="str">
            <v>Jrnl</v>
          </cell>
          <cell r="D81" t="str">
            <v>16/Feb/1998</v>
          </cell>
          <cell r="E81" t="str">
            <v>TLOH1230</v>
          </cell>
          <cell r="F81" t="str">
            <v>1998/02</v>
          </cell>
          <cell r="G81" t="str">
            <v>000000</v>
          </cell>
          <cell r="H81" t="str">
            <v>22620</v>
          </cell>
          <cell r="I81" t="str">
            <v>608000</v>
          </cell>
          <cell r="J81" t="str">
            <v>ZNP 1/18@1/31 TAX</v>
          </cell>
          <cell r="K81" t="str">
            <v>D1</v>
          </cell>
          <cell r="L81">
            <v>-1547.7</v>
          </cell>
          <cell r="M81" t="str">
            <v>X</v>
          </cell>
        </row>
        <row r="82">
          <cell r="A82" t="str">
            <v xml:space="preserve"> 01</v>
          </cell>
          <cell r="B82" t="str">
            <v>000730</v>
          </cell>
          <cell r="C82" t="str">
            <v>Jrnl</v>
          </cell>
          <cell r="D82" t="str">
            <v>10/Nov/1998</v>
          </cell>
          <cell r="E82" t="str">
            <v>NTON0035</v>
          </cell>
          <cell r="F82" t="str">
            <v>1998/11</v>
          </cell>
          <cell r="G82" t="str">
            <v>000000</v>
          </cell>
          <cell r="H82" t="str">
            <v>22620</v>
          </cell>
          <cell r="I82" t="str">
            <v>608000</v>
          </cell>
          <cell r="J82" t="str">
            <v>ZNP 10/11@10/24 Tax</v>
          </cell>
          <cell r="K82" t="str">
            <v>D1</v>
          </cell>
          <cell r="L82">
            <v>-81884.11</v>
          </cell>
          <cell r="M82" t="str">
            <v>X</v>
          </cell>
        </row>
        <row r="83">
          <cell r="A83" t="str">
            <v xml:space="preserve"> 01</v>
          </cell>
          <cell r="B83" t="str">
            <v>000722</v>
          </cell>
          <cell r="C83" t="str">
            <v>Jrnl</v>
          </cell>
          <cell r="D83" t="str">
            <v>23/Nov/1998</v>
          </cell>
          <cell r="E83" t="str">
            <v>NTON0028</v>
          </cell>
          <cell r="F83" t="str">
            <v>1998/11</v>
          </cell>
          <cell r="G83" t="str">
            <v>000000</v>
          </cell>
          <cell r="H83" t="str">
            <v>22620</v>
          </cell>
          <cell r="I83" t="str">
            <v>608000</v>
          </cell>
          <cell r="J83" t="str">
            <v>ZNP 10/25@11/7 Tax</v>
          </cell>
          <cell r="K83" t="str">
            <v>D1</v>
          </cell>
          <cell r="L83">
            <v>-91311.79</v>
          </cell>
          <cell r="M83" t="str">
            <v>X</v>
          </cell>
        </row>
        <row r="84">
          <cell r="A84" t="str">
            <v xml:space="preserve"> 01</v>
          </cell>
          <cell r="B84" t="str">
            <v>000776</v>
          </cell>
          <cell r="C84" t="str">
            <v>Jrnl</v>
          </cell>
          <cell r="D84" t="str">
            <v>17/Dec/1998</v>
          </cell>
          <cell r="E84" t="str">
            <v>NTON0082</v>
          </cell>
          <cell r="F84" t="str">
            <v>1998/12</v>
          </cell>
          <cell r="G84" t="str">
            <v>000000</v>
          </cell>
          <cell r="H84" t="str">
            <v>22620</v>
          </cell>
          <cell r="I84" t="str">
            <v>608000</v>
          </cell>
          <cell r="J84" t="str">
            <v>ZNP 11/22@12/5 Tax</v>
          </cell>
          <cell r="K84" t="str">
            <v>D1</v>
          </cell>
          <cell r="L84">
            <v>-89494.27</v>
          </cell>
          <cell r="M84" t="str">
            <v>X</v>
          </cell>
        </row>
        <row r="85">
          <cell r="A85" t="str">
            <v xml:space="preserve"> 02</v>
          </cell>
          <cell r="B85" t="str">
            <v>000060</v>
          </cell>
          <cell r="C85" t="str">
            <v>Accl</v>
          </cell>
          <cell r="D85" t="str">
            <v>18/Dec/1998</v>
          </cell>
          <cell r="E85" t="str">
            <v>KROS0023</v>
          </cell>
          <cell r="F85" t="str">
            <v>1998/12</v>
          </cell>
          <cell r="G85" t="str">
            <v>000000</v>
          </cell>
          <cell r="H85" t="str">
            <v>22620</v>
          </cell>
          <cell r="I85" t="str">
            <v>608000</v>
          </cell>
          <cell r="J85" t="str">
            <v>12/6 @ 12/31 Tax</v>
          </cell>
          <cell r="K85" t="str">
            <v>D1</v>
          </cell>
          <cell r="L85">
            <v>-170039.11</v>
          </cell>
        </row>
        <row r="86">
          <cell r="A86" t="str">
            <v xml:space="preserve"> 01</v>
          </cell>
          <cell r="B86" t="str">
            <v>000746</v>
          </cell>
          <cell r="C86" t="str">
            <v>Jrnl</v>
          </cell>
          <cell r="D86" t="str">
            <v>11/Dec/1998</v>
          </cell>
          <cell r="E86" t="str">
            <v>NTON0052</v>
          </cell>
          <cell r="F86" t="str">
            <v>1998/12</v>
          </cell>
          <cell r="G86" t="str">
            <v>000000</v>
          </cell>
          <cell r="H86" t="str">
            <v>22620</v>
          </cell>
          <cell r="I86" t="str">
            <v>608000</v>
          </cell>
          <cell r="J86" t="str">
            <v>ZNP 11/8@11/21 Tax</v>
          </cell>
          <cell r="K86" t="str">
            <v>D1</v>
          </cell>
          <cell r="L86">
            <v>-86609.77</v>
          </cell>
          <cell r="M86" t="str">
            <v>X</v>
          </cell>
        </row>
        <row r="87">
          <cell r="A87" t="str">
            <v xml:space="preserve"> 01</v>
          </cell>
          <cell r="B87" t="str">
            <v>000261</v>
          </cell>
          <cell r="C87" t="str">
            <v>Jrnl</v>
          </cell>
          <cell r="D87" t="str">
            <v>28/Feb/1998</v>
          </cell>
          <cell r="E87" t="str">
            <v>TLOH1230</v>
          </cell>
          <cell r="F87" t="str">
            <v>1998/02</v>
          </cell>
          <cell r="G87" t="str">
            <v>000000</v>
          </cell>
          <cell r="H87" t="str">
            <v>22620</v>
          </cell>
          <cell r="I87" t="str">
            <v>608000</v>
          </cell>
          <cell r="J87" t="str">
            <v>ZNP 2/1@2/14 TAX</v>
          </cell>
          <cell r="K87" t="str">
            <v>D1</v>
          </cell>
          <cell r="L87">
            <v>-4757.3100000000004</v>
          </cell>
          <cell r="M87" t="str">
            <v>X</v>
          </cell>
        </row>
        <row r="88">
          <cell r="A88" t="str">
            <v xml:space="preserve"> 01</v>
          </cell>
          <cell r="B88" t="str">
            <v>000275</v>
          </cell>
          <cell r="C88" t="str">
            <v>Jrnl</v>
          </cell>
          <cell r="D88" t="str">
            <v>17/Mar/1998</v>
          </cell>
          <cell r="E88" t="str">
            <v>KPUR0118</v>
          </cell>
          <cell r="F88" t="str">
            <v>1998/03</v>
          </cell>
          <cell r="G88" t="str">
            <v>000000</v>
          </cell>
          <cell r="H88" t="str">
            <v>22620</v>
          </cell>
          <cell r="I88" t="str">
            <v>608000</v>
          </cell>
          <cell r="J88" t="str">
            <v>ZNP 2/15@2/28 TAX</v>
          </cell>
          <cell r="K88" t="str">
            <v>D1</v>
          </cell>
          <cell r="L88">
            <v>-1590.97</v>
          </cell>
          <cell r="M88" t="str">
            <v>X</v>
          </cell>
        </row>
        <row r="89">
          <cell r="A89" t="str">
            <v xml:space="preserve"> 01</v>
          </cell>
          <cell r="B89" t="str">
            <v>000327</v>
          </cell>
          <cell r="C89" t="str">
            <v>Jrnl</v>
          </cell>
          <cell r="D89" t="str">
            <v>14/Apr/1998</v>
          </cell>
          <cell r="E89" t="str">
            <v>KPUR0326</v>
          </cell>
          <cell r="F89" t="str">
            <v>1998/04</v>
          </cell>
          <cell r="G89" t="str">
            <v>000000</v>
          </cell>
          <cell r="H89" t="str">
            <v>22620</v>
          </cell>
          <cell r="I89" t="str">
            <v>608000</v>
          </cell>
          <cell r="J89" t="str">
            <v>ZNP 3/15@3/28 TAX</v>
          </cell>
          <cell r="K89" t="str">
            <v>D1</v>
          </cell>
          <cell r="L89">
            <v>-2105.5700000000002</v>
          </cell>
          <cell r="M89" t="str">
            <v>X</v>
          </cell>
        </row>
        <row r="90">
          <cell r="A90" t="str">
            <v xml:space="preserve"> 01</v>
          </cell>
          <cell r="B90" t="str">
            <v>000338</v>
          </cell>
          <cell r="C90" t="str">
            <v>Jrnl</v>
          </cell>
          <cell r="D90" t="str">
            <v>24/Apr/1998</v>
          </cell>
          <cell r="E90" t="str">
            <v>KPUR0351</v>
          </cell>
          <cell r="F90" t="str">
            <v>1998/04</v>
          </cell>
          <cell r="G90" t="str">
            <v>000000</v>
          </cell>
          <cell r="H90" t="str">
            <v>22620</v>
          </cell>
          <cell r="I90" t="str">
            <v>608000</v>
          </cell>
          <cell r="J90" t="str">
            <v>ZNP 3/29@4/11 TAX</v>
          </cell>
          <cell r="K90" t="str">
            <v>D1</v>
          </cell>
          <cell r="L90">
            <v>-2044.84</v>
          </cell>
          <cell r="M90" t="str">
            <v>X</v>
          </cell>
        </row>
        <row r="91">
          <cell r="A91" t="str">
            <v xml:space="preserve"> 01</v>
          </cell>
          <cell r="B91" t="str">
            <v>000366</v>
          </cell>
          <cell r="C91" t="str">
            <v>Jrnl</v>
          </cell>
          <cell r="D91" t="str">
            <v>08/May/1998</v>
          </cell>
          <cell r="E91" t="str">
            <v>KPUR0417</v>
          </cell>
          <cell r="F91" t="str">
            <v>1998/05</v>
          </cell>
          <cell r="G91" t="str">
            <v>000000</v>
          </cell>
          <cell r="H91" t="str">
            <v>22620</v>
          </cell>
          <cell r="I91" t="str">
            <v>608000</v>
          </cell>
          <cell r="J91" t="str">
            <v>ZNP 4/12@4/25 TAX</v>
          </cell>
          <cell r="K91" t="str">
            <v>D1</v>
          </cell>
          <cell r="L91">
            <v>-2124.94</v>
          </cell>
          <cell r="M91" t="str">
            <v>X</v>
          </cell>
        </row>
        <row r="92">
          <cell r="A92" t="str">
            <v xml:space="preserve"> 01</v>
          </cell>
          <cell r="B92" t="str">
            <v>000387</v>
          </cell>
          <cell r="C92" t="str">
            <v>Jrnl</v>
          </cell>
          <cell r="D92" t="str">
            <v>26/May/1998</v>
          </cell>
          <cell r="E92" t="str">
            <v>KPUR0483</v>
          </cell>
          <cell r="F92" t="str">
            <v>1998/05</v>
          </cell>
          <cell r="G92" t="str">
            <v>000000</v>
          </cell>
          <cell r="H92" t="str">
            <v>22620</v>
          </cell>
          <cell r="I92" t="str">
            <v>608000</v>
          </cell>
          <cell r="J92" t="str">
            <v>ZNP 4-26@5-9 TAX</v>
          </cell>
          <cell r="K92" t="str">
            <v>D1</v>
          </cell>
          <cell r="L92">
            <v>-2092.6999999999998</v>
          </cell>
          <cell r="M92" t="str">
            <v>X</v>
          </cell>
        </row>
        <row r="93">
          <cell r="A93" t="str">
            <v xml:space="preserve"> 01</v>
          </cell>
          <cell r="B93" t="str">
            <v>000420</v>
          </cell>
          <cell r="C93" t="str">
            <v>Jrnl</v>
          </cell>
          <cell r="D93" t="str">
            <v>06/Jun/1998</v>
          </cell>
          <cell r="E93" t="str">
            <v>KPUR0590</v>
          </cell>
          <cell r="F93" t="str">
            <v>1998/06</v>
          </cell>
          <cell r="G93" t="str">
            <v>000000</v>
          </cell>
          <cell r="H93" t="str">
            <v>22620</v>
          </cell>
          <cell r="I93" t="str">
            <v>608000</v>
          </cell>
          <cell r="J93" t="str">
            <v>ZNP 5/10@5/23 TAX</v>
          </cell>
          <cell r="K93" t="str">
            <v>D1</v>
          </cell>
          <cell r="L93">
            <v>-2502.6999999999998</v>
          </cell>
          <cell r="M93" t="str">
            <v>X</v>
          </cell>
        </row>
        <row r="94">
          <cell r="A94" t="str">
            <v xml:space="preserve"> 01</v>
          </cell>
          <cell r="B94" t="str">
            <v>000459</v>
          </cell>
          <cell r="C94" t="str">
            <v>Jrnl</v>
          </cell>
          <cell r="D94" t="str">
            <v>22/Jun/1998</v>
          </cell>
          <cell r="E94" t="str">
            <v>KPUR0692</v>
          </cell>
          <cell r="F94" t="str">
            <v>1998/06</v>
          </cell>
          <cell r="G94" t="str">
            <v>000000</v>
          </cell>
          <cell r="H94" t="str">
            <v>22620</v>
          </cell>
          <cell r="I94" t="str">
            <v>608000</v>
          </cell>
          <cell r="J94" t="str">
            <v>ZNP 5/24@6/6 TAX</v>
          </cell>
          <cell r="K94" t="str">
            <v>D1</v>
          </cell>
          <cell r="L94">
            <v>-2481.5100000000002</v>
          </cell>
          <cell r="M94" t="str">
            <v>X</v>
          </cell>
        </row>
        <row r="95">
          <cell r="A95" t="str">
            <v xml:space="preserve"> 02</v>
          </cell>
          <cell r="B95" t="str">
            <v>000018</v>
          </cell>
          <cell r="C95" t="str">
            <v>Accl</v>
          </cell>
          <cell r="D95" t="str">
            <v>30/Jun/1998</v>
          </cell>
          <cell r="E95" t="str">
            <v>KPUR0694</v>
          </cell>
          <cell r="F95" t="str">
            <v>1998/06</v>
          </cell>
          <cell r="G95" t="str">
            <v>000000</v>
          </cell>
          <cell r="H95" t="str">
            <v>22620</v>
          </cell>
          <cell r="I95" t="str">
            <v>608000</v>
          </cell>
          <cell r="J95" t="str">
            <v>ZNP 6/21@6/30 ACC TAX</v>
          </cell>
          <cell r="K95" t="str">
            <v>D1</v>
          </cell>
          <cell r="L95">
            <v>-1772.51</v>
          </cell>
          <cell r="M95" t="str">
            <v>X</v>
          </cell>
        </row>
        <row r="96">
          <cell r="A96" t="str">
            <v xml:space="preserve"> 03</v>
          </cell>
          <cell r="B96" t="str">
            <v>000018</v>
          </cell>
          <cell r="C96" t="str">
            <v>Rvsl</v>
          </cell>
          <cell r="D96" t="str">
            <v>30/Jun/1998</v>
          </cell>
          <cell r="E96" t="str">
            <v>KPUR0694</v>
          </cell>
          <cell r="F96" t="str">
            <v>1998/07</v>
          </cell>
          <cell r="G96" t="str">
            <v>000000</v>
          </cell>
          <cell r="H96" t="str">
            <v>22620</v>
          </cell>
          <cell r="I96" t="str">
            <v>608000</v>
          </cell>
          <cell r="J96" t="str">
            <v>ZNP 6/21@6/30 ACC TAX</v>
          </cell>
          <cell r="K96" t="str">
            <v>D1</v>
          </cell>
          <cell r="L96">
            <v>1772.51</v>
          </cell>
          <cell r="M96" t="str">
            <v>X</v>
          </cell>
        </row>
        <row r="97">
          <cell r="A97" t="str">
            <v xml:space="preserve"> 01</v>
          </cell>
          <cell r="B97" t="str">
            <v>000499</v>
          </cell>
          <cell r="C97" t="str">
            <v>Jrnl</v>
          </cell>
          <cell r="D97" t="str">
            <v>22/Jul/1998</v>
          </cell>
          <cell r="E97" t="str">
            <v>KPUR0808</v>
          </cell>
          <cell r="F97" t="str">
            <v>1998/07</v>
          </cell>
          <cell r="G97" t="str">
            <v>000000</v>
          </cell>
          <cell r="H97" t="str">
            <v>22620</v>
          </cell>
          <cell r="I97" t="str">
            <v>608000</v>
          </cell>
          <cell r="J97" t="str">
            <v>ZNP 6/21@7/4 TAX</v>
          </cell>
          <cell r="K97" t="str">
            <v>D1</v>
          </cell>
          <cell r="L97">
            <v>-2693.72</v>
          </cell>
          <cell r="M97" t="str">
            <v>X</v>
          </cell>
        </row>
        <row r="98">
          <cell r="A98" t="str">
            <v xml:space="preserve"> 01</v>
          </cell>
          <cell r="B98" t="str">
            <v>000500</v>
          </cell>
          <cell r="C98" t="str">
            <v>Jrnl</v>
          </cell>
          <cell r="D98" t="str">
            <v>22/Jul/1998</v>
          </cell>
          <cell r="E98" t="str">
            <v>KPUR0808</v>
          </cell>
          <cell r="F98" t="str">
            <v>1998/07</v>
          </cell>
          <cell r="G98" t="str">
            <v>000000</v>
          </cell>
          <cell r="H98" t="str">
            <v>22620</v>
          </cell>
          <cell r="I98" t="str">
            <v>608000</v>
          </cell>
          <cell r="J98" t="str">
            <v>ZNP 6/21@7/4 TAX</v>
          </cell>
          <cell r="K98" t="str">
            <v>D1</v>
          </cell>
          <cell r="L98">
            <v>2693.72</v>
          </cell>
          <cell r="M98" t="str">
            <v>X</v>
          </cell>
        </row>
        <row r="99">
          <cell r="A99" t="str">
            <v xml:space="preserve"> 02</v>
          </cell>
          <cell r="B99" t="str">
            <v>000019</v>
          </cell>
          <cell r="C99" t="str">
            <v>Accl</v>
          </cell>
          <cell r="D99" t="str">
            <v>30/Jun/1998</v>
          </cell>
          <cell r="E99" t="str">
            <v>KPUR0694</v>
          </cell>
          <cell r="F99" t="str">
            <v>1998/06</v>
          </cell>
          <cell r="G99" t="str">
            <v>000000</v>
          </cell>
          <cell r="H99" t="str">
            <v>22620</v>
          </cell>
          <cell r="I99" t="str">
            <v>608000</v>
          </cell>
          <cell r="J99" t="str">
            <v>ZNP 6/7@6/20 ACC TAX</v>
          </cell>
          <cell r="K99" t="str">
            <v>D1</v>
          </cell>
          <cell r="L99">
            <v>-2481.5100000000002</v>
          </cell>
          <cell r="M99" t="str">
            <v>X</v>
          </cell>
        </row>
        <row r="100">
          <cell r="A100" t="str">
            <v xml:space="preserve"> 03</v>
          </cell>
          <cell r="B100" t="str">
            <v>000019</v>
          </cell>
          <cell r="C100" t="str">
            <v>Rvsl</v>
          </cell>
          <cell r="D100" t="str">
            <v>30/Jun/1998</v>
          </cell>
          <cell r="E100" t="str">
            <v>KPUR0694</v>
          </cell>
          <cell r="F100" t="str">
            <v>1998/07</v>
          </cell>
          <cell r="G100" t="str">
            <v>000000</v>
          </cell>
          <cell r="H100" t="str">
            <v>22620</v>
          </cell>
          <cell r="I100" t="str">
            <v>608000</v>
          </cell>
          <cell r="J100" t="str">
            <v>ZNP 6/7@6/20 ACC TAX</v>
          </cell>
          <cell r="K100" t="str">
            <v>D1</v>
          </cell>
          <cell r="L100">
            <v>2481.5100000000002</v>
          </cell>
          <cell r="M100" t="str">
            <v>X</v>
          </cell>
        </row>
        <row r="101">
          <cell r="A101" t="str">
            <v xml:space="preserve"> 01</v>
          </cell>
          <cell r="B101" t="str">
            <v>000496</v>
          </cell>
          <cell r="C101" t="str">
            <v>Jrnl</v>
          </cell>
          <cell r="D101" t="str">
            <v>09/Jul/1998</v>
          </cell>
          <cell r="E101" t="str">
            <v>KPUR0808</v>
          </cell>
          <cell r="F101" t="str">
            <v>1998/07</v>
          </cell>
          <cell r="G101" t="str">
            <v>000000</v>
          </cell>
          <cell r="H101" t="str">
            <v>22620</v>
          </cell>
          <cell r="I101" t="str">
            <v>608000</v>
          </cell>
          <cell r="J101" t="str">
            <v>ZNP 6/7@6/20 TAX</v>
          </cell>
          <cell r="K101" t="str">
            <v>D1</v>
          </cell>
          <cell r="L101">
            <v>-2504.63</v>
          </cell>
          <cell r="M101" t="str">
            <v>X</v>
          </cell>
        </row>
        <row r="102">
          <cell r="A102" t="str">
            <v xml:space="preserve"> 01</v>
          </cell>
          <cell r="B102" t="str">
            <v>000545</v>
          </cell>
          <cell r="C102" t="str">
            <v>Jrnl</v>
          </cell>
          <cell r="D102" t="str">
            <v>31/Aug/1998</v>
          </cell>
          <cell r="E102" t="str">
            <v>TLOH2054</v>
          </cell>
          <cell r="F102" t="str">
            <v>1998/08</v>
          </cell>
          <cell r="G102" t="str">
            <v>000000</v>
          </cell>
          <cell r="H102" t="str">
            <v>22620</v>
          </cell>
          <cell r="I102" t="str">
            <v>608000</v>
          </cell>
          <cell r="J102" t="str">
            <v>ZNP 7/19@8/1 TAX</v>
          </cell>
          <cell r="K102" t="str">
            <v>D1</v>
          </cell>
          <cell r="L102">
            <v>-3343.94</v>
          </cell>
          <cell r="M102" t="str">
            <v>X</v>
          </cell>
        </row>
        <row r="103">
          <cell r="A103" t="str">
            <v xml:space="preserve"> 01</v>
          </cell>
          <cell r="B103" t="str">
            <v>000555</v>
          </cell>
          <cell r="C103" t="str">
            <v>Jrnl</v>
          </cell>
          <cell r="D103" t="str">
            <v>16/Sep/1998</v>
          </cell>
          <cell r="E103" t="str">
            <v>CWAN0065</v>
          </cell>
          <cell r="F103" t="str">
            <v>1998/09</v>
          </cell>
          <cell r="G103" t="str">
            <v>000000</v>
          </cell>
          <cell r="H103" t="str">
            <v>22620</v>
          </cell>
          <cell r="I103" t="str">
            <v>608000</v>
          </cell>
          <cell r="J103" t="str">
            <v>ZNP 8/16@8/29 TAX</v>
          </cell>
          <cell r="K103" t="str">
            <v>D1</v>
          </cell>
          <cell r="L103">
            <v>-79987.08</v>
          </cell>
          <cell r="M103" t="str">
            <v>X</v>
          </cell>
        </row>
        <row r="104">
          <cell r="A104" t="str">
            <v xml:space="preserve"> 01</v>
          </cell>
          <cell r="B104" t="str">
            <v>000556</v>
          </cell>
          <cell r="C104" t="str">
            <v>Jrnl</v>
          </cell>
          <cell r="D104" t="str">
            <v>16/Sep/1998</v>
          </cell>
          <cell r="E104" t="str">
            <v>CWAN0065</v>
          </cell>
          <cell r="F104" t="str">
            <v>1998/09</v>
          </cell>
          <cell r="G104" t="str">
            <v>000000</v>
          </cell>
          <cell r="H104" t="str">
            <v>22620</v>
          </cell>
          <cell r="I104" t="str">
            <v>608000</v>
          </cell>
          <cell r="J104" t="str">
            <v>ZNP 8/16@8/29 TAX</v>
          </cell>
          <cell r="K104" t="str">
            <v>D1</v>
          </cell>
          <cell r="L104">
            <v>79987.08</v>
          </cell>
          <cell r="M104" t="str">
            <v>X</v>
          </cell>
        </row>
        <row r="105">
          <cell r="A105" t="str">
            <v xml:space="preserve"> 01</v>
          </cell>
          <cell r="B105" t="str">
            <v>000553</v>
          </cell>
          <cell r="C105" t="str">
            <v>Jrnl</v>
          </cell>
          <cell r="D105" t="str">
            <v>31/Aug/1998</v>
          </cell>
          <cell r="E105" t="str">
            <v>TLOH2064</v>
          </cell>
          <cell r="F105" t="str">
            <v>1998/08</v>
          </cell>
          <cell r="G105" t="str">
            <v>000000</v>
          </cell>
          <cell r="H105" t="str">
            <v>22620</v>
          </cell>
          <cell r="I105" t="str">
            <v>608000</v>
          </cell>
          <cell r="J105" t="str">
            <v>ZNP 8/2@8/15 TAX</v>
          </cell>
          <cell r="K105" t="str">
            <v>D1</v>
          </cell>
          <cell r="L105">
            <v>-90531.25</v>
          </cell>
          <cell r="M105" t="str">
            <v>X</v>
          </cell>
        </row>
        <row r="106">
          <cell r="A106" t="str">
            <v xml:space="preserve"> 01</v>
          </cell>
          <cell r="B106" t="str">
            <v>000610</v>
          </cell>
          <cell r="C106" t="str">
            <v>Jrnl</v>
          </cell>
          <cell r="D106" t="str">
            <v>30/Sep/1998</v>
          </cell>
          <cell r="E106" t="str">
            <v>CWAN0207</v>
          </cell>
          <cell r="F106" t="str">
            <v>1998/09</v>
          </cell>
          <cell r="G106" t="str">
            <v>000000</v>
          </cell>
          <cell r="H106" t="str">
            <v>22620</v>
          </cell>
          <cell r="I106" t="str">
            <v>608000</v>
          </cell>
          <cell r="J106" t="str">
            <v>ZNP 8/30@9/12 TAX</v>
          </cell>
          <cell r="K106" t="str">
            <v>D1</v>
          </cell>
          <cell r="L106">
            <v>79273.149999999994</v>
          </cell>
          <cell r="M106" t="str">
            <v>X</v>
          </cell>
        </row>
        <row r="107">
          <cell r="A107" t="str">
            <v xml:space="preserve"> 01</v>
          </cell>
          <cell r="B107" t="str">
            <v>000611</v>
          </cell>
          <cell r="C107" t="str">
            <v>Jrnl</v>
          </cell>
          <cell r="D107" t="str">
            <v>30/Sep/1998</v>
          </cell>
          <cell r="E107" t="str">
            <v>CWAN0207</v>
          </cell>
          <cell r="F107" t="str">
            <v>1998/09</v>
          </cell>
          <cell r="G107" t="str">
            <v>000000</v>
          </cell>
          <cell r="H107" t="str">
            <v>22620</v>
          </cell>
          <cell r="I107" t="str">
            <v>608000</v>
          </cell>
          <cell r="J107" t="str">
            <v>ZNP 8/30@9/12 TAX</v>
          </cell>
          <cell r="K107" t="str">
            <v>D1</v>
          </cell>
          <cell r="L107">
            <v>-79273.149999999994</v>
          </cell>
          <cell r="M107" t="str">
            <v>X</v>
          </cell>
        </row>
        <row r="108">
          <cell r="A108" t="str">
            <v xml:space="preserve"> 01</v>
          </cell>
          <cell r="B108" t="str">
            <v>000658</v>
          </cell>
          <cell r="C108" t="str">
            <v>Jrnl</v>
          </cell>
          <cell r="D108" t="str">
            <v>09/Oct/1998</v>
          </cell>
          <cell r="E108" t="str">
            <v>NTON0003</v>
          </cell>
          <cell r="F108" t="str">
            <v>1998/10</v>
          </cell>
          <cell r="G108" t="str">
            <v>000000</v>
          </cell>
          <cell r="H108" t="str">
            <v>22620</v>
          </cell>
          <cell r="I108" t="str">
            <v>608000</v>
          </cell>
          <cell r="J108" t="str">
            <v>ZNP 9/13@9/26 Tax</v>
          </cell>
          <cell r="K108" t="str">
            <v>D1</v>
          </cell>
          <cell r="L108">
            <v>69581.86</v>
          </cell>
          <cell r="M108" t="str">
            <v>X</v>
          </cell>
        </row>
        <row r="109">
          <cell r="A109" t="str">
            <v xml:space="preserve"> 02</v>
          </cell>
          <cell r="B109" t="str">
            <v>000026</v>
          </cell>
          <cell r="C109" t="str">
            <v>Accl</v>
          </cell>
          <cell r="D109" t="str">
            <v>30/Sep/1998</v>
          </cell>
          <cell r="E109" t="str">
            <v>DPAS0144</v>
          </cell>
          <cell r="F109" t="str">
            <v>1998/09</v>
          </cell>
          <cell r="G109" t="str">
            <v>000000</v>
          </cell>
          <cell r="H109" t="str">
            <v>22620</v>
          </cell>
          <cell r="I109" t="str">
            <v>608006</v>
          </cell>
          <cell r="J109" t="str">
            <v>ZNP 9/13@9/30 TAX</v>
          </cell>
          <cell r="K109" t="str">
            <v>D1</v>
          </cell>
          <cell r="L109">
            <v>-101922.62</v>
          </cell>
          <cell r="M109" t="str">
            <v>X</v>
          </cell>
        </row>
        <row r="110">
          <cell r="A110" t="str">
            <v xml:space="preserve"> 03</v>
          </cell>
          <cell r="B110" t="str">
            <v>000026</v>
          </cell>
          <cell r="C110" t="str">
            <v>Rvsl</v>
          </cell>
          <cell r="D110" t="str">
            <v>30/Sep/1998</v>
          </cell>
          <cell r="E110" t="str">
            <v>DPAS0144</v>
          </cell>
          <cell r="F110" t="str">
            <v>1998/10</v>
          </cell>
          <cell r="G110" t="str">
            <v>000000</v>
          </cell>
          <cell r="H110" t="str">
            <v>22620</v>
          </cell>
          <cell r="I110" t="str">
            <v>608006</v>
          </cell>
          <cell r="J110" t="str">
            <v>ZNP 9/13@9/30 TAX</v>
          </cell>
          <cell r="K110" t="str">
            <v>D1</v>
          </cell>
          <cell r="L110">
            <v>101922.62</v>
          </cell>
          <cell r="M110" t="str">
            <v>X</v>
          </cell>
        </row>
        <row r="111">
          <cell r="A111" t="str">
            <v xml:space="preserve"> 01</v>
          </cell>
          <cell r="B111" t="str">
            <v>000731</v>
          </cell>
          <cell r="C111" t="str">
            <v>Jrnl</v>
          </cell>
          <cell r="D111" t="str">
            <v>30/Nov/1998</v>
          </cell>
          <cell r="E111" t="str">
            <v>NTON0035</v>
          </cell>
          <cell r="F111" t="str">
            <v>1998/11</v>
          </cell>
          <cell r="G111" t="str">
            <v>000000</v>
          </cell>
          <cell r="H111" t="str">
            <v>22620</v>
          </cell>
          <cell r="I111" t="str">
            <v>608006</v>
          </cell>
          <cell r="J111" t="str">
            <v>ZNP 9/27@10/10 TAx</v>
          </cell>
          <cell r="K111" t="str">
            <v>D1</v>
          </cell>
          <cell r="L111">
            <v>-77821.649999999994</v>
          </cell>
          <cell r="M111" t="str">
            <v>X</v>
          </cell>
        </row>
        <row r="112">
          <cell r="A112" t="str">
            <v xml:space="preserve"> 02</v>
          </cell>
          <cell r="B112" t="str">
            <v>000043</v>
          </cell>
          <cell r="C112" t="str">
            <v>Accl</v>
          </cell>
          <cell r="D112" t="str">
            <v>30/Oct/1998</v>
          </cell>
          <cell r="E112" t="str">
            <v>KPUR1007</v>
          </cell>
          <cell r="F112" t="str">
            <v>1998/10</v>
          </cell>
          <cell r="G112" t="str">
            <v>000000</v>
          </cell>
          <cell r="H112" t="str">
            <v>22620</v>
          </cell>
          <cell r="I112" t="str">
            <v>608000</v>
          </cell>
          <cell r="J112" t="str">
            <v>ZNP 9/27@10/10 TAX</v>
          </cell>
          <cell r="K112" t="str">
            <v>D1</v>
          </cell>
          <cell r="L112">
            <v>-134298.57</v>
          </cell>
          <cell r="M112" t="str">
            <v>X</v>
          </cell>
        </row>
        <row r="113">
          <cell r="A113" t="str">
            <v xml:space="preserve"> 03</v>
          </cell>
          <cell r="B113" t="str">
            <v>000043</v>
          </cell>
          <cell r="C113" t="str">
            <v>Rvsl</v>
          </cell>
          <cell r="D113" t="str">
            <v>30/Oct/1998</v>
          </cell>
          <cell r="E113" t="str">
            <v>KPUR1007</v>
          </cell>
          <cell r="F113" t="str">
            <v>1998/11</v>
          </cell>
          <cell r="G113" t="str">
            <v>000000</v>
          </cell>
          <cell r="H113" t="str">
            <v>22620</v>
          </cell>
          <cell r="I113" t="str">
            <v>608000</v>
          </cell>
          <cell r="J113" t="str">
            <v>ZNP 9/27@10/10 TAX</v>
          </cell>
          <cell r="K113" t="str">
            <v>D1</v>
          </cell>
          <cell r="L113">
            <v>134298.57</v>
          </cell>
          <cell r="M113" t="str">
            <v>X</v>
          </cell>
        </row>
        <row r="114">
          <cell r="A114" t="str">
            <v xml:space="preserve"> 01</v>
          </cell>
          <cell r="B114" t="str">
            <v>000775</v>
          </cell>
          <cell r="C114" t="str">
            <v>Jrnl</v>
          </cell>
          <cell r="D114" t="str">
            <v>10/Dec/1998</v>
          </cell>
          <cell r="E114" t="str">
            <v>DPAN0004</v>
          </cell>
          <cell r="F114" t="str">
            <v>1998/12</v>
          </cell>
          <cell r="G114" t="str">
            <v>000000</v>
          </cell>
          <cell r="H114" t="str">
            <v>22620</v>
          </cell>
          <cell r="I114" t="str">
            <v>608000</v>
          </cell>
          <cell r="J114" t="str">
            <v>ZNP FICA Tax Refund</v>
          </cell>
          <cell r="K114" t="str">
            <v>D1</v>
          </cell>
          <cell r="L114">
            <v>54386.61</v>
          </cell>
          <cell r="M114" t="str">
            <v>X</v>
          </cell>
        </row>
        <row r="115">
          <cell r="A115" t="str">
            <v xml:space="preserve"> 01</v>
          </cell>
          <cell r="B115" t="str">
            <v>000608</v>
          </cell>
          <cell r="C115" t="str">
            <v>Jrnl</v>
          </cell>
          <cell r="D115" t="str">
            <v>30/Sep/1998</v>
          </cell>
          <cell r="E115" t="str">
            <v>CWAN0207</v>
          </cell>
          <cell r="F115" t="str">
            <v>1998/09</v>
          </cell>
          <cell r="G115" t="str">
            <v>000000</v>
          </cell>
          <cell r="H115" t="str">
            <v>22620</v>
          </cell>
          <cell r="I115" t="str">
            <v>608000</v>
          </cell>
          <cell r="J115" t="str">
            <v>ZNP PE9/12 TAX</v>
          </cell>
          <cell r="K115" t="str">
            <v>D1</v>
          </cell>
          <cell r="L115">
            <v>1229.6400000000001</v>
          </cell>
          <cell r="M115" t="str">
            <v>X</v>
          </cell>
        </row>
        <row r="116">
          <cell r="A116" t="str">
            <v xml:space="preserve"> 01</v>
          </cell>
          <cell r="B116" t="str">
            <v>000609</v>
          </cell>
          <cell r="C116" t="str">
            <v>Jrnl</v>
          </cell>
          <cell r="D116" t="str">
            <v>30/Sep/1998</v>
          </cell>
          <cell r="E116" t="str">
            <v>CWAN0207</v>
          </cell>
          <cell r="F116" t="str">
            <v>1998/09</v>
          </cell>
          <cell r="G116" t="str">
            <v>000000</v>
          </cell>
          <cell r="H116" t="str">
            <v>22620</v>
          </cell>
          <cell r="I116" t="str">
            <v>608000</v>
          </cell>
          <cell r="J116" t="str">
            <v>ZNP PE9/12 TAX ADJ</v>
          </cell>
          <cell r="K116" t="str">
            <v>D1</v>
          </cell>
          <cell r="L116">
            <v>-1229.6400000000001</v>
          </cell>
          <cell r="M116" t="str">
            <v>X</v>
          </cell>
        </row>
        <row r="117">
          <cell r="A117" t="str">
            <v xml:space="preserve"> 01</v>
          </cell>
          <cell r="B117" t="str">
            <v>000774</v>
          </cell>
          <cell r="C117" t="str">
            <v>Jrnl</v>
          </cell>
          <cell r="D117" t="str">
            <v>10/Dec/1998</v>
          </cell>
          <cell r="E117" t="str">
            <v>DPAN0004</v>
          </cell>
          <cell r="F117" t="str">
            <v>1998/12</v>
          </cell>
          <cell r="G117" t="str">
            <v>000000</v>
          </cell>
          <cell r="H117" t="str">
            <v>22620</v>
          </cell>
          <cell r="I117" t="str">
            <v>608000</v>
          </cell>
          <cell r="J117" t="str">
            <v>ZNP YTD FICA Refund</v>
          </cell>
          <cell r="K117" t="str">
            <v>D1</v>
          </cell>
          <cell r="L117">
            <v>-54386.61</v>
          </cell>
          <cell r="M117" t="str">
            <v>X</v>
          </cell>
        </row>
        <row r="118">
          <cell r="A118" t="str">
            <v xml:space="preserve"> 01</v>
          </cell>
          <cell r="B118" t="str">
            <v>000747</v>
          </cell>
          <cell r="C118" t="str">
            <v>Jrnl</v>
          </cell>
          <cell r="D118" t="str">
            <v>10/Dec/1998</v>
          </cell>
          <cell r="E118" t="str">
            <v>NTON0052</v>
          </cell>
          <cell r="F118" t="str">
            <v>1998/12</v>
          </cell>
          <cell r="G118" t="str">
            <v>000000</v>
          </cell>
          <cell r="H118" t="str">
            <v>22620</v>
          </cell>
          <cell r="I118" t="str">
            <v>608000</v>
          </cell>
          <cell r="J118" t="str">
            <v>ZNP(11/8@11/21)Tax</v>
          </cell>
          <cell r="K118" t="str">
            <v>D1</v>
          </cell>
          <cell r="L118">
            <v>86609.77</v>
          </cell>
          <cell r="M118" t="str">
            <v>X</v>
          </cell>
        </row>
        <row r="119">
          <cell r="A119" t="str">
            <v xml:space="preserve"> 01</v>
          </cell>
          <cell r="B119" t="str">
            <v>000273</v>
          </cell>
          <cell r="C119" t="str">
            <v>Jrnl</v>
          </cell>
          <cell r="D119" t="str">
            <v>17/Mar/1998</v>
          </cell>
          <cell r="E119" t="str">
            <v>KPUR0118</v>
          </cell>
          <cell r="F119" t="str">
            <v>1998/03</v>
          </cell>
          <cell r="G119" t="str">
            <v>000000</v>
          </cell>
          <cell r="H119" t="str">
            <v>22620</v>
          </cell>
          <cell r="I119" t="str">
            <v>608000</v>
          </cell>
          <cell r="J119" t="str">
            <v>ZNP(2/15@2/28) TAX</v>
          </cell>
          <cell r="K119" t="str">
            <v>D1</v>
          </cell>
          <cell r="L119">
            <v>1590.97</v>
          </cell>
          <cell r="M119" t="str">
            <v>X</v>
          </cell>
        </row>
        <row r="120">
          <cell r="A120" t="str">
            <v xml:space="preserve"> 01</v>
          </cell>
          <cell r="B120" t="str">
            <v>000306</v>
          </cell>
          <cell r="C120" t="str">
            <v>Jrnl</v>
          </cell>
          <cell r="D120" t="str">
            <v>30/Mar/1998</v>
          </cell>
          <cell r="E120" t="str">
            <v>KPUR0260</v>
          </cell>
          <cell r="F120" t="str">
            <v>1998/03</v>
          </cell>
          <cell r="G120" t="str">
            <v>000000</v>
          </cell>
          <cell r="H120" t="str">
            <v>22620</v>
          </cell>
          <cell r="I120" t="str">
            <v>608000</v>
          </cell>
          <cell r="J120" t="str">
            <v>ZNP(3/1@3/14)TAX</v>
          </cell>
          <cell r="K120" t="str">
            <v>D1</v>
          </cell>
          <cell r="L120">
            <v>2181.6</v>
          </cell>
          <cell r="M120" t="str">
            <v>X</v>
          </cell>
        </row>
        <row r="121">
          <cell r="A121" t="str">
            <v xml:space="preserve"> 01</v>
          </cell>
          <cell r="B121" t="str">
            <v>000316</v>
          </cell>
          <cell r="C121" t="str">
            <v>Jrnl</v>
          </cell>
          <cell r="D121" t="str">
            <v>14/Apr/1998</v>
          </cell>
          <cell r="E121" t="str">
            <v>KPUR0269</v>
          </cell>
          <cell r="F121" t="str">
            <v>1998/04</v>
          </cell>
          <cell r="G121" t="str">
            <v>000000</v>
          </cell>
          <cell r="H121" t="str">
            <v>22620</v>
          </cell>
          <cell r="I121" t="str">
            <v>608000</v>
          </cell>
          <cell r="J121" t="str">
            <v>ZNP(3/15@3/28)TAX</v>
          </cell>
          <cell r="K121" t="str">
            <v>D1</v>
          </cell>
          <cell r="L121">
            <v>2105.5700000000002</v>
          </cell>
          <cell r="M121" t="str">
            <v>X</v>
          </cell>
        </row>
        <row r="122">
          <cell r="A122" t="str">
            <v xml:space="preserve"> 01</v>
          </cell>
          <cell r="B122" t="str">
            <v>000339</v>
          </cell>
          <cell r="C122" t="str">
            <v>Jrnl</v>
          </cell>
          <cell r="D122" t="str">
            <v>24/Apr/1998</v>
          </cell>
          <cell r="E122" t="str">
            <v>KPUR0351</v>
          </cell>
          <cell r="F122" t="str">
            <v>1998/04</v>
          </cell>
          <cell r="G122" t="str">
            <v>000000</v>
          </cell>
          <cell r="H122" t="str">
            <v>22620</v>
          </cell>
          <cell r="I122" t="str">
            <v>608000</v>
          </cell>
          <cell r="J122" t="str">
            <v>ZNP(3/29@4/11)TAX</v>
          </cell>
          <cell r="K122" t="str">
            <v>D1</v>
          </cell>
          <cell r="L122">
            <v>2044.84</v>
          </cell>
          <cell r="M122" t="str">
            <v>X</v>
          </cell>
        </row>
        <row r="123">
          <cell r="A123" t="str">
            <v xml:space="preserve"> 01</v>
          </cell>
          <cell r="B123" t="str">
            <v>000369</v>
          </cell>
          <cell r="C123" t="str">
            <v>Jrnl</v>
          </cell>
          <cell r="D123" t="str">
            <v>08/May/1998</v>
          </cell>
          <cell r="E123" t="str">
            <v>KPUR0417</v>
          </cell>
          <cell r="F123" t="str">
            <v>1998/05</v>
          </cell>
          <cell r="G123" t="str">
            <v>000000</v>
          </cell>
          <cell r="H123" t="str">
            <v>22620</v>
          </cell>
          <cell r="I123" t="str">
            <v>608000</v>
          </cell>
          <cell r="J123" t="str">
            <v>ZNP(4/12@4/25)TAX</v>
          </cell>
          <cell r="K123" t="str">
            <v>D1</v>
          </cell>
          <cell r="L123">
            <v>2124.94</v>
          </cell>
          <cell r="M123" t="str">
            <v>X</v>
          </cell>
        </row>
        <row r="124">
          <cell r="A124" t="str">
            <v xml:space="preserve"> 01</v>
          </cell>
          <cell r="B124" t="str">
            <v>000419</v>
          </cell>
          <cell r="C124" t="str">
            <v>Jrnl</v>
          </cell>
          <cell r="D124" t="str">
            <v>06/Jun/1998</v>
          </cell>
          <cell r="E124" t="str">
            <v>KPUR0590</v>
          </cell>
          <cell r="F124" t="str">
            <v>1998/06</v>
          </cell>
          <cell r="G124" t="str">
            <v>000000</v>
          </cell>
          <cell r="H124" t="str">
            <v>22620</v>
          </cell>
          <cell r="I124" t="str">
            <v>608000</v>
          </cell>
          <cell r="J124" t="str">
            <v>ZNP(5/10@5/23)TAX</v>
          </cell>
          <cell r="K124" t="str">
            <v>D1</v>
          </cell>
          <cell r="L124">
            <v>2502.6999999999998</v>
          </cell>
          <cell r="M124" t="str">
            <v>X</v>
          </cell>
        </row>
        <row r="125">
          <cell r="A125" t="str">
            <v xml:space="preserve"> 01</v>
          </cell>
          <cell r="B125" t="str">
            <v>000440</v>
          </cell>
          <cell r="C125" t="str">
            <v>Jrnl</v>
          </cell>
          <cell r="D125" t="str">
            <v>22/Jun/1998</v>
          </cell>
          <cell r="E125" t="str">
            <v>KPUR0637</v>
          </cell>
          <cell r="F125" t="str">
            <v>1998/06</v>
          </cell>
          <cell r="G125" t="str">
            <v>000000</v>
          </cell>
          <cell r="H125" t="str">
            <v>22620</v>
          </cell>
          <cell r="I125" t="str">
            <v>608000</v>
          </cell>
          <cell r="J125" t="str">
            <v>ZNP(5-24@6-6)TAX</v>
          </cell>
          <cell r="K125" t="str">
            <v>D1</v>
          </cell>
          <cell r="L125">
            <v>2481.5100000000002</v>
          </cell>
          <cell r="M125" t="str">
            <v>X</v>
          </cell>
        </row>
        <row r="126">
          <cell r="A126" t="str">
            <v xml:space="preserve"> 01</v>
          </cell>
          <cell r="B126" t="str">
            <v>000551</v>
          </cell>
          <cell r="C126" t="str">
            <v>Jrnl</v>
          </cell>
          <cell r="D126" t="str">
            <v>31/Aug/1998</v>
          </cell>
          <cell r="E126" t="str">
            <v>TLOH2063</v>
          </cell>
          <cell r="F126" t="str">
            <v>1998/08</v>
          </cell>
          <cell r="G126" t="str">
            <v>000000</v>
          </cell>
          <cell r="H126" t="str">
            <v>22620</v>
          </cell>
          <cell r="I126" t="str">
            <v>608000</v>
          </cell>
          <cell r="J126" t="str">
            <v>ZNP(8/2@8/15) TAX</v>
          </cell>
          <cell r="K126" t="str">
            <v>D1</v>
          </cell>
          <cell r="L126">
            <v>90531.25</v>
          </cell>
          <cell r="M126" t="str">
            <v>X</v>
          </cell>
        </row>
        <row r="127">
          <cell r="A127" t="str">
            <v xml:space="preserve"> 01</v>
          </cell>
          <cell r="B127" t="str">
            <v>000305</v>
          </cell>
          <cell r="C127" t="str">
            <v>Jrnl</v>
          </cell>
          <cell r="D127" t="str">
            <v>30/Mar/1998</v>
          </cell>
          <cell r="E127" t="str">
            <v>KPUR0260</v>
          </cell>
          <cell r="F127" t="str">
            <v>1998/03</v>
          </cell>
          <cell r="G127" t="str">
            <v>000000</v>
          </cell>
          <cell r="H127" t="str">
            <v>22620</v>
          </cell>
          <cell r="I127" t="str">
            <v>608000</v>
          </cell>
          <cell r="J127" t="str">
            <v>ZNP3/1@3/14 TAX</v>
          </cell>
          <cell r="K127" t="str">
            <v>D1</v>
          </cell>
          <cell r="L127">
            <v>-2181.6</v>
          </cell>
          <cell r="M127" t="str">
            <v>X</v>
          </cell>
        </row>
        <row r="128">
          <cell r="A128" t="str">
            <v xml:space="preserve"> 01</v>
          </cell>
          <cell r="B128" t="str">
            <v>000388</v>
          </cell>
          <cell r="C128" t="str">
            <v>Jrnl</v>
          </cell>
          <cell r="D128" t="str">
            <v>26/May/1998</v>
          </cell>
          <cell r="E128" t="str">
            <v>KPUR0483</v>
          </cell>
          <cell r="F128" t="str">
            <v>1998/05</v>
          </cell>
          <cell r="G128" t="str">
            <v>000000</v>
          </cell>
          <cell r="H128" t="str">
            <v>22620</v>
          </cell>
          <cell r="I128" t="str">
            <v>608000</v>
          </cell>
          <cell r="J128" t="str">
            <v>ZNP4-26@5-9)TAX</v>
          </cell>
          <cell r="K128" t="str">
            <v>D1</v>
          </cell>
          <cell r="L128">
            <v>2092.6999999999998</v>
          </cell>
          <cell r="M128" t="str">
            <v>X</v>
          </cell>
        </row>
        <row r="129">
          <cell r="A129" t="str">
            <v xml:space="preserve"> 91</v>
          </cell>
          <cell r="B129" t="str">
            <v>000018</v>
          </cell>
          <cell r="C129" t="str">
            <v>PYr</v>
          </cell>
          <cell r="D129" t="str">
            <v>01/Jan/1998</v>
          </cell>
          <cell r="E129" t="str">
            <v>YE  1997</v>
          </cell>
          <cell r="F129" t="str">
            <v>1998/00</v>
          </cell>
          <cell r="G129" t="str">
            <v>000000</v>
          </cell>
          <cell r="H129" t="str">
            <v>22620</v>
          </cell>
          <cell r="I129" t="str">
            <v>601000</v>
          </cell>
          <cell r="K129" t="str">
            <v>D1</v>
          </cell>
          <cell r="L129">
            <v>-1633.37</v>
          </cell>
          <cell r="M129" t="str">
            <v>X</v>
          </cell>
        </row>
        <row r="130">
          <cell r="A130" t="str">
            <v xml:space="preserve"> 02</v>
          </cell>
          <cell r="B130" t="str">
            <v>000043</v>
          </cell>
          <cell r="C130" t="str">
            <v>Accl</v>
          </cell>
          <cell r="D130" t="str">
            <v>30/Oct/1998</v>
          </cell>
          <cell r="E130" t="str">
            <v>KPUR1007</v>
          </cell>
          <cell r="F130" t="str">
            <v>1998/10</v>
          </cell>
          <cell r="G130" t="str">
            <v>000000</v>
          </cell>
          <cell r="H130" t="str">
            <v>22665</v>
          </cell>
          <cell r="I130" t="str">
            <v>608000</v>
          </cell>
          <cell r="J130" t="str">
            <v>10/11-10/31 ACC NET</v>
          </cell>
          <cell r="K130" t="str">
            <v>D1</v>
          </cell>
          <cell r="L130">
            <v>-289777.65000000002</v>
          </cell>
          <cell r="M130" t="str">
            <v>X</v>
          </cell>
        </row>
        <row r="131">
          <cell r="A131" t="str">
            <v xml:space="preserve"> 03</v>
          </cell>
          <cell r="B131" t="str">
            <v>000043</v>
          </cell>
          <cell r="C131" t="str">
            <v>Rvsl</v>
          </cell>
          <cell r="D131" t="str">
            <v>30/Oct/1998</v>
          </cell>
          <cell r="E131" t="str">
            <v>KPUR1007</v>
          </cell>
          <cell r="F131" t="str">
            <v>1998/11</v>
          </cell>
          <cell r="G131" t="str">
            <v>000000</v>
          </cell>
          <cell r="H131" t="str">
            <v>22665</v>
          </cell>
          <cell r="I131" t="str">
            <v>608000</v>
          </cell>
          <cell r="J131" t="str">
            <v>10/11-10/31 ACC NET</v>
          </cell>
          <cell r="K131" t="str">
            <v>D1</v>
          </cell>
          <cell r="L131">
            <v>289777.65000000002</v>
          </cell>
          <cell r="M131" t="str">
            <v>X</v>
          </cell>
        </row>
        <row r="132">
          <cell r="A132" t="str">
            <v xml:space="preserve"> 02</v>
          </cell>
          <cell r="B132" t="str">
            <v>000060</v>
          </cell>
          <cell r="C132" t="str">
            <v>Accl</v>
          </cell>
          <cell r="D132" t="str">
            <v>18/Dec/1998</v>
          </cell>
          <cell r="E132" t="str">
            <v>KROS0023</v>
          </cell>
          <cell r="F132" t="str">
            <v>1998/12</v>
          </cell>
          <cell r="G132" t="str">
            <v>000000</v>
          </cell>
          <cell r="H132" t="str">
            <v>22675</v>
          </cell>
          <cell r="I132" t="str">
            <v>608000</v>
          </cell>
          <cell r="J132" t="str">
            <v>12/6 @ 12/31 Vac</v>
          </cell>
          <cell r="K132" t="str">
            <v>D1</v>
          </cell>
          <cell r="L132">
            <v>-15640.38</v>
          </cell>
        </row>
        <row r="133">
          <cell r="A133" t="str">
            <v xml:space="preserve"> 02</v>
          </cell>
          <cell r="B133" t="str">
            <v>000044</v>
          </cell>
          <cell r="C133" t="str">
            <v>Accl</v>
          </cell>
          <cell r="D133" t="str">
            <v>22/Nov/1998</v>
          </cell>
          <cell r="E133" t="str">
            <v>NTON0028</v>
          </cell>
          <cell r="F133" t="str">
            <v>1998/11</v>
          </cell>
          <cell r="G133" t="str">
            <v>000000</v>
          </cell>
          <cell r="H133" t="str">
            <v>22665</v>
          </cell>
          <cell r="I133" t="str">
            <v>608000</v>
          </cell>
          <cell r="J133" t="str">
            <v>Acc 11/8@11/30 Net</v>
          </cell>
          <cell r="K133" t="str">
            <v>D1</v>
          </cell>
          <cell r="L133">
            <v>-321680.11</v>
          </cell>
          <cell r="M133" t="str">
            <v>X</v>
          </cell>
        </row>
        <row r="134">
          <cell r="A134" t="str">
            <v xml:space="preserve"> 03</v>
          </cell>
          <cell r="B134" t="str">
            <v>000044</v>
          </cell>
          <cell r="C134" t="str">
            <v>Rvsl</v>
          </cell>
          <cell r="D134" t="str">
            <v>22/Nov/1998</v>
          </cell>
          <cell r="E134" t="str">
            <v>NTON0028</v>
          </cell>
          <cell r="F134" t="str">
            <v>1998/12</v>
          </cell>
          <cell r="G134" t="str">
            <v>000000</v>
          </cell>
          <cell r="H134" t="str">
            <v>22665</v>
          </cell>
          <cell r="I134" t="str">
            <v>608000</v>
          </cell>
          <cell r="J134" t="str">
            <v>Acc 11/8@11/30 Net</v>
          </cell>
          <cell r="K134" t="str">
            <v>D1</v>
          </cell>
          <cell r="L134">
            <v>321680.11</v>
          </cell>
          <cell r="M134" t="str">
            <v>X</v>
          </cell>
        </row>
        <row r="135">
          <cell r="A135" t="str">
            <v xml:space="preserve"> 02</v>
          </cell>
          <cell r="B135" t="str">
            <v>000052</v>
          </cell>
          <cell r="C135" t="str">
            <v>Accl</v>
          </cell>
          <cell r="D135" t="str">
            <v>24/Dec/1998</v>
          </cell>
          <cell r="E135" t="str">
            <v>KPUR1066</v>
          </cell>
          <cell r="F135" t="str">
            <v>1998/12</v>
          </cell>
          <cell r="G135" t="str">
            <v>000000</v>
          </cell>
          <cell r="H135" t="str">
            <v>22665</v>
          </cell>
          <cell r="J135" t="str">
            <v>ACCRUED BONUS 1998</v>
          </cell>
          <cell r="K135" t="str">
            <v>D1</v>
          </cell>
          <cell r="L135">
            <v>-173623</v>
          </cell>
        </row>
        <row r="136">
          <cell r="A136" t="str">
            <v xml:space="preserve"> 01</v>
          </cell>
          <cell r="B136" t="str">
            <v>000658</v>
          </cell>
          <cell r="C136" t="str">
            <v>Jrnl</v>
          </cell>
          <cell r="D136" t="str">
            <v>09/Oct/1998</v>
          </cell>
          <cell r="E136" t="str">
            <v>NTON0003</v>
          </cell>
          <cell r="F136" t="str">
            <v>1998/10</v>
          </cell>
          <cell r="G136" t="str">
            <v>000000</v>
          </cell>
          <cell r="H136" t="str">
            <v>22665</v>
          </cell>
          <cell r="I136" t="str">
            <v>608000</v>
          </cell>
          <cell r="J136" t="str">
            <v>ADA PE 9/26 Kingman</v>
          </cell>
          <cell r="K136" t="str">
            <v>D1</v>
          </cell>
          <cell r="L136">
            <v>1155</v>
          </cell>
          <cell r="M136" t="str">
            <v>X</v>
          </cell>
        </row>
        <row r="137">
          <cell r="A137" t="str">
            <v xml:space="preserve"> 75</v>
          </cell>
          <cell r="B137" t="str">
            <v>003198</v>
          </cell>
          <cell r="C137" t="str">
            <v>cshp</v>
          </cell>
          <cell r="D137" t="str">
            <v>08/Dec/1998</v>
          </cell>
          <cell r="E137" t="str">
            <v>MWAL0118</v>
          </cell>
          <cell r="F137" t="str">
            <v>1998/12</v>
          </cell>
          <cell r="G137" t="str">
            <v>000000</v>
          </cell>
          <cell r="H137" t="str">
            <v>22665</v>
          </cell>
          <cell r="I137" t="str">
            <v>608000</v>
          </cell>
          <cell r="J137" t="str">
            <v>Amelie Lupien</v>
          </cell>
          <cell r="K137" t="str">
            <v>D1</v>
          </cell>
          <cell r="L137">
            <v>252.45</v>
          </cell>
          <cell r="M137" t="str">
            <v>X</v>
          </cell>
        </row>
        <row r="138">
          <cell r="A138" t="str">
            <v xml:space="preserve"> 75</v>
          </cell>
          <cell r="B138" t="str">
            <v>003198</v>
          </cell>
          <cell r="C138" t="str">
            <v>cshp</v>
          </cell>
          <cell r="D138" t="str">
            <v>08/Dec/1998</v>
          </cell>
          <cell r="E138" t="str">
            <v>MWAL0118</v>
          </cell>
          <cell r="F138" t="str">
            <v>1998/12</v>
          </cell>
          <cell r="G138" t="str">
            <v>000000</v>
          </cell>
          <cell r="H138" t="str">
            <v>22665</v>
          </cell>
          <cell r="I138" t="str">
            <v>608000</v>
          </cell>
          <cell r="J138" t="str">
            <v>Amelie Lupien</v>
          </cell>
          <cell r="K138" t="str">
            <v>D1</v>
          </cell>
          <cell r="L138">
            <v>896.58</v>
          </cell>
          <cell r="M138" t="str">
            <v>X</v>
          </cell>
        </row>
        <row r="139">
          <cell r="A139" t="str">
            <v xml:space="preserve"> 75</v>
          </cell>
          <cell r="B139" t="str">
            <v>003198</v>
          </cell>
          <cell r="C139" t="str">
            <v>cshp</v>
          </cell>
          <cell r="D139" t="str">
            <v>08/Dec/1998</v>
          </cell>
          <cell r="E139" t="str">
            <v>MWAL0118</v>
          </cell>
          <cell r="F139" t="str">
            <v>1998/12</v>
          </cell>
          <cell r="G139" t="str">
            <v>000000</v>
          </cell>
          <cell r="H139" t="str">
            <v>22665</v>
          </cell>
          <cell r="I139" t="str">
            <v>608000</v>
          </cell>
          <cell r="J139" t="str">
            <v>Amelie Lupien</v>
          </cell>
          <cell r="K139" t="str">
            <v>D1</v>
          </cell>
          <cell r="L139">
            <v>-448.84</v>
          </cell>
          <cell r="M139" t="str">
            <v>X</v>
          </cell>
        </row>
        <row r="140">
          <cell r="A140" t="str">
            <v xml:space="preserve"> 75</v>
          </cell>
          <cell r="B140" t="str">
            <v>003199</v>
          </cell>
          <cell r="C140" t="str">
            <v>cshp</v>
          </cell>
          <cell r="D140" t="str">
            <v>08/Dec/1998</v>
          </cell>
          <cell r="E140" t="str">
            <v>MWAL0118</v>
          </cell>
          <cell r="F140" t="str">
            <v>1998/12</v>
          </cell>
          <cell r="G140" t="str">
            <v>000000</v>
          </cell>
          <cell r="H140" t="str">
            <v>22665</v>
          </cell>
          <cell r="I140" t="str">
            <v>608000</v>
          </cell>
          <cell r="J140" t="str">
            <v>Amelie Major</v>
          </cell>
          <cell r="K140" t="str">
            <v>D1</v>
          </cell>
          <cell r="L140">
            <v>688.5</v>
          </cell>
          <cell r="M140" t="str">
            <v>X</v>
          </cell>
        </row>
        <row r="141">
          <cell r="A141" t="str">
            <v xml:space="preserve"> 75</v>
          </cell>
          <cell r="B141" t="str">
            <v>003199</v>
          </cell>
          <cell r="C141" t="str">
            <v>cshp</v>
          </cell>
          <cell r="D141" t="str">
            <v>08/Dec/1998</v>
          </cell>
          <cell r="E141" t="str">
            <v>MWAL0118</v>
          </cell>
          <cell r="F141" t="str">
            <v>1998/12</v>
          </cell>
          <cell r="G141" t="str">
            <v>000000</v>
          </cell>
          <cell r="H141" t="str">
            <v>22665</v>
          </cell>
          <cell r="I141" t="str">
            <v>608000</v>
          </cell>
          <cell r="J141" t="str">
            <v>Amelie Major</v>
          </cell>
          <cell r="K141" t="str">
            <v>D1</v>
          </cell>
          <cell r="L141">
            <v>1170.45</v>
          </cell>
          <cell r="M141" t="str">
            <v>X</v>
          </cell>
        </row>
        <row r="142">
          <cell r="A142" t="str">
            <v xml:space="preserve"> 75</v>
          </cell>
          <cell r="B142" t="str">
            <v>003199</v>
          </cell>
          <cell r="C142" t="str">
            <v>cshp</v>
          </cell>
          <cell r="D142" t="str">
            <v>08/Dec/1998</v>
          </cell>
          <cell r="E142" t="str">
            <v>MWAL0118</v>
          </cell>
          <cell r="F142" t="str">
            <v>1998/12</v>
          </cell>
          <cell r="G142" t="str">
            <v>000000</v>
          </cell>
          <cell r="H142" t="str">
            <v>22665</v>
          </cell>
          <cell r="I142" t="str">
            <v>608000</v>
          </cell>
          <cell r="J142" t="str">
            <v>Amelie Major</v>
          </cell>
          <cell r="K142" t="str">
            <v>D1</v>
          </cell>
          <cell r="L142">
            <v>-609.05999999999995</v>
          </cell>
          <cell r="M142" t="str">
            <v>X</v>
          </cell>
        </row>
        <row r="143">
          <cell r="A143" t="str">
            <v xml:space="preserve"> 75</v>
          </cell>
          <cell r="B143" t="str">
            <v>002062</v>
          </cell>
          <cell r="C143" t="str">
            <v>cshp</v>
          </cell>
          <cell r="D143" t="str">
            <v>12/Feb/1998</v>
          </cell>
          <cell r="E143" t="str">
            <v>TLOH1100</v>
          </cell>
          <cell r="F143" t="str">
            <v>1998/02</v>
          </cell>
          <cell r="G143" t="str">
            <v>000000</v>
          </cell>
          <cell r="H143" t="str">
            <v>22665</v>
          </cell>
          <cell r="I143" t="str">
            <v>608005</v>
          </cell>
          <cell r="J143" t="str">
            <v>AMY BARNEY PE 02/12/98</v>
          </cell>
          <cell r="K143" t="str">
            <v>D1</v>
          </cell>
          <cell r="L143">
            <v>572.21</v>
          </cell>
          <cell r="M143" t="str">
            <v>X</v>
          </cell>
        </row>
        <row r="144">
          <cell r="A144" t="str">
            <v xml:space="preserve"> 75</v>
          </cell>
          <cell r="B144" t="str">
            <v>002620</v>
          </cell>
          <cell r="C144" t="str">
            <v>cshp</v>
          </cell>
          <cell r="D144" t="str">
            <v>28/Sep/1998</v>
          </cell>
          <cell r="E144" t="str">
            <v>MWAL0088</v>
          </cell>
          <cell r="F144" t="str">
            <v>1998/09</v>
          </cell>
          <cell r="G144" t="str">
            <v>000000</v>
          </cell>
          <cell r="H144" t="str">
            <v>22665</v>
          </cell>
          <cell r="I144" t="str">
            <v>608000</v>
          </cell>
          <cell r="J144" t="str">
            <v>Andrew R. Laidler</v>
          </cell>
          <cell r="K144" t="str">
            <v>D1</v>
          </cell>
          <cell r="L144">
            <v>563.30999999999995</v>
          </cell>
          <cell r="M144" t="str">
            <v>X</v>
          </cell>
        </row>
        <row r="145">
          <cell r="A145" t="str">
            <v xml:space="preserve"> 01</v>
          </cell>
          <cell r="B145" t="str">
            <v>000261</v>
          </cell>
          <cell r="C145" t="str">
            <v>Jrnl</v>
          </cell>
          <cell r="D145" t="str">
            <v>28/Feb/1998</v>
          </cell>
          <cell r="E145" t="str">
            <v>TLOH1230</v>
          </cell>
          <cell r="F145" t="str">
            <v>1998/02</v>
          </cell>
          <cell r="G145" t="str">
            <v>000000</v>
          </cell>
          <cell r="H145" t="str">
            <v>22665</v>
          </cell>
          <cell r="I145" t="str">
            <v>608000</v>
          </cell>
          <cell r="J145" t="str">
            <v>BARNEY MANUAL CK</v>
          </cell>
          <cell r="K145" t="str">
            <v>D1</v>
          </cell>
          <cell r="L145">
            <v>-572.21</v>
          </cell>
          <cell r="M145" t="str">
            <v>X</v>
          </cell>
        </row>
        <row r="146">
          <cell r="A146" t="str">
            <v xml:space="preserve"> 75</v>
          </cell>
          <cell r="B146" t="str">
            <v>003201</v>
          </cell>
          <cell r="C146" t="str">
            <v>cshp</v>
          </cell>
          <cell r="D146" t="str">
            <v>08/Dec/1998</v>
          </cell>
          <cell r="E146" t="str">
            <v>MWAL0118</v>
          </cell>
          <cell r="F146" t="str">
            <v>1998/12</v>
          </cell>
          <cell r="G146" t="str">
            <v>000000</v>
          </cell>
          <cell r="H146" t="str">
            <v>22665</v>
          </cell>
          <cell r="I146" t="str">
            <v>608000</v>
          </cell>
          <cell r="J146" t="str">
            <v>Benoit Potvin</v>
          </cell>
          <cell r="K146" t="str">
            <v>D1</v>
          </cell>
          <cell r="L146">
            <v>712.03</v>
          </cell>
          <cell r="M146" t="str">
            <v>X</v>
          </cell>
        </row>
        <row r="147">
          <cell r="A147" t="str">
            <v xml:space="preserve"> 75</v>
          </cell>
          <cell r="B147" t="str">
            <v>003201</v>
          </cell>
          <cell r="C147" t="str">
            <v>cshp</v>
          </cell>
          <cell r="D147" t="str">
            <v>08/Dec/1998</v>
          </cell>
          <cell r="E147" t="str">
            <v>MWAL0118</v>
          </cell>
          <cell r="F147" t="str">
            <v>1998/12</v>
          </cell>
          <cell r="G147" t="str">
            <v>000000</v>
          </cell>
          <cell r="H147" t="str">
            <v>22665</v>
          </cell>
          <cell r="I147" t="str">
            <v>608000</v>
          </cell>
          <cell r="J147" t="str">
            <v>Benoit Potvin</v>
          </cell>
          <cell r="K147" t="str">
            <v>D1</v>
          </cell>
          <cell r="L147">
            <v>874.39</v>
          </cell>
          <cell r="M147" t="str">
            <v>X</v>
          </cell>
        </row>
        <row r="148">
          <cell r="A148" t="str">
            <v xml:space="preserve"> 75</v>
          </cell>
          <cell r="B148" t="str">
            <v>003201</v>
          </cell>
          <cell r="C148" t="str">
            <v>cshp</v>
          </cell>
          <cell r="D148" t="str">
            <v>08/Dec/1998</v>
          </cell>
          <cell r="E148" t="str">
            <v>MWAL0118</v>
          </cell>
          <cell r="F148" t="str">
            <v>1998/12</v>
          </cell>
          <cell r="G148" t="str">
            <v>000000</v>
          </cell>
          <cell r="H148" t="str">
            <v>22665</v>
          </cell>
          <cell r="I148" t="str">
            <v>608000</v>
          </cell>
          <cell r="J148" t="str">
            <v>Benoit Potvin</v>
          </cell>
          <cell r="K148" t="str">
            <v>D1</v>
          </cell>
          <cell r="L148">
            <v>-614.45000000000005</v>
          </cell>
          <cell r="M148" t="str">
            <v>X</v>
          </cell>
        </row>
        <row r="149">
          <cell r="A149" t="str">
            <v xml:space="preserve"> 75</v>
          </cell>
          <cell r="B149" t="str">
            <v>002555</v>
          </cell>
          <cell r="C149" t="str">
            <v>cshp</v>
          </cell>
          <cell r="D149" t="str">
            <v>14/Aug/1998</v>
          </cell>
          <cell r="E149" t="str">
            <v>KPUR0844</v>
          </cell>
          <cell r="F149" t="str">
            <v>1998/08</v>
          </cell>
          <cell r="G149" t="str">
            <v>000000</v>
          </cell>
          <cell r="H149" t="str">
            <v>22665</v>
          </cell>
          <cell r="I149" t="str">
            <v>608000</v>
          </cell>
          <cell r="J149" t="str">
            <v>CATHERINE ROUSE PE 8/15</v>
          </cell>
          <cell r="K149" t="str">
            <v>D1</v>
          </cell>
          <cell r="L149">
            <v>649.46</v>
          </cell>
          <cell r="M149" t="str">
            <v>X</v>
          </cell>
        </row>
        <row r="150">
          <cell r="A150" t="str">
            <v xml:space="preserve"> 67</v>
          </cell>
          <cell r="B150" t="str">
            <v>200347</v>
          </cell>
          <cell r="C150" t="str">
            <v>Psbc</v>
          </cell>
          <cell r="D150" t="str">
            <v>24/Apr/1998</v>
          </cell>
          <cell r="E150" t="str">
            <v>TLOH1600</v>
          </cell>
          <cell r="F150" t="str">
            <v>1998/04</v>
          </cell>
          <cell r="G150" t="str">
            <v>000000</v>
          </cell>
          <cell r="H150" t="str">
            <v>22665</v>
          </cell>
          <cell r="J150" t="str">
            <v>CDS US TRANSFER AVRUSKIN BELL</v>
          </cell>
          <cell r="K150" t="str">
            <v>D1</v>
          </cell>
          <cell r="L150">
            <v>5230.53</v>
          </cell>
          <cell r="M150" t="str">
            <v>X</v>
          </cell>
        </row>
        <row r="151">
          <cell r="A151" t="str">
            <v xml:space="preserve"> 67</v>
          </cell>
          <cell r="B151" t="str">
            <v>200905</v>
          </cell>
          <cell r="C151" t="str">
            <v>Psbc</v>
          </cell>
          <cell r="D151" t="str">
            <v>28/Oct/1998</v>
          </cell>
          <cell r="E151" t="str">
            <v>CWAN0271</v>
          </cell>
          <cell r="F151" t="str">
            <v>1998/10</v>
          </cell>
          <cell r="G151" t="str">
            <v>000000</v>
          </cell>
          <cell r="H151" t="str">
            <v>22665</v>
          </cell>
          <cell r="I151" t="str">
            <v>608000</v>
          </cell>
          <cell r="J151" t="str">
            <v>CDS13 ROXANNE POTVIN RETRO</v>
          </cell>
          <cell r="K151" t="str">
            <v>D1</v>
          </cell>
          <cell r="L151">
            <v>92.35</v>
          </cell>
          <cell r="M151" t="str">
            <v>X</v>
          </cell>
        </row>
        <row r="152">
          <cell r="A152" t="str">
            <v xml:space="preserve"> 01</v>
          </cell>
          <cell r="B152" t="str">
            <v>000299</v>
          </cell>
          <cell r="C152" t="str">
            <v>Jrnl</v>
          </cell>
          <cell r="D152" t="str">
            <v>31/Mar/1998</v>
          </cell>
          <cell r="E152" t="str">
            <v>TLOH1437</v>
          </cell>
          <cell r="F152" t="str">
            <v>1998/03</v>
          </cell>
          <cell r="G152" t="str">
            <v>000000</v>
          </cell>
          <cell r="H152" t="str">
            <v>22665</v>
          </cell>
          <cell r="J152" t="str">
            <v>Ck#12 stop pay</v>
          </cell>
          <cell r="K152" t="str">
            <v>D1</v>
          </cell>
          <cell r="L152">
            <v>-2491.4499999999998</v>
          </cell>
          <cell r="M152" t="str">
            <v>X</v>
          </cell>
        </row>
        <row r="153">
          <cell r="A153" t="str">
            <v xml:space="preserve"> 07</v>
          </cell>
          <cell r="B153" t="str">
            <v>000005</v>
          </cell>
          <cell r="C153" t="str">
            <v>cshp</v>
          </cell>
          <cell r="D153" t="str">
            <v>24/Sep/1998</v>
          </cell>
          <cell r="E153" t="str">
            <v>MWAL0085</v>
          </cell>
          <cell r="F153" t="str">
            <v>1998/09</v>
          </cell>
          <cell r="G153" t="str">
            <v>000000</v>
          </cell>
          <cell r="H153" t="str">
            <v>22665</v>
          </cell>
          <cell r="I153" t="str">
            <v>408000</v>
          </cell>
          <cell r="J153" t="str">
            <v>Claudiu Tempe</v>
          </cell>
          <cell r="K153" t="str">
            <v>D1</v>
          </cell>
          <cell r="L153">
            <v>575.99</v>
          </cell>
        </row>
        <row r="154">
          <cell r="A154" t="str">
            <v xml:space="preserve"> 01</v>
          </cell>
          <cell r="B154" t="str">
            <v>000550</v>
          </cell>
          <cell r="C154" t="str">
            <v>Jrnl</v>
          </cell>
          <cell r="D154" t="str">
            <v>31/Aug/1998</v>
          </cell>
          <cell r="E154" t="str">
            <v>TLOH2063</v>
          </cell>
          <cell r="F154" t="str">
            <v>1998/08</v>
          </cell>
          <cell r="G154" t="str">
            <v>000000</v>
          </cell>
          <cell r="H154" t="str">
            <v>22665</v>
          </cell>
          <cell r="I154" t="str">
            <v>601000</v>
          </cell>
          <cell r="J154" t="str">
            <v>COR 01-546 TAXABLE FRINGE MOV</v>
          </cell>
          <cell r="K154" t="str">
            <v>D1</v>
          </cell>
          <cell r="L154">
            <v>6336.94</v>
          </cell>
          <cell r="M154" t="str">
            <v>X</v>
          </cell>
        </row>
        <row r="155">
          <cell r="A155" t="str">
            <v xml:space="preserve"> 01</v>
          </cell>
          <cell r="B155" t="str">
            <v>000775</v>
          </cell>
          <cell r="C155" t="str">
            <v>Jrnl</v>
          </cell>
          <cell r="D155" t="str">
            <v>10/Dec/1998</v>
          </cell>
          <cell r="E155" t="str">
            <v>DPAN0004</v>
          </cell>
          <cell r="F155" t="str">
            <v>1998/12</v>
          </cell>
          <cell r="G155" t="str">
            <v>000000</v>
          </cell>
          <cell r="H155" t="str">
            <v>22665</v>
          </cell>
          <cell r="I155" t="str">
            <v>608000</v>
          </cell>
          <cell r="J155" t="str">
            <v>CPP Tax-Bissonnette</v>
          </cell>
          <cell r="K155" t="str">
            <v>D1</v>
          </cell>
          <cell r="L155">
            <v>613.48</v>
          </cell>
          <cell r="M155" t="str">
            <v>X</v>
          </cell>
        </row>
        <row r="156">
          <cell r="A156" t="str">
            <v xml:space="preserve"> 01</v>
          </cell>
          <cell r="B156" t="str">
            <v>000775</v>
          </cell>
          <cell r="C156" t="str">
            <v>Jrnl</v>
          </cell>
          <cell r="D156" t="str">
            <v>10/Dec/1998</v>
          </cell>
          <cell r="E156" t="str">
            <v>DPAN0004</v>
          </cell>
          <cell r="F156" t="str">
            <v>1998/12</v>
          </cell>
          <cell r="G156" t="str">
            <v>000000</v>
          </cell>
          <cell r="H156" t="str">
            <v>22665</v>
          </cell>
          <cell r="I156" t="str">
            <v>608000</v>
          </cell>
          <cell r="J156" t="str">
            <v>CPP Tax-Clerk</v>
          </cell>
          <cell r="K156" t="str">
            <v>D1</v>
          </cell>
          <cell r="L156">
            <v>615.33000000000004</v>
          </cell>
          <cell r="M156" t="str">
            <v>X</v>
          </cell>
        </row>
        <row r="157">
          <cell r="A157" t="str">
            <v xml:space="preserve"> 01</v>
          </cell>
          <cell r="B157" t="str">
            <v>000775</v>
          </cell>
          <cell r="C157" t="str">
            <v>Jrnl</v>
          </cell>
          <cell r="D157" t="str">
            <v>10/Dec/1998</v>
          </cell>
          <cell r="E157" t="str">
            <v>DPAN0004</v>
          </cell>
          <cell r="F157" t="str">
            <v>1998/12</v>
          </cell>
          <cell r="G157" t="str">
            <v>000000</v>
          </cell>
          <cell r="H157" t="str">
            <v>22665</v>
          </cell>
          <cell r="I157" t="str">
            <v>608000</v>
          </cell>
          <cell r="J157" t="str">
            <v>CPP Tax-Conceicao</v>
          </cell>
          <cell r="K157" t="str">
            <v>D1</v>
          </cell>
          <cell r="L157">
            <v>566.86</v>
          </cell>
          <cell r="M157" t="str">
            <v>X</v>
          </cell>
        </row>
        <row r="158">
          <cell r="A158" t="str">
            <v xml:space="preserve"> 01</v>
          </cell>
          <cell r="B158" t="str">
            <v>000775</v>
          </cell>
          <cell r="C158" t="str">
            <v>Jrnl</v>
          </cell>
          <cell r="D158" t="str">
            <v>10/Dec/1998</v>
          </cell>
          <cell r="E158" t="str">
            <v>DPAN0004</v>
          </cell>
          <cell r="F158" t="str">
            <v>1998/12</v>
          </cell>
          <cell r="G158" t="str">
            <v>000000</v>
          </cell>
          <cell r="H158" t="str">
            <v>22665</v>
          </cell>
          <cell r="I158" t="str">
            <v>608000</v>
          </cell>
          <cell r="J158" t="str">
            <v>CPP Tax-Dumaine</v>
          </cell>
          <cell r="K158" t="str">
            <v>D1</v>
          </cell>
          <cell r="L158">
            <v>610.04999999999995</v>
          </cell>
          <cell r="M158" t="str">
            <v>X</v>
          </cell>
        </row>
        <row r="159">
          <cell r="A159" t="str">
            <v xml:space="preserve"> 75</v>
          </cell>
          <cell r="B159" t="str">
            <v>002040</v>
          </cell>
          <cell r="C159" t="str">
            <v>cshp</v>
          </cell>
          <cell r="D159" t="str">
            <v>27/Apr/1998</v>
          </cell>
          <cell r="E159" t="str">
            <v>KPUR0335</v>
          </cell>
          <cell r="F159" t="str">
            <v>1998/04</v>
          </cell>
          <cell r="G159" t="str">
            <v>000000</v>
          </cell>
          <cell r="H159" t="str">
            <v>22665</v>
          </cell>
          <cell r="I159" t="str">
            <v>601000</v>
          </cell>
          <cell r="J159" t="str">
            <v>GEURINIK ADVANCE</v>
          </cell>
          <cell r="K159" t="str">
            <v>D1</v>
          </cell>
          <cell r="L159">
            <v>400</v>
          </cell>
        </row>
        <row r="160">
          <cell r="A160" t="str">
            <v xml:space="preserve"> 01</v>
          </cell>
          <cell r="B160" t="str">
            <v>000775</v>
          </cell>
          <cell r="C160" t="str">
            <v>Jrnl</v>
          </cell>
          <cell r="D160" t="str">
            <v>10/Dec/1998</v>
          </cell>
          <cell r="E160" t="str">
            <v>DPAN0004</v>
          </cell>
          <cell r="F160" t="str">
            <v>1998/12</v>
          </cell>
          <cell r="G160" t="str">
            <v>000000</v>
          </cell>
          <cell r="H160" t="str">
            <v>22665</v>
          </cell>
          <cell r="I160" t="str">
            <v>608000</v>
          </cell>
          <cell r="J160" t="str">
            <v>CPP Tax-Guerinik</v>
          </cell>
          <cell r="K160" t="str">
            <v>D1</v>
          </cell>
          <cell r="L160">
            <v>555.25</v>
          </cell>
          <cell r="M160" t="str">
            <v>X</v>
          </cell>
        </row>
        <row r="161">
          <cell r="A161" t="str">
            <v xml:space="preserve"> 01</v>
          </cell>
          <cell r="B161" t="str">
            <v>000775</v>
          </cell>
          <cell r="C161" t="str">
            <v>Jrnl</v>
          </cell>
          <cell r="D161" t="str">
            <v>10/Dec/1998</v>
          </cell>
          <cell r="E161" t="str">
            <v>DPAN0004</v>
          </cell>
          <cell r="F161" t="str">
            <v>1998/12</v>
          </cell>
          <cell r="G161" t="str">
            <v>000000</v>
          </cell>
          <cell r="H161" t="str">
            <v>22665</v>
          </cell>
          <cell r="I161" t="str">
            <v>608000</v>
          </cell>
          <cell r="J161" t="str">
            <v>CPP Tax-Herd</v>
          </cell>
          <cell r="K161" t="str">
            <v>D1</v>
          </cell>
          <cell r="L161">
            <v>544.66999999999996</v>
          </cell>
          <cell r="M161" t="str">
            <v>X</v>
          </cell>
        </row>
        <row r="162">
          <cell r="A162" t="str">
            <v xml:space="preserve"> 01</v>
          </cell>
          <cell r="B162" t="str">
            <v>000775</v>
          </cell>
          <cell r="C162" t="str">
            <v>Jrnl</v>
          </cell>
          <cell r="D162" t="str">
            <v>10/Dec/1998</v>
          </cell>
          <cell r="E162" t="str">
            <v>DPAN0004</v>
          </cell>
          <cell r="F162" t="str">
            <v>1998/12</v>
          </cell>
          <cell r="G162" t="str">
            <v>000000</v>
          </cell>
          <cell r="H162" t="str">
            <v>22665</v>
          </cell>
          <cell r="I162" t="str">
            <v>608000</v>
          </cell>
          <cell r="J162" t="str">
            <v>CPP Tax-Holmwood</v>
          </cell>
          <cell r="K162" t="str">
            <v>D1</v>
          </cell>
          <cell r="L162">
            <v>477.38</v>
          </cell>
          <cell r="M162" t="str">
            <v>X</v>
          </cell>
        </row>
        <row r="163">
          <cell r="A163" t="str">
            <v xml:space="preserve"> 01</v>
          </cell>
          <cell r="B163" t="str">
            <v>000775</v>
          </cell>
          <cell r="C163" t="str">
            <v>Jrnl</v>
          </cell>
          <cell r="D163" t="str">
            <v>10/Dec/1998</v>
          </cell>
          <cell r="E163" t="str">
            <v>DPAN0004</v>
          </cell>
          <cell r="F163" t="str">
            <v>1998/12</v>
          </cell>
          <cell r="G163" t="str">
            <v>000000</v>
          </cell>
          <cell r="H163" t="str">
            <v>22665</v>
          </cell>
          <cell r="I163" t="str">
            <v>608000</v>
          </cell>
          <cell r="J163" t="str">
            <v>CPP Tax-Jean</v>
          </cell>
          <cell r="K163" t="str">
            <v>D1</v>
          </cell>
          <cell r="L163">
            <v>625.45000000000005</v>
          </cell>
          <cell r="M163" t="str">
            <v>X</v>
          </cell>
        </row>
        <row r="164">
          <cell r="A164" t="str">
            <v xml:space="preserve"> 01</v>
          </cell>
          <cell r="B164" t="str">
            <v>000775</v>
          </cell>
          <cell r="C164" t="str">
            <v>Jrnl</v>
          </cell>
          <cell r="D164" t="str">
            <v>10/Dec/1998</v>
          </cell>
          <cell r="E164" t="str">
            <v>DPAN0004</v>
          </cell>
          <cell r="F164" t="str">
            <v>1998/12</v>
          </cell>
          <cell r="G164" t="str">
            <v>000000</v>
          </cell>
          <cell r="H164" t="str">
            <v>22665</v>
          </cell>
          <cell r="I164" t="str">
            <v>608000</v>
          </cell>
          <cell r="J164" t="str">
            <v>CPP Tax-LaPlante</v>
          </cell>
          <cell r="K164" t="str">
            <v>D1</v>
          </cell>
          <cell r="L164">
            <v>644.5</v>
          </cell>
          <cell r="M164" t="str">
            <v>X</v>
          </cell>
        </row>
        <row r="165">
          <cell r="A165" t="str">
            <v xml:space="preserve"> 01</v>
          </cell>
          <cell r="B165" t="str">
            <v>000775</v>
          </cell>
          <cell r="C165" t="str">
            <v>Jrnl</v>
          </cell>
          <cell r="D165" t="str">
            <v>10/Dec/1998</v>
          </cell>
          <cell r="E165" t="str">
            <v>DPAN0004</v>
          </cell>
          <cell r="F165" t="str">
            <v>1998/12</v>
          </cell>
          <cell r="G165" t="str">
            <v>000000</v>
          </cell>
          <cell r="H165" t="str">
            <v>22665</v>
          </cell>
          <cell r="I165" t="str">
            <v>608000</v>
          </cell>
          <cell r="J165" t="str">
            <v>CPP Tax-Levasseur</v>
          </cell>
          <cell r="K165" t="str">
            <v>D1</v>
          </cell>
          <cell r="L165">
            <v>592.21</v>
          </cell>
          <cell r="M165" t="str">
            <v>X</v>
          </cell>
        </row>
        <row r="166">
          <cell r="A166" t="str">
            <v xml:space="preserve"> 01</v>
          </cell>
          <cell r="B166" t="str">
            <v>000775</v>
          </cell>
          <cell r="C166" t="str">
            <v>Jrnl</v>
          </cell>
          <cell r="D166" t="str">
            <v>10/Dec/1998</v>
          </cell>
          <cell r="E166" t="str">
            <v>DPAN0004</v>
          </cell>
          <cell r="F166" t="str">
            <v>1998/12</v>
          </cell>
          <cell r="G166" t="str">
            <v>000000</v>
          </cell>
          <cell r="H166" t="str">
            <v>22665</v>
          </cell>
          <cell r="I166" t="str">
            <v>608000</v>
          </cell>
          <cell r="J166" t="str">
            <v>CPP Tax-Lupien</v>
          </cell>
          <cell r="K166" t="str">
            <v>D1</v>
          </cell>
          <cell r="L166">
            <v>448.84</v>
          </cell>
          <cell r="M166" t="str">
            <v>X</v>
          </cell>
        </row>
        <row r="167">
          <cell r="A167" t="str">
            <v xml:space="preserve"> 01</v>
          </cell>
          <cell r="B167" t="str">
            <v>000775</v>
          </cell>
          <cell r="C167" t="str">
            <v>Jrnl</v>
          </cell>
          <cell r="D167" t="str">
            <v>10/Dec/1998</v>
          </cell>
          <cell r="E167" t="str">
            <v>DPAN0004</v>
          </cell>
          <cell r="F167" t="str">
            <v>1998/12</v>
          </cell>
          <cell r="G167" t="str">
            <v>000000</v>
          </cell>
          <cell r="H167" t="str">
            <v>22665</v>
          </cell>
          <cell r="I167" t="str">
            <v>608000</v>
          </cell>
          <cell r="J167" t="str">
            <v>CPP Tax-Major</v>
          </cell>
          <cell r="K167" t="str">
            <v>D1</v>
          </cell>
          <cell r="L167">
            <v>609.05999999999995</v>
          </cell>
          <cell r="M167" t="str">
            <v>X</v>
          </cell>
        </row>
        <row r="168">
          <cell r="A168" t="str">
            <v xml:space="preserve"> 01</v>
          </cell>
          <cell r="B168" t="str">
            <v>000775</v>
          </cell>
          <cell r="C168" t="str">
            <v>Jrnl</v>
          </cell>
          <cell r="D168" t="str">
            <v>10/Dec/1998</v>
          </cell>
          <cell r="E168" t="str">
            <v>DPAN0004</v>
          </cell>
          <cell r="F168" t="str">
            <v>1998/12</v>
          </cell>
          <cell r="G168" t="str">
            <v>000000</v>
          </cell>
          <cell r="H168" t="str">
            <v>22665</v>
          </cell>
          <cell r="I168" t="str">
            <v>608000</v>
          </cell>
          <cell r="J168" t="str">
            <v>CPP Tax-Otjes</v>
          </cell>
          <cell r="K168" t="str">
            <v>D1</v>
          </cell>
          <cell r="L168">
            <v>460.84</v>
          </cell>
          <cell r="M168" t="str">
            <v>X</v>
          </cell>
        </row>
        <row r="169">
          <cell r="A169" t="str">
            <v xml:space="preserve"> 01</v>
          </cell>
          <cell r="B169" t="str">
            <v>000775</v>
          </cell>
          <cell r="C169" t="str">
            <v>Jrnl</v>
          </cell>
          <cell r="D169" t="str">
            <v>10/Dec/1998</v>
          </cell>
          <cell r="E169" t="str">
            <v>DPAN0004</v>
          </cell>
          <cell r="F169" t="str">
            <v>1998/12</v>
          </cell>
          <cell r="G169" t="str">
            <v>000000</v>
          </cell>
          <cell r="H169" t="str">
            <v>22665</v>
          </cell>
          <cell r="I169" t="str">
            <v>608000</v>
          </cell>
          <cell r="J169" t="str">
            <v>CPP Tax-Potvin</v>
          </cell>
          <cell r="K169" t="str">
            <v>D1</v>
          </cell>
          <cell r="L169">
            <v>614.45000000000005</v>
          </cell>
          <cell r="M169" t="str">
            <v>X</v>
          </cell>
        </row>
        <row r="170">
          <cell r="A170" t="str">
            <v xml:space="preserve"> 01</v>
          </cell>
          <cell r="B170" t="str">
            <v>000775</v>
          </cell>
          <cell r="C170" t="str">
            <v>Jrnl</v>
          </cell>
          <cell r="D170" t="str">
            <v>10/Dec/1998</v>
          </cell>
          <cell r="E170" t="str">
            <v>DPAN0004</v>
          </cell>
          <cell r="F170" t="str">
            <v>1998/12</v>
          </cell>
          <cell r="G170" t="str">
            <v>000000</v>
          </cell>
          <cell r="H170" t="str">
            <v>22665</v>
          </cell>
          <cell r="I170" t="str">
            <v>608000</v>
          </cell>
          <cell r="J170" t="str">
            <v>CPP Tax-Proulx St-Cyr</v>
          </cell>
          <cell r="K170" t="str">
            <v>D1</v>
          </cell>
          <cell r="L170">
            <v>604.61</v>
          </cell>
          <cell r="M170" t="str">
            <v>X</v>
          </cell>
        </row>
        <row r="171">
          <cell r="A171" t="str">
            <v xml:space="preserve"> 01</v>
          </cell>
          <cell r="B171" t="str">
            <v>000775</v>
          </cell>
          <cell r="C171" t="str">
            <v>Jrnl</v>
          </cell>
          <cell r="D171" t="str">
            <v>10/Dec/1998</v>
          </cell>
          <cell r="E171" t="str">
            <v>DPAN0004</v>
          </cell>
          <cell r="F171" t="str">
            <v>1998/12</v>
          </cell>
          <cell r="G171" t="str">
            <v>000000</v>
          </cell>
          <cell r="H171" t="str">
            <v>22665</v>
          </cell>
          <cell r="I171" t="str">
            <v>608000</v>
          </cell>
          <cell r="J171" t="str">
            <v>CPP Tax-Savoie</v>
          </cell>
          <cell r="K171" t="str">
            <v>D1</v>
          </cell>
          <cell r="L171">
            <v>604.61</v>
          </cell>
          <cell r="M171" t="str">
            <v>X</v>
          </cell>
        </row>
        <row r="172">
          <cell r="A172" t="str">
            <v xml:space="preserve"> 01</v>
          </cell>
          <cell r="B172" t="str">
            <v>000775</v>
          </cell>
          <cell r="C172" t="str">
            <v>Jrnl</v>
          </cell>
          <cell r="D172" t="str">
            <v>10/Dec/1998</v>
          </cell>
          <cell r="E172" t="str">
            <v>DPAN0004</v>
          </cell>
          <cell r="F172" t="str">
            <v>1998/12</v>
          </cell>
          <cell r="G172" t="str">
            <v>000000</v>
          </cell>
          <cell r="H172" t="str">
            <v>22665</v>
          </cell>
          <cell r="I172" t="str">
            <v>608000</v>
          </cell>
          <cell r="J172" t="str">
            <v>CPP Tax-Sereno</v>
          </cell>
          <cell r="K172" t="str">
            <v>D1</v>
          </cell>
          <cell r="L172">
            <v>625.49</v>
          </cell>
          <cell r="M172" t="str">
            <v>X</v>
          </cell>
        </row>
        <row r="173">
          <cell r="A173" t="str">
            <v xml:space="preserve"> 01</v>
          </cell>
          <cell r="B173" t="str">
            <v>000775</v>
          </cell>
          <cell r="C173" t="str">
            <v>Jrnl</v>
          </cell>
          <cell r="D173" t="str">
            <v>10/Dec/1998</v>
          </cell>
          <cell r="E173" t="str">
            <v>DPAN0004</v>
          </cell>
          <cell r="F173" t="str">
            <v>1998/12</v>
          </cell>
          <cell r="G173" t="str">
            <v>000000</v>
          </cell>
          <cell r="H173" t="str">
            <v>22665</v>
          </cell>
          <cell r="I173" t="str">
            <v>608000</v>
          </cell>
          <cell r="J173" t="str">
            <v>CPP Tax-Stanley</v>
          </cell>
          <cell r="K173" t="str">
            <v>D1</v>
          </cell>
          <cell r="L173">
            <v>613.89</v>
          </cell>
          <cell r="M173" t="str">
            <v>X</v>
          </cell>
        </row>
        <row r="174">
          <cell r="A174" t="str">
            <v xml:space="preserve"> 01</v>
          </cell>
          <cell r="B174" t="str">
            <v>000775</v>
          </cell>
          <cell r="C174" t="str">
            <v>Jrnl</v>
          </cell>
          <cell r="D174" t="str">
            <v>10/Dec/1998</v>
          </cell>
          <cell r="E174" t="str">
            <v>DPAN0004</v>
          </cell>
          <cell r="F174" t="str">
            <v>1998/12</v>
          </cell>
          <cell r="G174" t="str">
            <v>000000</v>
          </cell>
          <cell r="H174" t="str">
            <v>22665</v>
          </cell>
          <cell r="I174" t="str">
            <v>608000</v>
          </cell>
          <cell r="J174" t="str">
            <v>CPP Tax-Steben</v>
          </cell>
          <cell r="K174" t="str">
            <v>D1</v>
          </cell>
          <cell r="L174">
            <v>694.76</v>
          </cell>
          <cell r="M174" t="str">
            <v>X</v>
          </cell>
        </row>
        <row r="175">
          <cell r="A175" t="str">
            <v xml:space="preserve"> 75</v>
          </cell>
          <cell r="B175" t="str">
            <v>002939</v>
          </cell>
          <cell r="C175" t="str">
            <v>cshp</v>
          </cell>
          <cell r="D175" t="str">
            <v>04/Nov/1998</v>
          </cell>
          <cell r="E175" t="str">
            <v>MWAL0099</v>
          </cell>
          <cell r="F175" t="str">
            <v>1998/11</v>
          </cell>
          <cell r="G175" t="str">
            <v>000000</v>
          </cell>
          <cell r="H175" t="str">
            <v>22665</v>
          </cell>
          <cell r="I175" t="str">
            <v>608000</v>
          </cell>
          <cell r="J175" t="str">
            <v>Craig Smith</v>
          </cell>
          <cell r="K175" t="str">
            <v>D1</v>
          </cell>
          <cell r="L175">
            <v>65.67</v>
          </cell>
          <cell r="M175" t="str">
            <v>X</v>
          </cell>
        </row>
        <row r="176">
          <cell r="A176" t="str">
            <v xml:space="preserve"> 75</v>
          </cell>
          <cell r="B176" t="str">
            <v>002619</v>
          </cell>
          <cell r="C176" t="str">
            <v>cshp</v>
          </cell>
          <cell r="D176" t="str">
            <v>18/Sep/1998</v>
          </cell>
          <cell r="E176" t="str">
            <v>MWAL0084</v>
          </cell>
          <cell r="F176" t="str">
            <v>1998/09</v>
          </cell>
          <cell r="G176" t="str">
            <v>000000</v>
          </cell>
          <cell r="H176" t="str">
            <v>22665</v>
          </cell>
          <cell r="I176" t="str">
            <v>608000</v>
          </cell>
          <cell r="J176" t="str">
            <v>Cynthia K Phillips</v>
          </cell>
          <cell r="K176" t="str">
            <v>D1</v>
          </cell>
          <cell r="L176">
            <v>572.41999999999996</v>
          </cell>
          <cell r="M176" t="str">
            <v>X</v>
          </cell>
        </row>
        <row r="177">
          <cell r="A177" t="str">
            <v xml:space="preserve"> 75</v>
          </cell>
          <cell r="B177" t="str">
            <v>002428</v>
          </cell>
          <cell r="C177" t="str">
            <v>cshp</v>
          </cell>
          <cell r="D177" t="str">
            <v>04/Jun/1998</v>
          </cell>
          <cell r="E177" t="str">
            <v>MWAL0025</v>
          </cell>
          <cell r="F177" t="str">
            <v>1998/06</v>
          </cell>
          <cell r="G177" t="str">
            <v>000000</v>
          </cell>
          <cell r="H177" t="str">
            <v>22665</v>
          </cell>
          <cell r="I177" t="str">
            <v>601000</v>
          </cell>
          <cell r="J177" t="str">
            <v>D ANTOINE COACH PE 5/23</v>
          </cell>
          <cell r="K177" t="str">
            <v>D1</v>
          </cell>
          <cell r="L177">
            <v>641.82000000000005</v>
          </cell>
          <cell r="M177" t="str">
            <v>X</v>
          </cell>
        </row>
        <row r="178">
          <cell r="A178" t="str">
            <v xml:space="preserve"> 75</v>
          </cell>
          <cell r="B178" t="str">
            <v>002941</v>
          </cell>
          <cell r="C178" t="str">
            <v>cshp</v>
          </cell>
          <cell r="D178" t="str">
            <v>20/Nov/1998</v>
          </cell>
          <cell r="E178" t="str">
            <v>MWAL0109</v>
          </cell>
          <cell r="F178" t="str">
            <v>1998/11</v>
          </cell>
          <cell r="G178" t="str">
            <v>000000</v>
          </cell>
          <cell r="H178" t="str">
            <v>22665</v>
          </cell>
          <cell r="I178" t="str">
            <v>608000</v>
          </cell>
          <cell r="J178" t="str">
            <v>Dale Karlsen</v>
          </cell>
          <cell r="K178" t="str">
            <v>D1</v>
          </cell>
          <cell r="L178">
            <v>591.63</v>
          </cell>
          <cell r="M178" t="str">
            <v>X</v>
          </cell>
        </row>
        <row r="179">
          <cell r="A179" t="str">
            <v xml:space="preserve"> 75</v>
          </cell>
          <cell r="B179" t="str">
            <v>002548</v>
          </cell>
          <cell r="C179" t="str">
            <v>cshp</v>
          </cell>
          <cell r="D179" t="str">
            <v>06/Aug/1998</v>
          </cell>
          <cell r="E179" t="str">
            <v>MWAL0055</v>
          </cell>
          <cell r="F179" t="str">
            <v>1998/08</v>
          </cell>
          <cell r="G179" t="str">
            <v>000000</v>
          </cell>
          <cell r="H179" t="str">
            <v>22665</v>
          </cell>
          <cell r="I179" t="str">
            <v>601000</v>
          </cell>
          <cell r="J179" t="str">
            <v>David B. Smith</v>
          </cell>
          <cell r="K179" t="str">
            <v>D1</v>
          </cell>
          <cell r="L179">
            <v>665.03</v>
          </cell>
          <cell r="M179" t="str">
            <v>X</v>
          </cell>
        </row>
        <row r="180">
          <cell r="A180" t="str">
            <v xml:space="preserve"> 75</v>
          </cell>
          <cell r="B180" t="str">
            <v>002549</v>
          </cell>
          <cell r="C180" t="str">
            <v>cshp</v>
          </cell>
          <cell r="D180" t="str">
            <v>06/Aug/1998</v>
          </cell>
          <cell r="E180" t="str">
            <v>MWAL0055</v>
          </cell>
          <cell r="F180" t="str">
            <v>1998/08</v>
          </cell>
          <cell r="G180" t="str">
            <v>000000</v>
          </cell>
          <cell r="H180" t="str">
            <v>22665</v>
          </cell>
          <cell r="I180" t="str">
            <v>601000</v>
          </cell>
          <cell r="J180" t="str">
            <v>David B. Smith</v>
          </cell>
          <cell r="K180" t="str">
            <v>D1</v>
          </cell>
          <cell r="L180">
            <v>3043.22</v>
          </cell>
          <cell r="M180" t="str">
            <v>X</v>
          </cell>
        </row>
        <row r="181">
          <cell r="A181" t="str">
            <v xml:space="preserve"> 75</v>
          </cell>
          <cell r="B181" t="str">
            <v>002621</v>
          </cell>
          <cell r="C181" t="str">
            <v>cshp</v>
          </cell>
          <cell r="D181" t="str">
            <v>09/Oct/1998</v>
          </cell>
          <cell r="E181" t="str">
            <v>MWAL0091</v>
          </cell>
          <cell r="F181" t="str">
            <v>1998/10</v>
          </cell>
          <cell r="G181" t="str">
            <v>000000</v>
          </cell>
          <cell r="H181" t="str">
            <v>22665</v>
          </cell>
          <cell r="I181" t="str">
            <v>608000</v>
          </cell>
          <cell r="J181" t="str">
            <v>Deanne Lay</v>
          </cell>
          <cell r="K181" t="str">
            <v>D1</v>
          </cell>
          <cell r="L181">
            <v>2449.5</v>
          </cell>
          <cell r="M181" t="str">
            <v>X</v>
          </cell>
        </row>
        <row r="182">
          <cell r="A182" t="str">
            <v xml:space="preserve"> 75</v>
          </cell>
          <cell r="B182" t="str">
            <v>002596</v>
          </cell>
          <cell r="C182" t="str">
            <v>cshp</v>
          </cell>
          <cell r="D182" t="str">
            <v>26/Aug/1998</v>
          </cell>
          <cell r="E182" t="str">
            <v>KPUR0874</v>
          </cell>
          <cell r="F182" t="str">
            <v>1998/08</v>
          </cell>
          <cell r="G182" t="str">
            <v>000000</v>
          </cell>
          <cell r="H182" t="str">
            <v>22665</v>
          </cell>
          <cell r="I182" t="str">
            <v>608000</v>
          </cell>
          <cell r="J182" t="str">
            <v>DEANNE LAY PE 8/15</v>
          </cell>
          <cell r="K182" t="str">
            <v>D1</v>
          </cell>
          <cell r="L182">
            <v>2449.5</v>
          </cell>
          <cell r="M182" t="str">
            <v>X</v>
          </cell>
        </row>
        <row r="183">
          <cell r="A183" t="str">
            <v xml:space="preserve"> 75</v>
          </cell>
          <cell r="B183" t="str">
            <v>002426</v>
          </cell>
          <cell r="C183" t="str">
            <v>cshp</v>
          </cell>
          <cell r="D183" t="str">
            <v>04/Jun/1998</v>
          </cell>
          <cell r="E183" t="str">
            <v>MWAL0024</v>
          </cell>
          <cell r="F183" t="str">
            <v>1998/06</v>
          </cell>
          <cell r="G183" t="str">
            <v>000000</v>
          </cell>
          <cell r="H183" t="str">
            <v>22665</v>
          </cell>
          <cell r="I183" t="str">
            <v>601000</v>
          </cell>
          <cell r="J183" t="str">
            <v>Didier Antoine Coaching</v>
          </cell>
          <cell r="K183" t="str">
            <v>D1</v>
          </cell>
          <cell r="L183">
            <v>641.82000000000005</v>
          </cell>
          <cell r="M183" t="str">
            <v>X</v>
          </cell>
        </row>
        <row r="184">
          <cell r="A184" t="str">
            <v xml:space="preserve"> 75</v>
          </cell>
          <cell r="B184" t="str">
            <v>002942</v>
          </cell>
          <cell r="C184" t="str">
            <v>cshp</v>
          </cell>
          <cell r="D184" t="str">
            <v>20/Nov/1998</v>
          </cell>
          <cell r="E184" t="str">
            <v>MWAL0109</v>
          </cell>
          <cell r="F184" t="str">
            <v>1998/11</v>
          </cell>
          <cell r="G184" t="str">
            <v>000000</v>
          </cell>
          <cell r="H184" t="str">
            <v>22665</v>
          </cell>
          <cell r="I184" t="str">
            <v>608000</v>
          </cell>
          <cell r="J184" t="str">
            <v>Erin E Karlsen</v>
          </cell>
          <cell r="K184" t="str">
            <v>D1</v>
          </cell>
          <cell r="L184">
            <v>544.65</v>
          </cell>
          <cell r="M184" t="str">
            <v>X</v>
          </cell>
        </row>
        <row r="185">
          <cell r="A185" t="str">
            <v xml:space="preserve"> 01</v>
          </cell>
          <cell r="B185" t="str">
            <v>000775</v>
          </cell>
          <cell r="C185" t="str">
            <v>Jrnl</v>
          </cell>
          <cell r="D185" t="str">
            <v>10/Dec/1998</v>
          </cell>
          <cell r="E185" t="str">
            <v>DPAN0004</v>
          </cell>
          <cell r="F185" t="str">
            <v>1998/12</v>
          </cell>
          <cell r="G185" t="str">
            <v>000000</v>
          </cell>
          <cell r="H185" t="str">
            <v>22665</v>
          </cell>
          <cell r="I185" t="str">
            <v>608000</v>
          </cell>
          <cell r="J185" t="str">
            <v>FICA Refund-Bissonnette</v>
          </cell>
          <cell r="K185" t="str">
            <v>D1</v>
          </cell>
          <cell r="L185">
            <v>-874.4</v>
          </cell>
          <cell r="M185" t="str">
            <v>X</v>
          </cell>
        </row>
        <row r="186">
          <cell r="A186" t="str">
            <v xml:space="preserve"> 01</v>
          </cell>
          <cell r="B186" t="str">
            <v>000775</v>
          </cell>
          <cell r="C186" t="str">
            <v>Jrnl</v>
          </cell>
          <cell r="D186" t="str">
            <v>10/Dec/1998</v>
          </cell>
          <cell r="E186" t="str">
            <v>DPAN0004</v>
          </cell>
          <cell r="F186" t="str">
            <v>1998/12</v>
          </cell>
          <cell r="G186" t="str">
            <v>000000</v>
          </cell>
          <cell r="H186" t="str">
            <v>22665</v>
          </cell>
          <cell r="I186" t="str">
            <v>608000</v>
          </cell>
          <cell r="J186" t="str">
            <v>FICA Refund-Clerk</v>
          </cell>
          <cell r="K186" t="str">
            <v>D1</v>
          </cell>
          <cell r="L186">
            <v>-874.39</v>
          </cell>
          <cell r="M186" t="str">
            <v>X</v>
          </cell>
        </row>
        <row r="187">
          <cell r="A187" t="str">
            <v xml:space="preserve"> 01</v>
          </cell>
          <cell r="B187" t="str">
            <v>000775</v>
          </cell>
          <cell r="C187" t="str">
            <v>Jrnl</v>
          </cell>
          <cell r="D187" t="str">
            <v>10/Dec/1998</v>
          </cell>
          <cell r="E187" t="str">
            <v>DPAN0004</v>
          </cell>
          <cell r="F187" t="str">
            <v>1998/12</v>
          </cell>
          <cell r="G187" t="str">
            <v>000000</v>
          </cell>
          <cell r="H187" t="str">
            <v>22665</v>
          </cell>
          <cell r="I187" t="str">
            <v>608000</v>
          </cell>
          <cell r="J187" t="str">
            <v>FICA Refund-Conceicao</v>
          </cell>
          <cell r="K187" t="str">
            <v>D1</v>
          </cell>
          <cell r="L187">
            <v>-1009.8</v>
          </cell>
          <cell r="M187" t="str">
            <v>X</v>
          </cell>
        </row>
        <row r="188">
          <cell r="A188" t="str">
            <v xml:space="preserve"> 75</v>
          </cell>
          <cell r="B188" t="str">
            <v>002199</v>
          </cell>
          <cell r="C188" t="str">
            <v>cshp</v>
          </cell>
          <cell r="D188" t="str">
            <v>28/Apr/1998</v>
          </cell>
          <cell r="E188" t="str">
            <v>KPUR0342</v>
          </cell>
          <cell r="F188" t="str">
            <v>1998/04</v>
          </cell>
          <cell r="G188" t="str">
            <v>000000</v>
          </cell>
          <cell r="H188" t="str">
            <v>22665</v>
          </cell>
          <cell r="I188" t="str">
            <v>608000</v>
          </cell>
          <cell r="J188" t="str">
            <v>JOHN KINGMAN, MD  4/98</v>
          </cell>
          <cell r="K188" t="str">
            <v>D1</v>
          </cell>
          <cell r="L188">
            <v>1916.67</v>
          </cell>
        </row>
        <row r="189">
          <cell r="A189" t="str">
            <v xml:space="preserve"> 01</v>
          </cell>
          <cell r="B189" t="str">
            <v>000775</v>
          </cell>
          <cell r="C189" t="str">
            <v>Jrnl</v>
          </cell>
          <cell r="D189" t="str">
            <v>10/Dec/1998</v>
          </cell>
          <cell r="E189" t="str">
            <v>DPAN0004</v>
          </cell>
          <cell r="F189" t="str">
            <v>1998/12</v>
          </cell>
          <cell r="G189" t="str">
            <v>000000</v>
          </cell>
          <cell r="H189" t="str">
            <v>22665</v>
          </cell>
          <cell r="I189" t="str">
            <v>608000</v>
          </cell>
          <cell r="J189" t="str">
            <v>FICA Refund-Frechette</v>
          </cell>
          <cell r="K189" t="str">
            <v>D1</v>
          </cell>
          <cell r="L189">
            <v>-1817.45</v>
          </cell>
          <cell r="M189" t="str">
            <v>X</v>
          </cell>
        </row>
        <row r="190">
          <cell r="A190" t="str">
            <v xml:space="preserve"> 01</v>
          </cell>
          <cell r="B190" t="str">
            <v>000775</v>
          </cell>
          <cell r="C190" t="str">
            <v>Jrnl</v>
          </cell>
          <cell r="D190" t="str">
            <v>10/Dec/1998</v>
          </cell>
          <cell r="E190" t="str">
            <v>DPAN0004</v>
          </cell>
          <cell r="F190" t="str">
            <v>1998/12</v>
          </cell>
          <cell r="G190" t="str">
            <v>000000</v>
          </cell>
          <cell r="H190" t="str">
            <v>22665</v>
          </cell>
          <cell r="I190" t="str">
            <v>608000</v>
          </cell>
          <cell r="J190" t="str">
            <v>FICA Refund-Guerinik</v>
          </cell>
          <cell r="K190" t="str">
            <v>D1</v>
          </cell>
          <cell r="L190">
            <v>-1284.43</v>
          </cell>
          <cell r="M190" t="str">
            <v>X</v>
          </cell>
        </row>
        <row r="191">
          <cell r="A191" t="str">
            <v xml:space="preserve"> 01</v>
          </cell>
          <cell r="B191" t="str">
            <v>000775</v>
          </cell>
          <cell r="C191" t="str">
            <v>Jrnl</v>
          </cell>
          <cell r="D191" t="str">
            <v>10/Dec/1998</v>
          </cell>
          <cell r="E191" t="str">
            <v>DPAN0004</v>
          </cell>
          <cell r="F191" t="str">
            <v>1998/12</v>
          </cell>
          <cell r="G191" t="str">
            <v>000000</v>
          </cell>
          <cell r="H191" t="str">
            <v>22665</v>
          </cell>
          <cell r="I191" t="str">
            <v>608000</v>
          </cell>
          <cell r="J191" t="str">
            <v>FICA Refund-Herd</v>
          </cell>
          <cell r="K191" t="str">
            <v>D1</v>
          </cell>
          <cell r="L191">
            <v>-5262.65</v>
          </cell>
          <cell r="M191" t="str">
            <v>X</v>
          </cell>
        </row>
        <row r="192">
          <cell r="A192" t="str">
            <v xml:space="preserve"> 01</v>
          </cell>
          <cell r="B192" t="str">
            <v>000775</v>
          </cell>
          <cell r="C192" t="str">
            <v>Jrnl</v>
          </cell>
          <cell r="D192" t="str">
            <v>10/Dec/1998</v>
          </cell>
          <cell r="E192" t="str">
            <v>DPAN0004</v>
          </cell>
          <cell r="F192" t="str">
            <v>1998/12</v>
          </cell>
          <cell r="G192" t="str">
            <v>000000</v>
          </cell>
          <cell r="H192" t="str">
            <v>22665</v>
          </cell>
          <cell r="I192" t="str">
            <v>608000</v>
          </cell>
          <cell r="J192" t="str">
            <v>FICA Refund-Holmwood</v>
          </cell>
          <cell r="K192" t="str">
            <v>D1</v>
          </cell>
          <cell r="L192">
            <v>-896.58</v>
          </cell>
          <cell r="M192" t="str">
            <v>X</v>
          </cell>
        </row>
        <row r="193">
          <cell r="A193" t="str">
            <v xml:space="preserve"> 01</v>
          </cell>
          <cell r="B193" t="str">
            <v>000775</v>
          </cell>
          <cell r="C193" t="str">
            <v>Jrnl</v>
          </cell>
          <cell r="D193" t="str">
            <v>10/Dec/1998</v>
          </cell>
          <cell r="E193" t="str">
            <v>DPAN0004</v>
          </cell>
          <cell r="F193" t="str">
            <v>1998/12</v>
          </cell>
          <cell r="G193" t="str">
            <v>000000</v>
          </cell>
          <cell r="H193" t="str">
            <v>22665</v>
          </cell>
          <cell r="I193" t="str">
            <v>608000</v>
          </cell>
          <cell r="J193" t="str">
            <v>FICA Refund-Jean</v>
          </cell>
          <cell r="K193" t="str">
            <v>D1</v>
          </cell>
          <cell r="L193">
            <v>-918.77</v>
          </cell>
          <cell r="M193" t="str">
            <v>X</v>
          </cell>
        </row>
        <row r="194">
          <cell r="A194" t="str">
            <v xml:space="preserve"> 01</v>
          </cell>
          <cell r="B194" t="str">
            <v>000775</v>
          </cell>
          <cell r="C194" t="str">
            <v>Jrnl</v>
          </cell>
          <cell r="D194" t="str">
            <v>10/Dec/1998</v>
          </cell>
          <cell r="E194" t="str">
            <v>DPAN0004</v>
          </cell>
          <cell r="F194" t="str">
            <v>1998/12</v>
          </cell>
          <cell r="G194" t="str">
            <v>000000</v>
          </cell>
          <cell r="H194" t="str">
            <v>22665</v>
          </cell>
          <cell r="I194" t="str">
            <v>608000</v>
          </cell>
          <cell r="J194" t="str">
            <v>FICA Refund-LaPlante</v>
          </cell>
          <cell r="K194" t="str">
            <v>D1</v>
          </cell>
          <cell r="L194">
            <v>-969.64</v>
          </cell>
          <cell r="M194" t="str">
            <v>X</v>
          </cell>
        </row>
        <row r="195">
          <cell r="A195" t="str">
            <v xml:space="preserve"> 01</v>
          </cell>
          <cell r="B195" t="str">
            <v>000775</v>
          </cell>
          <cell r="C195" t="str">
            <v>Jrnl</v>
          </cell>
          <cell r="D195" t="str">
            <v>10/Dec/1998</v>
          </cell>
          <cell r="E195" t="str">
            <v>DPAN0004</v>
          </cell>
          <cell r="F195" t="str">
            <v>1998/12</v>
          </cell>
          <cell r="G195" t="str">
            <v>000000</v>
          </cell>
          <cell r="H195" t="str">
            <v>22665</v>
          </cell>
          <cell r="I195" t="str">
            <v>608000</v>
          </cell>
          <cell r="J195" t="str">
            <v>FICA Refund-Levasseur</v>
          </cell>
          <cell r="K195" t="str">
            <v>D1</v>
          </cell>
          <cell r="L195">
            <v>-819.13</v>
          </cell>
          <cell r="M195" t="str">
            <v>X</v>
          </cell>
        </row>
        <row r="196">
          <cell r="A196" t="str">
            <v xml:space="preserve"> 01</v>
          </cell>
          <cell r="B196" t="str">
            <v>000775</v>
          </cell>
          <cell r="C196" t="str">
            <v>Jrnl</v>
          </cell>
          <cell r="D196" t="str">
            <v>10/Dec/1998</v>
          </cell>
          <cell r="E196" t="str">
            <v>DPAN0004</v>
          </cell>
          <cell r="F196" t="str">
            <v>1998/12</v>
          </cell>
          <cell r="G196" t="str">
            <v>000000</v>
          </cell>
          <cell r="H196" t="str">
            <v>22665</v>
          </cell>
          <cell r="I196" t="str">
            <v>608000</v>
          </cell>
          <cell r="J196" t="str">
            <v>FICA Refund-Lupien</v>
          </cell>
          <cell r="K196" t="str">
            <v>D1</v>
          </cell>
          <cell r="L196">
            <v>-896.58</v>
          </cell>
          <cell r="M196" t="str">
            <v>X</v>
          </cell>
        </row>
        <row r="197">
          <cell r="A197" t="str">
            <v xml:space="preserve"> 01</v>
          </cell>
          <cell r="B197" t="str">
            <v>000775</v>
          </cell>
          <cell r="C197" t="str">
            <v>Jrnl</v>
          </cell>
          <cell r="D197" t="str">
            <v>10/Dec/1998</v>
          </cell>
          <cell r="E197" t="str">
            <v>DPAN0004</v>
          </cell>
          <cell r="F197" t="str">
            <v>1998/12</v>
          </cell>
          <cell r="G197" t="str">
            <v>000000</v>
          </cell>
          <cell r="H197" t="str">
            <v>22665</v>
          </cell>
          <cell r="I197" t="str">
            <v>608000</v>
          </cell>
          <cell r="J197" t="str">
            <v>FICA Refund-Major</v>
          </cell>
          <cell r="K197" t="str">
            <v>D1</v>
          </cell>
          <cell r="L197">
            <v>-1170.45</v>
          </cell>
          <cell r="M197" t="str">
            <v>X</v>
          </cell>
        </row>
        <row r="198">
          <cell r="A198" t="str">
            <v xml:space="preserve"> 01</v>
          </cell>
          <cell r="B198" t="str">
            <v>000775</v>
          </cell>
          <cell r="C198" t="str">
            <v>Jrnl</v>
          </cell>
          <cell r="D198" t="str">
            <v>10/Dec/1998</v>
          </cell>
          <cell r="E198" t="str">
            <v>DPAN0004</v>
          </cell>
          <cell r="F198" t="str">
            <v>1998/12</v>
          </cell>
          <cell r="G198" t="str">
            <v>000000</v>
          </cell>
          <cell r="H198" t="str">
            <v>22665</v>
          </cell>
          <cell r="I198" t="str">
            <v>608000</v>
          </cell>
          <cell r="J198" t="str">
            <v>FICA Refund-Otjes</v>
          </cell>
          <cell r="K198" t="str">
            <v>D1</v>
          </cell>
          <cell r="L198">
            <v>-1040.4000000000001</v>
          </cell>
          <cell r="M198" t="str">
            <v>X</v>
          </cell>
        </row>
        <row r="199">
          <cell r="A199" t="str">
            <v xml:space="preserve"> 01</v>
          </cell>
          <cell r="B199" t="str">
            <v>000775</v>
          </cell>
          <cell r="C199" t="str">
            <v>Jrnl</v>
          </cell>
          <cell r="D199" t="str">
            <v>10/Dec/1998</v>
          </cell>
          <cell r="E199" t="str">
            <v>DPAN0004</v>
          </cell>
          <cell r="F199" t="str">
            <v>1998/12</v>
          </cell>
          <cell r="G199" t="str">
            <v>000000</v>
          </cell>
          <cell r="H199" t="str">
            <v>22665</v>
          </cell>
          <cell r="I199" t="str">
            <v>608000</v>
          </cell>
          <cell r="J199" t="str">
            <v>FICA Refund-Potvin</v>
          </cell>
          <cell r="K199" t="str">
            <v>D1</v>
          </cell>
          <cell r="L199">
            <v>-874.39</v>
          </cell>
          <cell r="M199" t="str">
            <v>X</v>
          </cell>
        </row>
        <row r="200">
          <cell r="A200" t="str">
            <v xml:space="preserve"> 01</v>
          </cell>
          <cell r="B200" t="str">
            <v>000775</v>
          </cell>
          <cell r="C200" t="str">
            <v>Jrnl</v>
          </cell>
          <cell r="D200" t="str">
            <v>10/Dec/1998</v>
          </cell>
          <cell r="E200" t="str">
            <v>DPAN0004</v>
          </cell>
          <cell r="F200" t="str">
            <v>1998/12</v>
          </cell>
          <cell r="G200" t="str">
            <v>000000</v>
          </cell>
          <cell r="H200" t="str">
            <v>22665</v>
          </cell>
          <cell r="I200" t="str">
            <v>608000</v>
          </cell>
          <cell r="J200" t="str">
            <v>FICA Refund-Proulx St-Cyr</v>
          </cell>
          <cell r="K200" t="str">
            <v>D1</v>
          </cell>
          <cell r="L200">
            <v>-874.4</v>
          </cell>
          <cell r="M200" t="str">
            <v>X</v>
          </cell>
        </row>
        <row r="201">
          <cell r="A201" t="str">
            <v xml:space="preserve"> 01</v>
          </cell>
          <cell r="B201" t="str">
            <v>000775</v>
          </cell>
          <cell r="C201" t="str">
            <v>Jrnl</v>
          </cell>
          <cell r="D201" t="str">
            <v>10/Dec/1998</v>
          </cell>
          <cell r="E201" t="str">
            <v>DPAN0004</v>
          </cell>
          <cell r="F201" t="str">
            <v>1998/12</v>
          </cell>
          <cell r="G201" t="str">
            <v>000000</v>
          </cell>
          <cell r="H201" t="str">
            <v>22665</v>
          </cell>
          <cell r="I201" t="str">
            <v>608000</v>
          </cell>
          <cell r="J201" t="str">
            <v>FICA Refund-Savoie</v>
          </cell>
          <cell r="K201" t="str">
            <v>D1</v>
          </cell>
          <cell r="L201">
            <v>-874.4</v>
          </cell>
          <cell r="M201" t="str">
            <v>X</v>
          </cell>
        </row>
        <row r="202">
          <cell r="A202" t="str">
            <v xml:space="preserve"> 01</v>
          </cell>
          <cell r="B202" t="str">
            <v>000775</v>
          </cell>
          <cell r="C202" t="str">
            <v>Jrnl</v>
          </cell>
          <cell r="D202" t="str">
            <v>10/Dec/1998</v>
          </cell>
          <cell r="E202" t="str">
            <v>DPAN0004</v>
          </cell>
          <cell r="F202" t="str">
            <v>1998/12</v>
          </cell>
          <cell r="G202" t="str">
            <v>000000</v>
          </cell>
          <cell r="H202" t="str">
            <v>22665</v>
          </cell>
          <cell r="I202" t="str">
            <v>608000</v>
          </cell>
          <cell r="J202" t="str">
            <v>FICA Refund-Sereno</v>
          </cell>
          <cell r="K202" t="str">
            <v>D1</v>
          </cell>
          <cell r="L202">
            <v>-896.58</v>
          </cell>
          <cell r="M202" t="str">
            <v>X</v>
          </cell>
        </row>
        <row r="203">
          <cell r="A203" t="str">
            <v xml:space="preserve"> 01</v>
          </cell>
          <cell r="B203" t="str">
            <v>000775</v>
          </cell>
          <cell r="C203" t="str">
            <v>Jrnl</v>
          </cell>
          <cell r="D203" t="str">
            <v>10/Dec/1998</v>
          </cell>
          <cell r="E203" t="str">
            <v>DPAN0004</v>
          </cell>
          <cell r="F203" t="str">
            <v>1998/12</v>
          </cell>
          <cell r="G203" t="str">
            <v>000000</v>
          </cell>
          <cell r="H203" t="str">
            <v>22665</v>
          </cell>
          <cell r="I203" t="str">
            <v>608000</v>
          </cell>
          <cell r="J203" t="str">
            <v>FICA Refund-Stanley</v>
          </cell>
          <cell r="K203" t="str">
            <v>D1</v>
          </cell>
          <cell r="L203">
            <v>-896.58</v>
          </cell>
          <cell r="M203" t="str">
            <v>X</v>
          </cell>
        </row>
        <row r="204">
          <cell r="A204" t="str">
            <v xml:space="preserve"> 01</v>
          </cell>
          <cell r="B204" t="str">
            <v>000775</v>
          </cell>
          <cell r="C204" t="str">
            <v>Jrnl</v>
          </cell>
          <cell r="D204" t="str">
            <v>10/Dec/1998</v>
          </cell>
          <cell r="E204" t="str">
            <v>DPAN0004</v>
          </cell>
          <cell r="F204" t="str">
            <v>1998/12</v>
          </cell>
          <cell r="G204" t="str">
            <v>000000</v>
          </cell>
          <cell r="H204" t="str">
            <v>22665</v>
          </cell>
          <cell r="I204" t="str">
            <v>608000</v>
          </cell>
          <cell r="J204" t="str">
            <v>FICA Refund-steben</v>
          </cell>
          <cell r="K204" t="str">
            <v>D1</v>
          </cell>
          <cell r="L204">
            <v>-1934.5</v>
          </cell>
          <cell r="M204" t="str">
            <v>X</v>
          </cell>
        </row>
        <row r="205">
          <cell r="A205" t="str">
            <v xml:space="preserve"> 01</v>
          </cell>
          <cell r="B205" t="str">
            <v>000775</v>
          </cell>
          <cell r="C205" t="str">
            <v>Jrnl</v>
          </cell>
          <cell r="D205" t="str">
            <v>10/Dec/1998</v>
          </cell>
          <cell r="E205" t="str">
            <v>DPAN0004</v>
          </cell>
          <cell r="F205" t="str">
            <v>1998/12</v>
          </cell>
          <cell r="G205" t="str">
            <v>000000</v>
          </cell>
          <cell r="H205" t="str">
            <v>22665</v>
          </cell>
          <cell r="I205" t="str">
            <v>608000</v>
          </cell>
          <cell r="J205" t="str">
            <v>FICA Refund-Thomas</v>
          </cell>
          <cell r="K205" t="str">
            <v>D1</v>
          </cell>
          <cell r="L205">
            <v>-874.4</v>
          </cell>
          <cell r="M205" t="str">
            <v>X</v>
          </cell>
        </row>
        <row r="206">
          <cell r="A206" t="str">
            <v xml:space="preserve"> 01</v>
          </cell>
          <cell r="B206" t="str">
            <v>000210</v>
          </cell>
          <cell r="C206" t="str">
            <v>Jrnl</v>
          </cell>
          <cell r="D206" t="str">
            <v>22/Jan/1998</v>
          </cell>
          <cell r="E206" t="str">
            <v>TLOH1004</v>
          </cell>
          <cell r="F206" t="str">
            <v>1998/01</v>
          </cell>
          <cell r="G206" t="str">
            <v>000000</v>
          </cell>
          <cell r="H206" t="str">
            <v>22620</v>
          </cell>
          <cell r="I206" t="str">
            <v>601000</v>
          </cell>
          <cell r="J206" t="str">
            <v>KENN REVERSAL</v>
          </cell>
          <cell r="K206" t="str">
            <v>D1</v>
          </cell>
          <cell r="L206">
            <v>-579.03</v>
          </cell>
        </row>
        <row r="207">
          <cell r="A207" t="str">
            <v xml:space="preserve"> 75</v>
          </cell>
          <cell r="B207" t="str">
            <v>003205</v>
          </cell>
          <cell r="C207" t="str">
            <v>cshp</v>
          </cell>
          <cell r="D207" t="str">
            <v>08/Dec/1998</v>
          </cell>
          <cell r="E207" t="str">
            <v>MWAL0118</v>
          </cell>
          <cell r="F207" t="str">
            <v>1998/12</v>
          </cell>
          <cell r="G207" t="str">
            <v>000000</v>
          </cell>
          <cell r="H207" t="str">
            <v>22665</v>
          </cell>
          <cell r="I207" t="str">
            <v>608000</v>
          </cell>
          <cell r="J207" t="str">
            <v>Heather M Stanley</v>
          </cell>
          <cell r="K207" t="str">
            <v>D1</v>
          </cell>
          <cell r="L207">
            <v>688.5</v>
          </cell>
          <cell r="M207" t="str">
            <v>X</v>
          </cell>
        </row>
        <row r="208">
          <cell r="A208" t="str">
            <v xml:space="preserve"> 75</v>
          </cell>
          <cell r="B208" t="str">
            <v>003205</v>
          </cell>
          <cell r="C208" t="str">
            <v>cshp</v>
          </cell>
          <cell r="D208" t="str">
            <v>08/Dec/1998</v>
          </cell>
          <cell r="E208" t="str">
            <v>MWAL0118</v>
          </cell>
          <cell r="F208" t="str">
            <v>1998/12</v>
          </cell>
          <cell r="G208" t="str">
            <v>000000</v>
          </cell>
          <cell r="H208" t="str">
            <v>22665</v>
          </cell>
          <cell r="I208" t="str">
            <v>608000</v>
          </cell>
          <cell r="J208" t="str">
            <v>Heather M Stanley</v>
          </cell>
          <cell r="K208" t="str">
            <v>D1</v>
          </cell>
          <cell r="L208">
            <v>896.58</v>
          </cell>
          <cell r="M208" t="str">
            <v>X</v>
          </cell>
        </row>
        <row r="209">
          <cell r="A209" t="str">
            <v xml:space="preserve"> 75</v>
          </cell>
          <cell r="B209" t="str">
            <v>003205</v>
          </cell>
          <cell r="C209" t="str">
            <v>cshp</v>
          </cell>
          <cell r="D209" t="str">
            <v>08/Dec/1998</v>
          </cell>
          <cell r="E209" t="str">
            <v>MWAL0118</v>
          </cell>
          <cell r="F209" t="str">
            <v>1998/12</v>
          </cell>
          <cell r="G209" t="str">
            <v>000000</v>
          </cell>
          <cell r="H209" t="str">
            <v>22665</v>
          </cell>
          <cell r="I209" t="str">
            <v>608000</v>
          </cell>
          <cell r="J209" t="str">
            <v>Heather M Stanley</v>
          </cell>
          <cell r="K209" t="str">
            <v>D1</v>
          </cell>
          <cell r="L209">
            <v>-613.89</v>
          </cell>
          <cell r="M209" t="str">
            <v>X</v>
          </cell>
        </row>
        <row r="210">
          <cell r="A210" t="str">
            <v xml:space="preserve"> 75</v>
          </cell>
          <cell r="B210" t="str">
            <v>003202</v>
          </cell>
          <cell r="C210" t="str">
            <v>cshp</v>
          </cell>
          <cell r="D210" t="str">
            <v>08/Dec/1998</v>
          </cell>
          <cell r="E210" t="str">
            <v>MWAL0118</v>
          </cell>
          <cell r="F210" t="str">
            <v>1998/12</v>
          </cell>
          <cell r="G210" t="str">
            <v>000000</v>
          </cell>
          <cell r="H210" t="str">
            <v>22665</v>
          </cell>
          <cell r="I210" t="str">
            <v>608000</v>
          </cell>
          <cell r="J210" t="str">
            <v>Isabelle Proulx St-Cyr</v>
          </cell>
          <cell r="K210" t="str">
            <v>D1</v>
          </cell>
          <cell r="L210">
            <v>688.5</v>
          </cell>
          <cell r="M210" t="str">
            <v>X</v>
          </cell>
        </row>
        <row r="211">
          <cell r="A211" t="str">
            <v xml:space="preserve"> 75</v>
          </cell>
          <cell r="B211" t="str">
            <v>003202</v>
          </cell>
          <cell r="C211" t="str">
            <v>cshp</v>
          </cell>
          <cell r="D211" t="str">
            <v>08/Dec/1998</v>
          </cell>
          <cell r="E211" t="str">
            <v>MWAL0118</v>
          </cell>
          <cell r="F211" t="str">
            <v>1998/12</v>
          </cell>
          <cell r="G211" t="str">
            <v>000000</v>
          </cell>
          <cell r="H211" t="str">
            <v>22665</v>
          </cell>
          <cell r="I211" t="str">
            <v>608000</v>
          </cell>
          <cell r="J211" t="str">
            <v>Isabelle Proulx St-Cyr</v>
          </cell>
          <cell r="K211" t="str">
            <v>D1</v>
          </cell>
          <cell r="L211">
            <v>874.4</v>
          </cell>
          <cell r="M211" t="str">
            <v>X</v>
          </cell>
        </row>
        <row r="212">
          <cell r="A212" t="str">
            <v xml:space="preserve"> 75</v>
          </cell>
          <cell r="B212" t="str">
            <v>003202</v>
          </cell>
          <cell r="C212" t="str">
            <v>cshp</v>
          </cell>
          <cell r="D212" t="str">
            <v>08/Dec/1998</v>
          </cell>
          <cell r="E212" t="str">
            <v>MWAL0118</v>
          </cell>
          <cell r="F212" t="str">
            <v>1998/12</v>
          </cell>
          <cell r="G212" t="str">
            <v>000000</v>
          </cell>
          <cell r="H212" t="str">
            <v>22665</v>
          </cell>
          <cell r="I212" t="str">
            <v>608000</v>
          </cell>
          <cell r="J212" t="str">
            <v>Isabelle Proulx St-Cyr</v>
          </cell>
          <cell r="K212" t="str">
            <v>D1</v>
          </cell>
          <cell r="L212">
            <v>-604.61</v>
          </cell>
          <cell r="M212" t="str">
            <v>X</v>
          </cell>
        </row>
        <row r="213">
          <cell r="A213" t="str">
            <v xml:space="preserve"> 75</v>
          </cell>
          <cell r="B213" t="str">
            <v>003208</v>
          </cell>
          <cell r="C213" t="str">
            <v>cshp</v>
          </cell>
          <cell r="D213" t="str">
            <v>08/Dec/1998</v>
          </cell>
          <cell r="E213" t="str">
            <v>MWAL0118</v>
          </cell>
          <cell r="F213" t="str">
            <v>1998/12</v>
          </cell>
          <cell r="G213" t="str">
            <v>000000</v>
          </cell>
          <cell r="H213" t="str">
            <v>22665</v>
          </cell>
          <cell r="I213" t="str">
            <v>608000</v>
          </cell>
          <cell r="J213" t="str">
            <v>Isabelle Thomas</v>
          </cell>
          <cell r="K213" t="str">
            <v>D1</v>
          </cell>
          <cell r="L213">
            <v>709.92</v>
          </cell>
          <cell r="M213" t="str">
            <v>X</v>
          </cell>
        </row>
        <row r="214">
          <cell r="A214" t="str">
            <v xml:space="preserve"> 75</v>
          </cell>
          <cell r="B214" t="str">
            <v>003208</v>
          </cell>
          <cell r="C214" t="str">
            <v>cshp</v>
          </cell>
          <cell r="D214" t="str">
            <v>08/Dec/1998</v>
          </cell>
          <cell r="E214" t="str">
            <v>MWAL0118</v>
          </cell>
          <cell r="F214" t="str">
            <v>1998/12</v>
          </cell>
          <cell r="G214" t="str">
            <v>000000</v>
          </cell>
          <cell r="H214" t="str">
            <v>22665</v>
          </cell>
          <cell r="I214" t="str">
            <v>608000</v>
          </cell>
          <cell r="J214" t="str">
            <v>Isabelle Thomas</v>
          </cell>
          <cell r="K214" t="str">
            <v>D1</v>
          </cell>
          <cell r="L214">
            <v>874.4</v>
          </cell>
          <cell r="M214" t="str">
            <v>X</v>
          </cell>
        </row>
        <row r="215">
          <cell r="A215" t="str">
            <v xml:space="preserve"> 75</v>
          </cell>
          <cell r="B215" t="str">
            <v>003208</v>
          </cell>
          <cell r="C215" t="str">
            <v>cshp</v>
          </cell>
          <cell r="D215" t="str">
            <v>08/Dec/1998</v>
          </cell>
          <cell r="E215" t="str">
            <v>MWAL0118</v>
          </cell>
          <cell r="F215" t="str">
            <v>1998/12</v>
          </cell>
          <cell r="G215" t="str">
            <v>000000</v>
          </cell>
          <cell r="H215" t="str">
            <v>22665</v>
          </cell>
          <cell r="I215" t="str">
            <v>608000</v>
          </cell>
          <cell r="J215" t="str">
            <v>Isabelle Thomas</v>
          </cell>
          <cell r="K215" t="str">
            <v>D1</v>
          </cell>
          <cell r="L215">
            <v>-613.57000000000005</v>
          </cell>
          <cell r="M215" t="str">
            <v>X</v>
          </cell>
        </row>
        <row r="216">
          <cell r="A216" t="str">
            <v xml:space="preserve"> 75</v>
          </cell>
          <cell r="B216" t="str">
            <v>003193</v>
          </cell>
          <cell r="C216" t="str">
            <v>cshp</v>
          </cell>
          <cell r="D216" t="str">
            <v>08/Dec/1998</v>
          </cell>
          <cell r="E216" t="str">
            <v>MWAL0118</v>
          </cell>
          <cell r="F216" t="str">
            <v>1998/12</v>
          </cell>
          <cell r="G216" t="str">
            <v>000000</v>
          </cell>
          <cell r="H216" t="str">
            <v>22665</v>
          </cell>
          <cell r="I216" t="str">
            <v>608000</v>
          </cell>
          <cell r="J216" t="str">
            <v>Jeffery Herd</v>
          </cell>
          <cell r="K216" t="str">
            <v>D1</v>
          </cell>
          <cell r="L216">
            <v>5262.65</v>
          </cell>
          <cell r="M216" t="str">
            <v>X</v>
          </cell>
        </row>
        <row r="217">
          <cell r="A217" t="str">
            <v xml:space="preserve"> 75</v>
          </cell>
          <cell r="B217" t="str">
            <v>003193</v>
          </cell>
          <cell r="C217" t="str">
            <v>cshp</v>
          </cell>
          <cell r="D217" t="str">
            <v>08/Dec/1998</v>
          </cell>
          <cell r="E217" t="str">
            <v>MWAL0118</v>
          </cell>
          <cell r="F217" t="str">
            <v>1998/12</v>
          </cell>
          <cell r="G217" t="str">
            <v>000000</v>
          </cell>
          <cell r="H217" t="str">
            <v>22665</v>
          </cell>
          <cell r="I217" t="str">
            <v>608000</v>
          </cell>
          <cell r="J217" t="str">
            <v>Jeffery Herd</v>
          </cell>
          <cell r="K217" t="str">
            <v>D1</v>
          </cell>
          <cell r="L217">
            <v>-544.66999999999996</v>
          </cell>
          <cell r="M217" t="str">
            <v>X</v>
          </cell>
        </row>
        <row r="218">
          <cell r="A218" t="str">
            <v xml:space="preserve"> 75</v>
          </cell>
          <cell r="B218" t="str">
            <v>003188</v>
          </cell>
          <cell r="C218" t="str">
            <v>cshp</v>
          </cell>
          <cell r="D218" t="str">
            <v>08/Dec/1998</v>
          </cell>
          <cell r="E218" t="str">
            <v>MWAL0118</v>
          </cell>
          <cell r="F218" t="str">
            <v>1998/12</v>
          </cell>
          <cell r="G218" t="str">
            <v>000000</v>
          </cell>
          <cell r="H218" t="str">
            <v>22665</v>
          </cell>
          <cell r="I218" t="str">
            <v>608000</v>
          </cell>
          <cell r="J218" t="str">
            <v>Johanne Clerk</v>
          </cell>
          <cell r="K218" t="str">
            <v>D1</v>
          </cell>
          <cell r="L218">
            <v>714.13</v>
          </cell>
          <cell r="M218" t="str">
            <v>X</v>
          </cell>
        </row>
        <row r="219">
          <cell r="A219" t="str">
            <v xml:space="preserve"> 75</v>
          </cell>
          <cell r="B219" t="str">
            <v>003188</v>
          </cell>
          <cell r="C219" t="str">
            <v>cshp</v>
          </cell>
          <cell r="D219" t="str">
            <v>08/Dec/1998</v>
          </cell>
          <cell r="E219" t="str">
            <v>MWAL0118</v>
          </cell>
          <cell r="F219" t="str">
            <v>1998/12</v>
          </cell>
          <cell r="G219" t="str">
            <v>000000</v>
          </cell>
          <cell r="H219" t="str">
            <v>22665</v>
          </cell>
          <cell r="I219" t="str">
            <v>608000</v>
          </cell>
          <cell r="J219" t="str">
            <v>Johanne Clerk</v>
          </cell>
          <cell r="K219" t="str">
            <v>D1</v>
          </cell>
          <cell r="L219">
            <v>874.39</v>
          </cell>
          <cell r="M219" t="str">
            <v>X</v>
          </cell>
        </row>
        <row r="220">
          <cell r="A220" t="str">
            <v xml:space="preserve"> 75</v>
          </cell>
          <cell r="B220" t="str">
            <v>003188</v>
          </cell>
          <cell r="C220" t="str">
            <v>cshp</v>
          </cell>
          <cell r="D220" t="str">
            <v>08/Dec/1998</v>
          </cell>
          <cell r="E220" t="str">
            <v>MWAL0118</v>
          </cell>
          <cell r="F220" t="str">
            <v>1998/12</v>
          </cell>
          <cell r="G220" t="str">
            <v>000000</v>
          </cell>
          <cell r="H220" t="str">
            <v>22665</v>
          </cell>
          <cell r="I220" t="str">
            <v>608000</v>
          </cell>
          <cell r="J220" t="str">
            <v>Johanne Clerk</v>
          </cell>
          <cell r="K220" t="str">
            <v>D1</v>
          </cell>
          <cell r="L220">
            <v>-615.33000000000004</v>
          </cell>
          <cell r="M220" t="str">
            <v>X</v>
          </cell>
        </row>
        <row r="221">
          <cell r="A221" t="str">
            <v xml:space="preserve"> 01</v>
          </cell>
          <cell r="B221" t="str">
            <v>000611</v>
          </cell>
          <cell r="C221" t="str">
            <v>Jrnl</v>
          </cell>
          <cell r="D221" t="str">
            <v>30/Sep/1998</v>
          </cell>
          <cell r="E221" t="str">
            <v>CWAN0207</v>
          </cell>
          <cell r="F221" t="str">
            <v>1998/09</v>
          </cell>
          <cell r="G221" t="str">
            <v>000000</v>
          </cell>
          <cell r="H221" t="str">
            <v>22665</v>
          </cell>
          <cell r="I221" t="str">
            <v>608000</v>
          </cell>
          <cell r="J221" t="str">
            <v>MAN ADJ COTE</v>
          </cell>
          <cell r="K221" t="str">
            <v>D1</v>
          </cell>
          <cell r="L221">
            <v>-797.64</v>
          </cell>
          <cell r="M221" t="str">
            <v>X</v>
          </cell>
        </row>
        <row r="222">
          <cell r="A222" t="str">
            <v xml:space="preserve"> 75</v>
          </cell>
          <cell r="B222" t="str">
            <v>002597</v>
          </cell>
          <cell r="C222" t="str">
            <v>cshp</v>
          </cell>
          <cell r="D222" t="str">
            <v>26/Aug/1998</v>
          </cell>
          <cell r="E222" t="str">
            <v>KPUR0874</v>
          </cell>
          <cell r="F222" t="str">
            <v>1998/08</v>
          </cell>
          <cell r="G222" t="str">
            <v>000000</v>
          </cell>
          <cell r="H222" t="str">
            <v>22665</v>
          </cell>
          <cell r="I222" t="str">
            <v>608000</v>
          </cell>
          <cell r="J222" t="str">
            <v>JOSEPH MCGEOUGH BONUS 2500</v>
          </cell>
          <cell r="K222" t="str">
            <v>D1</v>
          </cell>
          <cell r="L222">
            <v>1608.75</v>
          </cell>
          <cell r="M222" t="str">
            <v>X</v>
          </cell>
        </row>
        <row r="223">
          <cell r="A223" t="str">
            <v xml:space="preserve"> 75</v>
          </cell>
          <cell r="B223" t="str">
            <v>003197</v>
          </cell>
          <cell r="C223" t="str">
            <v>cshp</v>
          </cell>
          <cell r="D223" t="str">
            <v>08/Dec/1998</v>
          </cell>
          <cell r="E223" t="str">
            <v>MWAL0118</v>
          </cell>
          <cell r="F223" t="str">
            <v>1998/12</v>
          </cell>
          <cell r="G223" t="str">
            <v>000000</v>
          </cell>
          <cell r="H223" t="str">
            <v>22665</v>
          </cell>
          <cell r="I223" t="str">
            <v>608000</v>
          </cell>
          <cell r="J223" t="str">
            <v>Josianne Levasseur</v>
          </cell>
          <cell r="K223" t="str">
            <v>D1</v>
          </cell>
          <cell r="L223">
            <v>714.13</v>
          </cell>
          <cell r="M223" t="str">
            <v>X</v>
          </cell>
        </row>
        <row r="224">
          <cell r="A224" t="str">
            <v xml:space="preserve"> 75</v>
          </cell>
          <cell r="B224" t="str">
            <v>003197</v>
          </cell>
          <cell r="C224" t="str">
            <v>cshp</v>
          </cell>
          <cell r="D224" t="str">
            <v>08/Dec/1998</v>
          </cell>
          <cell r="E224" t="str">
            <v>MWAL0118</v>
          </cell>
          <cell r="F224" t="str">
            <v>1998/12</v>
          </cell>
          <cell r="G224" t="str">
            <v>000000</v>
          </cell>
          <cell r="H224" t="str">
            <v>22665</v>
          </cell>
          <cell r="I224" t="str">
            <v>608000</v>
          </cell>
          <cell r="J224" t="str">
            <v>Josianne Levasseur</v>
          </cell>
          <cell r="K224" t="str">
            <v>D1</v>
          </cell>
          <cell r="L224">
            <v>819.13</v>
          </cell>
          <cell r="M224" t="str">
            <v>X</v>
          </cell>
        </row>
        <row r="225">
          <cell r="A225" t="str">
            <v xml:space="preserve"> 75</v>
          </cell>
          <cell r="B225" t="str">
            <v>003197</v>
          </cell>
          <cell r="C225" t="str">
            <v>cshp</v>
          </cell>
          <cell r="D225" t="str">
            <v>08/Dec/1998</v>
          </cell>
          <cell r="E225" t="str">
            <v>MWAL0118</v>
          </cell>
          <cell r="F225" t="str">
            <v>1998/12</v>
          </cell>
          <cell r="G225" t="str">
            <v>000000</v>
          </cell>
          <cell r="H225" t="str">
            <v>22665</v>
          </cell>
          <cell r="I225" t="str">
            <v>608000</v>
          </cell>
          <cell r="J225" t="str">
            <v>Josianne Levasseur</v>
          </cell>
          <cell r="K225" t="str">
            <v>D1</v>
          </cell>
          <cell r="L225">
            <v>-592.21</v>
          </cell>
          <cell r="M225" t="str">
            <v>X</v>
          </cell>
        </row>
        <row r="226">
          <cell r="A226" t="str">
            <v xml:space="preserve"> 75</v>
          </cell>
          <cell r="B226" t="str">
            <v>003207</v>
          </cell>
          <cell r="C226" t="str">
            <v>cshp</v>
          </cell>
          <cell r="D226" t="str">
            <v>08/Dec/1998</v>
          </cell>
          <cell r="E226" t="str">
            <v>MWAL0118</v>
          </cell>
          <cell r="F226" t="str">
            <v>1998/12</v>
          </cell>
          <cell r="G226" t="str">
            <v>000000</v>
          </cell>
          <cell r="H226" t="str">
            <v>22665</v>
          </cell>
          <cell r="I226" t="str">
            <v>608000</v>
          </cell>
          <cell r="J226" t="str">
            <v>Karyne Steben</v>
          </cell>
          <cell r="K226" t="str">
            <v>D1</v>
          </cell>
          <cell r="L226">
            <v>688.5</v>
          </cell>
          <cell r="M226" t="str">
            <v>X</v>
          </cell>
        </row>
        <row r="227">
          <cell r="A227" t="str">
            <v xml:space="preserve"> 75</v>
          </cell>
          <cell r="B227" t="str">
            <v>003207</v>
          </cell>
          <cell r="C227" t="str">
            <v>cshp</v>
          </cell>
          <cell r="D227" t="str">
            <v>08/Dec/1998</v>
          </cell>
          <cell r="E227" t="str">
            <v>MWAL0118</v>
          </cell>
          <cell r="F227" t="str">
            <v>1998/12</v>
          </cell>
          <cell r="G227" t="str">
            <v>000000</v>
          </cell>
          <cell r="H227" t="str">
            <v>22665</v>
          </cell>
          <cell r="I227" t="str">
            <v>608000</v>
          </cell>
          <cell r="J227" t="str">
            <v>Karyne Steben</v>
          </cell>
          <cell r="K227" t="str">
            <v>D1</v>
          </cell>
          <cell r="L227">
            <v>1934.5</v>
          </cell>
          <cell r="M227" t="str">
            <v>X</v>
          </cell>
        </row>
        <row r="228">
          <cell r="A228" t="str">
            <v xml:space="preserve"> 75</v>
          </cell>
          <cell r="B228" t="str">
            <v>003207</v>
          </cell>
          <cell r="C228" t="str">
            <v>cshp</v>
          </cell>
          <cell r="D228" t="str">
            <v>08/Dec/1998</v>
          </cell>
          <cell r="E228" t="str">
            <v>MWAL0118</v>
          </cell>
          <cell r="F228" t="str">
            <v>1998/12</v>
          </cell>
          <cell r="G228" t="str">
            <v>000000</v>
          </cell>
          <cell r="H228" t="str">
            <v>22665</v>
          </cell>
          <cell r="I228" t="str">
            <v>608000</v>
          </cell>
          <cell r="J228" t="str">
            <v>Karyne Steben</v>
          </cell>
          <cell r="K228" t="str">
            <v>D1</v>
          </cell>
          <cell r="L228">
            <v>-694.76</v>
          </cell>
          <cell r="M228" t="str">
            <v>X</v>
          </cell>
        </row>
        <row r="229">
          <cell r="A229" t="str">
            <v xml:space="preserve"> 75</v>
          </cell>
          <cell r="B229" t="str">
            <v>002940</v>
          </cell>
          <cell r="C229" t="str">
            <v>cshp</v>
          </cell>
          <cell r="D229" t="str">
            <v>09/Nov/1998</v>
          </cell>
          <cell r="E229" t="str">
            <v>MWAL0101</v>
          </cell>
          <cell r="F229" t="str">
            <v>1998/11</v>
          </cell>
          <cell r="G229" t="str">
            <v>000000</v>
          </cell>
          <cell r="H229" t="str">
            <v>22665</v>
          </cell>
          <cell r="I229" t="str">
            <v>608000</v>
          </cell>
          <cell r="J229" t="str">
            <v>Kathy A Fay</v>
          </cell>
          <cell r="K229" t="str">
            <v>D1</v>
          </cell>
          <cell r="L229">
            <v>475.02</v>
          </cell>
          <cell r="M229" t="str">
            <v>X</v>
          </cell>
        </row>
        <row r="230">
          <cell r="A230" t="str">
            <v xml:space="preserve"> 75</v>
          </cell>
          <cell r="B230" t="str">
            <v>002944</v>
          </cell>
          <cell r="C230" t="str">
            <v>cshp</v>
          </cell>
          <cell r="D230" t="str">
            <v>20/Nov/1998</v>
          </cell>
          <cell r="E230" t="str">
            <v>MWAL0109</v>
          </cell>
          <cell r="F230" t="str">
            <v>1998/11</v>
          </cell>
          <cell r="G230" t="str">
            <v>000000</v>
          </cell>
          <cell r="H230" t="str">
            <v>22665</v>
          </cell>
          <cell r="I230" t="str">
            <v>608000</v>
          </cell>
          <cell r="J230" t="str">
            <v>Kathy A Fay</v>
          </cell>
          <cell r="K230" t="str">
            <v>D1</v>
          </cell>
          <cell r="L230">
            <v>560.1</v>
          </cell>
          <cell r="M230" t="str">
            <v>X</v>
          </cell>
        </row>
        <row r="231">
          <cell r="A231" t="str">
            <v xml:space="preserve"> 75</v>
          </cell>
          <cell r="B231" t="str">
            <v>003204</v>
          </cell>
          <cell r="C231" t="str">
            <v>cshp</v>
          </cell>
          <cell r="D231" t="str">
            <v>08/Dec/1998</v>
          </cell>
          <cell r="E231" t="str">
            <v>MWAL0118</v>
          </cell>
          <cell r="F231" t="str">
            <v>1998/12</v>
          </cell>
          <cell r="G231" t="str">
            <v>000000</v>
          </cell>
          <cell r="H231" t="str">
            <v>22665</v>
          </cell>
          <cell r="I231" t="str">
            <v>608000</v>
          </cell>
          <cell r="J231" t="str">
            <v>Katia Sereno</v>
          </cell>
          <cell r="K231" t="str">
            <v>D1</v>
          </cell>
          <cell r="L231">
            <v>716.24</v>
          </cell>
          <cell r="M231" t="str">
            <v>X</v>
          </cell>
        </row>
        <row r="232">
          <cell r="A232" t="str">
            <v xml:space="preserve"> 75</v>
          </cell>
          <cell r="B232" t="str">
            <v>003204</v>
          </cell>
          <cell r="C232" t="str">
            <v>cshp</v>
          </cell>
          <cell r="D232" t="str">
            <v>08/Dec/1998</v>
          </cell>
          <cell r="E232" t="str">
            <v>MWAL0118</v>
          </cell>
          <cell r="F232" t="str">
            <v>1998/12</v>
          </cell>
          <cell r="G232" t="str">
            <v>000000</v>
          </cell>
          <cell r="H232" t="str">
            <v>22665</v>
          </cell>
          <cell r="I232" t="str">
            <v>608000</v>
          </cell>
          <cell r="J232" t="str">
            <v>Katia Sereno</v>
          </cell>
          <cell r="K232" t="str">
            <v>D1</v>
          </cell>
          <cell r="L232">
            <v>896.58</v>
          </cell>
          <cell r="M232" t="str">
            <v>X</v>
          </cell>
        </row>
        <row r="233">
          <cell r="A233" t="str">
            <v xml:space="preserve"> 75</v>
          </cell>
          <cell r="B233" t="str">
            <v>003204</v>
          </cell>
          <cell r="C233" t="str">
            <v>cshp</v>
          </cell>
          <cell r="D233" t="str">
            <v>08/Dec/1998</v>
          </cell>
          <cell r="E233" t="str">
            <v>MWAL0118</v>
          </cell>
          <cell r="F233" t="str">
            <v>1998/12</v>
          </cell>
          <cell r="G233" t="str">
            <v>000000</v>
          </cell>
          <cell r="H233" t="str">
            <v>22665</v>
          </cell>
          <cell r="I233" t="str">
            <v>608000</v>
          </cell>
          <cell r="J233" t="str">
            <v>Katia Sereno</v>
          </cell>
          <cell r="K233" t="str">
            <v>D1</v>
          </cell>
          <cell r="L233">
            <v>-625.49</v>
          </cell>
          <cell r="M233" t="str">
            <v>X</v>
          </cell>
        </row>
        <row r="234">
          <cell r="A234" t="str">
            <v xml:space="preserve"> 75</v>
          </cell>
          <cell r="B234" t="str">
            <v>003203</v>
          </cell>
          <cell r="C234" t="str">
            <v>cshp</v>
          </cell>
          <cell r="D234" t="str">
            <v>08/Dec/1998</v>
          </cell>
          <cell r="E234" t="str">
            <v>MWAL0118</v>
          </cell>
          <cell r="F234" t="str">
            <v>1998/12</v>
          </cell>
          <cell r="G234" t="str">
            <v>000000</v>
          </cell>
          <cell r="H234" t="str">
            <v>22665</v>
          </cell>
          <cell r="I234" t="str">
            <v>608000</v>
          </cell>
          <cell r="J234" t="str">
            <v>Katy Savoie</v>
          </cell>
          <cell r="K234" t="str">
            <v>D1</v>
          </cell>
          <cell r="L234">
            <v>688.5</v>
          </cell>
          <cell r="M234" t="str">
            <v>X</v>
          </cell>
        </row>
        <row r="235">
          <cell r="A235" t="str">
            <v xml:space="preserve"> 75</v>
          </cell>
          <cell r="B235" t="str">
            <v>003203</v>
          </cell>
          <cell r="C235" t="str">
            <v>cshp</v>
          </cell>
          <cell r="D235" t="str">
            <v>08/Dec/1998</v>
          </cell>
          <cell r="E235" t="str">
            <v>MWAL0118</v>
          </cell>
          <cell r="F235" t="str">
            <v>1998/12</v>
          </cell>
          <cell r="G235" t="str">
            <v>000000</v>
          </cell>
          <cell r="H235" t="str">
            <v>22665</v>
          </cell>
          <cell r="I235" t="str">
            <v>608000</v>
          </cell>
          <cell r="J235" t="str">
            <v>Katy Savoie</v>
          </cell>
          <cell r="K235" t="str">
            <v>D1</v>
          </cell>
          <cell r="L235">
            <v>874.4</v>
          </cell>
          <cell r="M235" t="str">
            <v>X</v>
          </cell>
        </row>
        <row r="236">
          <cell r="A236" t="str">
            <v xml:space="preserve"> 75</v>
          </cell>
          <cell r="B236" t="str">
            <v>003203</v>
          </cell>
          <cell r="C236" t="str">
            <v>cshp</v>
          </cell>
          <cell r="D236" t="str">
            <v>08/Dec/1998</v>
          </cell>
          <cell r="E236" t="str">
            <v>MWAL0118</v>
          </cell>
          <cell r="F236" t="str">
            <v>1998/12</v>
          </cell>
          <cell r="G236" t="str">
            <v>000000</v>
          </cell>
          <cell r="H236" t="str">
            <v>22665</v>
          </cell>
          <cell r="I236" t="str">
            <v>608000</v>
          </cell>
          <cell r="J236" t="str">
            <v>Katy Savoie</v>
          </cell>
          <cell r="K236" t="str">
            <v>D1</v>
          </cell>
          <cell r="L236">
            <v>-604.61</v>
          </cell>
          <cell r="M236" t="str">
            <v>X</v>
          </cell>
        </row>
        <row r="237">
          <cell r="A237" t="str">
            <v xml:space="preserve"> 75</v>
          </cell>
          <cell r="B237" t="str">
            <v>002039</v>
          </cell>
          <cell r="C237" t="str">
            <v>cshp</v>
          </cell>
          <cell r="D237" t="str">
            <v>24/Apr/1998</v>
          </cell>
          <cell r="E237" t="str">
            <v>KPUR0332</v>
          </cell>
          <cell r="F237" t="str">
            <v>1998/04</v>
          </cell>
          <cell r="G237" t="str">
            <v>000000</v>
          </cell>
          <cell r="H237" t="str">
            <v>22665</v>
          </cell>
          <cell r="I237" t="str">
            <v>608000</v>
          </cell>
          <cell r="J237" t="str">
            <v>KEBRINA L. ROSINO</v>
          </cell>
          <cell r="K237" t="str">
            <v>D1</v>
          </cell>
          <cell r="L237">
            <v>207.21</v>
          </cell>
          <cell r="M237" t="str">
            <v>X</v>
          </cell>
        </row>
        <row r="238">
          <cell r="A238" t="str">
            <v xml:space="preserve"> 75</v>
          </cell>
          <cell r="B238" t="str">
            <v>002554</v>
          </cell>
          <cell r="C238" t="str">
            <v>cshp</v>
          </cell>
          <cell r="D238" t="str">
            <v>14/Aug/1998</v>
          </cell>
          <cell r="E238" t="str">
            <v>KPUR0844</v>
          </cell>
          <cell r="F238" t="str">
            <v>1998/08</v>
          </cell>
          <cell r="G238" t="str">
            <v>000000</v>
          </cell>
          <cell r="H238" t="str">
            <v>22665</v>
          </cell>
          <cell r="I238" t="str">
            <v>608000</v>
          </cell>
          <cell r="J238" t="str">
            <v>KEBRINA ROSINO PE 8/15/98</v>
          </cell>
          <cell r="K238" t="str">
            <v>D1</v>
          </cell>
          <cell r="L238">
            <v>720.83</v>
          </cell>
          <cell r="M238" t="str">
            <v>X</v>
          </cell>
        </row>
        <row r="239">
          <cell r="A239" t="str">
            <v xml:space="preserve"> 01</v>
          </cell>
          <cell r="B239" t="str">
            <v>000555</v>
          </cell>
          <cell r="C239" t="str">
            <v>Jrnl</v>
          </cell>
          <cell r="D239" t="str">
            <v>16/Sep/1998</v>
          </cell>
          <cell r="E239" t="str">
            <v>CWAN0065</v>
          </cell>
          <cell r="F239" t="str">
            <v>1998/09</v>
          </cell>
          <cell r="G239" t="str">
            <v>000000</v>
          </cell>
          <cell r="H239" t="str">
            <v>22665</v>
          </cell>
          <cell r="I239" t="str">
            <v>608000</v>
          </cell>
          <cell r="J239" t="str">
            <v>MAC CK GUERINIK</v>
          </cell>
          <cell r="K239" t="str">
            <v>D1</v>
          </cell>
          <cell r="L239">
            <v>-915.27</v>
          </cell>
          <cell r="M239" t="str">
            <v>X</v>
          </cell>
        </row>
        <row r="240">
          <cell r="A240" t="str">
            <v xml:space="preserve"> 01</v>
          </cell>
          <cell r="B240" t="str">
            <v>000611</v>
          </cell>
          <cell r="C240" t="str">
            <v>Jrnl</v>
          </cell>
          <cell r="D240" t="str">
            <v>30/Sep/1998</v>
          </cell>
          <cell r="E240" t="str">
            <v>CWAN0207</v>
          </cell>
          <cell r="F240" t="str">
            <v>1998/09</v>
          </cell>
          <cell r="G240" t="str">
            <v>000000</v>
          </cell>
          <cell r="H240" t="str">
            <v>22665</v>
          </cell>
          <cell r="I240" t="str">
            <v>608000</v>
          </cell>
          <cell r="J240" t="str">
            <v>MAN ADJ COTE</v>
          </cell>
          <cell r="K240" t="str">
            <v>D1</v>
          </cell>
          <cell r="L240">
            <v>-1362.62</v>
          </cell>
          <cell r="M240" t="str">
            <v>X</v>
          </cell>
        </row>
        <row r="241">
          <cell r="A241" t="str">
            <v xml:space="preserve"> 01</v>
          </cell>
          <cell r="B241" t="str">
            <v>000611</v>
          </cell>
          <cell r="C241" t="str">
            <v>Jrnl</v>
          </cell>
          <cell r="D241" t="str">
            <v>30/Sep/1998</v>
          </cell>
          <cell r="E241" t="str">
            <v>CWAN0207</v>
          </cell>
          <cell r="F241" t="str">
            <v>1998/09</v>
          </cell>
          <cell r="G241" t="str">
            <v>000000</v>
          </cell>
          <cell r="H241" t="str">
            <v>22665</v>
          </cell>
          <cell r="I241" t="str">
            <v>608000</v>
          </cell>
          <cell r="J241" t="str">
            <v>MAN ADJ LAPLANTE</v>
          </cell>
          <cell r="K241" t="str">
            <v>D1</v>
          </cell>
          <cell r="L241">
            <v>-550.98</v>
          </cell>
          <cell r="M241" t="str">
            <v>X</v>
          </cell>
        </row>
        <row r="242">
          <cell r="A242" t="str">
            <v xml:space="preserve"> 01</v>
          </cell>
          <cell r="B242" t="str">
            <v>000611</v>
          </cell>
          <cell r="C242" t="str">
            <v>Jrnl</v>
          </cell>
          <cell r="D242" t="str">
            <v>30/Sep/1998</v>
          </cell>
          <cell r="E242" t="str">
            <v>CWAN0207</v>
          </cell>
          <cell r="F242" t="str">
            <v>1998/09</v>
          </cell>
          <cell r="G242" t="str">
            <v>000000</v>
          </cell>
          <cell r="H242" t="str">
            <v>22665</v>
          </cell>
          <cell r="I242" t="str">
            <v>608000</v>
          </cell>
          <cell r="J242" t="str">
            <v>MAN ADJ LAPLANTE</v>
          </cell>
          <cell r="K242" t="str">
            <v>D1</v>
          </cell>
          <cell r="L242">
            <v>-916.23</v>
          </cell>
          <cell r="M242" t="str">
            <v>X</v>
          </cell>
        </row>
        <row r="243">
          <cell r="A243" t="str">
            <v xml:space="preserve"> 01</v>
          </cell>
          <cell r="B243" t="str">
            <v>000498</v>
          </cell>
          <cell r="C243" t="str">
            <v>Jrnl</v>
          </cell>
          <cell r="D243" t="str">
            <v>31/Jul/1998</v>
          </cell>
          <cell r="E243" t="str">
            <v>KPUR0808</v>
          </cell>
          <cell r="F243" t="str">
            <v>1998/07</v>
          </cell>
          <cell r="G243" t="str">
            <v>000000</v>
          </cell>
          <cell r="H243" t="str">
            <v>22665</v>
          </cell>
          <cell r="I243" t="str">
            <v>601000</v>
          </cell>
          <cell r="J243" t="str">
            <v>MAN CK - TOVO</v>
          </cell>
          <cell r="K243" t="str">
            <v>D1</v>
          </cell>
          <cell r="L243">
            <v>-1000</v>
          </cell>
        </row>
        <row r="244">
          <cell r="A244" t="str">
            <v xml:space="preserve"> 01</v>
          </cell>
          <cell r="B244" t="str">
            <v>000458</v>
          </cell>
          <cell r="C244" t="str">
            <v>Jrnl</v>
          </cell>
          <cell r="D244" t="str">
            <v>24/Jun/1998</v>
          </cell>
          <cell r="E244" t="str">
            <v>KPUR0692</v>
          </cell>
          <cell r="F244" t="str">
            <v>1998/06</v>
          </cell>
          <cell r="G244" t="str">
            <v>000000</v>
          </cell>
          <cell r="H244" t="str">
            <v>22665</v>
          </cell>
          <cell r="I244" t="str">
            <v>601000</v>
          </cell>
          <cell r="J244" t="str">
            <v>MAN CK - ANTOINE</v>
          </cell>
          <cell r="K244" t="str">
            <v>D1</v>
          </cell>
          <cell r="L244">
            <v>-641.82000000000005</v>
          </cell>
          <cell r="M244" t="str">
            <v>X</v>
          </cell>
        </row>
        <row r="245">
          <cell r="A245" t="str">
            <v xml:space="preserve"> 01</v>
          </cell>
          <cell r="B245" t="str">
            <v>000746</v>
          </cell>
          <cell r="C245" t="str">
            <v>Jrnl</v>
          </cell>
          <cell r="D245" t="str">
            <v>11/Dec/1998</v>
          </cell>
          <cell r="E245" t="str">
            <v>NTON0052</v>
          </cell>
          <cell r="F245" t="str">
            <v>1998/12</v>
          </cell>
          <cell r="G245" t="str">
            <v>000000</v>
          </cell>
          <cell r="H245" t="str">
            <v>22665</v>
          </cell>
          <cell r="I245" t="str">
            <v>608000</v>
          </cell>
          <cell r="J245" t="str">
            <v>Man Ck - Beal</v>
          </cell>
          <cell r="K245" t="str">
            <v>D1</v>
          </cell>
          <cell r="L245">
            <v>-533.84</v>
          </cell>
          <cell r="M245" t="str">
            <v>X</v>
          </cell>
        </row>
        <row r="246">
          <cell r="A246" t="str">
            <v xml:space="preserve"> 01</v>
          </cell>
          <cell r="B246" t="str">
            <v>000504</v>
          </cell>
          <cell r="C246" t="str">
            <v>Jrnl</v>
          </cell>
          <cell r="D246" t="str">
            <v>22/Jul/1998</v>
          </cell>
          <cell r="E246" t="str">
            <v>KPUR0808</v>
          </cell>
          <cell r="F246" t="str">
            <v>1998/07</v>
          </cell>
          <cell r="G246" t="str">
            <v>000000</v>
          </cell>
          <cell r="H246" t="str">
            <v>22665</v>
          </cell>
          <cell r="I246" t="str">
            <v>601000</v>
          </cell>
          <cell r="J246" t="str">
            <v>MAN CK - BLAND</v>
          </cell>
          <cell r="K246" t="str">
            <v>D1</v>
          </cell>
          <cell r="L246">
            <v>-130</v>
          </cell>
          <cell r="M246" t="str">
            <v>X</v>
          </cell>
        </row>
        <row r="247">
          <cell r="A247" t="str">
            <v xml:space="preserve"> 01</v>
          </cell>
          <cell r="B247" t="str">
            <v>000458</v>
          </cell>
          <cell r="C247" t="str">
            <v>Jrnl</v>
          </cell>
          <cell r="D247" t="str">
            <v>24/Jun/1998</v>
          </cell>
          <cell r="E247" t="str">
            <v>KPUR0692</v>
          </cell>
          <cell r="F247" t="str">
            <v>1998/06</v>
          </cell>
          <cell r="G247" t="str">
            <v>000000</v>
          </cell>
          <cell r="H247" t="str">
            <v>22665</v>
          </cell>
          <cell r="I247" t="str">
            <v>601000</v>
          </cell>
          <cell r="J247" t="str">
            <v>MAN CK - CHARTRAND</v>
          </cell>
          <cell r="K247" t="str">
            <v>D1</v>
          </cell>
          <cell r="L247">
            <v>-369.4</v>
          </cell>
          <cell r="M247" t="str">
            <v>X</v>
          </cell>
        </row>
        <row r="248">
          <cell r="A248" t="str">
            <v xml:space="preserve"> 01</v>
          </cell>
          <cell r="B248" t="str">
            <v>000722</v>
          </cell>
          <cell r="C248" t="str">
            <v>Jrnl</v>
          </cell>
          <cell r="D248" t="str">
            <v>23/Nov/1998</v>
          </cell>
          <cell r="E248" t="str">
            <v>NTON0028</v>
          </cell>
          <cell r="F248" t="str">
            <v>1998/11</v>
          </cell>
          <cell r="G248" t="str">
            <v>000000</v>
          </cell>
          <cell r="H248" t="str">
            <v>22665</v>
          </cell>
          <cell r="I248" t="str">
            <v>608000</v>
          </cell>
          <cell r="J248" t="str">
            <v>Man Ck - Fay</v>
          </cell>
          <cell r="K248" t="str">
            <v>D1</v>
          </cell>
          <cell r="L248">
            <v>-475.02</v>
          </cell>
          <cell r="M248" t="str">
            <v>X</v>
          </cell>
        </row>
        <row r="249">
          <cell r="A249" t="str">
            <v xml:space="preserve"> 01</v>
          </cell>
          <cell r="B249" t="str">
            <v>000746</v>
          </cell>
          <cell r="C249" t="str">
            <v>Jrnl</v>
          </cell>
          <cell r="D249" t="str">
            <v>11/Dec/1998</v>
          </cell>
          <cell r="E249" t="str">
            <v>NTON0052</v>
          </cell>
          <cell r="F249" t="str">
            <v>1998/12</v>
          </cell>
          <cell r="G249" t="str">
            <v>000000</v>
          </cell>
          <cell r="H249" t="str">
            <v>22665</v>
          </cell>
          <cell r="I249" t="str">
            <v>608000</v>
          </cell>
          <cell r="J249" t="str">
            <v>Man Ck - Fay</v>
          </cell>
          <cell r="K249" t="str">
            <v>D1</v>
          </cell>
          <cell r="L249">
            <v>-560.1</v>
          </cell>
          <cell r="M249" t="str">
            <v>X</v>
          </cell>
        </row>
        <row r="250">
          <cell r="A250" t="str">
            <v xml:space="preserve"> 01</v>
          </cell>
          <cell r="B250" t="str">
            <v>000553</v>
          </cell>
          <cell r="C250" t="str">
            <v>Jrnl</v>
          </cell>
          <cell r="D250" t="str">
            <v>31/Aug/1998</v>
          </cell>
          <cell r="E250" t="str">
            <v>TLOH2064</v>
          </cell>
          <cell r="F250" t="str">
            <v>1998/08</v>
          </cell>
          <cell r="G250" t="str">
            <v>000000</v>
          </cell>
          <cell r="H250" t="str">
            <v>22665</v>
          </cell>
          <cell r="I250" t="str">
            <v>608000</v>
          </cell>
          <cell r="J250" t="str">
            <v>MAN CK - GUERINIK</v>
          </cell>
          <cell r="K250" t="str">
            <v>D1</v>
          </cell>
          <cell r="L250">
            <v>-933.28</v>
          </cell>
          <cell r="M250" t="str">
            <v>X</v>
          </cell>
        </row>
        <row r="251">
          <cell r="A251" t="str">
            <v xml:space="preserve"> 01</v>
          </cell>
          <cell r="B251" t="str">
            <v>000722</v>
          </cell>
          <cell r="C251" t="str">
            <v>Jrnl</v>
          </cell>
          <cell r="D251" t="str">
            <v>23/Nov/1998</v>
          </cell>
          <cell r="E251" t="str">
            <v>NTON0028</v>
          </cell>
          <cell r="F251" t="str">
            <v>1998/11</v>
          </cell>
          <cell r="G251" t="str">
            <v>000000</v>
          </cell>
          <cell r="H251" t="str">
            <v>22665</v>
          </cell>
          <cell r="I251" t="str">
            <v>608000</v>
          </cell>
          <cell r="J251" t="str">
            <v>Man Ck - Guerinik</v>
          </cell>
          <cell r="K251" t="str">
            <v>D1</v>
          </cell>
          <cell r="L251">
            <v>-1268.6099999999999</v>
          </cell>
          <cell r="M251" t="str">
            <v>X</v>
          </cell>
        </row>
        <row r="252">
          <cell r="A252" t="str">
            <v xml:space="preserve"> 01</v>
          </cell>
          <cell r="B252" t="str">
            <v>000730</v>
          </cell>
          <cell r="C252" t="str">
            <v>Jrnl</v>
          </cell>
          <cell r="D252" t="str">
            <v>10/Nov/1998</v>
          </cell>
          <cell r="E252" t="str">
            <v>NTON0035</v>
          </cell>
          <cell r="F252" t="str">
            <v>1998/11</v>
          </cell>
          <cell r="G252" t="str">
            <v>000000</v>
          </cell>
          <cell r="H252" t="str">
            <v>22665</v>
          </cell>
          <cell r="I252" t="str">
            <v>608000</v>
          </cell>
          <cell r="J252" t="str">
            <v>Man Ck - Guerinik</v>
          </cell>
          <cell r="K252" t="str">
            <v>D1</v>
          </cell>
          <cell r="L252">
            <v>-1451.63</v>
          </cell>
          <cell r="M252" t="str">
            <v>X</v>
          </cell>
        </row>
        <row r="253">
          <cell r="A253" t="str">
            <v xml:space="preserve"> 01</v>
          </cell>
          <cell r="B253" t="str">
            <v>000746</v>
          </cell>
          <cell r="C253" t="str">
            <v>Jrnl</v>
          </cell>
          <cell r="D253" t="str">
            <v>11/Dec/1998</v>
          </cell>
          <cell r="E253" t="str">
            <v>NTON0052</v>
          </cell>
          <cell r="F253" t="str">
            <v>1998/12</v>
          </cell>
          <cell r="G253" t="str">
            <v>000000</v>
          </cell>
          <cell r="H253" t="str">
            <v>22665</v>
          </cell>
          <cell r="I253" t="str">
            <v>608000</v>
          </cell>
          <cell r="J253" t="str">
            <v>Man Ck - Guerinik</v>
          </cell>
          <cell r="K253" t="str">
            <v>D1</v>
          </cell>
          <cell r="L253">
            <v>-1678.61</v>
          </cell>
          <cell r="M253" t="str">
            <v>X</v>
          </cell>
        </row>
        <row r="254">
          <cell r="A254" t="str">
            <v xml:space="preserve"> 01</v>
          </cell>
          <cell r="B254" t="str">
            <v>000746</v>
          </cell>
          <cell r="C254" t="str">
            <v>Jrnl</v>
          </cell>
          <cell r="D254" t="str">
            <v>11/Dec/1998</v>
          </cell>
          <cell r="E254" t="str">
            <v>NTON0052</v>
          </cell>
          <cell r="F254" t="str">
            <v>1998/12</v>
          </cell>
          <cell r="G254" t="str">
            <v>000000</v>
          </cell>
          <cell r="H254" t="str">
            <v>22665</v>
          </cell>
          <cell r="I254" t="str">
            <v>608000</v>
          </cell>
          <cell r="J254" t="str">
            <v>Man Ck - Guerinik</v>
          </cell>
          <cell r="K254" t="str">
            <v>D1</v>
          </cell>
          <cell r="L254">
            <v>-1723.61</v>
          </cell>
          <cell r="M254" t="str">
            <v>X</v>
          </cell>
        </row>
        <row r="255">
          <cell r="A255" t="str">
            <v xml:space="preserve"> 01</v>
          </cell>
          <cell r="B255" t="str">
            <v>000746</v>
          </cell>
          <cell r="C255" t="str">
            <v>Jrnl</v>
          </cell>
          <cell r="D255" t="str">
            <v>11/Dec/1998</v>
          </cell>
          <cell r="E255" t="str">
            <v>NTON0052</v>
          </cell>
          <cell r="F255" t="str">
            <v>1998/12</v>
          </cell>
          <cell r="G255" t="str">
            <v>000000</v>
          </cell>
          <cell r="H255" t="str">
            <v>22665</v>
          </cell>
          <cell r="I255" t="str">
            <v>608000</v>
          </cell>
          <cell r="J255" t="str">
            <v>Man Ck - Karlsen, D</v>
          </cell>
          <cell r="K255" t="str">
            <v>D1</v>
          </cell>
          <cell r="L255">
            <v>-591.63</v>
          </cell>
          <cell r="M255" t="str">
            <v>X</v>
          </cell>
        </row>
        <row r="256">
          <cell r="A256" t="str">
            <v xml:space="preserve"> 01</v>
          </cell>
          <cell r="B256" t="str">
            <v>000746</v>
          </cell>
          <cell r="C256" t="str">
            <v>Jrnl</v>
          </cell>
          <cell r="D256" t="str">
            <v>11/Dec/1998</v>
          </cell>
          <cell r="E256" t="str">
            <v>NTON0052</v>
          </cell>
          <cell r="F256" t="str">
            <v>1998/12</v>
          </cell>
          <cell r="G256" t="str">
            <v>000000</v>
          </cell>
          <cell r="H256" t="str">
            <v>22665</v>
          </cell>
          <cell r="I256" t="str">
            <v>608000</v>
          </cell>
          <cell r="J256" t="str">
            <v>Man Ck - Karlsen, E</v>
          </cell>
          <cell r="K256" t="str">
            <v>D1</v>
          </cell>
          <cell r="L256">
            <v>-544.65</v>
          </cell>
          <cell r="M256" t="str">
            <v>X</v>
          </cell>
        </row>
        <row r="257">
          <cell r="A257" t="str">
            <v xml:space="preserve"> 01</v>
          </cell>
          <cell r="B257" t="str">
            <v>000730</v>
          </cell>
          <cell r="C257" t="str">
            <v>Jrnl</v>
          </cell>
          <cell r="D257" t="str">
            <v>10/Nov/1998</v>
          </cell>
          <cell r="E257" t="str">
            <v>NTON0035</v>
          </cell>
          <cell r="F257" t="str">
            <v>1998/11</v>
          </cell>
          <cell r="G257" t="str">
            <v>000000</v>
          </cell>
          <cell r="H257" t="str">
            <v>22665</v>
          </cell>
          <cell r="I257" t="str">
            <v>608000</v>
          </cell>
          <cell r="J257" t="str">
            <v>Man Ck - Roper Jr</v>
          </cell>
          <cell r="K257" t="str">
            <v>D1</v>
          </cell>
          <cell r="L257">
            <v>-216.5</v>
          </cell>
          <cell r="M257" t="str">
            <v>X</v>
          </cell>
        </row>
        <row r="258">
          <cell r="A258" t="str">
            <v xml:space="preserve"> 01</v>
          </cell>
          <cell r="B258" t="str">
            <v>000553</v>
          </cell>
          <cell r="C258" t="str">
            <v>Jrnl</v>
          </cell>
          <cell r="D258" t="str">
            <v>31/Aug/1998</v>
          </cell>
          <cell r="E258" t="str">
            <v>TLOH2064</v>
          </cell>
          <cell r="F258" t="str">
            <v>1998/08</v>
          </cell>
          <cell r="G258" t="str">
            <v>000000</v>
          </cell>
          <cell r="H258" t="str">
            <v>22665</v>
          </cell>
          <cell r="I258" t="str">
            <v>608000</v>
          </cell>
          <cell r="J258" t="str">
            <v>MAN CK - ROSINO</v>
          </cell>
          <cell r="K258" t="str">
            <v>D1</v>
          </cell>
          <cell r="L258">
            <v>-720.83</v>
          </cell>
          <cell r="M258" t="str">
            <v>X</v>
          </cell>
        </row>
        <row r="259">
          <cell r="A259" t="str">
            <v xml:space="preserve"> 01</v>
          </cell>
          <cell r="B259" t="str">
            <v>000553</v>
          </cell>
          <cell r="C259" t="str">
            <v>Jrnl</v>
          </cell>
          <cell r="D259" t="str">
            <v>31/Aug/1998</v>
          </cell>
          <cell r="E259" t="str">
            <v>TLOH2064</v>
          </cell>
          <cell r="F259" t="str">
            <v>1998/08</v>
          </cell>
          <cell r="G259" t="str">
            <v>000000</v>
          </cell>
          <cell r="H259" t="str">
            <v>22665</v>
          </cell>
          <cell r="I259" t="str">
            <v>608000</v>
          </cell>
          <cell r="J259" t="str">
            <v>MAN CK - ROUSE</v>
          </cell>
          <cell r="K259" t="str">
            <v>D1</v>
          </cell>
          <cell r="L259">
            <v>-649.46</v>
          </cell>
          <cell r="M259" t="str">
            <v>X</v>
          </cell>
        </row>
        <row r="260">
          <cell r="A260" t="str">
            <v xml:space="preserve"> 01</v>
          </cell>
          <cell r="B260" t="str">
            <v>000730</v>
          </cell>
          <cell r="C260" t="str">
            <v>Jrnl</v>
          </cell>
          <cell r="D260" t="str">
            <v>10/Nov/1998</v>
          </cell>
          <cell r="E260" t="str">
            <v>NTON0035</v>
          </cell>
          <cell r="F260" t="str">
            <v>1998/11</v>
          </cell>
          <cell r="G260" t="str">
            <v>000000</v>
          </cell>
          <cell r="H260" t="str">
            <v>22665</v>
          </cell>
          <cell r="I260" t="str">
            <v>608000</v>
          </cell>
          <cell r="J260" t="str">
            <v>Man Ck - Shannon</v>
          </cell>
          <cell r="K260" t="str">
            <v>D1</v>
          </cell>
          <cell r="L260">
            <v>-290.89999999999998</v>
          </cell>
          <cell r="M260" t="str">
            <v>X</v>
          </cell>
        </row>
        <row r="261">
          <cell r="A261" t="str">
            <v xml:space="preserve"> 01</v>
          </cell>
          <cell r="B261" t="str">
            <v>000546</v>
          </cell>
          <cell r="C261" t="str">
            <v>Jrnl</v>
          </cell>
          <cell r="D261" t="str">
            <v>31/Aug/1998</v>
          </cell>
          <cell r="E261" t="str">
            <v>TLOH2054</v>
          </cell>
          <cell r="F261" t="str">
            <v>1998/08</v>
          </cell>
          <cell r="G261" t="str">
            <v>000000</v>
          </cell>
          <cell r="H261" t="str">
            <v>22665</v>
          </cell>
          <cell r="I261" t="str">
            <v>601000</v>
          </cell>
          <cell r="J261" t="str">
            <v>MAN CK - SMITH</v>
          </cell>
          <cell r="K261" t="str">
            <v>D1</v>
          </cell>
          <cell r="L261">
            <v>-665.03</v>
          </cell>
          <cell r="M261" t="str">
            <v>X</v>
          </cell>
        </row>
        <row r="262">
          <cell r="A262" t="str">
            <v xml:space="preserve"> 01</v>
          </cell>
          <cell r="B262" t="str">
            <v>000546</v>
          </cell>
          <cell r="C262" t="str">
            <v>Jrnl</v>
          </cell>
          <cell r="D262" t="str">
            <v>31/Aug/1998</v>
          </cell>
          <cell r="E262" t="str">
            <v>TLOH2054</v>
          </cell>
          <cell r="F262" t="str">
            <v>1998/08</v>
          </cell>
          <cell r="G262" t="str">
            <v>000000</v>
          </cell>
          <cell r="H262" t="str">
            <v>22665</v>
          </cell>
          <cell r="I262" t="str">
            <v>601000</v>
          </cell>
          <cell r="J262" t="str">
            <v>MAN CK - SMITH</v>
          </cell>
          <cell r="K262" t="str">
            <v>D1</v>
          </cell>
          <cell r="L262">
            <v>-3043.22</v>
          </cell>
          <cell r="M262" t="str">
            <v>X</v>
          </cell>
        </row>
        <row r="263">
          <cell r="A263" t="str">
            <v xml:space="preserve"> 01</v>
          </cell>
          <cell r="B263" t="str">
            <v>000722</v>
          </cell>
          <cell r="C263" t="str">
            <v>Jrnl</v>
          </cell>
          <cell r="D263" t="str">
            <v>23/Nov/1998</v>
          </cell>
          <cell r="E263" t="str">
            <v>NTON0028</v>
          </cell>
          <cell r="F263" t="str">
            <v>1998/11</v>
          </cell>
          <cell r="G263" t="str">
            <v>000000</v>
          </cell>
          <cell r="H263" t="str">
            <v>22665</v>
          </cell>
          <cell r="I263" t="str">
            <v>608000</v>
          </cell>
          <cell r="J263" t="str">
            <v>Man Ck - Smith, C</v>
          </cell>
          <cell r="K263" t="str">
            <v>D1</v>
          </cell>
          <cell r="L263">
            <v>-65.67</v>
          </cell>
          <cell r="M263" t="str">
            <v>X</v>
          </cell>
        </row>
        <row r="264">
          <cell r="A264" t="str">
            <v xml:space="preserve"> 01</v>
          </cell>
          <cell r="B264" t="str">
            <v>000776</v>
          </cell>
          <cell r="C264" t="str">
            <v>Jrnl</v>
          </cell>
          <cell r="D264" t="str">
            <v>17/Dec/1998</v>
          </cell>
          <cell r="E264" t="str">
            <v>NTON0082</v>
          </cell>
          <cell r="F264" t="str">
            <v>1998/12</v>
          </cell>
          <cell r="G264" t="str">
            <v>000000</v>
          </cell>
          <cell r="H264" t="str">
            <v>22665</v>
          </cell>
          <cell r="I264" t="str">
            <v>608000</v>
          </cell>
          <cell r="J264" t="str">
            <v>Man Ck - Vijent</v>
          </cell>
          <cell r="K264" t="str">
            <v>D1</v>
          </cell>
          <cell r="L264">
            <v>-1699.07</v>
          </cell>
        </row>
        <row r="265">
          <cell r="A265" t="str">
            <v xml:space="preserve"> 75</v>
          </cell>
          <cell r="B265" t="str">
            <v>002947</v>
          </cell>
          <cell r="C265" t="str">
            <v>cshp</v>
          </cell>
          <cell r="D265" t="str">
            <v>17/Dec/1998</v>
          </cell>
          <cell r="E265" t="str">
            <v>MWAL0126</v>
          </cell>
          <cell r="F265" t="str">
            <v>1998/12</v>
          </cell>
          <cell r="G265" t="str">
            <v>000000</v>
          </cell>
          <cell r="H265" t="str">
            <v>22665</v>
          </cell>
          <cell r="I265" t="str">
            <v>608000</v>
          </cell>
          <cell r="J265" t="str">
            <v>Mathieu LaPlante</v>
          </cell>
          <cell r="K265" t="str">
            <v>D1</v>
          </cell>
          <cell r="L265">
            <v>100</v>
          </cell>
          <cell r="M265" t="str">
            <v xml:space="preserve"> </v>
          </cell>
        </row>
        <row r="266">
          <cell r="A266" t="str">
            <v xml:space="preserve"> 01</v>
          </cell>
          <cell r="B266" t="str">
            <v>000817</v>
          </cell>
          <cell r="C266" t="str">
            <v>Jrnl</v>
          </cell>
          <cell r="D266" t="str">
            <v>31/Dec/1998</v>
          </cell>
          <cell r="E266" t="str">
            <v>NTON0123</v>
          </cell>
          <cell r="F266" t="str">
            <v>1998/12</v>
          </cell>
          <cell r="G266" t="str">
            <v>000000</v>
          </cell>
          <cell r="H266" t="str">
            <v>22665</v>
          </cell>
          <cell r="I266" t="str">
            <v>608000</v>
          </cell>
          <cell r="J266" t="str">
            <v>Man Ck - Vijent</v>
          </cell>
          <cell r="K266" t="str">
            <v>D1</v>
          </cell>
          <cell r="L266">
            <v>-1699.07</v>
          </cell>
          <cell r="M266" t="str">
            <v>X</v>
          </cell>
        </row>
        <row r="267">
          <cell r="A267" t="str">
            <v xml:space="preserve"> 01</v>
          </cell>
          <cell r="B267" t="str">
            <v>000307</v>
          </cell>
          <cell r="C267" t="str">
            <v>Jrnl</v>
          </cell>
          <cell r="D267" t="str">
            <v>30/Mar/1998</v>
          </cell>
          <cell r="E267" t="str">
            <v>KPUR0260</v>
          </cell>
          <cell r="F267" t="str">
            <v>1998/03</v>
          </cell>
          <cell r="G267" t="str">
            <v>000000</v>
          </cell>
          <cell r="H267" t="str">
            <v>22665</v>
          </cell>
          <cell r="I267" t="str">
            <v>601000</v>
          </cell>
          <cell r="J267" t="str">
            <v>MAN CK #2117</v>
          </cell>
          <cell r="K267" t="str">
            <v>D1</v>
          </cell>
          <cell r="L267">
            <v>-554.1</v>
          </cell>
          <cell r="M267" t="str">
            <v>X</v>
          </cell>
        </row>
        <row r="268">
          <cell r="A268" t="str">
            <v xml:space="preserve"> 01</v>
          </cell>
          <cell r="B268" t="str">
            <v>000611</v>
          </cell>
          <cell r="C268" t="str">
            <v>Jrnl</v>
          </cell>
          <cell r="D268" t="str">
            <v>30/Sep/1998</v>
          </cell>
          <cell r="E268" t="str">
            <v>CWAN0207</v>
          </cell>
          <cell r="F268" t="str">
            <v>1998/09</v>
          </cell>
          <cell r="G268" t="str">
            <v>000000</v>
          </cell>
          <cell r="H268" t="str">
            <v>22665</v>
          </cell>
          <cell r="I268" t="str">
            <v>608000</v>
          </cell>
          <cell r="J268" t="str">
            <v>MAN CK HILL</v>
          </cell>
          <cell r="K268" t="str">
            <v>D1</v>
          </cell>
          <cell r="L268">
            <v>-593.96</v>
          </cell>
          <cell r="M268" t="str">
            <v>X</v>
          </cell>
        </row>
        <row r="269">
          <cell r="A269" t="str">
            <v xml:space="preserve"> 01</v>
          </cell>
          <cell r="B269" t="str">
            <v>000608</v>
          </cell>
          <cell r="C269" t="str">
            <v>Jrnl</v>
          </cell>
          <cell r="D269" t="str">
            <v>30/Sep/1998</v>
          </cell>
          <cell r="E269" t="str">
            <v>CWAN0207</v>
          </cell>
          <cell r="F269" t="str">
            <v>1998/09</v>
          </cell>
          <cell r="G269" t="str">
            <v>000000</v>
          </cell>
          <cell r="H269" t="str">
            <v>22665</v>
          </cell>
          <cell r="I269" t="str">
            <v>608000</v>
          </cell>
          <cell r="J269" t="str">
            <v>MAN CK LAIDLER</v>
          </cell>
          <cell r="K269" t="str">
            <v>D1</v>
          </cell>
          <cell r="L269">
            <v>-563.30999999999995</v>
          </cell>
          <cell r="M269" t="str">
            <v>X</v>
          </cell>
        </row>
        <row r="270">
          <cell r="A270" t="str">
            <v xml:space="preserve"> 01</v>
          </cell>
          <cell r="B270" t="str">
            <v>000555</v>
          </cell>
          <cell r="C270" t="str">
            <v>Jrnl</v>
          </cell>
          <cell r="D270" t="str">
            <v>16/Sep/1998</v>
          </cell>
          <cell r="E270" t="str">
            <v>CWAN0065</v>
          </cell>
          <cell r="F270" t="str">
            <v>1998/09</v>
          </cell>
          <cell r="G270" t="str">
            <v>000000</v>
          </cell>
          <cell r="H270" t="str">
            <v>22665</v>
          </cell>
          <cell r="I270" t="str">
            <v>608000</v>
          </cell>
          <cell r="J270" t="str">
            <v>MAN CK LAY</v>
          </cell>
          <cell r="K270" t="str">
            <v>D1</v>
          </cell>
          <cell r="L270">
            <v>-2449.5</v>
          </cell>
          <cell r="M270" t="str">
            <v>X</v>
          </cell>
        </row>
        <row r="271">
          <cell r="A271" t="str">
            <v xml:space="preserve"> 01</v>
          </cell>
          <cell r="B271" t="str">
            <v>000555</v>
          </cell>
          <cell r="C271" t="str">
            <v>Jrnl</v>
          </cell>
          <cell r="D271" t="str">
            <v>16/Sep/1998</v>
          </cell>
          <cell r="E271" t="str">
            <v>CWAN0065</v>
          </cell>
          <cell r="F271" t="str">
            <v>1998/09</v>
          </cell>
          <cell r="G271" t="str">
            <v>000000</v>
          </cell>
          <cell r="H271" t="str">
            <v>22665</v>
          </cell>
          <cell r="I271" t="str">
            <v>608000</v>
          </cell>
          <cell r="J271" t="str">
            <v>MAN CK MCGEOUGH</v>
          </cell>
          <cell r="K271" t="str">
            <v>D1</v>
          </cell>
          <cell r="L271">
            <v>-1608.75</v>
          </cell>
          <cell r="M271" t="str">
            <v>X</v>
          </cell>
        </row>
        <row r="272">
          <cell r="A272" t="str">
            <v xml:space="preserve"> 01</v>
          </cell>
          <cell r="B272" t="str">
            <v>000611</v>
          </cell>
          <cell r="C272" t="str">
            <v>Jrnl</v>
          </cell>
          <cell r="D272" t="str">
            <v>30/Sep/1998</v>
          </cell>
          <cell r="E272" t="str">
            <v>CWAN0207</v>
          </cell>
          <cell r="F272" t="str">
            <v>1998/09</v>
          </cell>
          <cell r="G272" t="str">
            <v>000000</v>
          </cell>
          <cell r="H272" t="str">
            <v>22665</v>
          </cell>
          <cell r="I272" t="str">
            <v>608000</v>
          </cell>
          <cell r="J272" t="str">
            <v>MAN CK PHILLIPS</v>
          </cell>
          <cell r="K272" t="str">
            <v>D1</v>
          </cell>
          <cell r="L272">
            <v>-572.41999999999996</v>
          </cell>
          <cell r="M272" t="str">
            <v>X</v>
          </cell>
        </row>
        <row r="273">
          <cell r="A273" t="str">
            <v xml:space="preserve"> 01</v>
          </cell>
          <cell r="B273" t="str">
            <v>000608</v>
          </cell>
          <cell r="C273" t="str">
            <v>Jrnl</v>
          </cell>
          <cell r="D273" t="str">
            <v>30/Sep/1998</v>
          </cell>
          <cell r="E273" t="str">
            <v>CWAN0207</v>
          </cell>
          <cell r="F273" t="str">
            <v>1998/09</v>
          </cell>
          <cell r="G273" t="str">
            <v>000000</v>
          </cell>
          <cell r="H273" t="str">
            <v>22665</v>
          </cell>
          <cell r="I273" t="str">
            <v>608000</v>
          </cell>
          <cell r="J273" t="str">
            <v>MAN CK POTVIN</v>
          </cell>
          <cell r="K273" t="str">
            <v>D1</v>
          </cell>
          <cell r="L273">
            <v>-92.35</v>
          </cell>
          <cell r="M273" t="str">
            <v>X</v>
          </cell>
        </row>
        <row r="274">
          <cell r="A274" t="str">
            <v xml:space="preserve"> 01</v>
          </cell>
          <cell r="B274" t="str">
            <v>000366</v>
          </cell>
          <cell r="C274" t="str">
            <v>Jrnl</v>
          </cell>
          <cell r="D274" t="str">
            <v>08/May/1998</v>
          </cell>
          <cell r="E274" t="str">
            <v>KPUR0417</v>
          </cell>
          <cell r="F274" t="str">
            <v>1998/05</v>
          </cell>
          <cell r="G274" t="str">
            <v>000000</v>
          </cell>
          <cell r="H274" t="str">
            <v>22665</v>
          </cell>
          <cell r="I274" t="str">
            <v>608000</v>
          </cell>
          <cell r="J274" t="str">
            <v>MAN CK ROSINO</v>
          </cell>
          <cell r="K274" t="str">
            <v>D1</v>
          </cell>
          <cell r="L274">
            <v>-207.21</v>
          </cell>
          <cell r="M274" t="str">
            <v>X</v>
          </cell>
        </row>
        <row r="275">
          <cell r="A275" t="str">
            <v xml:space="preserve"> 75</v>
          </cell>
          <cell r="B275" t="str">
            <v>003194</v>
          </cell>
          <cell r="C275" t="str">
            <v>cshp</v>
          </cell>
          <cell r="D275" t="str">
            <v>08/Dec/1998</v>
          </cell>
          <cell r="E275" t="str">
            <v>MWAL0118</v>
          </cell>
          <cell r="F275" t="str">
            <v>1998/12</v>
          </cell>
          <cell r="G275" t="str">
            <v>000000</v>
          </cell>
          <cell r="H275" t="str">
            <v>22665</v>
          </cell>
          <cell r="I275" t="str">
            <v>608000</v>
          </cell>
          <cell r="J275" t="str">
            <v>Paula C Holmwood</v>
          </cell>
          <cell r="K275" t="str">
            <v>D1</v>
          </cell>
        </row>
        <row r="276">
          <cell r="A276" t="str">
            <v xml:space="preserve"> 75</v>
          </cell>
          <cell r="B276" t="str">
            <v>003196</v>
          </cell>
          <cell r="C276" t="str">
            <v>cshp</v>
          </cell>
          <cell r="D276" t="str">
            <v>08/Dec/1998</v>
          </cell>
          <cell r="E276" t="str">
            <v>MWAL0118</v>
          </cell>
          <cell r="F276" t="str">
            <v>1998/12</v>
          </cell>
          <cell r="G276" t="str">
            <v>000000</v>
          </cell>
          <cell r="H276" t="str">
            <v>22665</v>
          </cell>
          <cell r="I276" t="str">
            <v>608000</v>
          </cell>
          <cell r="J276" t="str">
            <v>Mathieu LaPlante</v>
          </cell>
          <cell r="K276" t="str">
            <v>D1</v>
          </cell>
          <cell r="L276">
            <v>726.75</v>
          </cell>
          <cell r="M276" t="str">
            <v>X</v>
          </cell>
        </row>
        <row r="277">
          <cell r="A277" t="str">
            <v xml:space="preserve"> 75</v>
          </cell>
          <cell r="B277" t="str">
            <v>003196</v>
          </cell>
          <cell r="C277" t="str">
            <v>cshp</v>
          </cell>
          <cell r="D277" t="str">
            <v>08/Dec/1998</v>
          </cell>
          <cell r="E277" t="str">
            <v>MWAL0118</v>
          </cell>
          <cell r="F277" t="str">
            <v>1998/12</v>
          </cell>
          <cell r="G277" t="str">
            <v>000000</v>
          </cell>
          <cell r="H277" t="str">
            <v>22665</v>
          </cell>
          <cell r="I277" t="str">
            <v>608000</v>
          </cell>
          <cell r="J277" t="str">
            <v>Mathieu LaPlante</v>
          </cell>
          <cell r="K277" t="str">
            <v>D1</v>
          </cell>
          <cell r="L277">
            <v>969.64</v>
          </cell>
          <cell r="M277" t="str">
            <v>X</v>
          </cell>
        </row>
        <row r="278">
          <cell r="A278" t="str">
            <v xml:space="preserve"> 75</v>
          </cell>
          <cell r="B278" t="str">
            <v>003196</v>
          </cell>
          <cell r="C278" t="str">
            <v>cshp</v>
          </cell>
          <cell r="D278" t="str">
            <v>08/Dec/1998</v>
          </cell>
          <cell r="E278" t="str">
            <v>MWAL0118</v>
          </cell>
          <cell r="F278" t="str">
            <v>1998/12</v>
          </cell>
          <cell r="G278" t="str">
            <v>000000</v>
          </cell>
          <cell r="H278" t="str">
            <v>22665</v>
          </cell>
          <cell r="I278" t="str">
            <v>608000</v>
          </cell>
          <cell r="J278" t="str">
            <v>Mathieu LaPlante</v>
          </cell>
          <cell r="K278" t="str">
            <v>D1</v>
          </cell>
          <cell r="L278">
            <v>-644.5</v>
          </cell>
          <cell r="M278" t="str">
            <v>X</v>
          </cell>
        </row>
        <row r="279">
          <cell r="A279" t="str">
            <v xml:space="preserve"> 75</v>
          </cell>
          <cell r="B279" t="str">
            <v>002943</v>
          </cell>
          <cell r="C279" t="str">
            <v>cshp</v>
          </cell>
          <cell r="D279" t="str">
            <v>20/Nov/1998</v>
          </cell>
          <cell r="E279" t="str">
            <v>MWAL0109</v>
          </cell>
          <cell r="F279" t="str">
            <v>1998/11</v>
          </cell>
          <cell r="G279" t="str">
            <v>000000</v>
          </cell>
          <cell r="H279" t="str">
            <v>22665</v>
          </cell>
          <cell r="I279" t="str">
            <v>608000</v>
          </cell>
          <cell r="J279" t="str">
            <v>Melisa Beal</v>
          </cell>
          <cell r="K279" t="str">
            <v>D1</v>
          </cell>
          <cell r="L279">
            <v>533.84</v>
          </cell>
          <cell r="M279" t="str">
            <v>X</v>
          </cell>
        </row>
        <row r="280">
          <cell r="A280" t="str">
            <v xml:space="preserve"> 75</v>
          </cell>
          <cell r="B280" t="str">
            <v>002594</v>
          </cell>
          <cell r="C280" t="str">
            <v>cshp</v>
          </cell>
          <cell r="D280" t="str">
            <v>14/Sep/1998</v>
          </cell>
          <cell r="E280" t="str">
            <v>MWAL0080</v>
          </cell>
          <cell r="F280" t="str">
            <v>1998/09</v>
          </cell>
          <cell r="G280" t="str">
            <v>000000</v>
          </cell>
          <cell r="H280" t="str">
            <v>22665</v>
          </cell>
          <cell r="I280" t="str">
            <v>608000</v>
          </cell>
          <cell r="J280" t="str">
            <v>Michael C Hill</v>
          </cell>
          <cell r="K280" t="str">
            <v>D1</v>
          </cell>
          <cell r="L280">
            <v>593.96</v>
          </cell>
          <cell r="M280" t="str">
            <v>X</v>
          </cell>
        </row>
        <row r="281">
          <cell r="A281" t="str">
            <v xml:space="preserve"> 75</v>
          </cell>
          <cell r="B281" t="str">
            <v>003189</v>
          </cell>
          <cell r="C281" t="str">
            <v>cshp</v>
          </cell>
          <cell r="D281" t="str">
            <v>08/Dec/1998</v>
          </cell>
          <cell r="E281" t="str">
            <v>MWAL0118</v>
          </cell>
          <cell r="F281" t="str">
            <v>1998/12</v>
          </cell>
          <cell r="G281" t="str">
            <v>000000</v>
          </cell>
          <cell r="H281" t="str">
            <v>22665</v>
          </cell>
          <cell r="I281" t="str">
            <v>608000</v>
          </cell>
          <cell r="J281" t="str">
            <v>Orlando Conceicao</v>
          </cell>
          <cell r="K281" t="str">
            <v>D1</v>
          </cell>
          <cell r="L281">
            <v>650.25</v>
          </cell>
          <cell r="M281" t="str">
            <v>X</v>
          </cell>
        </row>
        <row r="282">
          <cell r="A282" t="str">
            <v xml:space="preserve"> 75</v>
          </cell>
          <cell r="B282" t="str">
            <v>003189</v>
          </cell>
          <cell r="C282" t="str">
            <v>cshp</v>
          </cell>
          <cell r="D282" t="str">
            <v>08/Dec/1998</v>
          </cell>
          <cell r="E282" t="str">
            <v>MWAL0118</v>
          </cell>
          <cell r="F282" t="str">
            <v>1998/12</v>
          </cell>
          <cell r="G282" t="str">
            <v>000000</v>
          </cell>
          <cell r="H282" t="str">
            <v>22665</v>
          </cell>
          <cell r="I282" t="str">
            <v>608000</v>
          </cell>
          <cell r="J282" t="str">
            <v>Orlando Conceicao</v>
          </cell>
          <cell r="K282" t="str">
            <v>D1</v>
          </cell>
          <cell r="L282">
            <v>1009.8</v>
          </cell>
          <cell r="M282" t="str">
            <v>X</v>
          </cell>
        </row>
        <row r="283">
          <cell r="A283" t="str">
            <v xml:space="preserve"> 75</v>
          </cell>
          <cell r="B283" t="str">
            <v>003189</v>
          </cell>
          <cell r="C283" t="str">
            <v>cshp</v>
          </cell>
          <cell r="D283" t="str">
            <v>08/Dec/1998</v>
          </cell>
          <cell r="E283" t="str">
            <v>MWAL0118</v>
          </cell>
          <cell r="F283" t="str">
            <v>1998/12</v>
          </cell>
          <cell r="G283" t="str">
            <v>000000</v>
          </cell>
          <cell r="H283" t="str">
            <v>22665</v>
          </cell>
          <cell r="I283" t="str">
            <v>608000</v>
          </cell>
          <cell r="J283" t="str">
            <v>Orlando Conceicao</v>
          </cell>
          <cell r="K283" t="str">
            <v>D1</v>
          </cell>
          <cell r="L283">
            <v>-566.86</v>
          </cell>
          <cell r="M283" t="str">
            <v>X</v>
          </cell>
        </row>
        <row r="284">
          <cell r="A284" t="str">
            <v xml:space="preserve"> 75</v>
          </cell>
          <cell r="B284" t="str">
            <v>002427</v>
          </cell>
          <cell r="C284" t="str">
            <v>cshp</v>
          </cell>
          <cell r="D284" t="str">
            <v>04/Jun/1998</v>
          </cell>
          <cell r="E284" t="str">
            <v>MWAL0025</v>
          </cell>
          <cell r="F284" t="str">
            <v>1998/06</v>
          </cell>
          <cell r="G284" t="str">
            <v>000000</v>
          </cell>
          <cell r="H284" t="str">
            <v>22665</v>
          </cell>
          <cell r="I284" t="str">
            <v>601000</v>
          </cell>
          <cell r="J284" t="str">
            <v>P Chartrand Coach PE 5/23</v>
          </cell>
          <cell r="K284" t="str">
            <v>D1</v>
          </cell>
          <cell r="L284">
            <v>369.4</v>
          </cell>
          <cell r="M284" t="str">
            <v>X</v>
          </cell>
        </row>
        <row r="285">
          <cell r="A285" t="str">
            <v xml:space="preserve"> 75</v>
          </cell>
          <cell r="B285" t="str">
            <v>003209</v>
          </cell>
          <cell r="C285" t="str">
            <v>cshp</v>
          </cell>
          <cell r="D285" t="str">
            <v>08/Dec/1998</v>
          </cell>
          <cell r="E285" t="str">
            <v>MWAL0118</v>
          </cell>
          <cell r="F285" t="str">
            <v>1998/12</v>
          </cell>
          <cell r="G285" t="str">
            <v>000000</v>
          </cell>
          <cell r="H285" t="str">
            <v>22665</v>
          </cell>
          <cell r="I285" t="str">
            <v>608000</v>
          </cell>
          <cell r="J285" t="str">
            <v>Pascal Van Strydonck</v>
          </cell>
          <cell r="K285" t="str">
            <v>D1</v>
          </cell>
          <cell r="L285">
            <v>4085.38</v>
          </cell>
          <cell r="M285" t="str">
            <v>X</v>
          </cell>
        </row>
        <row r="286">
          <cell r="A286" t="str">
            <v xml:space="preserve"> 75</v>
          </cell>
          <cell r="B286" t="str">
            <v>003209</v>
          </cell>
          <cell r="C286" t="str">
            <v>cshp</v>
          </cell>
          <cell r="D286" t="str">
            <v>08/Dec/1998</v>
          </cell>
          <cell r="E286" t="str">
            <v>MWAL0118</v>
          </cell>
          <cell r="F286" t="str">
            <v>1998/12</v>
          </cell>
          <cell r="G286" t="str">
            <v>000000</v>
          </cell>
          <cell r="H286" t="str">
            <v>22665</v>
          </cell>
          <cell r="I286" t="str">
            <v>608000</v>
          </cell>
          <cell r="J286" t="str">
            <v>Pascal Van Strydonck</v>
          </cell>
          <cell r="K286" t="str">
            <v>D1</v>
          </cell>
          <cell r="L286">
            <v>1246</v>
          </cell>
          <cell r="M286" t="str">
            <v>X</v>
          </cell>
        </row>
        <row r="287">
          <cell r="A287" t="str">
            <v xml:space="preserve"> 75</v>
          </cell>
          <cell r="B287" t="str">
            <v>003209</v>
          </cell>
          <cell r="C287" t="str">
            <v>cshp</v>
          </cell>
          <cell r="D287" t="str">
            <v>08/Dec/1998</v>
          </cell>
          <cell r="E287" t="str">
            <v>MWAL0118</v>
          </cell>
          <cell r="F287" t="str">
            <v>1998/12</v>
          </cell>
          <cell r="G287" t="str">
            <v>000000</v>
          </cell>
          <cell r="H287" t="str">
            <v>22665</v>
          </cell>
          <cell r="I287" t="str">
            <v>608000</v>
          </cell>
          <cell r="J287" t="str">
            <v>Pascal Van Strydonck</v>
          </cell>
          <cell r="K287" t="str">
            <v>D1</v>
          </cell>
          <cell r="L287">
            <v>-616.85</v>
          </cell>
          <cell r="M287" t="str">
            <v>X</v>
          </cell>
        </row>
        <row r="288">
          <cell r="A288" t="str">
            <v xml:space="preserve"> 75</v>
          </cell>
          <cell r="B288" t="str">
            <v>002830</v>
          </cell>
          <cell r="C288" t="str">
            <v>cshp</v>
          </cell>
          <cell r="D288" t="str">
            <v>23/Oct/1998</v>
          </cell>
          <cell r="E288" t="str">
            <v>MWAL0095</v>
          </cell>
          <cell r="F288" t="str">
            <v>1998/10</v>
          </cell>
          <cell r="G288" t="str">
            <v>000000</v>
          </cell>
          <cell r="H288" t="str">
            <v>22665</v>
          </cell>
          <cell r="I288" t="str">
            <v>608000</v>
          </cell>
          <cell r="J288" t="str">
            <v>Patrick H Shannon</v>
          </cell>
          <cell r="K288" t="str">
            <v>D1</v>
          </cell>
          <cell r="L288">
            <v>290.89999999999998</v>
          </cell>
          <cell r="M288" t="str">
            <v>X</v>
          </cell>
        </row>
        <row r="289">
          <cell r="A289" t="str">
            <v xml:space="preserve"> 75</v>
          </cell>
          <cell r="B289" t="str">
            <v>003194</v>
          </cell>
          <cell r="C289" t="str">
            <v>cshp</v>
          </cell>
          <cell r="D289" t="str">
            <v>08/Dec/1998</v>
          </cell>
          <cell r="E289" t="str">
            <v>MWAL0118</v>
          </cell>
          <cell r="F289" t="str">
            <v>1998/12</v>
          </cell>
          <cell r="G289" t="str">
            <v>000000</v>
          </cell>
          <cell r="H289" t="str">
            <v>22665</v>
          </cell>
          <cell r="I289" t="str">
            <v>608000</v>
          </cell>
          <cell r="J289" t="str">
            <v>Paula C Holmwood</v>
          </cell>
          <cell r="K289" t="str">
            <v>D1</v>
          </cell>
          <cell r="L289">
            <v>327.58999999999997</v>
          </cell>
          <cell r="M289" t="str">
            <v>X</v>
          </cell>
        </row>
        <row r="290">
          <cell r="A290" t="str">
            <v xml:space="preserve"> 75</v>
          </cell>
          <cell r="B290" t="str">
            <v>003194</v>
          </cell>
          <cell r="C290" t="str">
            <v>cshp</v>
          </cell>
          <cell r="D290" t="str">
            <v>08/Dec/1998</v>
          </cell>
          <cell r="E290" t="str">
            <v>MWAL0118</v>
          </cell>
          <cell r="F290" t="str">
            <v>1998/12</v>
          </cell>
          <cell r="G290" t="str">
            <v>000000</v>
          </cell>
          <cell r="H290" t="str">
            <v>22665</v>
          </cell>
          <cell r="I290" t="str">
            <v>608000</v>
          </cell>
          <cell r="J290" t="str">
            <v>Paula C Holmwood</v>
          </cell>
          <cell r="K290" t="str">
            <v>D1</v>
          </cell>
          <cell r="L290">
            <v>896.58</v>
          </cell>
          <cell r="M290" t="str">
            <v>X</v>
          </cell>
        </row>
        <row r="291">
          <cell r="A291" t="str">
            <v xml:space="preserve"> 75</v>
          </cell>
          <cell r="B291" t="str">
            <v>003194</v>
          </cell>
          <cell r="C291" t="str">
            <v>cshp</v>
          </cell>
          <cell r="D291" t="str">
            <v>08/Dec/1998</v>
          </cell>
          <cell r="E291" t="str">
            <v>MWAL0118</v>
          </cell>
          <cell r="F291" t="str">
            <v>1998/12</v>
          </cell>
          <cell r="G291" t="str">
            <v>000000</v>
          </cell>
          <cell r="H291" t="str">
            <v>22665</v>
          </cell>
          <cell r="I291" t="str">
            <v>608000</v>
          </cell>
          <cell r="J291" t="str">
            <v>Paula C Holmwood</v>
          </cell>
          <cell r="K291" t="str">
            <v>D1</v>
          </cell>
          <cell r="L291">
            <v>-477.38</v>
          </cell>
          <cell r="M291" t="str">
            <v>X</v>
          </cell>
        </row>
        <row r="292">
          <cell r="A292" t="str">
            <v xml:space="preserve"> 75</v>
          </cell>
          <cell r="B292" t="str">
            <v>002071</v>
          </cell>
          <cell r="C292" t="str">
            <v>cshp</v>
          </cell>
          <cell r="D292" t="str">
            <v>20/Feb/1998</v>
          </cell>
          <cell r="E292" t="str">
            <v>KPUR0009</v>
          </cell>
          <cell r="F292" t="str">
            <v>1998/02</v>
          </cell>
          <cell r="G292" t="str">
            <v>000000</v>
          </cell>
          <cell r="H292" t="str">
            <v>22665</v>
          </cell>
          <cell r="I292" t="str">
            <v>601000</v>
          </cell>
          <cell r="J292" t="str">
            <v>PAVEL BRUN PE 1/17 REPLCMNT</v>
          </cell>
          <cell r="K292" t="str">
            <v>D1</v>
          </cell>
          <cell r="L292">
            <v>2036.79</v>
          </cell>
        </row>
        <row r="293">
          <cell r="A293" t="str">
            <v xml:space="preserve"> 01</v>
          </cell>
          <cell r="B293" t="str">
            <v>000499</v>
          </cell>
          <cell r="C293" t="str">
            <v>Jrnl</v>
          </cell>
          <cell r="D293" t="str">
            <v>22/Jul/1998</v>
          </cell>
          <cell r="E293" t="str">
            <v>KPUR0808</v>
          </cell>
          <cell r="F293" t="str">
            <v>1998/07</v>
          </cell>
          <cell r="G293" t="str">
            <v>000000</v>
          </cell>
          <cell r="H293" t="str">
            <v>22675</v>
          </cell>
          <cell r="I293" t="str">
            <v>608000</v>
          </cell>
          <cell r="J293" t="str">
            <v>RETRO VAC ACC FLEMING</v>
          </cell>
          <cell r="K293" t="str">
            <v>D1</v>
          </cell>
          <cell r="L293">
            <v>-262.5</v>
          </cell>
        </row>
        <row r="294">
          <cell r="A294" t="str">
            <v xml:space="preserve"> 75</v>
          </cell>
          <cell r="B294" t="str">
            <v>002071</v>
          </cell>
          <cell r="C294" t="str">
            <v>cshp</v>
          </cell>
          <cell r="D294" t="str">
            <v>20/Feb/1998</v>
          </cell>
          <cell r="E294" t="str">
            <v>KPUR0009</v>
          </cell>
          <cell r="F294" t="str">
            <v>1998/02</v>
          </cell>
          <cell r="G294" t="str">
            <v>000000</v>
          </cell>
          <cell r="H294" t="str">
            <v>22665</v>
          </cell>
          <cell r="I294" t="str">
            <v>601000</v>
          </cell>
          <cell r="J294" t="str">
            <v>PAVEL BRUN PO 1/31 RPLCMNT</v>
          </cell>
          <cell r="K294" t="str">
            <v>D1</v>
          </cell>
          <cell r="L294">
            <v>2491.4499999999998</v>
          </cell>
          <cell r="M294" t="str">
            <v>X</v>
          </cell>
        </row>
        <row r="295">
          <cell r="A295" t="str">
            <v xml:space="preserve"> 01</v>
          </cell>
          <cell r="B295" t="str">
            <v>000442</v>
          </cell>
          <cell r="C295" t="str">
            <v>Jrnl</v>
          </cell>
          <cell r="D295" t="str">
            <v>24/Jun/1998</v>
          </cell>
          <cell r="E295" t="str">
            <v>KPUR0637</v>
          </cell>
          <cell r="F295" t="str">
            <v>1998/06</v>
          </cell>
          <cell r="G295" t="str">
            <v>000000</v>
          </cell>
          <cell r="H295" t="str">
            <v>22665</v>
          </cell>
          <cell r="I295" t="str">
            <v>601000</v>
          </cell>
          <cell r="J295" t="str">
            <v>PE 6-6 DIR DEP</v>
          </cell>
          <cell r="K295" t="str">
            <v>D1</v>
          </cell>
          <cell r="L295">
            <v>-69737.66</v>
          </cell>
          <cell r="M295" t="str">
            <v>X</v>
          </cell>
        </row>
        <row r="296">
          <cell r="A296" t="str">
            <v xml:space="preserve"> 01</v>
          </cell>
          <cell r="B296" t="str">
            <v>000549</v>
          </cell>
          <cell r="C296" t="str">
            <v>Jrnl</v>
          </cell>
          <cell r="D296" t="str">
            <v>31/Aug/1998</v>
          </cell>
          <cell r="E296" t="str">
            <v>TLOH2063</v>
          </cell>
          <cell r="F296" t="str">
            <v>1998/08</v>
          </cell>
          <cell r="G296" t="str">
            <v>000000</v>
          </cell>
          <cell r="H296" t="str">
            <v>22665</v>
          </cell>
          <cell r="I296" t="str">
            <v>601000</v>
          </cell>
          <cell r="J296" t="str">
            <v>PE 7/18 RECLASS MOVING</v>
          </cell>
          <cell r="K296" t="str">
            <v>D1</v>
          </cell>
          <cell r="L296">
            <v>11095.19</v>
          </cell>
          <cell r="M296" t="str">
            <v>X</v>
          </cell>
        </row>
        <row r="297">
          <cell r="A297" t="str">
            <v xml:space="preserve"> 75</v>
          </cell>
          <cell r="B297" t="str">
            <v>002425</v>
          </cell>
          <cell r="C297" t="str">
            <v>cshp</v>
          </cell>
          <cell r="D297" t="str">
            <v>04/Jun/1998</v>
          </cell>
          <cell r="E297" t="str">
            <v>MWAL0024</v>
          </cell>
          <cell r="F297" t="str">
            <v>1998/06</v>
          </cell>
          <cell r="G297" t="str">
            <v>000000</v>
          </cell>
          <cell r="H297" t="str">
            <v>22665</v>
          </cell>
          <cell r="I297" t="str">
            <v>601000</v>
          </cell>
          <cell r="J297" t="str">
            <v>Philippe Chartrand Coaching</v>
          </cell>
          <cell r="K297" t="str">
            <v>D1</v>
          </cell>
          <cell r="L297">
            <v>369.4</v>
          </cell>
          <cell r="M297" t="str">
            <v>X</v>
          </cell>
        </row>
        <row r="298">
          <cell r="A298" t="str">
            <v xml:space="preserve"> 02</v>
          </cell>
          <cell r="B298" t="str">
            <v>000022</v>
          </cell>
          <cell r="C298" t="str">
            <v>Accl</v>
          </cell>
          <cell r="D298" t="str">
            <v>30/Mar/1998</v>
          </cell>
          <cell r="E298" t="str">
            <v>ARAI0701</v>
          </cell>
          <cell r="F298" t="str">
            <v>1998/09</v>
          </cell>
          <cell r="G298" t="str">
            <v>000000</v>
          </cell>
          <cell r="H298" t="str">
            <v>22665</v>
          </cell>
          <cell r="J298" t="str">
            <v>profit sharing accrued 30/09</v>
          </cell>
          <cell r="K298" t="str">
            <v>C1</v>
          </cell>
          <cell r="L298">
            <v>-60850.07</v>
          </cell>
          <cell r="M298" t="str">
            <v>X</v>
          </cell>
        </row>
        <row r="299">
          <cell r="A299" t="str">
            <v xml:space="preserve"> 03</v>
          </cell>
          <cell r="B299" t="str">
            <v>000022</v>
          </cell>
          <cell r="C299" t="str">
            <v>Rvsl</v>
          </cell>
          <cell r="D299" t="str">
            <v>30/Mar/1998</v>
          </cell>
          <cell r="E299" t="str">
            <v>ARAI0701</v>
          </cell>
          <cell r="F299" t="str">
            <v>1998/10</v>
          </cell>
          <cell r="G299" t="str">
            <v>000000</v>
          </cell>
          <cell r="H299" t="str">
            <v>22665</v>
          </cell>
          <cell r="J299" t="str">
            <v>profit sharing accrued 30/09</v>
          </cell>
          <cell r="K299" t="str">
            <v>C1</v>
          </cell>
          <cell r="L299">
            <v>60850.07</v>
          </cell>
          <cell r="M299" t="str">
            <v>X</v>
          </cell>
        </row>
        <row r="300">
          <cell r="A300" t="str">
            <v xml:space="preserve"> 01</v>
          </cell>
          <cell r="B300" t="str">
            <v>000281</v>
          </cell>
          <cell r="C300" t="str">
            <v>Jrnl</v>
          </cell>
          <cell r="D300" t="str">
            <v>20/Mar/1998</v>
          </cell>
          <cell r="E300" t="str">
            <v>KPUR0149</v>
          </cell>
          <cell r="F300" t="str">
            <v>1998/03</v>
          </cell>
          <cell r="G300" t="str">
            <v>000000</v>
          </cell>
          <cell r="H300" t="str">
            <v>22665</v>
          </cell>
          <cell r="I300" t="str">
            <v>601000</v>
          </cell>
          <cell r="J300" t="str">
            <v>RECODE J FARMER CK #02117</v>
          </cell>
          <cell r="K300" t="str">
            <v>D1</v>
          </cell>
          <cell r="L300">
            <v>554.1</v>
          </cell>
          <cell r="M300" t="str">
            <v>X</v>
          </cell>
        </row>
        <row r="301">
          <cell r="A301" t="str">
            <v xml:space="preserve"> 75</v>
          </cell>
          <cell r="B301" t="str">
            <v>002591</v>
          </cell>
          <cell r="C301" t="str">
            <v>cshp</v>
          </cell>
          <cell r="D301" t="str">
            <v>03/Sep/1998</v>
          </cell>
          <cell r="E301" t="str">
            <v>MWAL0068</v>
          </cell>
          <cell r="F301" t="str">
            <v>1998/09</v>
          </cell>
          <cell r="G301" t="str">
            <v>000000</v>
          </cell>
          <cell r="H301" t="str">
            <v>22665</v>
          </cell>
          <cell r="I301" t="str">
            <v>608000</v>
          </cell>
          <cell r="J301" t="str">
            <v>Reda Guerinik</v>
          </cell>
          <cell r="K301" t="str">
            <v>D1</v>
          </cell>
          <cell r="L301">
            <v>915.27</v>
          </cell>
          <cell r="M301" t="str">
            <v>X</v>
          </cell>
        </row>
        <row r="302">
          <cell r="A302" t="str">
            <v xml:space="preserve"> 75</v>
          </cell>
          <cell r="B302" t="str">
            <v>002831</v>
          </cell>
          <cell r="C302" t="str">
            <v>cshp</v>
          </cell>
          <cell r="D302" t="str">
            <v>26/Oct/1998</v>
          </cell>
          <cell r="E302" t="str">
            <v>MWAL0096</v>
          </cell>
          <cell r="F302" t="str">
            <v>1998/10</v>
          </cell>
          <cell r="G302" t="str">
            <v>000000</v>
          </cell>
          <cell r="H302" t="str">
            <v>22665</v>
          </cell>
          <cell r="I302" t="str">
            <v>608000</v>
          </cell>
          <cell r="J302" t="str">
            <v>Reda Guerinik</v>
          </cell>
          <cell r="K302" t="str">
            <v>D1</v>
          </cell>
          <cell r="L302">
            <v>1451.63</v>
          </cell>
          <cell r="M302" t="str">
            <v>X</v>
          </cell>
        </row>
        <row r="303">
          <cell r="A303" t="str">
            <v xml:space="preserve"> 75</v>
          </cell>
          <cell r="B303" t="str">
            <v>003072</v>
          </cell>
          <cell r="C303" t="str">
            <v>cshp</v>
          </cell>
          <cell r="D303" t="str">
            <v>10/Nov/1998</v>
          </cell>
          <cell r="E303" t="str">
            <v>MWAL0103</v>
          </cell>
          <cell r="F303" t="str">
            <v>1998/11</v>
          </cell>
          <cell r="G303" t="str">
            <v>000000</v>
          </cell>
          <cell r="H303" t="str">
            <v>22665</v>
          </cell>
          <cell r="I303" t="str">
            <v>608000</v>
          </cell>
          <cell r="J303" t="str">
            <v>Reda Guerinik</v>
          </cell>
          <cell r="K303" t="str">
            <v>D1</v>
          </cell>
          <cell r="L303">
            <v>1268.6099999999999</v>
          </cell>
          <cell r="M303" t="str">
            <v>X</v>
          </cell>
        </row>
        <row r="304">
          <cell r="A304" t="str">
            <v xml:space="preserve"> 75</v>
          </cell>
          <cell r="B304" t="str">
            <v>003081</v>
          </cell>
          <cell r="C304" t="str">
            <v>cshp</v>
          </cell>
          <cell r="D304" t="str">
            <v>24/Nov/1998</v>
          </cell>
          <cell r="E304" t="str">
            <v>MWAL0111</v>
          </cell>
          <cell r="F304" t="str">
            <v>1998/11</v>
          </cell>
          <cell r="G304" t="str">
            <v>000000</v>
          </cell>
          <cell r="H304" t="str">
            <v>22665</v>
          </cell>
          <cell r="I304" t="str">
            <v>608000</v>
          </cell>
          <cell r="J304" t="str">
            <v>Reda Guerinik</v>
          </cell>
          <cell r="K304" t="str">
            <v>D1</v>
          </cell>
          <cell r="L304">
            <v>1678.61</v>
          </cell>
          <cell r="M304" t="str">
            <v>X</v>
          </cell>
        </row>
        <row r="305">
          <cell r="A305" t="str">
            <v xml:space="preserve"> 75</v>
          </cell>
          <cell r="B305" t="str">
            <v>003082</v>
          </cell>
          <cell r="C305" t="str">
            <v>cshp</v>
          </cell>
          <cell r="D305" t="str">
            <v>24/Nov/1998</v>
          </cell>
          <cell r="E305" t="str">
            <v>MWAL0111</v>
          </cell>
          <cell r="F305" t="str">
            <v>1998/11</v>
          </cell>
          <cell r="G305" t="str">
            <v>000000</v>
          </cell>
          <cell r="H305" t="str">
            <v>22665</v>
          </cell>
          <cell r="I305" t="str">
            <v>608000</v>
          </cell>
          <cell r="J305" t="str">
            <v>Reda Guerinik</v>
          </cell>
          <cell r="K305" t="str">
            <v>D1</v>
          </cell>
          <cell r="L305">
            <v>1723.61</v>
          </cell>
          <cell r="M305" t="str">
            <v>X</v>
          </cell>
        </row>
        <row r="306">
          <cell r="A306" t="str">
            <v xml:space="preserve"> 75</v>
          </cell>
          <cell r="B306" t="str">
            <v>003192</v>
          </cell>
          <cell r="C306" t="str">
            <v>cshp</v>
          </cell>
          <cell r="D306" t="str">
            <v>08/Dec/1998</v>
          </cell>
          <cell r="E306" t="str">
            <v>MWAL0118</v>
          </cell>
          <cell r="F306" t="str">
            <v>1998/12</v>
          </cell>
          <cell r="G306" t="str">
            <v>000000</v>
          </cell>
          <cell r="H306" t="str">
            <v>22665</v>
          </cell>
          <cell r="I306" t="str">
            <v>608000</v>
          </cell>
          <cell r="J306" t="str">
            <v>Reda Guerinik</v>
          </cell>
          <cell r="K306" t="str">
            <v>D1</v>
          </cell>
          <cell r="L306">
            <v>337.8</v>
          </cell>
          <cell r="M306" t="str">
            <v>X</v>
          </cell>
        </row>
        <row r="307">
          <cell r="A307" t="str">
            <v xml:space="preserve"> 75</v>
          </cell>
          <cell r="B307" t="str">
            <v>003192</v>
          </cell>
          <cell r="C307" t="str">
            <v>cshp</v>
          </cell>
          <cell r="D307" t="str">
            <v>08/Dec/1998</v>
          </cell>
          <cell r="E307" t="str">
            <v>MWAL0118</v>
          </cell>
          <cell r="F307" t="str">
            <v>1998/12</v>
          </cell>
          <cell r="G307" t="str">
            <v>000000</v>
          </cell>
          <cell r="H307" t="str">
            <v>22665</v>
          </cell>
          <cell r="I307" t="str">
            <v>608000</v>
          </cell>
          <cell r="J307" t="str">
            <v>Reda Guerinik</v>
          </cell>
          <cell r="K307" t="str">
            <v>D1</v>
          </cell>
          <cell r="L307">
            <v>1284.43</v>
          </cell>
          <cell r="M307" t="str">
            <v>X</v>
          </cell>
        </row>
        <row r="308">
          <cell r="A308" t="str">
            <v xml:space="preserve"> 75</v>
          </cell>
          <cell r="B308" t="str">
            <v>003192</v>
          </cell>
          <cell r="C308" t="str">
            <v>cshp</v>
          </cell>
          <cell r="D308" t="str">
            <v>08/Dec/1998</v>
          </cell>
          <cell r="E308" t="str">
            <v>MWAL0118</v>
          </cell>
          <cell r="F308" t="str">
            <v>1998/12</v>
          </cell>
          <cell r="G308" t="str">
            <v>000000</v>
          </cell>
          <cell r="H308" t="str">
            <v>22665</v>
          </cell>
          <cell r="I308" t="str">
            <v>608000</v>
          </cell>
          <cell r="J308" t="str">
            <v>Reda Guerinik</v>
          </cell>
          <cell r="K308" t="str">
            <v>D1</v>
          </cell>
          <cell r="L308">
            <v>-555.25</v>
          </cell>
          <cell r="M308" t="str">
            <v>X</v>
          </cell>
        </row>
        <row r="309">
          <cell r="A309" t="str">
            <v xml:space="preserve"> 75</v>
          </cell>
          <cell r="B309" t="str">
            <v>902831</v>
          </cell>
          <cell r="C309" t="str">
            <v>cshp</v>
          </cell>
          <cell r="D309" t="str">
            <v>26/Oct/1998</v>
          </cell>
          <cell r="E309" t="str">
            <v>MWAL0097</v>
          </cell>
          <cell r="F309" t="str">
            <v>1998/10</v>
          </cell>
          <cell r="G309" t="str">
            <v>000000</v>
          </cell>
          <cell r="H309" t="str">
            <v>22665</v>
          </cell>
          <cell r="I309" t="str">
            <v>608000</v>
          </cell>
          <cell r="J309" t="str">
            <v>Reda Guerinik</v>
          </cell>
          <cell r="K309" t="str">
            <v>D1</v>
          </cell>
          <cell r="L309">
            <v>1451.63</v>
          </cell>
          <cell r="M309" t="str">
            <v>X</v>
          </cell>
        </row>
        <row r="310">
          <cell r="A310" t="str">
            <v xml:space="preserve"> 75</v>
          </cell>
          <cell r="B310" t="str">
            <v>002582</v>
          </cell>
          <cell r="C310" t="str">
            <v>cshp</v>
          </cell>
          <cell r="D310" t="str">
            <v>20/Aug/1998</v>
          </cell>
          <cell r="E310" t="str">
            <v>KPUR0858</v>
          </cell>
          <cell r="F310" t="str">
            <v>1998/08</v>
          </cell>
          <cell r="G310" t="str">
            <v>000000</v>
          </cell>
          <cell r="H310" t="str">
            <v>22665</v>
          </cell>
          <cell r="I310" t="str">
            <v>608000</v>
          </cell>
          <cell r="J310" t="str">
            <v>REDA GUERINIK PE 8/15/98</v>
          </cell>
          <cell r="K310" t="str">
            <v>D1</v>
          </cell>
          <cell r="L310">
            <v>933.28</v>
          </cell>
          <cell r="M310" t="str">
            <v>X</v>
          </cell>
        </row>
        <row r="311">
          <cell r="A311" t="str">
            <v xml:space="preserve"> 92</v>
          </cell>
          <cell r="B311" t="str">
            <v>000030</v>
          </cell>
          <cell r="C311" t="str">
            <v>reev</v>
          </cell>
          <cell r="D311" t="str">
            <v>30/Sep/1998</v>
          </cell>
          <cell r="E311" t="str">
            <v>JBEN0706</v>
          </cell>
          <cell r="F311" t="str">
            <v>1998/09</v>
          </cell>
          <cell r="G311" t="str">
            <v>000000</v>
          </cell>
          <cell r="H311" t="str">
            <v>22665</v>
          </cell>
          <cell r="J311" t="str">
            <v>Re-evaluation Per. 1998/09</v>
          </cell>
          <cell r="K311" t="str">
            <v>C1</v>
          </cell>
          <cell r="L311">
            <v>4657.54</v>
          </cell>
          <cell r="M311" t="str">
            <v>X</v>
          </cell>
        </row>
        <row r="312">
          <cell r="A312" t="str">
            <v xml:space="preserve"> 93</v>
          </cell>
          <cell r="B312" t="str">
            <v>000030</v>
          </cell>
          <cell r="C312" t="str">
            <v>Rree</v>
          </cell>
          <cell r="D312" t="str">
            <v>31/Oct/1998</v>
          </cell>
          <cell r="E312" t="str">
            <v>MPAS0012</v>
          </cell>
          <cell r="F312" t="str">
            <v>1998/10</v>
          </cell>
          <cell r="G312" t="str">
            <v>000000</v>
          </cell>
          <cell r="H312" t="str">
            <v>22665</v>
          </cell>
          <cell r="J312" t="str">
            <v>Re-evaluation Per. 1998/09 Rev</v>
          </cell>
          <cell r="K312" t="str">
            <v>C1</v>
          </cell>
          <cell r="L312">
            <v>-4657.54</v>
          </cell>
          <cell r="M312" t="str">
            <v>X</v>
          </cell>
        </row>
        <row r="313">
          <cell r="A313" t="str">
            <v xml:space="preserve"> 01</v>
          </cell>
          <cell r="B313" t="str">
            <v>000546</v>
          </cell>
          <cell r="C313" t="str">
            <v>Jrnl</v>
          </cell>
          <cell r="D313" t="str">
            <v>31/Aug/1998</v>
          </cell>
          <cell r="E313" t="str">
            <v>TLOH2054</v>
          </cell>
          <cell r="F313" t="str">
            <v>1998/08</v>
          </cell>
          <cell r="G313" t="str">
            <v>000000</v>
          </cell>
          <cell r="H313" t="str">
            <v>22665</v>
          </cell>
          <cell r="I313" t="str">
            <v>601000</v>
          </cell>
          <cell r="J313" t="str">
            <v>REV DIR DEP - BRUN</v>
          </cell>
          <cell r="K313" t="str">
            <v>D1</v>
          </cell>
          <cell r="L313">
            <v>2106.52</v>
          </cell>
          <cell r="M313" t="str">
            <v>X</v>
          </cell>
        </row>
        <row r="314">
          <cell r="A314" t="str">
            <v xml:space="preserve"> 01</v>
          </cell>
          <cell r="B314" t="str">
            <v>000342</v>
          </cell>
          <cell r="C314" t="str">
            <v>Jrnl</v>
          </cell>
          <cell r="D314" t="str">
            <v>24/Apr/1998</v>
          </cell>
          <cell r="E314" t="str">
            <v>KPUR0351</v>
          </cell>
          <cell r="F314" t="str">
            <v>1998/04</v>
          </cell>
          <cell r="G314" t="str">
            <v>000000</v>
          </cell>
          <cell r="H314" t="str">
            <v>22665</v>
          </cell>
          <cell r="I314" t="str">
            <v>601000</v>
          </cell>
          <cell r="J314" t="str">
            <v>REV DIR DEP DEWHURST</v>
          </cell>
          <cell r="K314" t="str">
            <v>D1</v>
          </cell>
          <cell r="L314">
            <v>-1038.05</v>
          </cell>
          <cell r="M314" t="str">
            <v>X</v>
          </cell>
        </row>
        <row r="315">
          <cell r="A315" t="str">
            <v xml:space="preserve"> 01</v>
          </cell>
          <cell r="B315" t="str">
            <v>000542</v>
          </cell>
          <cell r="C315" t="str">
            <v>Jrnl</v>
          </cell>
          <cell r="D315" t="str">
            <v>27/Aug/1998</v>
          </cell>
          <cell r="E315" t="str">
            <v>KPUR0876</v>
          </cell>
          <cell r="F315" t="str">
            <v>1998/08</v>
          </cell>
          <cell r="G315" t="str">
            <v>000000</v>
          </cell>
          <cell r="H315" t="str">
            <v>22665</v>
          </cell>
          <cell r="I315" t="str">
            <v>601000</v>
          </cell>
          <cell r="J315" t="str">
            <v>REV DIR DEP PE 7/18</v>
          </cell>
          <cell r="K315" t="str">
            <v>D1</v>
          </cell>
          <cell r="L315">
            <v>-2106.52</v>
          </cell>
          <cell r="M315" t="str">
            <v>X</v>
          </cell>
        </row>
        <row r="316">
          <cell r="A316" t="str">
            <v xml:space="preserve"> 01</v>
          </cell>
          <cell r="B316" t="str">
            <v>000663</v>
          </cell>
          <cell r="C316" t="str">
            <v>Jrnl</v>
          </cell>
          <cell r="D316" t="str">
            <v>22/Oct/1998</v>
          </cell>
          <cell r="E316" t="str">
            <v>KPUR0983</v>
          </cell>
          <cell r="F316" t="str">
            <v>1998/10</v>
          </cell>
          <cell r="G316" t="str">
            <v>000000</v>
          </cell>
          <cell r="H316" t="str">
            <v>22665</v>
          </cell>
          <cell r="I316" t="str">
            <v>608000</v>
          </cell>
          <cell r="J316" t="str">
            <v>Reversing Doc 657, ent incorr</v>
          </cell>
          <cell r="K316" t="str">
            <v>D1</v>
          </cell>
          <cell r="L316">
            <v>-92.35</v>
          </cell>
          <cell r="M316" t="str">
            <v>X</v>
          </cell>
        </row>
        <row r="317">
          <cell r="A317" t="str">
            <v xml:space="preserve"> 75</v>
          </cell>
          <cell r="B317" t="str">
            <v>002622</v>
          </cell>
          <cell r="C317" t="str">
            <v>cshp</v>
          </cell>
          <cell r="D317" t="str">
            <v>22/Oct/1998</v>
          </cell>
          <cell r="E317" t="str">
            <v>MWAL0094</v>
          </cell>
          <cell r="F317" t="str">
            <v>1998/10</v>
          </cell>
          <cell r="G317" t="str">
            <v>000000</v>
          </cell>
          <cell r="H317" t="str">
            <v>22665</v>
          </cell>
          <cell r="I317" t="str">
            <v>608000</v>
          </cell>
          <cell r="J317" t="str">
            <v>Richard L Roper, Jr</v>
          </cell>
          <cell r="K317" t="str">
            <v>D1</v>
          </cell>
          <cell r="L317">
            <v>216.5</v>
          </cell>
          <cell r="M317" t="str">
            <v>X</v>
          </cell>
        </row>
        <row r="318">
          <cell r="A318" t="str">
            <v xml:space="preserve"> 75</v>
          </cell>
          <cell r="B318" t="str">
            <v>019946</v>
          </cell>
          <cell r="C318" t="str">
            <v>cshp</v>
          </cell>
          <cell r="D318" t="str">
            <v>25/Sep/1998</v>
          </cell>
          <cell r="E318" t="str">
            <v>MWAL0087</v>
          </cell>
          <cell r="F318" t="str">
            <v>1998/09</v>
          </cell>
          <cell r="G318" t="str">
            <v>000000</v>
          </cell>
          <cell r="H318" t="str">
            <v>22665</v>
          </cell>
          <cell r="I318" t="str">
            <v>608000</v>
          </cell>
          <cell r="J318" t="str">
            <v>Roxane Potvin</v>
          </cell>
          <cell r="K318" t="str">
            <v>D1</v>
          </cell>
          <cell r="L318">
            <v>92.35</v>
          </cell>
          <cell r="M318" t="str">
            <v>X</v>
          </cell>
        </row>
        <row r="319">
          <cell r="A319" t="str">
            <v xml:space="preserve"> 01</v>
          </cell>
          <cell r="B319" t="str">
            <v>000696</v>
          </cell>
          <cell r="C319" t="str">
            <v>Jrnl</v>
          </cell>
          <cell r="D319" t="str">
            <v>31/Oct/1998</v>
          </cell>
          <cell r="E319" t="str">
            <v>CWAN0317</v>
          </cell>
          <cell r="F319" t="str">
            <v>1998/10</v>
          </cell>
          <cell r="G319" t="str">
            <v>000000</v>
          </cell>
          <cell r="H319" t="str">
            <v>22675</v>
          </cell>
          <cell r="I319" t="str">
            <v>601000</v>
          </cell>
          <cell r="J319" t="str">
            <v>REV COACH VAC ACCR 7/98</v>
          </cell>
          <cell r="K319" t="str">
            <v>D1</v>
          </cell>
          <cell r="L319">
            <v>182</v>
          </cell>
        </row>
        <row r="320">
          <cell r="A320" t="str">
            <v xml:space="preserve"> 75</v>
          </cell>
          <cell r="B320" t="str">
            <v>003187</v>
          </cell>
          <cell r="C320" t="str">
            <v>cshp</v>
          </cell>
          <cell r="D320" t="str">
            <v>08/Dec/1998</v>
          </cell>
          <cell r="E320" t="str">
            <v>MWAL0118</v>
          </cell>
          <cell r="F320" t="str">
            <v>1998/12</v>
          </cell>
          <cell r="G320" t="str">
            <v>000000</v>
          </cell>
          <cell r="H320" t="str">
            <v>22665</v>
          </cell>
          <cell r="I320" t="str">
            <v>608000</v>
          </cell>
          <cell r="J320" t="str">
            <v>Stephanie Bissonnette</v>
          </cell>
          <cell r="K320" t="str">
            <v>D1</v>
          </cell>
          <cell r="L320">
            <v>709.71</v>
          </cell>
          <cell r="M320" t="str">
            <v>X</v>
          </cell>
        </row>
        <row r="321">
          <cell r="A321" t="str">
            <v xml:space="preserve"> 75</v>
          </cell>
          <cell r="B321" t="str">
            <v>003187</v>
          </cell>
          <cell r="C321" t="str">
            <v>cshp</v>
          </cell>
          <cell r="D321" t="str">
            <v>08/Dec/1998</v>
          </cell>
          <cell r="E321" t="str">
            <v>MWAL0118</v>
          </cell>
          <cell r="F321" t="str">
            <v>1998/12</v>
          </cell>
          <cell r="G321" t="str">
            <v>000000</v>
          </cell>
          <cell r="H321" t="str">
            <v>22665</v>
          </cell>
          <cell r="I321" t="str">
            <v>608000</v>
          </cell>
          <cell r="J321" t="str">
            <v>Stephanie Bissonnette</v>
          </cell>
          <cell r="K321" t="str">
            <v>D1</v>
          </cell>
          <cell r="L321">
            <v>874.4</v>
          </cell>
          <cell r="M321" t="str">
            <v>X</v>
          </cell>
        </row>
        <row r="322">
          <cell r="A322" t="str">
            <v xml:space="preserve"> 75</v>
          </cell>
          <cell r="B322" t="str">
            <v>003187</v>
          </cell>
          <cell r="C322" t="str">
            <v>cshp</v>
          </cell>
          <cell r="D322" t="str">
            <v>08/Dec/1998</v>
          </cell>
          <cell r="E322" t="str">
            <v>MWAL0118</v>
          </cell>
          <cell r="F322" t="str">
            <v>1998/12</v>
          </cell>
          <cell r="G322" t="str">
            <v>000000</v>
          </cell>
          <cell r="H322" t="str">
            <v>22665</v>
          </cell>
          <cell r="I322" t="str">
            <v>608000</v>
          </cell>
          <cell r="J322" t="str">
            <v>Stephanie Bissonnette</v>
          </cell>
          <cell r="K322" t="str">
            <v>D1</v>
          </cell>
          <cell r="L322">
            <v>-613.48</v>
          </cell>
          <cell r="M322" t="str">
            <v>X</v>
          </cell>
        </row>
        <row r="323">
          <cell r="A323" t="str">
            <v xml:space="preserve"> 75</v>
          </cell>
          <cell r="B323" t="str">
            <v>002485</v>
          </cell>
          <cell r="C323" t="str">
            <v>cshp</v>
          </cell>
          <cell r="D323" t="str">
            <v>02/Jul/1998</v>
          </cell>
          <cell r="E323" t="str">
            <v>MWAL0038</v>
          </cell>
          <cell r="F323" t="str">
            <v>1998/07</v>
          </cell>
          <cell r="G323" t="str">
            <v>000000</v>
          </cell>
          <cell r="H323" t="str">
            <v>22665</v>
          </cell>
          <cell r="I323" t="str">
            <v>601000</v>
          </cell>
          <cell r="J323" t="str">
            <v>Stephen G Bland Refund</v>
          </cell>
          <cell r="K323" t="str">
            <v>D1</v>
          </cell>
          <cell r="L323">
            <v>130</v>
          </cell>
          <cell r="M323" t="str">
            <v>X</v>
          </cell>
        </row>
        <row r="324">
          <cell r="A324" t="str">
            <v xml:space="preserve"> 01</v>
          </cell>
          <cell r="B324" t="str">
            <v>000615</v>
          </cell>
          <cell r="C324" t="str">
            <v>Jrnl</v>
          </cell>
          <cell r="D324" t="str">
            <v>30/Sep/1998</v>
          </cell>
          <cell r="E324" t="str">
            <v>KPUR0961</v>
          </cell>
          <cell r="F324" t="str">
            <v>1998/09</v>
          </cell>
          <cell r="G324" t="str">
            <v>000000</v>
          </cell>
          <cell r="H324" t="str">
            <v>22665</v>
          </cell>
          <cell r="J324" t="str">
            <v>SH CREW T/B CHARGED BY PARTNER</v>
          </cell>
          <cell r="K324" t="str">
            <v>D1</v>
          </cell>
          <cell r="L324">
            <v>-230768.28</v>
          </cell>
        </row>
        <row r="325">
          <cell r="A325" t="str">
            <v xml:space="preserve"> 01</v>
          </cell>
          <cell r="B325" t="str">
            <v>000660</v>
          </cell>
          <cell r="C325" t="str">
            <v>Jrnl</v>
          </cell>
          <cell r="D325" t="str">
            <v>09/Oct/1998</v>
          </cell>
          <cell r="E325" t="str">
            <v>NTON0003</v>
          </cell>
          <cell r="F325" t="str">
            <v>1998/10</v>
          </cell>
          <cell r="G325" t="str">
            <v>000000</v>
          </cell>
          <cell r="H325" t="str">
            <v>22665</v>
          </cell>
          <cell r="I325" t="str">
            <v>608000</v>
          </cell>
          <cell r="J325" t="str">
            <v>Stop Pay Ck #2596 Lay</v>
          </cell>
          <cell r="K325" t="str">
            <v>D1</v>
          </cell>
          <cell r="L325">
            <v>2449.5</v>
          </cell>
          <cell r="M325" t="str">
            <v>X</v>
          </cell>
        </row>
        <row r="326">
          <cell r="A326" t="str">
            <v xml:space="preserve"> 75</v>
          </cell>
          <cell r="B326" t="str">
            <v>003190</v>
          </cell>
          <cell r="C326" t="str">
            <v>cshp</v>
          </cell>
          <cell r="D326" t="str">
            <v>08/Dec/1998</v>
          </cell>
          <cell r="E326" t="str">
            <v>MWAL0118</v>
          </cell>
          <cell r="F326" t="str">
            <v>1998/12</v>
          </cell>
          <cell r="G326" t="str">
            <v>000000</v>
          </cell>
          <cell r="H326" t="str">
            <v>22665</v>
          </cell>
          <cell r="I326" t="str">
            <v>608000</v>
          </cell>
          <cell r="J326" t="str">
            <v>Sylvie Dumaine</v>
          </cell>
          <cell r="K326" t="str">
            <v>D1</v>
          </cell>
          <cell r="L326">
            <v>688.5</v>
          </cell>
          <cell r="M326" t="str">
            <v>X</v>
          </cell>
        </row>
        <row r="327">
          <cell r="A327" t="str">
            <v xml:space="preserve"> 75</v>
          </cell>
          <cell r="B327" t="str">
            <v>002946</v>
          </cell>
          <cell r="C327" t="str">
            <v>cshp</v>
          </cell>
          <cell r="D327" t="str">
            <v>16/Dec/1998</v>
          </cell>
          <cell r="E327" t="str">
            <v>MWAL0124</v>
          </cell>
          <cell r="F327" t="str">
            <v>1998/12</v>
          </cell>
          <cell r="G327" t="str">
            <v>000000</v>
          </cell>
          <cell r="H327" t="str">
            <v>22665</v>
          </cell>
          <cell r="I327" t="str">
            <v>608000</v>
          </cell>
          <cell r="J327" t="str">
            <v>Steven D. Vincent</v>
          </cell>
          <cell r="K327" t="str">
            <v>D1</v>
          </cell>
          <cell r="L327">
            <v>640.86</v>
          </cell>
        </row>
        <row r="328">
          <cell r="A328" t="str">
            <v xml:space="preserve"> 75</v>
          </cell>
          <cell r="B328" t="str">
            <v>003190</v>
          </cell>
          <cell r="C328" t="str">
            <v>cshp</v>
          </cell>
          <cell r="D328" t="str">
            <v>08/Dec/1998</v>
          </cell>
          <cell r="E328" t="str">
            <v>MWAL0118</v>
          </cell>
          <cell r="F328" t="str">
            <v>1998/12</v>
          </cell>
          <cell r="G328" t="str">
            <v>000000</v>
          </cell>
          <cell r="H328" t="str">
            <v>22665</v>
          </cell>
          <cell r="I328" t="str">
            <v>608000</v>
          </cell>
          <cell r="J328" t="str">
            <v>Sylvie Dumaine</v>
          </cell>
          <cell r="K328" t="str">
            <v>D1</v>
          </cell>
          <cell r="L328">
            <v>-610.04999999999995</v>
          </cell>
          <cell r="M328" t="str">
            <v>X</v>
          </cell>
        </row>
        <row r="329">
          <cell r="A329" t="str">
            <v xml:space="preserve"> 75</v>
          </cell>
          <cell r="B329" t="str">
            <v>003191</v>
          </cell>
          <cell r="C329" t="str">
            <v>cshp</v>
          </cell>
          <cell r="D329" t="str">
            <v>08/Dec/1998</v>
          </cell>
          <cell r="E329" t="str">
            <v>MWAL0118</v>
          </cell>
          <cell r="F329" t="str">
            <v>1998/12</v>
          </cell>
          <cell r="G329" t="str">
            <v>000000</v>
          </cell>
          <cell r="H329" t="str">
            <v>22665</v>
          </cell>
          <cell r="I329" t="str">
            <v>608000</v>
          </cell>
          <cell r="J329" t="str">
            <v>Sylvie Frechette</v>
          </cell>
          <cell r="K329" t="str">
            <v>D1</v>
          </cell>
          <cell r="L329">
            <v>1653.17</v>
          </cell>
          <cell r="M329" t="str">
            <v>X</v>
          </cell>
        </row>
        <row r="330">
          <cell r="A330" t="str">
            <v xml:space="preserve"> 75</v>
          </cell>
          <cell r="B330" t="str">
            <v>003191</v>
          </cell>
          <cell r="C330" t="str">
            <v>cshp</v>
          </cell>
          <cell r="D330" t="str">
            <v>08/Dec/1998</v>
          </cell>
          <cell r="E330" t="str">
            <v>MWAL0118</v>
          </cell>
          <cell r="F330" t="str">
            <v>1998/12</v>
          </cell>
          <cell r="G330" t="str">
            <v>000000</v>
          </cell>
          <cell r="H330" t="str">
            <v>22665</v>
          </cell>
          <cell r="I330" t="str">
            <v>608000</v>
          </cell>
          <cell r="J330" t="str">
            <v>Sylvie Frechette</v>
          </cell>
          <cell r="K330" t="str">
            <v>D1</v>
          </cell>
          <cell r="L330">
            <v>1817.45</v>
          </cell>
          <cell r="M330" t="str">
            <v>X</v>
          </cell>
        </row>
        <row r="331">
          <cell r="A331" t="str">
            <v xml:space="preserve"> 01</v>
          </cell>
          <cell r="B331" t="str">
            <v>000775</v>
          </cell>
          <cell r="C331" t="str">
            <v>Jrnl</v>
          </cell>
          <cell r="D331" t="str">
            <v>10/Dec/1998</v>
          </cell>
          <cell r="E331" t="str">
            <v>DPAN0004</v>
          </cell>
          <cell r="F331" t="str">
            <v>1998/12</v>
          </cell>
          <cell r="G331" t="str">
            <v>000000</v>
          </cell>
          <cell r="H331" t="str">
            <v>22665</v>
          </cell>
          <cell r="I331" t="str">
            <v>608000</v>
          </cell>
          <cell r="J331" t="str">
            <v>CPP Tax-Frechette</v>
          </cell>
          <cell r="K331" t="str">
            <v>D1</v>
          </cell>
          <cell r="L331">
            <v>419.56</v>
          </cell>
          <cell r="M331" t="str">
            <v>X</v>
          </cell>
        </row>
        <row r="332">
          <cell r="A332" t="str">
            <v xml:space="preserve"> 01</v>
          </cell>
          <cell r="B332" t="str">
            <v>000546</v>
          </cell>
          <cell r="C332" t="str">
            <v>Jrnl</v>
          </cell>
          <cell r="D332" t="str">
            <v>31/Aug/1998</v>
          </cell>
          <cell r="E332" t="str">
            <v>TLOH2054</v>
          </cell>
          <cell r="F332" t="str">
            <v>1998/08</v>
          </cell>
          <cell r="G332" t="str">
            <v>000000</v>
          </cell>
          <cell r="H332" t="str">
            <v>22665</v>
          </cell>
          <cell r="I332" t="str">
            <v>601000</v>
          </cell>
          <cell r="J332" t="str">
            <v>TAXABLE FRINGE - MOV ALLOW</v>
          </cell>
          <cell r="K332" t="str">
            <v>D1</v>
          </cell>
          <cell r="L332">
            <v>-6336.94</v>
          </cell>
          <cell r="M332" t="str">
            <v>X</v>
          </cell>
        </row>
        <row r="333">
          <cell r="A333" t="str">
            <v xml:space="preserve"> 01</v>
          </cell>
          <cell r="B333" t="str">
            <v>000613</v>
          </cell>
          <cell r="C333" t="str">
            <v>Jrnl</v>
          </cell>
          <cell r="D333" t="str">
            <v>30/Sep/1998</v>
          </cell>
          <cell r="E333" t="str">
            <v>KPUR0961</v>
          </cell>
          <cell r="F333" t="str">
            <v>1998/09</v>
          </cell>
          <cell r="G333" t="str">
            <v>000000</v>
          </cell>
          <cell r="H333" t="str">
            <v>22665</v>
          </cell>
          <cell r="I333" t="str">
            <v>601000</v>
          </cell>
          <cell r="J333" t="str">
            <v>TAXABLE FRINGE - MOVING ALLOW</v>
          </cell>
          <cell r="K333" t="str">
            <v>D1</v>
          </cell>
          <cell r="L333">
            <v>-11095.19</v>
          </cell>
          <cell r="M333" t="str">
            <v>X</v>
          </cell>
        </row>
        <row r="334">
          <cell r="A334" t="str">
            <v xml:space="preserve"> 75</v>
          </cell>
          <cell r="B334" t="str">
            <v>002945</v>
          </cell>
          <cell r="C334" t="str">
            <v>cshp</v>
          </cell>
          <cell r="D334" t="str">
            <v>07/Dec/1998</v>
          </cell>
          <cell r="E334" t="str">
            <v>MWAL0116</v>
          </cell>
          <cell r="F334" t="str">
            <v>1998/12</v>
          </cell>
          <cell r="G334" t="str">
            <v>000000</v>
          </cell>
          <cell r="H334" t="str">
            <v>22665</v>
          </cell>
          <cell r="I334" t="str">
            <v>408000</v>
          </cell>
          <cell r="J334" t="str">
            <v>Thamar Vijent</v>
          </cell>
          <cell r="K334" t="str">
            <v>D1</v>
          </cell>
          <cell r="L334">
            <v>1699.07</v>
          </cell>
          <cell r="M334" t="str">
            <v>X</v>
          </cell>
        </row>
        <row r="335">
          <cell r="A335" t="str">
            <v xml:space="preserve"> 01</v>
          </cell>
          <cell r="B335" t="str">
            <v>000665</v>
          </cell>
          <cell r="C335" t="str">
            <v>Jrnl</v>
          </cell>
          <cell r="D335" t="str">
            <v>22/Oct/1998</v>
          </cell>
          <cell r="E335" t="str">
            <v>NTON0008</v>
          </cell>
          <cell r="F335" t="str">
            <v>1998/10</v>
          </cell>
          <cell r="G335" t="str">
            <v>000000</v>
          </cell>
          <cell r="H335" t="str">
            <v>22665</v>
          </cell>
          <cell r="I335" t="str">
            <v>608000</v>
          </cell>
          <cell r="J335" t="str">
            <v>To Correct JE 000658</v>
          </cell>
          <cell r="K335" t="str">
            <v>D1</v>
          </cell>
          <cell r="L335">
            <v>-2000</v>
          </cell>
          <cell r="M335" t="str">
            <v>X</v>
          </cell>
        </row>
        <row r="336">
          <cell r="A336" t="str">
            <v xml:space="preserve"> 01</v>
          </cell>
          <cell r="B336" t="str">
            <v>000665</v>
          </cell>
          <cell r="C336" t="str">
            <v>Jrnl</v>
          </cell>
          <cell r="D336" t="str">
            <v>22/Oct/1998</v>
          </cell>
          <cell r="E336" t="str">
            <v>NTON0008</v>
          </cell>
          <cell r="F336" t="str">
            <v>1998/10</v>
          </cell>
          <cell r="G336" t="str">
            <v>000000</v>
          </cell>
          <cell r="H336" t="str">
            <v>22665</v>
          </cell>
          <cell r="I336" t="str">
            <v>608000</v>
          </cell>
          <cell r="J336" t="str">
            <v>To Correct JE 000658</v>
          </cell>
          <cell r="K336" t="str">
            <v>D1</v>
          </cell>
          <cell r="L336">
            <v>-1155</v>
          </cell>
          <cell r="M336" t="str">
            <v>X</v>
          </cell>
        </row>
        <row r="337">
          <cell r="A337" t="str">
            <v xml:space="preserve"> 01</v>
          </cell>
          <cell r="B337" t="str">
            <v>000665</v>
          </cell>
          <cell r="C337" t="str">
            <v>Jrnl</v>
          </cell>
          <cell r="D337" t="str">
            <v>22/Oct/1998</v>
          </cell>
          <cell r="E337" t="str">
            <v>NTON0008</v>
          </cell>
          <cell r="F337" t="str">
            <v>1998/10</v>
          </cell>
          <cell r="G337" t="str">
            <v>000000</v>
          </cell>
          <cell r="H337" t="str">
            <v>22665</v>
          </cell>
          <cell r="I337" t="str">
            <v>608000</v>
          </cell>
          <cell r="J337" t="str">
            <v>To Correct JE 000658</v>
          </cell>
          <cell r="K337" t="str">
            <v>D1</v>
          </cell>
          <cell r="L337">
            <v>-151165.79999999999</v>
          </cell>
          <cell r="M337" t="str">
            <v>X</v>
          </cell>
        </row>
        <row r="338">
          <cell r="A338" t="str">
            <v xml:space="preserve"> 01</v>
          </cell>
          <cell r="B338" t="str">
            <v>000679</v>
          </cell>
          <cell r="C338" t="str">
            <v>Jrnl</v>
          </cell>
          <cell r="D338" t="str">
            <v>22/Oct/1998</v>
          </cell>
          <cell r="E338" t="str">
            <v>NTON0009</v>
          </cell>
          <cell r="F338" t="str">
            <v>1998/10</v>
          </cell>
          <cell r="G338" t="str">
            <v>000000</v>
          </cell>
          <cell r="H338" t="str">
            <v>22665</v>
          </cell>
          <cell r="I338" t="str">
            <v>608000</v>
          </cell>
          <cell r="J338" t="str">
            <v>To Correct JE 000659</v>
          </cell>
          <cell r="K338" t="str">
            <v>D1</v>
          </cell>
          <cell r="L338">
            <v>1155</v>
          </cell>
          <cell r="M338" t="str">
            <v>X</v>
          </cell>
        </row>
        <row r="339">
          <cell r="A339" t="str">
            <v xml:space="preserve"> 01</v>
          </cell>
          <cell r="B339" t="str">
            <v>000679</v>
          </cell>
          <cell r="C339" t="str">
            <v>Jrnl</v>
          </cell>
          <cell r="D339" t="str">
            <v>22/Oct/1998</v>
          </cell>
          <cell r="E339" t="str">
            <v>NTON0009</v>
          </cell>
          <cell r="F339" t="str">
            <v>1998/10</v>
          </cell>
          <cell r="G339" t="str">
            <v>000000</v>
          </cell>
          <cell r="H339" t="str">
            <v>22665</v>
          </cell>
          <cell r="I339" t="str">
            <v>608000</v>
          </cell>
          <cell r="J339" t="str">
            <v>To Correct JE 000659</v>
          </cell>
          <cell r="K339" t="str">
            <v>D1</v>
          </cell>
          <cell r="L339">
            <v>151165.79999999999</v>
          </cell>
          <cell r="M339" t="str">
            <v>X</v>
          </cell>
        </row>
        <row r="340">
          <cell r="A340" t="str">
            <v xml:space="preserve"> 01</v>
          </cell>
          <cell r="B340" t="str">
            <v>000667</v>
          </cell>
          <cell r="C340" t="str">
            <v>Jrnl</v>
          </cell>
          <cell r="D340" t="str">
            <v>22/Oct/1998</v>
          </cell>
          <cell r="E340" t="str">
            <v>NTON0008</v>
          </cell>
          <cell r="F340" t="str">
            <v>1998/10</v>
          </cell>
          <cell r="G340" t="str">
            <v>000000</v>
          </cell>
          <cell r="H340" t="str">
            <v>22665</v>
          </cell>
          <cell r="I340" t="str">
            <v>608000</v>
          </cell>
          <cell r="J340" t="str">
            <v>To Correct JE 000660</v>
          </cell>
          <cell r="K340" t="str">
            <v>D1</v>
          </cell>
          <cell r="L340">
            <v>-2449.5</v>
          </cell>
          <cell r="M340" t="str">
            <v>X</v>
          </cell>
        </row>
        <row r="341">
          <cell r="A341" t="str">
            <v xml:space="preserve"> 01</v>
          </cell>
          <cell r="B341" t="str">
            <v>000664</v>
          </cell>
          <cell r="C341" t="str">
            <v>Jrnl</v>
          </cell>
          <cell r="D341" t="str">
            <v>22/Oct/1998</v>
          </cell>
          <cell r="E341" t="str">
            <v>NTON0008</v>
          </cell>
          <cell r="F341" t="str">
            <v>1998/10</v>
          </cell>
          <cell r="G341" t="str">
            <v>000000</v>
          </cell>
          <cell r="H341" t="str">
            <v>22665</v>
          </cell>
          <cell r="I341" t="str">
            <v>608000</v>
          </cell>
          <cell r="J341" t="str">
            <v>To Reverse JE 000658</v>
          </cell>
          <cell r="K341" t="str">
            <v>D1</v>
          </cell>
          <cell r="L341">
            <v>-2000</v>
          </cell>
          <cell r="M341" t="str">
            <v>X</v>
          </cell>
        </row>
        <row r="342">
          <cell r="A342" t="str">
            <v xml:space="preserve"> 01</v>
          </cell>
          <cell r="B342" t="str">
            <v>000664</v>
          </cell>
          <cell r="C342" t="str">
            <v>Jrnl</v>
          </cell>
          <cell r="D342" t="str">
            <v>22/Oct/1998</v>
          </cell>
          <cell r="E342" t="str">
            <v>NTON0008</v>
          </cell>
          <cell r="F342" t="str">
            <v>1998/10</v>
          </cell>
          <cell r="G342" t="str">
            <v>000000</v>
          </cell>
          <cell r="H342" t="str">
            <v>22665</v>
          </cell>
          <cell r="I342" t="str">
            <v>608000</v>
          </cell>
          <cell r="J342" t="str">
            <v>To Reverse JE 000658</v>
          </cell>
          <cell r="K342" t="str">
            <v>D1</v>
          </cell>
          <cell r="L342">
            <v>-1155</v>
          </cell>
          <cell r="M342" t="str">
            <v>X</v>
          </cell>
        </row>
        <row r="343">
          <cell r="A343" t="str">
            <v xml:space="preserve"> 01</v>
          </cell>
          <cell r="B343" t="str">
            <v>000664</v>
          </cell>
          <cell r="C343" t="str">
            <v>Jrnl</v>
          </cell>
          <cell r="D343" t="str">
            <v>22/Oct/1998</v>
          </cell>
          <cell r="E343" t="str">
            <v>NTON0008</v>
          </cell>
          <cell r="F343" t="str">
            <v>1998/10</v>
          </cell>
          <cell r="G343" t="str">
            <v>000000</v>
          </cell>
          <cell r="H343" t="str">
            <v>22665</v>
          </cell>
          <cell r="I343" t="str">
            <v>608000</v>
          </cell>
          <cell r="J343" t="str">
            <v>To Reverse JE 000658</v>
          </cell>
          <cell r="K343" t="str">
            <v>D1</v>
          </cell>
          <cell r="L343">
            <v>-151165.79999999999</v>
          </cell>
          <cell r="M343" t="str">
            <v>X</v>
          </cell>
        </row>
        <row r="344">
          <cell r="A344" t="str">
            <v xml:space="preserve"> 01</v>
          </cell>
          <cell r="B344" t="str">
            <v>000666</v>
          </cell>
          <cell r="C344" t="str">
            <v>Jrnl</v>
          </cell>
          <cell r="D344" t="str">
            <v>22/Oct/1998</v>
          </cell>
          <cell r="E344" t="str">
            <v>NTON0008</v>
          </cell>
          <cell r="F344" t="str">
            <v>1998/10</v>
          </cell>
          <cell r="G344" t="str">
            <v>000000</v>
          </cell>
          <cell r="H344" t="str">
            <v>22665</v>
          </cell>
          <cell r="I344" t="str">
            <v>608000</v>
          </cell>
          <cell r="J344" t="str">
            <v>To Reverse JE 000660</v>
          </cell>
          <cell r="K344" t="str">
            <v>D1</v>
          </cell>
          <cell r="L344">
            <v>-2449.5</v>
          </cell>
          <cell r="M344" t="str">
            <v>X</v>
          </cell>
        </row>
        <row r="345">
          <cell r="A345" t="str">
            <v xml:space="preserve"> 01</v>
          </cell>
          <cell r="B345" t="str">
            <v>000678</v>
          </cell>
          <cell r="C345" t="str">
            <v>Jrnl</v>
          </cell>
          <cell r="D345" t="str">
            <v>22/Oct/1998</v>
          </cell>
          <cell r="E345" t="str">
            <v>NTON0009</v>
          </cell>
          <cell r="F345" t="str">
            <v>1998/10</v>
          </cell>
          <cell r="G345" t="str">
            <v>000000</v>
          </cell>
          <cell r="H345" t="str">
            <v>22665</v>
          </cell>
          <cell r="I345" t="str">
            <v>608000</v>
          </cell>
          <cell r="J345" t="str">
            <v>To Reverse JE 659</v>
          </cell>
          <cell r="K345" t="str">
            <v>D1</v>
          </cell>
          <cell r="L345">
            <v>1155</v>
          </cell>
          <cell r="M345" t="str">
            <v>X</v>
          </cell>
        </row>
        <row r="346">
          <cell r="A346" t="str">
            <v xml:space="preserve"> 01</v>
          </cell>
          <cell r="B346" t="str">
            <v>000678</v>
          </cell>
          <cell r="C346" t="str">
            <v>Jrnl</v>
          </cell>
          <cell r="D346" t="str">
            <v>22/Oct/1998</v>
          </cell>
          <cell r="E346" t="str">
            <v>NTON0009</v>
          </cell>
          <cell r="F346" t="str">
            <v>1998/10</v>
          </cell>
          <cell r="G346" t="str">
            <v>000000</v>
          </cell>
          <cell r="H346" t="str">
            <v>22665</v>
          </cell>
          <cell r="I346" t="str">
            <v>608000</v>
          </cell>
          <cell r="J346" t="str">
            <v>To Reverse JE 659</v>
          </cell>
          <cell r="K346" t="str">
            <v>D1</v>
          </cell>
          <cell r="L346">
            <v>151165.79999999999</v>
          </cell>
          <cell r="M346" t="str">
            <v>X</v>
          </cell>
        </row>
        <row r="347">
          <cell r="A347" t="str">
            <v xml:space="preserve"> 75</v>
          </cell>
          <cell r="B347" t="str">
            <v>003200</v>
          </cell>
          <cell r="C347" t="str">
            <v>cshp</v>
          </cell>
          <cell r="D347" t="str">
            <v>08/Dec/1998</v>
          </cell>
          <cell r="E347" t="str">
            <v>MWAL0118</v>
          </cell>
          <cell r="F347" t="str">
            <v>1998/12</v>
          </cell>
          <cell r="G347" t="str">
            <v>000000</v>
          </cell>
          <cell r="H347" t="str">
            <v>22665</v>
          </cell>
          <cell r="I347" t="str">
            <v>608000</v>
          </cell>
          <cell r="J347" t="str">
            <v>Tom F Otjes</v>
          </cell>
          <cell r="K347" t="str">
            <v>D1</v>
          </cell>
          <cell r="L347">
            <v>1170.45</v>
          </cell>
          <cell r="M347" t="str">
            <v>X</v>
          </cell>
        </row>
        <row r="348">
          <cell r="A348" t="str">
            <v xml:space="preserve"> 75</v>
          </cell>
          <cell r="B348" t="str">
            <v>003200</v>
          </cell>
          <cell r="C348" t="str">
            <v>cshp</v>
          </cell>
          <cell r="D348" t="str">
            <v>08/Dec/1998</v>
          </cell>
          <cell r="E348" t="str">
            <v>MWAL0118</v>
          </cell>
          <cell r="F348" t="str">
            <v>1998/12</v>
          </cell>
          <cell r="G348" t="str">
            <v>000000</v>
          </cell>
          <cell r="H348" t="str">
            <v>22665</v>
          </cell>
          <cell r="I348" t="str">
            <v>608000</v>
          </cell>
          <cell r="J348" t="str">
            <v>Tom F Otjes</v>
          </cell>
          <cell r="K348" t="str">
            <v>D1</v>
          </cell>
          <cell r="L348">
            <v>1040.4000000000001</v>
          </cell>
          <cell r="M348" t="str">
            <v>X</v>
          </cell>
        </row>
        <row r="349">
          <cell r="A349" t="str">
            <v xml:space="preserve"> 75</v>
          </cell>
          <cell r="B349" t="str">
            <v>003200</v>
          </cell>
          <cell r="C349" t="str">
            <v>cshp</v>
          </cell>
          <cell r="D349" t="str">
            <v>08/Dec/1998</v>
          </cell>
          <cell r="E349" t="str">
            <v>MWAL0118</v>
          </cell>
          <cell r="F349" t="str">
            <v>1998/12</v>
          </cell>
          <cell r="G349" t="str">
            <v>000000</v>
          </cell>
          <cell r="H349" t="str">
            <v>22665</v>
          </cell>
          <cell r="I349" t="str">
            <v>608000</v>
          </cell>
          <cell r="J349" t="str">
            <v>Tom F Otjes</v>
          </cell>
          <cell r="K349" t="str">
            <v>D1</v>
          </cell>
          <cell r="L349">
            <v>-460.84</v>
          </cell>
          <cell r="M349" t="str">
            <v>X</v>
          </cell>
        </row>
        <row r="350">
          <cell r="A350" t="str">
            <v xml:space="preserve"> 75</v>
          </cell>
          <cell r="B350" t="str">
            <v>002487</v>
          </cell>
          <cell r="C350" t="str">
            <v>cshp</v>
          </cell>
          <cell r="D350" t="str">
            <v>14/Jul/1998</v>
          </cell>
          <cell r="E350" t="str">
            <v>MWAL0041</v>
          </cell>
          <cell r="F350" t="str">
            <v>1998/07</v>
          </cell>
          <cell r="G350" t="str">
            <v>000000</v>
          </cell>
          <cell r="H350" t="str">
            <v>22665</v>
          </cell>
          <cell r="I350" t="str">
            <v>601000</v>
          </cell>
          <cell r="J350" t="str">
            <v>Tomasz Rossa</v>
          </cell>
          <cell r="K350" t="str">
            <v>D1</v>
          </cell>
          <cell r="L350">
            <v>2000</v>
          </cell>
          <cell r="M350" t="str">
            <v>X</v>
          </cell>
        </row>
        <row r="351">
          <cell r="A351" t="str">
            <v xml:space="preserve"> 01</v>
          </cell>
          <cell r="B351" t="str">
            <v>000307</v>
          </cell>
          <cell r="C351" t="str">
            <v>Jrnl</v>
          </cell>
          <cell r="D351" t="str">
            <v>30/Mar/1998</v>
          </cell>
          <cell r="E351" t="str">
            <v>KPUR0260</v>
          </cell>
          <cell r="F351" t="str">
            <v>1998/03</v>
          </cell>
          <cell r="G351" t="str">
            <v>000000</v>
          </cell>
          <cell r="H351" t="str">
            <v>22665</v>
          </cell>
          <cell r="I351" t="str">
            <v>601000</v>
          </cell>
          <cell r="J351" t="str">
            <v>TRANSFER NET FROM WYB</v>
          </cell>
          <cell r="K351" t="str">
            <v>D1</v>
          </cell>
          <cell r="L351">
            <v>-5230.53</v>
          </cell>
          <cell r="M351" t="str">
            <v>X</v>
          </cell>
        </row>
        <row r="352">
          <cell r="A352" t="str">
            <v xml:space="preserve"> 01</v>
          </cell>
          <cell r="B352" t="str">
            <v>000657</v>
          </cell>
          <cell r="C352" t="str">
            <v>Jrnl</v>
          </cell>
          <cell r="D352" t="str">
            <v>07/Oct/1998</v>
          </cell>
          <cell r="E352" t="str">
            <v>NTON0002</v>
          </cell>
          <cell r="F352" t="str">
            <v>1998/10</v>
          </cell>
          <cell r="G352" t="str">
            <v>000000</v>
          </cell>
          <cell r="H352" t="str">
            <v>22665</v>
          </cell>
          <cell r="I352" t="str">
            <v>608000</v>
          </cell>
          <cell r="J352" t="str">
            <v>Vd Ck R Potvin #19946</v>
          </cell>
          <cell r="K352" t="str">
            <v>D1</v>
          </cell>
          <cell r="L352">
            <v>92.35</v>
          </cell>
          <cell r="M352" t="str">
            <v>X</v>
          </cell>
        </row>
        <row r="353">
          <cell r="A353" t="str">
            <v xml:space="preserve"> 01</v>
          </cell>
          <cell r="B353" t="str">
            <v>000663</v>
          </cell>
          <cell r="C353" t="str">
            <v>Jrnl</v>
          </cell>
          <cell r="D353" t="str">
            <v>22/Oct/1998</v>
          </cell>
          <cell r="E353" t="str">
            <v>KPUR0983</v>
          </cell>
          <cell r="F353" t="str">
            <v>1998/10</v>
          </cell>
          <cell r="G353" t="str">
            <v>000000</v>
          </cell>
          <cell r="H353" t="str">
            <v>22665</v>
          </cell>
          <cell r="I353" t="str">
            <v>608000</v>
          </cell>
          <cell r="J353" t="str">
            <v>Vd Ck R. Potvin 19946</v>
          </cell>
          <cell r="K353" t="str">
            <v>D1</v>
          </cell>
          <cell r="L353">
            <v>-92.35</v>
          </cell>
          <cell r="M353" t="str">
            <v>X</v>
          </cell>
        </row>
        <row r="354">
          <cell r="A354" t="str">
            <v xml:space="preserve"> 75</v>
          </cell>
          <cell r="B354" t="str">
            <v>003195</v>
          </cell>
          <cell r="C354" t="str">
            <v>cshp</v>
          </cell>
          <cell r="D354" t="str">
            <v>08/Dec/1998</v>
          </cell>
          <cell r="E354" t="str">
            <v>MWAL0118</v>
          </cell>
          <cell r="F354" t="str">
            <v>1998/12</v>
          </cell>
          <cell r="G354" t="str">
            <v>000000</v>
          </cell>
          <cell r="H354" t="str">
            <v>22665</v>
          </cell>
          <cell r="I354" t="str">
            <v>608000</v>
          </cell>
          <cell r="J354" t="str">
            <v>Veronique Jean</v>
          </cell>
          <cell r="K354" t="str">
            <v>D1</v>
          </cell>
          <cell r="L354">
            <v>693.94</v>
          </cell>
          <cell r="M354" t="str">
            <v>X</v>
          </cell>
        </row>
        <row r="355">
          <cell r="A355" t="str">
            <v xml:space="preserve"> 75</v>
          </cell>
          <cell r="B355" t="str">
            <v>003195</v>
          </cell>
          <cell r="C355" t="str">
            <v>cshp</v>
          </cell>
          <cell r="D355" t="str">
            <v>08/Dec/1998</v>
          </cell>
          <cell r="E355" t="str">
            <v>MWAL0118</v>
          </cell>
          <cell r="F355" t="str">
            <v>1998/12</v>
          </cell>
          <cell r="G355" t="str">
            <v>000000</v>
          </cell>
          <cell r="H355" t="str">
            <v>22665</v>
          </cell>
          <cell r="I355" t="str">
            <v>608000</v>
          </cell>
          <cell r="J355" t="str">
            <v>Veronique Jean</v>
          </cell>
          <cell r="K355" t="str">
            <v>D1</v>
          </cell>
          <cell r="L355">
            <v>918.77</v>
          </cell>
          <cell r="M355" t="str">
            <v>X</v>
          </cell>
        </row>
        <row r="356">
          <cell r="A356" t="str">
            <v xml:space="preserve"> 75</v>
          </cell>
          <cell r="B356" t="str">
            <v>003195</v>
          </cell>
          <cell r="C356" t="str">
            <v>cshp</v>
          </cell>
          <cell r="D356" t="str">
            <v>08/Dec/1998</v>
          </cell>
          <cell r="E356" t="str">
            <v>MWAL0118</v>
          </cell>
          <cell r="F356" t="str">
            <v>1998/12</v>
          </cell>
          <cell r="G356" t="str">
            <v>000000</v>
          </cell>
          <cell r="H356" t="str">
            <v>22665</v>
          </cell>
          <cell r="I356" t="str">
            <v>608000</v>
          </cell>
          <cell r="J356" t="str">
            <v>Veronique Jean</v>
          </cell>
          <cell r="K356" t="str">
            <v>D1</v>
          </cell>
          <cell r="L356">
            <v>-625.45000000000005</v>
          </cell>
          <cell r="M356" t="str">
            <v>X</v>
          </cell>
        </row>
        <row r="357">
          <cell r="A357" t="str">
            <v xml:space="preserve"> 75</v>
          </cell>
          <cell r="B357" t="str">
            <v>003191</v>
          </cell>
          <cell r="C357" t="str">
            <v>cshp</v>
          </cell>
          <cell r="D357" t="str">
            <v>08/Dec/1998</v>
          </cell>
          <cell r="E357" t="str">
            <v>MWAL0118</v>
          </cell>
          <cell r="F357" t="str">
            <v>1998/12</v>
          </cell>
          <cell r="G357" t="str">
            <v>000000</v>
          </cell>
          <cell r="H357" t="str">
            <v>22665</v>
          </cell>
          <cell r="I357" t="str">
            <v>608000</v>
          </cell>
          <cell r="J357" t="str">
            <v>Sylvie Frechette</v>
          </cell>
          <cell r="K357" t="str">
            <v>D1</v>
          </cell>
          <cell r="L357">
            <v>-419.56</v>
          </cell>
          <cell r="M357" t="str">
            <v>X</v>
          </cell>
        </row>
        <row r="358">
          <cell r="A358" t="str">
            <v xml:space="preserve"> 01</v>
          </cell>
          <cell r="B358" t="str">
            <v>000733</v>
          </cell>
          <cell r="C358" t="str">
            <v>Jrnl</v>
          </cell>
          <cell r="D358" t="str">
            <v>30/Nov/1998</v>
          </cell>
          <cell r="E358" t="str">
            <v>NTON0035</v>
          </cell>
          <cell r="F358" t="str">
            <v>1998/11</v>
          </cell>
          <cell r="G358" t="str">
            <v>000000</v>
          </cell>
          <cell r="H358" t="str">
            <v>22665</v>
          </cell>
          <cell r="I358" t="str">
            <v>608000</v>
          </cell>
          <cell r="J358" t="str">
            <v>Void - Wrong Printer #2831</v>
          </cell>
          <cell r="K358" t="str">
            <v>D1</v>
          </cell>
          <cell r="L358">
            <v>-1451.63</v>
          </cell>
          <cell r="M358" t="str">
            <v>X</v>
          </cell>
        </row>
        <row r="359">
          <cell r="A359" t="str">
            <v xml:space="preserve"> 01</v>
          </cell>
          <cell r="B359" t="str">
            <v>000341</v>
          </cell>
          <cell r="C359" t="str">
            <v>Jrnl</v>
          </cell>
          <cell r="D359" t="str">
            <v>24/Apr/1998</v>
          </cell>
          <cell r="E359" t="str">
            <v>KPUR0351</v>
          </cell>
          <cell r="F359" t="str">
            <v>1998/04</v>
          </cell>
          <cell r="G359" t="str">
            <v>000000</v>
          </cell>
          <cell r="H359" t="str">
            <v>22665</v>
          </cell>
          <cell r="I359" t="str">
            <v>601000</v>
          </cell>
          <cell r="J359" t="str">
            <v>VOID CK #150005 DEWHURST</v>
          </cell>
          <cell r="K359" t="str">
            <v>D1</v>
          </cell>
          <cell r="L359">
            <v>1038.05</v>
          </cell>
          <cell r="M359" t="str">
            <v>X</v>
          </cell>
        </row>
        <row r="360">
          <cell r="A360" t="str">
            <v xml:space="preserve"> 01</v>
          </cell>
          <cell r="B360" t="str">
            <v>000411</v>
          </cell>
          <cell r="C360" t="str">
            <v>Jrnl</v>
          </cell>
          <cell r="D360" t="str">
            <v>04/Jun/1998</v>
          </cell>
          <cell r="E360" t="str">
            <v>KPUR0576</v>
          </cell>
          <cell r="F360" t="str">
            <v>1998/06</v>
          </cell>
          <cell r="G360" t="str">
            <v>000000</v>
          </cell>
          <cell r="H360" t="str">
            <v>22665</v>
          </cell>
          <cell r="I360" t="str">
            <v>601000</v>
          </cell>
          <cell r="J360" t="str">
            <v>VOID CK #2425</v>
          </cell>
          <cell r="K360" t="str">
            <v>D1</v>
          </cell>
          <cell r="L360">
            <v>-369.4</v>
          </cell>
          <cell r="M360" t="str">
            <v>X</v>
          </cell>
        </row>
        <row r="361">
          <cell r="A361" t="str">
            <v xml:space="preserve"> 01</v>
          </cell>
          <cell r="B361" t="str">
            <v>000411</v>
          </cell>
          <cell r="C361" t="str">
            <v>Jrnl</v>
          </cell>
          <cell r="D361" t="str">
            <v>04/Jun/1998</v>
          </cell>
          <cell r="E361" t="str">
            <v>KPUR0576</v>
          </cell>
          <cell r="F361" t="str">
            <v>1998/06</v>
          </cell>
          <cell r="G361" t="str">
            <v>000000</v>
          </cell>
          <cell r="H361" t="str">
            <v>22665</v>
          </cell>
          <cell r="I361" t="str">
            <v>601000</v>
          </cell>
          <cell r="J361" t="str">
            <v>VOID CK #2426</v>
          </cell>
          <cell r="K361" t="str">
            <v>D1</v>
          </cell>
          <cell r="L361">
            <v>-641.82000000000005</v>
          </cell>
          <cell r="M361" t="str">
            <v>X</v>
          </cell>
        </row>
        <row r="362">
          <cell r="A362" t="str">
            <v xml:space="preserve"> 01</v>
          </cell>
          <cell r="B362" t="str">
            <v>000608</v>
          </cell>
          <cell r="C362" t="str">
            <v>Jrnl</v>
          </cell>
          <cell r="D362" t="str">
            <v>30/Sep/1998</v>
          </cell>
          <cell r="E362" t="str">
            <v>CWAN0207</v>
          </cell>
          <cell r="F362" t="str">
            <v>1998/09</v>
          </cell>
          <cell r="G362" t="str">
            <v>000000</v>
          </cell>
          <cell r="H362" t="str">
            <v>22665</v>
          </cell>
          <cell r="I362" t="str">
            <v>608000</v>
          </cell>
          <cell r="J362" t="str">
            <v>VOID CK LAY</v>
          </cell>
          <cell r="K362" t="str">
            <v>D1</v>
          </cell>
          <cell r="L362">
            <v>2449.5100000000002</v>
          </cell>
          <cell r="M362" t="str">
            <v>X</v>
          </cell>
        </row>
        <row r="363">
          <cell r="A363" t="str">
            <v xml:space="preserve"> 01</v>
          </cell>
          <cell r="B363" t="str">
            <v>000665</v>
          </cell>
          <cell r="C363" t="str">
            <v>Jrnl</v>
          </cell>
          <cell r="D363" t="str">
            <v>22/Oct/1998</v>
          </cell>
          <cell r="E363" t="str">
            <v>NTON0008</v>
          </cell>
          <cell r="F363" t="str">
            <v>1998/10</v>
          </cell>
          <cell r="G363" t="str">
            <v>000000</v>
          </cell>
          <cell r="H363" t="str">
            <v>22675</v>
          </cell>
          <cell r="I363" t="str">
            <v>608000</v>
          </cell>
          <cell r="J363" t="str">
            <v>To Correct JE 000658</v>
          </cell>
          <cell r="K363" t="str">
            <v>D1</v>
          </cell>
          <cell r="L363">
            <v>-5569.8</v>
          </cell>
        </row>
        <row r="364">
          <cell r="A364" t="str">
            <v xml:space="preserve"> 01</v>
          </cell>
          <cell r="B364" t="str">
            <v>000546</v>
          </cell>
          <cell r="C364" t="str">
            <v>Jrnl</v>
          </cell>
          <cell r="D364" t="str">
            <v>31/Aug/1998</v>
          </cell>
          <cell r="E364" t="str">
            <v>TLOH2054</v>
          </cell>
          <cell r="F364" t="str">
            <v>1998/08</v>
          </cell>
          <cell r="G364" t="str">
            <v>000000</v>
          </cell>
          <cell r="H364" t="str">
            <v>22675</v>
          </cell>
          <cell r="I364" t="str">
            <v>601000</v>
          </cell>
          <cell r="J364" t="str">
            <v>VAC - D. SMITH</v>
          </cell>
          <cell r="K364" t="str">
            <v>D1</v>
          </cell>
          <cell r="L364">
            <v>340</v>
          </cell>
        </row>
        <row r="365">
          <cell r="A365" t="str">
            <v xml:space="preserve"> 01</v>
          </cell>
          <cell r="B365" t="str">
            <v>000259</v>
          </cell>
          <cell r="C365" t="str">
            <v>Jrnl</v>
          </cell>
          <cell r="D365" t="str">
            <v>27/Feb/1998</v>
          </cell>
          <cell r="E365" t="str">
            <v>TLOH1230</v>
          </cell>
          <cell r="F365" t="str">
            <v>1998/02</v>
          </cell>
          <cell r="G365" t="str">
            <v>000000</v>
          </cell>
          <cell r="H365" t="str">
            <v>22665</v>
          </cell>
          <cell r="I365" t="str">
            <v>601000</v>
          </cell>
          <cell r="J365" t="str">
            <v>ZCY (1/18@1/31) NET</v>
          </cell>
          <cell r="K365" t="str">
            <v>D1</v>
          </cell>
          <cell r="L365">
            <v>10045.719999999999</v>
          </cell>
          <cell r="M365" t="str">
            <v>X</v>
          </cell>
        </row>
        <row r="366">
          <cell r="A366" t="str">
            <v xml:space="preserve"> 01</v>
          </cell>
          <cell r="B366" t="str">
            <v>000224</v>
          </cell>
          <cell r="C366" t="str">
            <v>Jrnl</v>
          </cell>
          <cell r="D366" t="str">
            <v>31/Jan/1998</v>
          </cell>
          <cell r="E366" t="str">
            <v>TLOH1087</v>
          </cell>
          <cell r="F366" t="str">
            <v>1998/01</v>
          </cell>
          <cell r="G366" t="str">
            <v>000000</v>
          </cell>
          <cell r="H366" t="str">
            <v>22665</v>
          </cell>
          <cell r="I366" t="str">
            <v>601000</v>
          </cell>
          <cell r="J366" t="str">
            <v>ZCY (1/4@1/17) Net</v>
          </cell>
          <cell r="K366" t="str">
            <v>D1</v>
          </cell>
          <cell r="L366">
            <v>8735.58</v>
          </cell>
          <cell r="M366" t="str">
            <v>X</v>
          </cell>
        </row>
        <row r="367">
          <cell r="A367" t="str">
            <v xml:space="preserve"> 01</v>
          </cell>
          <cell r="B367" t="str">
            <v>000225</v>
          </cell>
          <cell r="C367" t="str">
            <v>Jrnl</v>
          </cell>
          <cell r="D367" t="str">
            <v>31/Jan/1998</v>
          </cell>
          <cell r="E367" t="str">
            <v>TLOH1087</v>
          </cell>
          <cell r="F367" t="str">
            <v>1998/01</v>
          </cell>
          <cell r="G367" t="str">
            <v>000000</v>
          </cell>
          <cell r="H367" t="str">
            <v>22665</v>
          </cell>
          <cell r="I367" t="str">
            <v>601000</v>
          </cell>
          <cell r="J367" t="str">
            <v>ZCY (1/4@1/17) Net</v>
          </cell>
          <cell r="K367" t="str">
            <v>D1</v>
          </cell>
          <cell r="L367">
            <v>-8735.58</v>
          </cell>
          <cell r="M367" t="str">
            <v>X</v>
          </cell>
        </row>
        <row r="368">
          <cell r="A368" t="str">
            <v xml:space="preserve"> 01</v>
          </cell>
          <cell r="B368" t="str">
            <v>000208</v>
          </cell>
          <cell r="C368" t="str">
            <v>Jrnl</v>
          </cell>
          <cell r="D368" t="str">
            <v>19/Jan/1998</v>
          </cell>
          <cell r="E368" t="str">
            <v>TLOH1004</v>
          </cell>
          <cell r="F368" t="str">
            <v>1998/01</v>
          </cell>
          <cell r="G368" t="str">
            <v>000000</v>
          </cell>
          <cell r="H368" t="str">
            <v>22665</v>
          </cell>
          <cell r="I368" t="str">
            <v>601000</v>
          </cell>
          <cell r="J368" t="str">
            <v>ZCY (12/21@01/03)</v>
          </cell>
          <cell r="K368" t="str">
            <v>D1</v>
          </cell>
          <cell r="L368">
            <v>3364.75</v>
          </cell>
          <cell r="M368" t="str">
            <v>X</v>
          </cell>
        </row>
        <row r="369">
          <cell r="A369" t="str">
            <v xml:space="preserve"> 01</v>
          </cell>
          <cell r="B369" t="str">
            <v>000239</v>
          </cell>
          <cell r="C369" t="str">
            <v>Jrnl</v>
          </cell>
          <cell r="D369" t="str">
            <v>12/Feb/1998</v>
          </cell>
          <cell r="E369" t="str">
            <v>KPUR0008</v>
          </cell>
          <cell r="F369" t="str">
            <v>1998/02</v>
          </cell>
          <cell r="G369" t="str">
            <v>000000</v>
          </cell>
          <cell r="H369" t="str">
            <v>22665</v>
          </cell>
          <cell r="I369" t="str">
            <v>601000</v>
          </cell>
          <cell r="J369" t="str">
            <v>ZCY (12/21@01/03)</v>
          </cell>
          <cell r="K369" t="str">
            <v>D1</v>
          </cell>
          <cell r="L369">
            <v>3364.75</v>
          </cell>
          <cell r="M369" t="str">
            <v>X</v>
          </cell>
        </row>
        <row r="370">
          <cell r="A370" t="str">
            <v xml:space="preserve"> 01</v>
          </cell>
          <cell r="B370" t="str">
            <v>000260</v>
          </cell>
          <cell r="C370" t="str">
            <v>Jrnl</v>
          </cell>
          <cell r="D370" t="str">
            <v>28/Feb/1998</v>
          </cell>
          <cell r="E370" t="str">
            <v>TLOH1230</v>
          </cell>
          <cell r="F370" t="str">
            <v>1998/02</v>
          </cell>
          <cell r="G370" t="str">
            <v>000000</v>
          </cell>
          <cell r="H370" t="str">
            <v>22665</v>
          </cell>
          <cell r="I370" t="str">
            <v>601000</v>
          </cell>
          <cell r="J370" t="str">
            <v>ZCY (2/1@2/14) NET</v>
          </cell>
          <cell r="K370" t="str">
            <v>D1</v>
          </cell>
          <cell r="L370">
            <v>16593.669999999998</v>
          </cell>
          <cell r="M370" t="str">
            <v>X</v>
          </cell>
        </row>
        <row r="371">
          <cell r="A371" t="str">
            <v xml:space="preserve"> 01</v>
          </cell>
          <cell r="B371" t="str">
            <v>000308</v>
          </cell>
          <cell r="C371" t="str">
            <v>Jrnl</v>
          </cell>
          <cell r="D371" t="str">
            <v>30/Mar/1998</v>
          </cell>
          <cell r="E371" t="str">
            <v>KPUR0260</v>
          </cell>
          <cell r="F371" t="str">
            <v>1998/03</v>
          </cell>
          <cell r="G371" t="str">
            <v>000000</v>
          </cell>
          <cell r="H371" t="str">
            <v>22665</v>
          </cell>
          <cell r="I371" t="str">
            <v>601000</v>
          </cell>
          <cell r="J371" t="str">
            <v>ZCY (3/1@3/14)NET</v>
          </cell>
          <cell r="K371" t="str">
            <v>D1</v>
          </cell>
          <cell r="L371">
            <v>16152.46</v>
          </cell>
          <cell r="M371" t="str">
            <v>X</v>
          </cell>
        </row>
        <row r="372">
          <cell r="A372" t="str">
            <v xml:space="preserve"> 01</v>
          </cell>
          <cell r="B372" t="str">
            <v>000367</v>
          </cell>
          <cell r="C372" t="str">
            <v>Jrnl</v>
          </cell>
          <cell r="D372" t="str">
            <v>08/May/1998</v>
          </cell>
          <cell r="E372" t="str">
            <v>KPUR0417</v>
          </cell>
          <cell r="F372" t="str">
            <v>1998/05</v>
          </cell>
          <cell r="G372" t="str">
            <v>000000</v>
          </cell>
          <cell r="H372" t="str">
            <v>22665</v>
          </cell>
          <cell r="I372" t="str">
            <v>601000</v>
          </cell>
          <cell r="J372" t="str">
            <v>ZCY (4/12@4/25)NET</v>
          </cell>
          <cell r="K372" t="str">
            <v>D1</v>
          </cell>
          <cell r="L372">
            <v>74631.740000000005</v>
          </cell>
          <cell r="M372" t="str">
            <v>X</v>
          </cell>
        </row>
        <row r="373">
          <cell r="A373" t="str">
            <v xml:space="preserve"> 01</v>
          </cell>
          <cell r="B373" t="str">
            <v>000442</v>
          </cell>
          <cell r="C373" t="str">
            <v>Jrnl</v>
          </cell>
          <cell r="D373" t="str">
            <v>24/Jun/1998</v>
          </cell>
          <cell r="E373" t="str">
            <v>KPUR0637</v>
          </cell>
          <cell r="F373" t="str">
            <v>1998/06</v>
          </cell>
          <cell r="G373" t="str">
            <v>000000</v>
          </cell>
          <cell r="H373" t="str">
            <v>22665</v>
          </cell>
          <cell r="I373" t="str">
            <v>601000</v>
          </cell>
          <cell r="J373" t="str">
            <v>ZCY (5-24@6-6)NET</v>
          </cell>
          <cell r="K373" t="str">
            <v>D1</v>
          </cell>
          <cell r="L373">
            <v>79070.990000000005</v>
          </cell>
          <cell r="M373" t="str">
            <v>X</v>
          </cell>
        </row>
        <row r="374">
          <cell r="A374" t="str">
            <v xml:space="preserve"> 01</v>
          </cell>
          <cell r="B374" t="str">
            <v>000542</v>
          </cell>
          <cell r="C374" t="str">
            <v>Jrnl</v>
          </cell>
          <cell r="D374" t="str">
            <v>27/Aug/1998</v>
          </cell>
          <cell r="E374" t="str">
            <v>KPUR0876</v>
          </cell>
          <cell r="F374" t="str">
            <v>1998/08</v>
          </cell>
          <cell r="G374" t="str">
            <v>000000</v>
          </cell>
          <cell r="H374" t="str">
            <v>22665</v>
          </cell>
          <cell r="I374" t="str">
            <v>601000</v>
          </cell>
          <cell r="J374" t="str">
            <v>ZCY (7/19@8/1) NET</v>
          </cell>
          <cell r="K374" t="str">
            <v>D1</v>
          </cell>
          <cell r="L374">
            <v>40823.93</v>
          </cell>
          <cell r="M374" t="str">
            <v>X</v>
          </cell>
        </row>
        <row r="375">
          <cell r="A375" t="str">
            <v xml:space="preserve"> 01</v>
          </cell>
          <cell r="B375" t="str">
            <v>000614</v>
          </cell>
          <cell r="C375" t="str">
            <v>Jrnl</v>
          </cell>
          <cell r="D375" t="str">
            <v>30/Sep/1998</v>
          </cell>
          <cell r="E375" t="str">
            <v>KPUR0961</v>
          </cell>
          <cell r="F375" t="str">
            <v>1998/09</v>
          </cell>
          <cell r="G375" t="str">
            <v>000000</v>
          </cell>
          <cell r="H375" t="str">
            <v>22665</v>
          </cell>
          <cell r="I375" t="str">
            <v>601000</v>
          </cell>
          <cell r="J375" t="str">
            <v>ZCY (7/5@7/18)NET</v>
          </cell>
          <cell r="K375" t="str">
            <v>D1</v>
          </cell>
          <cell r="L375">
            <v>86162.12</v>
          </cell>
          <cell r="M375" t="str">
            <v>X</v>
          </cell>
        </row>
        <row r="376">
          <cell r="A376" t="str">
            <v xml:space="preserve"> 02</v>
          </cell>
          <cell r="B376" t="str">
            <v>000010</v>
          </cell>
          <cell r="C376" t="str">
            <v>Accl</v>
          </cell>
          <cell r="D376" t="str">
            <v>30/Jan/1998</v>
          </cell>
          <cell r="E376" t="str">
            <v>TLOH1023</v>
          </cell>
          <cell r="F376" t="str">
            <v>1998/01</v>
          </cell>
          <cell r="G376" t="str">
            <v>000000</v>
          </cell>
          <cell r="H376" t="str">
            <v>22665</v>
          </cell>
          <cell r="I376" t="str">
            <v>601000</v>
          </cell>
          <cell r="J376" t="str">
            <v>ZCY 01/17@01/31</v>
          </cell>
          <cell r="K376" t="str">
            <v>D1</v>
          </cell>
          <cell r="L376">
            <v>-10583.18</v>
          </cell>
          <cell r="M376" t="str">
            <v>X</v>
          </cell>
        </row>
        <row r="377">
          <cell r="A377" t="str">
            <v xml:space="preserve"> 03</v>
          </cell>
          <cell r="B377" t="str">
            <v>000010</v>
          </cell>
          <cell r="C377" t="str">
            <v>Rvsl</v>
          </cell>
          <cell r="D377" t="str">
            <v>30/Jan/1998</v>
          </cell>
          <cell r="E377" t="str">
            <v>TLOH1023</v>
          </cell>
          <cell r="F377" t="str">
            <v>1998/02</v>
          </cell>
          <cell r="G377" t="str">
            <v>000000</v>
          </cell>
          <cell r="H377" t="str">
            <v>22665</v>
          </cell>
          <cell r="I377" t="str">
            <v>601000</v>
          </cell>
          <cell r="J377" t="str">
            <v>ZCY 01/17@01/31</v>
          </cell>
          <cell r="K377" t="str">
            <v>D1</v>
          </cell>
          <cell r="L377">
            <v>10583.18</v>
          </cell>
          <cell r="M377" t="str">
            <v>X</v>
          </cell>
        </row>
        <row r="378">
          <cell r="A378" t="str">
            <v xml:space="preserve"> 01</v>
          </cell>
          <cell r="B378" t="str">
            <v>000218</v>
          </cell>
          <cell r="C378" t="str">
            <v>Jrnl</v>
          </cell>
          <cell r="D378" t="str">
            <v>31/Jan/1998</v>
          </cell>
          <cell r="E378" t="str">
            <v>TLOH1051</v>
          </cell>
          <cell r="F378" t="str">
            <v>1998/01</v>
          </cell>
          <cell r="G378" t="str">
            <v>000000</v>
          </cell>
          <cell r="H378" t="str">
            <v>22665</v>
          </cell>
          <cell r="I378" t="str">
            <v>601000</v>
          </cell>
          <cell r="J378" t="str">
            <v>ZCY 1/4@1/17 NET</v>
          </cell>
          <cell r="K378" t="str">
            <v>D1</v>
          </cell>
          <cell r="L378">
            <v>-8735.58</v>
          </cell>
          <cell r="M378" t="str">
            <v>X</v>
          </cell>
        </row>
        <row r="379">
          <cell r="A379" t="str">
            <v xml:space="preserve"> 01</v>
          </cell>
          <cell r="B379" t="str">
            <v>000209</v>
          </cell>
          <cell r="C379" t="str">
            <v>Jrnl</v>
          </cell>
          <cell r="D379" t="str">
            <v>19/Jan/1998</v>
          </cell>
          <cell r="E379" t="str">
            <v>TLOH1004</v>
          </cell>
          <cell r="F379" t="str">
            <v>1998/01</v>
          </cell>
          <cell r="G379" t="str">
            <v>000000</v>
          </cell>
          <cell r="H379" t="str">
            <v>22665</v>
          </cell>
          <cell r="I379" t="str">
            <v>601000</v>
          </cell>
          <cell r="J379" t="str">
            <v>ZCY 12/21@01/03/98</v>
          </cell>
          <cell r="K379" t="str">
            <v>D1</v>
          </cell>
          <cell r="L379">
            <v>-3364.75</v>
          </cell>
          <cell r="M379" t="str">
            <v>X</v>
          </cell>
        </row>
        <row r="380">
          <cell r="A380" t="str">
            <v xml:space="preserve"> 03</v>
          </cell>
          <cell r="B380" t="str">
            <v>000009</v>
          </cell>
          <cell r="C380" t="str">
            <v>Rvsl</v>
          </cell>
          <cell r="D380" t="str">
            <v>31/Dec/1997</v>
          </cell>
          <cell r="E380" t="str">
            <v>TLOH0974</v>
          </cell>
          <cell r="F380" t="str">
            <v>1998/01</v>
          </cell>
          <cell r="G380" t="str">
            <v>000000</v>
          </cell>
          <cell r="H380" t="str">
            <v>22665</v>
          </cell>
          <cell r="I380" t="str">
            <v>601000</v>
          </cell>
          <cell r="J380" t="str">
            <v>ZCY 12/21@12/31/97</v>
          </cell>
          <cell r="K380" t="str">
            <v>D1</v>
          </cell>
          <cell r="L380">
            <v>3364.75</v>
          </cell>
          <cell r="M380" t="str">
            <v>X</v>
          </cell>
        </row>
        <row r="381">
          <cell r="A381" t="str">
            <v xml:space="preserve"> 01</v>
          </cell>
          <cell r="B381" t="str">
            <v>000262</v>
          </cell>
          <cell r="C381" t="str">
            <v>Jrnl</v>
          </cell>
          <cell r="D381" t="str">
            <v>28/Feb/1998</v>
          </cell>
          <cell r="E381" t="str">
            <v>TLOH1230</v>
          </cell>
          <cell r="F381" t="str">
            <v>1998/02</v>
          </cell>
          <cell r="G381" t="str">
            <v>000000</v>
          </cell>
          <cell r="H381" t="str">
            <v>22665</v>
          </cell>
          <cell r="I381" t="str">
            <v>601000</v>
          </cell>
          <cell r="J381" t="str">
            <v>ZCY 2/1@2/14 NET</v>
          </cell>
          <cell r="K381" t="str">
            <v>D1</v>
          </cell>
          <cell r="L381">
            <v>-16593.669999999998</v>
          </cell>
          <cell r="M381" t="str">
            <v>X</v>
          </cell>
        </row>
        <row r="382">
          <cell r="A382" t="str">
            <v xml:space="preserve"> 01</v>
          </cell>
          <cell r="B382" t="str">
            <v>000271</v>
          </cell>
          <cell r="C382" t="str">
            <v>Jrnl</v>
          </cell>
          <cell r="D382" t="str">
            <v>16/Mar/1998</v>
          </cell>
          <cell r="E382" t="str">
            <v>KPUR0118</v>
          </cell>
          <cell r="F382" t="str">
            <v>1998/03</v>
          </cell>
          <cell r="G382" t="str">
            <v>000000</v>
          </cell>
          <cell r="H382" t="str">
            <v>22665</v>
          </cell>
          <cell r="I382" t="str">
            <v>601000</v>
          </cell>
          <cell r="J382" t="str">
            <v>ZCY 2/15@2/28 NET</v>
          </cell>
          <cell r="K382" t="str">
            <v>D1</v>
          </cell>
          <cell r="L382">
            <v>-11492.33</v>
          </cell>
          <cell r="M382" t="str">
            <v>X</v>
          </cell>
        </row>
        <row r="383">
          <cell r="A383" t="str">
            <v xml:space="preserve"> 01</v>
          </cell>
          <cell r="B383" t="str">
            <v>000307</v>
          </cell>
          <cell r="C383" t="str">
            <v>Jrnl</v>
          </cell>
          <cell r="D383" t="str">
            <v>30/Mar/1998</v>
          </cell>
          <cell r="E383" t="str">
            <v>KPUR0260</v>
          </cell>
          <cell r="F383" t="str">
            <v>1998/03</v>
          </cell>
          <cell r="G383" t="str">
            <v>000000</v>
          </cell>
          <cell r="H383" t="str">
            <v>22665</v>
          </cell>
          <cell r="I383" t="str">
            <v>601000</v>
          </cell>
          <cell r="J383" t="str">
            <v>ZCY 3/1@3/14 NET</v>
          </cell>
          <cell r="K383" t="str">
            <v>D1</v>
          </cell>
          <cell r="L383">
            <v>-16152.46</v>
          </cell>
          <cell r="M383" t="str">
            <v>X</v>
          </cell>
        </row>
        <row r="384">
          <cell r="A384" t="str">
            <v xml:space="preserve"> 01</v>
          </cell>
          <cell r="B384" t="str">
            <v>000326</v>
          </cell>
          <cell r="C384" t="str">
            <v>Jrnl</v>
          </cell>
          <cell r="D384" t="str">
            <v>14/Apr/1998</v>
          </cell>
          <cell r="E384" t="str">
            <v>KPUR0326</v>
          </cell>
          <cell r="F384" t="str">
            <v>1998/04</v>
          </cell>
          <cell r="G384" t="str">
            <v>000000</v>
          </cell>
          <cell r="H384" t="str">
            <v>22665</v>
          </cell>
          <cell r="I384" t="str">
            <v>601000</v>
          </cell>
          <cell r="J384" t="str">
            <v>ZCY 3/15@3/28 NET</v>
          </cell>
          <cell r="K384" t="str">
            <v>D1</v>
          </cell>
          <cell r="L384">
            <v>-18695.47</v>
          </cell>
          <cell r="M384" t="str">
            <v>X</v>
          </cell>
        </row>
        <row r="385">
          <cell r="A385" t="str">
            <v xml:space="preserve"> 01</v>
          </cell>
          <cell r="B385" t="str">
            <v>000341</v>
          </cell>
          <cell r="C385" t="str">
            <v>Jrnl</v>
          </cell>
          <cell r="D385" t="str">
            <v>24/Apr/1998</v>
          </cell>
          <cell r="E385" t="str">
            <v>KPUR0351</v>
          </cell>
          <cell r="F385" t="str">
            <v>1998/04</v>
          </cell>
          <cell r="G385" t="str">
            <v>000000</v>
          </cell>
          <cell r="H385" t="str">
            <v>22665</v>
          </cell>
          <cell r="I385" t="str">
            <v>601000</v>
          </cell>
          <cell r="J385" t="str">
            <v>ZCY 3/29@4/11 NET</v>
          </cell>
          <cell r="K385" t="str">
            <v>D1</v>
          </cell>
          <cell r="L385">
            <v>-68522.03</v>
          </cell>
          <cell r="M385" t="str">
            <v>X</v>
          </cell>
        </row>
        <row r="386">
          <cell r="A386" t="str">
            <v xml:space="preserve"> 01</v>
          </cell>
          <cell r="B386" t="str">
            <v>000390</v>
          </cell>
          <cell r="C386" t="str">
            <v>Jrnl</v>
          </cell>
          <cell r="D386" t="str">
            <v>25/May/1998</v>
          </cell>
          <cell r="E386" t="str">
            <v>KPUR0483</v>
          </cell>
          <cell r="F386" t="str">
            <v>1998/05</v>
          </cell>
          <cell r="G386" t="str">
            <v>000000</v>
          </cell>
          <cell r="H386" t="str">
            <v>22665</v>
          </cell>
          <cell r="I386" t="str">
            <v>601000</v>
          </cell>
          <cell r="J386" t="str">
            <v>ZCY 4/26@5/9 NET</v>
          </cell>
          <cell r="K386" t="str">
            <v>D1</v>
          </cell>
          <cell r="L386">
            <v>-74915.55</v>
          </cell>
          <cell r="M386" t="str">
            <v>X</v>
          </cell>
        </row>
        <row r="387">
          <cell r="A387" t="str">
            <v xml:space="preserve"> 01</v>
          </cell>
          <cell r="B387" t="str">
            <v>000421</v>
          </cell>
          <cell r="C387" t="str">
            <v>Jrnl</v>
          </cell>
          <cell r="D387" t="str">
            <v>06/Jun/1998</v>
          </cell>
          <cell r="E387" t="str">
            <v>KPUR0590</v>
          </cell>
          <cell r="F387" t="str">
            <v>1998/06</v>
          </cell>
          <cell r="G387" t="str">
            <v>000000</v>
          </cell>
          <cell r="H387" t="str">
            <v>22665</v>
          </cell>
          <cell r="I387" t="str">
            <v>601000</v>
          </cell>
          <cell r="J387" t="str">
            <v>ZCY 5/10@5/23 NET</v>
          </cell>
          <cell r="K387" t="str">
            <v>D1</v>
          </cell>
          <cell r="L387">
            <v>-74294.36</v>
          </cell>
          <cell r="M387" t="str">
            <v>X</v>
          </cell>
        </row>
        <row r="388">
          <cell r="A388" t="str">
            <v xml:space="preserve"> 01</v>
          </cell>
          <cell r="B388" t="str">
            <v>000458</v>
          </cell>
          <cell r="C388" t="str">
            <v>Jrnl</v>
          </cell>
          <cell r="D388" t="str">
            <v>24/Jun/1998</v>
          </cell>
          <cell r="E388" t="str">
            <v>KPUR0692</v>
          </cell>
          <cell r="F388" t="str">
            <v>1998/06</v>
          </cell>
          <cell r="G388" t="str">
            <v>000000</v>
          </cell>
          <cell r="H388" t="str">
            <v>22665</v>
          </cell>
          <cell r="I388" t="str">
            <v>601000</v>
          </cell>
          <cell r="J388" t="str">
            <v>ZCY 5/24@6/6 NET</v>
          </cell>
          <cell r="K388" t="str">
            <v>D1</v>
          </cell>
          <cell r="L388">
            <v>-79070.990000000005</v>
          </cell>
          <cell r="M388" t="str">
            <v>X</v>
          </cell>
        </row>
        <row r="389">
          <cell r="A389" t="str">
            <v xml:space="preserve"> 02</v>
          </cell>
          <cell r="B389" t="str">
            <v>000020</v>
          </cell>
          <cell r="C389" t="str">
            <v>Accl</v>
          </cell>
          <cell r="D389" t="str">
            <v>30/Jun/1998</v>
          </cell>
          <cell r="E389" t="str">
            <v>KPUR0694</v>
          </cell>
          <cell r="F389" t="str">
            <v>1998/06</v>
          </cell>
          <cell r="G389" t="str">
            <v>000000</v>
          </cell>
          <cell r="H389" t="str">
            <v>22665</v>
          </cell>
          <cell r="I389" t="str">
            <v>601000</v>
          </cell>
          <cell r="J389" t="str">
            <v>ZCY 6/21@6/30 NET ACC</v>
          </cell>
          <cell r="K389" t="str">
            <v>D1</v>
          </cell>
          <cell r="L389">
            <v>-54700.68</v>
          </cell>
          <cell r="M389" t="str">
            <v>X</v>
          </cell>
        </row>
        <row r="390">
          <cell r="A390" t="str">
            <v xml:space="preserve"> 03</v>
          </cell>
          <cell r="B390" t="str">
            <v>000020</v>
          </cell>
          <cell r="C390" t="str">
            <v>Rvsl</v>
          </cell>
          <cell r="D390" t="str">
            <v>30/Jun/1998</v>
          </cell>
          <cell r="E390" t="str">
            <v>KPUR0694</v>
          </cell>
          <cell r="F390" t="str">
            <v>1998/07</v>
          </cell>
          <cell r="G390" t="str">
            <v>000000</v>
          </cell>
          <cell r="H390" t="str">
            <v>22665</v>
          </cell>
          <cell r="I390" t="str">
            <v>601000</v>
          </cell>
          <cell r="J390" t="str">
            <v>ZCY 6/21@6/30 NET ACC</v>
          </cell>
          <cell r="K390" t="str">
            <v>D1</v>
          </cell>
          <cell r="L390">
            <v>54700.68</v>
          </cell>
          <cell r="M390" t="str">
            <v>X</v>
          </cell>
        </row>
        <row r="391">
          <cell r="A391" t="str">
            <v xml:space="preserve"> 01</v>
          </cell>
          <cell r="B391" t="str">
            <v>000504</v>
          </cell>
          <cell r="C391" t="str">
            <v>Jrnl</v>
          </cell>
          <cell r="D391" t="str">
            <v>22/Jul/1998</v>
          </cell>
          <cell r="E391" t="str">
            <v>KPUR0808</v>
          </cell>
          <cell r="F391" t="str">
            <v>1998/07</v>
          </cell>
          <cell r="G391" t="str">
            <v>000000</v>
          </cell>
          <cell r="H391" t="str">
            <v>22665</v>
          </cell>
          <cell r="I391" t="str">
            <v>601000</v>
          </cell>
          <cell r="J391" t="str">
            <v>ZCY 6/21@7/4 NET</v>
          </cell>
          <cell r="K391" t="str">
            <v>D1</v>
          </cell>
          <cell r="L391">
            <v>-88110.87</v>
          </cell>
          <cell r="M391" t="str">
            <v>X</v>
          </cell>
        </row>
        <row r="392">
          <cell r="A392" t="str">
            <v xml:space="preserve"> 01</v>
          </cell>
          <cell r="B392" t="str">
            <v>000505</v>
          </cell>
          <cell r="C392" t="str">
            <v>Jrnl</v>
          </cell>
          <cell r="D392" t="str">
            <v>22/Jul/1998</v>
          </cell>
          <cell r="E392" t="str">
            <v>KPUR0808</v>
          </cell>
          <cell r="F392" t="str">
            <v>1998/07</v>
          </cell>
          <cell r="G392" t="str">
            <v>000000</v>
          </cell>
          <cell r="H392" t="str">
            <v>22665</v>
          </cell>
          <cell r="I392" t="str">
            <v>601000</v>
          </cell>
          <cell r="J392" t="str">
            <v>ZCY 6/21@7/4 NET</v>
          </cell>
          <cell r="K392" t="str">
            <v>D1</v>
          </cell>
          <cell r="L392">
            <v>88110.87</v>
          </cell>
          <cell r="M392" t="str">
            <v>X</v>
          </cell>
        </row>
        <row r="393">
          <cell r="A393" t="str">
            <v xml:space="preserve"> 02</v>
          </cell>
          <cell r="B393" t="str">
            <v>000017</v>
          </cell>
          <cell r="C393" t="str">
            <v>Accl</v>
          </cell>
          <cell r="D393" t="str">
            <v>30/Jun/1998</v>
          </cell>
          <cell r="E393" t="str">
            <v>KPUR0694</v>
          </cell>
          <cell r="F393" t="str">
            <v>1998/06</v>
          </cell>
          <cell r="G393" t="str">
            <v>000000</v>
          </cell>
          <cell r="H393" t="str">
            <v>22665</v>
          </cell>
          <cell r="I393" t="str">
            <v>601000</v>
          </cell>
          <cell r="J393" t="str">
            <v>ZCY 6/7@6/20 ACC NET</v>
          </cell>
          <cell r="K393" t="str">
            <v>D1</v>
          </cell>
          <cell r="L393">
            <v>-76580.98</v>
          </cell>
          <cell r="M393" t="str">
            <v>X</v>
          </cell>
        </row>
        <row r="394">
          <cell r="A394" t="str">
            <v xml:space="preserve"> 03</v>
          </cell>
          <cell r="B394" t="str">
            <v>000017</v>
          </cell>
          <cell r="C394" t="str">
            <v>Rvsl</v>
          </cell>
          <cell r="D394" t="str">
            <v>30/Jun/1998</v>
          </cell>
          <cell r="E394" t="str">
            <v>KPUR0694</v>
          </cell>
          <cell r="F394" t="str">
            <v>1998/07</v>
          </cell>
          <cell r="G394" t="str">
            <v>000000</v>
          </cell>
          <cell r="H394" t="str">
            <v>22665</v>
          </cell>
          <cell r="I394" t="str">
            <v>601000</v>
          </cell>
          <cell r="J394" t="str">
            <v>ZCY 6/7@6/20 ACC NET</v>
          </cell>
          <cell r="K394" t="str">
            <v>D1</v>
          </cell>
          <cell r="L394">
            <v>76580.98</v>
          </cell>
          <cell r="M394" t="str">
            <v>X</v>
          </cell>
        </row>
        <row r="395">
          <cell r="A395" t="str">
            <v xml:space="preserve"> 01</v>
          </cell>
          <cell r="B395" t="str">
            <v>000497</v>
          </cell>
          <cell r="C395" t="str">
            <v>Jrnl</v>
          </cell>
          <cell r="D395" t="str">
            <v>11/Jul/1998</v>
          </cell>
          <cell r="E395" t="str">
            <v>KPUR0808</v>
          </cell>
          <cell r="F395" t="str">
            <v>1998/07</v>
          </cell>
          <cell r="G395" t="str">
            <v>000000</v>
          </cell>
          <cell r="H395" t="str">
            <v>22665</v>
          </cell>
          <cell r="I395" t="str">
            <v>601000</v>
          </cell>
          <cell r="J395" t="str">
            <v>ZCY 6/7@6/20 NET</v>
          </cell>
          <cell r="K395" t="str">
            <v>D1</v>
          </cell>
          <cell r="L395">
            <v>84574.95</v>
          </cell>
          <cell r="M395" t="str">
            <v>X</v>
          </cell>
        </row>
        <row r="396">
          <cell r="A396" t="str">
            <v xml:space="preserve"> 01</v>
          </cell>
          <cell r="B396" t="str">
            <v>000498</v>
          </cell>
          <cell r="C396" t="str">
            <v>Jrnl</v>
          </cell>
          <cell r="D396" t="str">
            <v>31/Jul/1998</v>
          </cell>
          <cell r="E396" t="str">
            <v>KPUR0808</v>
          </cell>
          <cell r="F396" t="str">
            <v>1998/07</v>
          </cell>
          <cell r="G396" t="str">
            <v>000000</v>
          </cell>
          <cell r="H396" t="str">
            <v>22665</v>
          </cell>
          <cell r="I396" t="str">
            <v>601000</v>
          </cell>
          <cell r="J396" t="str">
            <v>ZCY 6/7@6/20 NET</v>
          </cell>
          <cell r="K396" t="str">
            <v>D1</v>
          </cell>
          <cell r="L396">
            <v>-84574.95</v>
          </cell>
          <cell r="M396" t="str">
            <v>X</v>
          </cell>
        </row>
        <row r="397">
          <cell r="A397" t="str">
            <v xml:space="preserve"> 01</v>
          </cell>
          <cell r="B397" t="str">
            <v>000546</v>
          </cell>
          <cell r="C397" t="str">
            <v>Jrnl</v>
          </cell>
          <cell r="D397" t="str">
            <v>31/Aug/1998</v>
          </cell>
          <cell r="E397" t="str">
            <v>TLOH2054</v>
          </cell>
          <cell r="F397" t="str">
            <v>1998/08</v>
          </cell>
          <cell r="G397" t="str">
            <v>000000</v>
          </cell>
          <cell r="H397" t="str">
            <v>22665</v>
          </cell>
          <cell r="I397" t="str">
            <v>601000</v>
          </cell>
          <cell r="J397" t="str">
            <v>ZCY 7/19@8/1 NET</v>
          </cell>
          <cell r="K397" t="str">
            <v>D1</v>
          </cell>
          <cell r="L397">
            <v>-40823.93</v>
          </cell>
          <cell r="M397" t="str">
            <v>X</v>
          </cell>
        </row>
        <row r="398">
          <cell r="A398" t="str">
            <v xml:space="preserve"> 01</v>
          </cell>
          <cell r="B398" t="str">
            <v>000613</v>
          </cell>
          <cell r="C398" t="str">
            <v>Jrnl</v>
          </cell>
          <cell r="D398" t="str">
            <v>30/Sep/1998</v>
          </cell>
          <cell r="E398" t="str">
            <v>KPUR0961</v>
          </cell>
          <cell r="F398" t="str">
            <v>1998/09</v>
          </cell>
          <cell r="G398" t="str">
            <v>000000</v>
          </cell>
          <cell r="H398" t="str">
            <v>22665</v>
          </cell>
          <cell r="I398" t="str">
            <v>601000</v>
          </cell>
          <cell r="J398" t="str">
            <v>ZCY 7/5@7/18 NET</v>
          </cell>
          <cell r="K398" t="str">
            <v>D1</v>
          </cell>
          <cell r="L398">
            <v>-86162.12</v>
          </cell>
          <cell r="M398" t="str">
            <v>X</v>
          </cell>
        </row>
        <row r="399">
          <cell r="A399" t="str">
            <v xml:space="preserve"> 01</v>
          </cell>
          <cell r="B399" t="str">
            <v>000772</v>
          </cell>
          <cell r="C399" t="str">
            <v>Jrnl</v>
          </cell>
          <cell r="D399" t="str">
            <v>07/Dec/1998</v>
          </cell>
          <cell r="E399" t="str">
            <v>DPAN0004</v>
          </cell>
          <cell r="F399" t="str">
            <v>1998/12</v>
          </cell>
          <cell r="G399" t="str">
            <v>000000</v>
          </cell>
          <cell r="H399" t="str">
            <v>22665</v>
          </cell>
          <cell r="I399" t="str">
            <v>608000</v>
          </cell>
          <cell r="J399" t="str">
            <v>ZCY FICA Man Adj-Bissonnette</v>
          </cell>
          <cell r="K399" t="str">
            <v>D1</v>
          </cell>
          <cell r="L399">
            <v>-709.71</v>
          </cell>
          <cell r="M399" t="str">
            <v>X</v>
          </cell>
        </row>
        <row r="400">
          <cell r="A400" t="str">
            <v xml:space="preserve"> 01</v>
          </cell>
          <cell r="B400" t="str">
            <v>000772</v>
          </cell>
          <cell r="C400" t="str">
            <v>Jrnl</v>
          </cell>
          <cell r="D400" t="str">
            <v>07/Dec/1998</v>
          </cell>
          <cell r="E400" t="str">
            <v>DPAN0004</v>
          </cell>
          <cell r="F400" t="str">
            <v>1998/12</v>
          </cell>
          <cell r="G400" t="str">
            <v>000000</v>
          </cell>
          <cell r="H400" t="str">
            <v>22665</v>
          </cell>
          <cell r="I400" t="str">
            <v>608000</v>
          </cell>
          <cell r="J400" t="str">
            <v>ZCY FICA Man Adj-Clerk</v>
          </cell>
          <cell r="K400" t="str">
            <v>D1</v>
          </cell>
          <cell r="L400">
            <v>-714.13</v>
          </cell>
          <cell r="M400" t="str">
            <v>X</v>
          </cell>
        </row>
        <row r="401">
          <cell r="A401" t="str">
            <v xml:space="preserve"> 01</v>
          </cell>
          <cell r="B401" t="str">
            <v>000772</v>
          </cell>
          <cell r="C401" t="str">
            <v>Jrnl</v>
          </cell>
          <cell r="D401" t="str">
            <v>07/Dec/1998</v>
          </cell>
          <cell r="E401" t="str">
            <v>DPAN0004</v>
          </cell>
          <cell r="F401" t="str">
            <v>1998/12</v>
          </cell>
          <cell r="G401" t="str">
            <v>000000</v>
          </cell>
          <cell r="H401" t="str">
            <v>22665</v>
          </cell>
          <cell r="I401" t="str">
            <v>608000</v>
          </cell>
          <cell r="J401" t="str">
            <v>ZCY FICA Man Adj-Conceicao</v>
          </cell>
          <cell r="K401" t="str">
            <v>D1</v>
          </cell>
          <cell r="L401">
            <v>-650.25</v>
          </cell>
          <cell r="M401" t="str">
            <v>X</v>
          </cell>
        </row>
        <row r="402">
          <cell r="A402" t="str">
            <v xml:space="preserve"> 01</v>
          </cell>
          <cell r="B402" t="str">
            <v>000772</v>
          </cell>
          <cell r="C402" t="str">
            <v>Jrnl</v>
          </cell>
          <cell r="D402" t="str">
            <v>07/Dec/1998</v>
          </cell>
          <cell r="E402" t="str">
            <v>DPAN0004</v>
          </cell>
          <cell r="F402" t="str">
            <v>1998/12</v>
          </cell>
          <cell r="G402" t="str">
            <v>000000</v>
          </cell>
          <cell r="H402" t="str">
            <v>22665</v>
          </cell>
          <cell r="I402" t="str">
            <v>608000</v>
          </cell>
          <cell r="J402" t="str">
            <v>ZCY FICA Man Adj-Dumaine</v>
          </cell>
          <cell r="K402" t="str">
            <v>D1</v>
          </cell>
          <cell r="L402">
            <v>-688.5</v>
          </cell>
          <cell r="M402" t="str">
            <v>X</v>
          </cell>
        </row>
        <row r="403">
          <cell r="A403" t="str">
            <v xml:space="preserve"> 01</v>
          </cell>
          <cell r="B403" t="str">
            <v>000772</v>
          </cell>
          <cell r="C403" t="str">
            <v>Jrnl</v>
          </cell>
          <cell r="D403" t="str">
            <v>07/Dec/1998</v>
          </cell>
          <cell r="E403" t="str">
            <v>DPAN0004</v>
          </cell>
          <cell r="F403" t="str">
            <v>1998/12</v>
          </cell>
          <cell r="G403" t="str">
            <v>000000</v>
          </cell>
          <cell r="H403" t="str">
            <v>22665</v>
          </cell>
          <cell r="I403" t="str">
            <v>608000</v>
          </cell>
          <cell r="J403" t="str">
            <v>ZCY FICA Man Adj-Frechette</v>
          </cell>
          <cell r="K403" t="str">
            <v>D1</v>
          </cell>
          <cell r="L403">
            <v>-1653.17</v>
          </cell>
          <cell r="M403" t="str">
            <v>X</v>
          </cell>
        </row>
        <row r="404">
          <cell r="A404" t="str">
            <v xml:space="preserve"> 01</v>
          </cell>
          <cell r="B404" t="str">
            <v>000772</v>
          </cell>
          <cell r="C404" t="str">
            <v>Jrnl</v>
          </cell>
          <cell r="D404" t="str">
            <v>07/Dec/1998</v>
          </cell>
          <cell r="E404" t="str">
            <v>DPAN0004</v>
          </cell>
          <cell r="F404" t="str">
            <v>1998/12</v>
          </cell>
          <cell r="G404" t="str">
            <v>000000</v>
          </cell>
          <cell r="H404" t="str">
            <v>22665</v>
          </cell>
          <cell r="I404" t="str">
            <v>608000</v>
          </cell>
          <cell r="J404" t="str">
            <v>ZCY FICA Man Adj-Guerinik</v>
          </cell>
          <cell r="K404" t="str">
            <v>D1</v>
          </cell>
          <cell r="L404">
            <v>-337.8</v>
          </cell>
          <cell r="M404" t="str">
            <v>X</v>
          </cell>
        </row>
        <row r="405">
          <cell r="A405" t="str">
            <v xml:space="preserve"> 01</v>
          </cell>
          <cell r="B405" t="str">
            <v>000772</v>
          </cell>
          <cell r="C405" t="str">
            <v>Jrnl</v>
          </cell>
          <cell r="D405" t="str">
            <v>07/Dec/1998</v>
          </cell>
          <cell r="E405" t="str">
            <v>DPAN0004</v>
          </cell>
          <cell r="F405" t="str">
            <v>1998/12</v>
          </cell>
          <cell r="G405" t="str">
            <v>000000</v>
          </cell>
          <cell r="H405" t="str">
            <v>22665</v>
          </cell>
          <cell r="I405" t="str">
            <v>608000</v>
          </cell>
          <cell r="J405" t="str">
            <v>ZCY FICA Man Adj-Holmwood</v>
          </cell>
          <cell r="K405" t="str">
            <v>D1</v>
          </cell>
          <cell r="L405">
            <v>-327.58999999999997</v>
          </cell>
          <cell r="M405" t="str">
            <v>X</v>
          </cell>
        </row>
        <row r="406">
          <cell r="A406" t="str">
            <v xml:space="preserve"> 01</v>
          </cell>
          <cell r="B406" t="str">
            <v>000772</v>
          </cell>
          <cell r="C406" t="str">
            <v>Jrnl</v>
          </cell>
          <cell r="D406" t="str">
            <v>07/Dec/1998</v>
          </cell>
          <cell r="E406" t="str">
            <v>DPAN0004</v>
          </cell>
          <cell r="F406" t="str">
            <v>1998/12</v>
          </cell>
          <cell r="G406" t="str">
            <v>000000</v>
          </cell>
          <cell r="H406" t="str">
            <v>22665</v>
          </cell>
          <cell r="I406" t="str">
            <v>608000</v>
          </cell>
          <cell r="J406" t="str">
            <v>ZCY FICA Man Adj-Jean</v>
          </cell>
          <cell r="K406" t="str">
            <v>D1</v>
          </cell>
          <cell r="L406">
            <v>-693.94</v>
          </cell>
          <cell r="M406" t="str">
            <v>X</v>
          </cell>
        </row>
        <row r="407">
          <cell r="A407" t="str">
            <v xml:space="preserve"> 01</v>
          </cell>
          <cell r="B407" t="str">
            <v>000772</v>
          </cell>
          <cell r="C407" t="str">
            <v>Jrnl</v>
          </cell>
          <cell r="D407" t="str">
            <v>07/Dec/1998</v>
          </cell>
          <cell r="E407" t="str">
            <v>DPAN0004</v>
          </cell>
          <cell r="F407" t="str">
            <v>1998/12</v>
          </cell>
          <cell r="G407" t="str">
            <v>000000</v>
          </cell>
          <cell r="H407" t="str">
            <v>22665</v>
          </cell>
          <cell r="I407" t="str">
            <v>608000</v>
          </cell>
          <cell r="J407" t="str">
            <v>ZCY FICA Man Adj-LaPlante</v>
          </cell>
          <cell r="K407" t="str">
            <v>D1</v>
          </cell>
          <cell r="L407">
            <v>-726.75</v>
          </cell>
          <cell r="M407" t="str">
            <v>X</v>
          </cell>
        </row>
        <row r="408">
          <cell r="A408" t="str">
            <v xml:space="preserve"> 01</v>
          </cell>
          <cell r="B408" t="str">
            <v>000772</v>
          </cell>
          <cell r="C408" t="str">
            <v>Jrnl</v>
          </cell>
          <cell r="D408" t="str">
            <v>07/Dec/1998</v>
          </cell>
          <cell r="E408" t="str">
            <v>DPAN0004</v>
          </cell>
          <cell r="F408" t="str">
            <v>1998/12</v>
          </cell>
          <cell r="G408" t="str">
            <v>000000</v>
          </cell>
          <cell r="H408" t="str">
            <v>22665</v>
          </cell>
          <cell r="I408" t="str">
            <v>608000</v>
          </cell>
          <cell r="J408" t="str">
            <v>ZCY FICA Man Adj-Levasseur</v>
          </cell>
          <cell r="K408" t="str">
            <v>D1</v>
          </cell>
          <cell r="L408">
            <v>-714.13</v>
          </cell>
          <cell r="M408" t="str">
            <v>X</v>
          </cell>
        </row>
        <row r="409">
          <cell r="A409" t="str">
            <v xml:space="preserve"> 01</v>
          </cell>
          <cell r="B409" t="str">
            <v>000772</v>
          </cell>
          <cell r="C409" t="str">
            <v>Jrnl</v>
          </cell>
          <cell r="D409" t="str">
            <v>07/Dec/1998</v>
          </cell>
          <cell r="E409" t="str">
            <v>DPAN0004</v>
          </cell>
          <cell r="F409" t="str">
            <v>1998/12</v>
          </cell>
          <cell r="G409" t="str">
            <v>000000</v>
          </cell>
          <cell r="H409" t="str">
            <v>22665</v>
          </cell>
          <cell r="I409" t="str">
            <v>608000</v>
          </cell>
          <cell r="J409" t="str">
            <v>ZCY FICA Man Adj-Lupien</v>
          </cell>
          <cell r="K409" t="str">
            <v>D1</v>
          </cell>
          <cell r="L409">
            <v>-252.45</v>
          </cell>
          <cell r="M409" t="str">
            <v>X</v>
          </cell>
        </row>
        <row r="410">
          <cell r="A410" t="str">
            <v xml:space="preserve"> 01</v>
          </cell>
          <cell r="B410" t="str">
            <v>000772</v>
          </cell>
          <cell r="C410" t="str">
            <v>Jrnl</v>
          </cell>
          <cell r="D410" t="str">
            <v>07/Dec/1998</v>
          </cell>
          <cell r="E410" t="str">
            <v>DPAN0004</v>
          </cell>
          <cell r="F410" t="str">
            <v>1998/12</v>
          </cell>
          <cell r="G410" t="str">
            <v>000000</v>
          </cell>
          <cell r="H410" t="str">
            <v>22665</v>
          </cell>
          <cell r="I410" t="str">
            <v>608000</v>
          </cell>
          <cell r="J410" t="str">
            <v>ZCY FICA Man Adj-Major</v>
          </cell>
          <cell r="K410" t="str">
            <v>D1</v>
          </cell>
          <cell r="L410">
            <v>-688.5</v>
          </cell>
          <cell r="M410" t="str">
            <v>X</v>
          </cell>
        </row>
        <row r="411">
          <cell r="A411" t="str">
            <v xml:space="preserve"> 01</v>
          </cell>
          <cell r="B411" t="str">
            <v>000772</v>
          </cell>
          <cell r="C411" t="str">
            <v>Jrnl</v>
          </cell>
          <cell r="D411" t="str">
            <v>07/Dec/1998</v>
          </cell>
          <cell r="E411" t="str">
            <v>DPAN0004</v>
          </cell>
          <cell r="F411" t="str">
            <v>1998/12</v>
          </cell>
          <cell r="G411" t="str">
            <v>000000</v>
          </cell>
          <cell r="H411" t="str">
            <v>22665</v>
          </cell>
          <cell r="I411" t="str">
            <v>608000</v>
          </cell>
          <cell r="J411" t="str">
            <v>ZCY FICA Man Adj-Otjes</v>
          </cell>
          <cell r="K411" t="str">
            <v>D1</v>
          </cell>
          <cell r="L411">
            <v>-1170.45</v>
          </cell>
          <cell r="M411" t="str">
            <v>X</v>
          </cell>
        </row>
        <row r="412">
          <cell r="A412" t="str">
            <v xml:space="preserve"> 01</v>
          </cell>
          <cell r="B412" t="str">
            <v>000772</v>
          </cell>
          <cell r="C412" t="str">
            <v>Jrnl</v>
          </cell>
          <cell r="D412" t="str">
            <v>07/Dec/1998</v>
          </cell>
          <cell r="E412" t="str">
            <v>DPAN0004</v>
          </cell>
          <cell r="F412" t="str">
            <v>1998/12</v>
          </cell>
          <cell r="G412" t="str">
            <v>000000</v>
          </cell>
          <cell r="H412" t="str">
            <v>22665</v>
          </cell>
          <cell r="I412" t="str">
            <v>608000</v>
          </cell>
          <cell r="J412" t="str">
            <v>ZCY FICA Man Adj-Potvin</v>
          </cell>
          <cell r="K412" t="str">
            <v>D1</v>
          </cell>
          <cell r="L412">
            <v>-712.03</v>
          </cell>
          <cell r="M412" t="str">
            <v>X</v>
          </cell>
        </row>
        <row r="413">
          <cell r="A413" t="str">
            <v xml:space="preserve"> 01</v>
          </cell>
          <cell r="B413" t="str">
            <v>000772</v>
          </cell>
          <cell r="C413" t="str">
            <v>Jrnl</v>
          </cell>
          <cell r="D413" t="str">
            <v>07/Dec/1998</v>
          </cell>
          <cell r="E413" t="str">
            <v>DPAN0004</v>
          </cell>
          <cell r="F413" t="str">
            <v>1998/12</v>
          </cell>
          <cell r="G413" t="str">
            <v>000000</v>
          </cell>
          <cell r="H413" t="str">
            <v>22665</v>
          </cell>
          <cell r="I413" t="str">
            <v>608000</v>
          </cell>
          <cell r="J413" t="str">
            <v>ZCY FICA Man Adj-Proulx StCyr</v>
          </cell>
          <cell r="K413" t="str">
            <v>D1</v>
          </cell>
          <cell r="L413">
            <v>-688.5</v>
          </cell>
          <cell r="M413" t="str">
            <v>X</v>
          </cell>
        </row>
        <row r="414">
          <cell r="A414" t="str">
            <v xml:space="preserve"> 01</v>
          </cell>
          <cell r="B414" t="str">
            <v>000772</v>
          </cell>
          <cell r="C414" t="str">
            <v>Jrnl</v>
          </cell>
          <cell r="D414" t="str">
            <v>07/Dec/1998</v>
          </cell>
          <cell r="E414" t="str">
            <v>DPAN0004</v>
          </cell>
          <cell r="F414" t="str">
            <v>1998/12</v>
          </cell>
          <cell r="G414" t="str">
            <v>000000</v>
          </cell>
          <cell r="H414" t="str">
            <v>22665</v>
          </cell>
          <cell r="I414" t="str">
            <v>608000</v>
          </cell>
          <cell r="J414" t="str">
            <v>ZCY FICA Man Adj-Savoie</v>
          </cell>
          <cell r="K414" t="str">
            <v>D1</v>
          </cell>
          <cell r="L414">
            <v>-688.5</v>
          </cell>
          <cell r="M414" t="str">
            <v>X</v>
          </cell>
        </row>
        <row r="415">
          <cell r="A415" t="str">
            <v xml:space="preserve"> 01</v>
          </cell>
          <cell r="B415" t="str">
            <v>000772</v>
          </cell>
          <cell r="C415" t="str">
            <v>Jrnl</v>
          </cell>
          <cell r="D415" t="str">
            <v>07/Dec/1998</v>
          </cell>
          <cell r="E415" t="str">
            <v>DPAN0004</v>
          </cell>
          <cell r="F415" t="str">
            <v>1998/12</v>
          </cell>
          <cell r="G415" t="str">
            <v>000000</v>
          </cell>
          <cell r="H415" t="str">
            <v>22665</v>
          </cell>
          <cell r="I415" t="str">
            <v>608000</v>
          </cell>
          <cell r="J415" t="str">
            <v>ZCY FICA Man Adj-Sereno</v>
          </cell>
          <cell r="K415" t="str">
            <v>D1</v>
          </cell>
          <cell r="L415">
            <v>-716.24</v>
          </cell>
          <cell r="M415" t="str">
            <v>X</v>
          </cell>
        </row>
        <row r="416">
          <cell r="A416" t="str">
            <v xml:space="preserve"> 01</v>
          </cell>
          <cell r="B416" t="str">
            <v>000772</v>
          </cell>
          <cell r="C416" t="str">
            <v>Jrnl</v>
          </cell>
          <cell r="D416" t="str">
            <v>07/Dec/1998</v>
          </cell>
          <cell r="E416" t="str">
            <v>DPAN0004</v>
          </cell>
          <cell r="F416" t="str">
            <v>1998/12</v>
          </cell>
          <cell r="G416" t="str">
            <v>000000</v>
          </cell>
          <cell r="H416" t="str">
            <v>22665</v>
          </cell>
          <cell r="I416" t="str">
            <v>608000</v>
          </cell>
          <cell r="J416" t="str">
            <v>ZCY FICA Man Adj-Stanley</v>
          </cell>
          <cell r="K416" t="str">
            <v>D1</v>
          </cell>
          <cell r="L416">
            <v>-688.5</v>
          </cell>
          <cell r="M416" t="str">
            <v>X</v>
          </cell>
        </row>
        <row r="417">
          <cell r="A417" t="str">
            <v xml:space="preserve"> 01</v>
          </cell>
          <cell r="B417" t="str">
            <v>000772</v>
          </cell>
          <cell r="C417" t="str">
            <v>Jrnl</v>
          </cell>
          <cell r="D417" t="str">
            <v>07/Dec/1998</v>
          </cell>
          <cell r="E417" t="str">
            <v>DPAN0004</v>
          </cell>
          <cell r="F417" t="str">
            <v>1998/12</v>
          </cell>
          <cell r="G417" t="str">
            <v>000000</v>
          </cell>
          <cell r="H417" t="str">
            <v>22665</v>
          </cell>
          <cell r="I417" t="str">
            <v>608000</v>
          </cell>
          <cell r="J417" t="str">
            <v>ZCY FICA Man Adj-Steben</v>
          </cell>
          <cell r="K417" t="str">
            <v>D1</v>
          </cell>
          <cell r="L417">
            <v>-688.5</v>
          </cell>
          <cell r="M417" t="str">
            <v>X</v>
          </cell>
        </row>
        <row r="418">
          <cell r="A418" t="str">
            <v xml:space="preserve"> 01</v>
          </cell>
          <cell r="B418" t="str">
            <v>000772</v>
          </cell>
          <cell r="C418" t="str">
            <v>Jrnl</v>
          </cell>
          <cell r="D418" t="str">
            <v>07/Dec/1998</v>
          </cell>
          <cell r="E418" t="str">
            <v>DPAN0004</v>
          </cell>
          <cell r="F418" t="str">
            <v>1998/12</v>
          </cell>
          <cell r="G418" t="str">
            <v>000000</v>
          </cell>
          <cell r="H418" t="str">
            <v>22665</v>
          </cell>
          <cell r="I418" t="str">
            <v>608000</v>
          </cell>
          <cell r="J418" t="str">
            <v>ZCY FICA Man Adj-Thomas</v>
          </cell>
          <cell r="K418" t="str">
            <v>D1</v>
          </cell>
          <cell r="L418">
            <v>-709.92</v>
          </cell>
          <cell r="M418" t="str">
            <v>X</v>
          </cell>
        </row>
        <row r="419">
          <cell r="A419" t="str">
            <v xml:space="preserve"> 01</v>
          </cell>
          <cell r="B419" t="str">
            <v>000772</v>
          </cell>
          <cell r="C419" t="str">
            <v>Jrnl</v>
          </cell>
          <cell r="D419" t="str">
            <v>07/Dec/1998</v>
          </cell>
          <cell r="E419" t="str">
            <v>DPAN0004</v>
          </cell>
          <cell r="F419" t="str">
            <v>1998/12</v>
          </cell>
          <cell r="G419" t="str">
            <v>000000</v>
          </cell>
          <cell r="H419" t="str">
            <v>22665</v>
          </cell>
          <cell r="I419" t="str">
            <v>608000</v>
          </cell>
          <cell r="J419" t="str">
            <v>ZCY FICA Man Adj-VanStrydonck</v>
          </cell>
          <cell r="K419" t="str">
            <v>D1</v>
          </cell>
          <cell r="L419">
            <v>-4085.38</v>
          </cell>
          <cell r="M419" t="str">
            <v>X</v>
          </cell>
        </row>
        <row r="420">
          <cell r="A420" t="str">
            <v xml:space="preserve"> 01</v>
          </cell>
          <cell r="B420" t="str">
            <v>000219</v>
          </cell>
          <cell r="C420" t="str">
            <v>Jrnl</v>
          </cell>
          <cell r="D420" t="str">
            <v>31/Jan/1998</v>
          </cell>
          <cell r="E420" t="str">
            <v>TLOH1051</v>
          </cell>
          <cell r="F420" t="str">
            <v>1998/01</v>
          </cell>
          <cell r="G420" t="str">
            <v>000000</v>
          </cell>
          <cell r="H420" t="str">
            <v>22665</v>
          </cell>
          <cell r="I420" t="str">
            <v>601000</v>
          </cell>
          <cell r="J420" t="str">
            <v>ZCY(1/4@1/17)NET</v>
          </cell>
          <cell r="K420" t="str">
            <v>D1</v>
          </cell>
          <cell r="L420">
            <v>8735.58</v>
          </cell>
          <cell r="M420" t="str">
            <v>X</v>
          </cell>
        </row>
        <row r="421">
          <cell r="A421" t="str">
            <v xml:space="preserve"> 01</v>
          </cell>
          <cell r="B421" t="str">
            <v>000234</v>
          </cell>
          <cell r="C421" t="str">
            <v>Jrnl</v>
          </cell>
          <cell r="D421" t="str">
            <v>12/Feb/1998</v>
          </cell>
          <cell r="E421" t="str">
            <v>KPUR0008</v>
          </cell>
          <cell r="F421" t="str">
            <v>1998/02</v>
          </cell>
          <cell r="G421" t="str">
            <v>000000</v>
          </cell>
          <cell r="H421" t="str">
            <v>22665</v>
          </cell>
          <cell r="I421" t="str">
            <v>601000</v>
          </cell>
          <cell r="J421" t="str">
            <v>ZCY(12/21@01/03)</v>
          </cell>
          <cell r="K421" t="str">
            <v>D1</v>
          </cell>
          <cell r="L421">
            <v>-3364.75</v>
          </cell>
          <cell r="M421" t="str">
            <v>X</v>
          </cell>
        </row>
        <row r="422">
          <cell r="A422" t="str">
            <v xml:space="preserve"> 01</v>
          </cell>
          <cell r="B422" t="str">
            <v>000272</v>
          </cell>
          <cell r="C422" t="str">
            <v>Jrnl</v>
          </cell>
          <cell r="D422" t="str">
            <v>16/Mar/1998</v>
          </cell>
          <cell r="E422" t="str">
            <v>KPUR0118</v>
          </cell>
          <cell r="F422" t="str">
            <v>1998/03</v>
          </cell>
          <cell r="G422" t="str">
            <v>000000</v>
          </cell>
          <cell r="H422" t="str">
            <v>22665</v>
          </cell>
          <cell r="I422" t="str">
            <v>601000</v>
          </cell>
          <cell r="J422" t="str">
            <v>ZCY(2/15@2/28) NET</v>
          </cell>
          <cell r="K422" t="str">
            <v>D1</v>
          </cell>
          <cell r="L422">
            <v>11492.33</v>
          </cell>
          <cell r="M422" t="str">
            <v>X</v>
          </cell>
        </row>
        <row r="423">
          <cell r="A423" t="str">
            <v xml:space="preserve"> 01</v>
          </cell>
          <cell r="B423" t="str">
            <v>000315</v>
          </cell>
          <cell r="C423" t="str">
            <v>Jrnl</v>
          </cell>
          <cell r="D423" t="str">
            <v>14/Apr/1998</v>
          </cell>
          <cell r="E423" t="str">
            <v>KPUR0269</v>
          </cell>
          <cell r="F423" t="str">
            <v>1998/04</v>
          </cell>
          <cell r="G423" t="str">
            <v>000000</v>
          </cell>
          <cell r="H423" t="str">
            <v>22665</v>
          </cell>
          <cell r="I423" t="str">
            <v>601000</v>
          </cell>
          <cell r="J423" t="str">
            <v>ZCY(3/15@3/28)NET</v>
          </cell>
          <cell r="K423" t="str">
            <v>D1</v>
          </cell>
          <cell r="L423">
            <v>18695.47</v>
          </cell>
          <cell r="M423" t="str">
            <v>X</v>
          </cell>
        </row>
        <row r="424">
          <cell r="A424" t="str">
            <v xml:space="preserve"> 01</v>
          </cell>
          <cell r="B424" t="str">
            <v>000342</v>
          </cell>
          <cell r="C424" t="str">
            <v>Jrnl</v>
          </cell>
          <cell r="D424" t="str">
            <v>24/Apr/1998</v>
          </cell>
          <cell r="E424" t="str">
            <v>KPUR0351</v>
          </cell>
          <cell r="F424" t="str">
            <v>1998/04</v>
          </cell>
          <cell r="G424" t="str">
            <v>000000</v>
          </cell>
          <cell r="H424" t="str">
            <v>22665</v>
          </cell>
          <cell r="I424" t="str">
            <v>601000</v>
          </cell>
          <cell r="J424" t="str">
            <v>ZCY(3/29@4/11)NET</v>
          </cell>
          <cell r="K424" t="str">
            <v>D1</v>
          </cell>
          <cell r="L424">
            <v>68522.03</v>
          </cell>
          <cell r="M424" t="str">
            <v>X</v>
          </cell>
        </row>
        <row r="425">
          <cell r="A425" t="str">
            <v xml:space="preserve"> 01</v>
          </cell>
          <cell r="B425" t="str">
            <v>000389</v>
          </cell>
          <cell r="C425" t="str">
            <v>Jrnl</v>
          </cell>
          <cell r="D425" t="str">
            <v>25/May/1998</v>
          </cell>
          <cell r="E425" t="str">
            <v>KPUR0483</v>
          </cell>
          <cell r="F425" t="str">
            <v>1998/05</v>
          </cell>
          <cell r="G425" t="str">
            <v>000000</v>
          </cell>
          <cell r="H425" t="str">
            <v>22665</v>
          </cell>
          <cell r="I425" t="str">
            <v>601000</v>
          </cell>
          <cell r="J425" t="str">
            <v>ZCY(4-26@5-9)NET</v>
          </cell>
          <cell r="K425" t="str">
            <v>D1</v>
          </cell>
          <cell r="L425">
            <v>74915.55</v>
          </cell>
          <cell r="M425" t="str">
            <v>X</v>
          </cell>
        </row>
        <row r="426">
          <cell r="A426" t="str">
            <v xml:space="preserve"> 01</v>
          </cell>
          <cell r="B426" t="str">
            <v>000418</v>
          </cell>
          <cell r="C426" t="str">
            <v>Jrnl</v>
          </cell>
          <cell r="D426" t="str">
            <v>06/Jun/1998</v>
          </cell>
          <cell r="E426" t="str">
            <v>KPUR0590</v>
          </cell>
          <cell r="F426" t="str">
            <v>1998/06</v>
          </cell>
          <cell r="G426" t="str">
            <v>000000</v>
          </cell>
          <cell r="H426" t="str">
            <v>22665</v>
          </cell>
          <cell r="I426" t="str">
            <v>601000</v>
          </cell>
          <cell r="J426" t="str">
            <v>ZCY(5/10@5/23)NET</v>
          </cell>
          <cell r="K426" t="str">
            <v>D1</v>
          </cell>
          <cell r="L426">
            <v>74294.36</v>
          </cell>
          <cell r="M426" t="str">
            <v>X</v>
          </cell>
        </row>
        <row r="427">
          <cell r="A427" t="str">
            <v xml:space="preserve"> 02</v>
          </cell>
          <cell r="B427" t="str">
            <v>000012</v>
          </cell>
          <cell r="C427" t="str">
            <v>Accl</v>
          </cell>
          <cell r="D427" t="str">
            <v>25/Mar/1998</v>
          </cell>
          <cell r="E427" t="str">
            <v>KPUR0168</v>
          </cell>
          <cell r="F427" t="str">
            <v>1998/03</v>
          </cell>
          <cell r="G427" t="str">
            <v>000000</v>
          </cell>
          <cell r="H427" t="str">
            <v>22665</v>
          </cell>
          <cell r="I427" t="str">
            <v>601000</v>
          </cell>
          <cell r="J427" t="str">
            <v>ZCY03/16@03/31</v>
          </cell>
          <cell r="K427" t="str">
            <v>D1</v>
          </cell>
          <cell r="L427">
            <v>-19146.919999999998</v>
          </cell>
          <cell r="M427" t="str">
            <v>X</v>
          </cell>
        </row>
        <row r="428">
          <cell r="A428" t="str">
            <v xml:space="preserve"> 03</v>
          </cell>
          <cell r="B428" t="str">
            <v>000012</v>
          </cell>
          <cell r="C428" t="str">
            <v>Rvsl</v>
          </cell>
          <cell r="D428" t="str">
            <v>25/Mar/1998</v>
          </cell>
          <cell r="E428" t="str">
            <v>KPUR0168</v>
          </cell>
          <cell r="F428" t="str">
            <v>1998/04</v>
          </cell>
          <cell r="G428" t="str">
            <v>000000</v>
          </cell>
          <cell r="H428" t="str">
            <v>22665</v>
          </cell>
          <cell r="I428" t="str">
            <v>601000</v>
          </cell>
          <cell r="J428" t="str">
            <v>ZCY03/16@03/31</v>
          </cell>
          <cell r="K428" t="str">
            <v>D1</v>
          </cell>
          <cell r="L428">
            <v>19146.919999999998</v>
          </cell>
          <cell r="M428" t="str">
            <v>X</v>
          </cell>
        </row>
        <row r="429">
          <cell r="A429" t="str">
            <v xml:space="preserve"> 01</v>
          </cell>
          <cell r="B429" t="str">
            <v>000255</v>
          </cell>
          <cell r="C429" t="str">
            <v>Jrnl</v>
          </cell>
          <cell r="D429" t="str">
            <v>27/Feb/1998</v>
          </cell>
          <cell r="E429" t="str">
            <v>TLOH1216</v>
          </cell>
          <cell r="F429" t="str">
            <v>1998/02</v>
          </cell>
          <cell r="G429" t="str">
            <v>000000</v>
          </cell>
          <cell r="H429" t="str">
            <v>22665</v>
          </cell>
          <cell r="I429" t="str">
            <v>601000</v>
          </cell>
          <cell r="J429" t="str">
            <v>ZCY1/18@1/31 NET</v>
          </cell>
          <cell r="K429" t="str">
            <v>D1</v>
          </cell>
          <cell r="L429">
            <v>-10045.719999999999</v>
          </cell>
          <cell r="M429" t="str">
            <v>X</v>
          </cell>
        </row>
        <row r="430">
          <cell r="A430" t="str">
            <v xml:space="preserve"> 01</v>
          </cell>
          <cell r="B430" t="str">
            <v>000546</v>
          </cell>
          <cell r="C430" t="str">
            <v>Jrnl</v>
          </cell>
          <cell r="D430" t="str">
            <v>31/Aug/1998</v>
          </cell>
          <cell r="E430" t="str">
            <v>TLOH2054</v>
          </cell>
          <cell r="F430" t="str">
            <v>1998/08</v>
          </cell>
          <cell r="G430" t="str">
            <v>000000</v>
          </cell>
          <cell r="H430" t="str">
            <v>22665</v>
          </cell>
          <cell r="I430" t="str">
            <v>601000</v>
          </cell>
          <cell r="J430" t="str">
            <v>ZDA - 1099 ROMANOVA</v>
          </cell>
          <cell r="K430" t="str">
            <v>D1</v>
          </cell>
          <cell r="L430">
            <v>-1280</v>
          </cell>
          <cell r="M430" t="str">
            <v>X</v>
          </cell>
        </row>
        <row r="431">
          <cell r="A431" t="str">
            <v xml:space="preserve"> 01</v>
          </cell>
          <cell r="B431" t="str">
            <v>000367</v>
          </cell>
          <cell r="C431" t="str">
            <v>Jrnl</v>
          </cell>
          <cell r="D431" t="str">
            <v>08/May/1998</v>
          </cell>
          <cell r="E431" t="str">
            <v>KPUR0417</v>
          </cell>
          <cell r="F431" t="str">
            <v>1998/05</v>
          </cell>
          <cell r="G431" t="str">
            <v>000000</v>
          </cell>
          <cell r="H431" t="str">
            <v>22665</v>
          </cell>
          <cell r="I431" t="str">
            <v>601000</v>
          </cell>
          <cell r="J431" t="str">
            <v>ZDA (1099) VOID</v>
          </cell>
          <cell r="K431" t="str">
            <v>D1</v>
          </cell>
          <cell r="L431">
            <v>-1529.8</v>
          </cell>
          <cell r="M431" t="str">
            <v>X</v>
          </cell>
        </row>
        <row r="432">
          <cell r="A432" t="str">
            <v xml:space="preserve"> 01</v>
          </cell>
          <cell r="B432" t="str">
            <v>000498</v>
          </cell>
          <cell r="C432" t="str">
            <v>Jrnl</v>
          </cell>
          <cell r="D432" t="str">
            <v>31/Jul/1998</v>
          </cell>
          <cell r="E432" t="str">
            <v>KPUR0808</v>
          </cell>
          <cell r="F432" t="str">
            <v>1998/07</v>
          </cell>
          <cell r="G432" t="str">
            <v>000000</v>
          </cell>
          <cell r="H432" t="str">
            <v>22665</v>
          </cell>
          <cell r="I432" t="str">
            <v>601000</v>
          </cell>
          <cell r="J432" t="str">
            <v>ZDA (6/7@6/20)</v>
          </cell>
          <cell r="K432" t="str">
            <v>D1</v>
          </cell>
          <cell r="L432">
            <v>-3345</v>
          </cell>
          <cell r="M432" t="str">
            <v>X</v>
          </cell>
        </row>
        <row r="433">
          <cell r="A433" t="str">
            <v xml:space="preserve"> 01</v>
          </cell>
          <cell r="B433" t="str">
            <v>000341</v>
          </cell>
          <cell r="C433" t="str">
            <v>Jrnl</v>
          </cell>
          <cell r="D433" t="str">
            <v>24/Apr/1998</v>
          </cell>
          <cell r="E433" t="str">
            <v>KPUR0351</v>
          </cell>
          <cell r="F433" t="str">
            <v>1998/04</v>
          </cell>
          <cell r="G433" t="str">
            <v>000000</v>
          </cell>
          <cell r="H433" t="str">
            <v>22665</v>
          </cell>
          <cell r="I433" t="str">
            <v>601000</v>
          </cell>
          <cell r="J433" t="str">
            <v>ZDA 3/29@4/11 NET</v>
          </cell>
          <cell r="K433" t="str">
            <v>D1</v>
          </cell>
          <cell r="L433">
            <v>-1529.8</v>
          </cell>
          <cell r="M433" t="str">
            <v>X</v>
          </cell>
        </row>
        <row r="434">
          <cell r="A434" t="str">
            <v xml:space="preserve"> 01</v>
          </cell>
          <cell r="B434" t="str">
            <v>000368</v>
          </cell>
          <cell r="C434" t="str">
            <v>Jrnl</v>
          </cell>
          <cell r="D434" t="str">
            <v>08/May/1998</v>
          </cell>
          <cell r="E434" t="str">
            <v>KPUR0417</v>
          </cell>
          <cell r="F434" t="str">
            <v>1998/05</v>
          </cell>
          <cell r="G434" t="str">
            <v>000000</v>
          </cell>
          <cell r="H434" t="str">
            <v>22665</v>
          </cell>
          <cell r="I434" t="str">
            <v>601000</v>
          </cell>
          <cell r="J434" t="str">
            <v>ZDA 4/12@4/25 NET</v>
          </cell>
          <cell r="K434" t="str">
            <v>D1</v>
          </cell>
          <cell r="L434">
            <v>-74631.740000000005</v>
          </cell>
          <cell r="M434" t="str">
            <v>X</v>
          </cell>
        </row>
        <row r="435">
          <cell r="A435" t="str">
            <v xml:space="preserve"> 01</v>
          </cell>
          <cell r="B435" t="str">
            <v>000497</v>
          </cell>
          <cell r="C435" t="str">
            <v>Jrnl</v>
          </cell>
          <cell r="D435" t="str">
            <v>11/Jul/1998</v>
          </cell>
          <cell r="E435" t="str">
            <v>KPUR0808</v>
          </cell>
          <cell r="F435" t="str">
            <v>1998/07</v>
          </cell>
          <cell r="G435" t="str">
            <v>000000</v>
          </cell>
          <cell r="H435" t="str">
            <v>22665</v>
          </cell>
          <cell r="I435" t="str">
            <v>601000</v>
          </cell>
          <cell r="J435" t="str">
            <v>ZDA 6/7@6/20</v>
          </cell>
          <cell r="K435" t="str">
            <v>D1</v>
          </cell>
          <cell r="L435">
            <v>3345</v>
          </cell>
          <cell r="M435" t="str">
            <v>X</v>
          </cell>
        </row>
        <row r="436">
          <cell r="A436" t="str">
            <v xml:space="preserve"> 01</v>
          </cell>
          <cell r="B436" t="str">
            <v>000731</v>
          </cell>
          <cell r="C436" t="str">
            <v>Jrnl</v>
          </cell>
          <cell r="D436" t="str">
            <v>30/Nov/1998</v>
          </cell>
          <cell r="E436" t="str">
            <v>NTON0035</v>
          </cell>
          <cell r="F436" t="str">
            <v>1998/11</v>
          </cell>
          <cell r="G436" t="str">
            <v>000000</v>
          </cell>
          <cell r="H436" t="str">
            <v>22665</v>
          </cell>
          <cell r="I436" t="str">
            <v>608006</v>
          </cell>
          <cell r="J436" t="str">
            <v>ZDA PE 10/10 Kingman</v>
          </cell>
          <cell r="K436" t="str">
            <v>D1</v>
          </cell>
          <cell r="L436">
            <v>-550</v>
          </cell>
          <cell r="M436" t="str">
            <v>X</v>
          </cell>
        </row>
        <row r="437">
          <cell r="A437" t="str">
            <v xml:space="preserve"> 01</v>
          </cell>
          <cell r="B437" t="str">
            <v>000732</v>
          </cell>
          <cell r="C437" t="str">
            <v>Jrnl</v>
          </cell>
          <cell r="D437" t="str">
            <v>30/Nov/1998</v>
          </cell>
          <cell r="E437" t="str">
            <v>NTON0035</v>
          </cell>
          <cell r="F437" t="str">
            <v>1998/11</v>
          </cell>
          <cell r="G437" t="str">
            <v>000000</v>
          </cell>
          <cell r="H437" t="str">
            <v>22665</v>
          </cell>
          <cell r="I437" t="str">
            <v>608000</v>
          </cell>
          <cell r="J437" t="str">
            <v>ZDA PE 10/10 Net</v>
          </cell>
          <cell r="K437" t="str">
            <v>D1</v>
          </cell>
          <cell r="L437">
            <v>550</v>
          </cell>
          <cell r="M437" t="str">
            <v>X</v>
          </cell>
        </row>
        <row r="438">
          <cell r="A438" t="str">
            <v xml:space="preserve"> 01</v>
          </cell>
          <cell r="B438" t="str">
            <v>000730</v>
          </cell>
          <cell r="C438" t="str">
            <v>Jrnl</v>
          </cell>
          <cell r="D438" t="str">
            <v>10/Nov/1998</v>
          </cell>
          <cell r="E438" t="str">
            <v>NTON0035</v>
          </cell>
          <cell r="F438" t="str">
            <v>1998/11</v>
          </cell>
          <cell r="G438" t="str">
            <v>000000</v>
          </cell>
          <cell r="H438" t="str">
            <v>22665</v>
          </cell>
          <cell r="I438" t="str">
            <v>608000</v>
          </cell>
          <cell r="J438" t="str">
            <v>ZDA PE 10/24 Kingman</v>
          </cell>
          <cell r="K438" t="str">
            <v>D1</v>
          </cell>
          <cell r="L438">
            <v>-880</v>
          </cell>
          <cell r="M438" t="str">
            <v>X</v>
          </cell>
        </row>
        <row r="439">
          <cell r="A439" t="str">
            <v xml:space="preserve"> 01</v>
          </cell>
          <cell r="B439" t="str">
            <v>000729</v>
          </cell>
          <cell r="C439" t="str">
            <v>Jrnl</v>
          </cell>
          <cell r="D439" t="str">
            <v>10/Nov/1998</v>
          </cell>
          <cell r="E439" t="str">
            <v>NTON0035</v>
          </cell>
          <cell r="F439" t="str">
            <v>1998/11</v>
          </cell>
          <cell r="G439" t="str">
            <v>000000</v>
          </cell>
          <cell r="H439" t="str">
            <v>22665</v>
          </cell>
          <cell r="I439" t="str">
            <v>608000</v>
          </cell>
          <cell r="J439" t="str">
            <v>ZDA PE 10/24 Net</v>
          </cell>
          <cell r="K439" t="str">
            <v>D1</v>
          </cell>
          <cell r="L439">
            <v>880</v>
          </cell>
          <cell r="M439" t="str">
            <v>X</v>
          </cell>
        </row>
        <row r="440">
          <cell r="A440" t="str">
            <v xml:space="preserve"> 01</v>
          </cell>
          <cell r="B440" t="str">
            <v>000746</v>
          </cell>
          <cell r="C440" t="str">
            <v>Jrnl</v>
          </cell>
          <cell r="D440" t="str">
            <v>11/Dec/1998</v>
          </cell>
          <cell r="E440" t="str">
            <v>NTON0052</v>
          </cell>
          <cell r="F440" t="str">
            <v>1998/12</v>
          </cell>
          <cell r="G440" t="str">
            <v>000000</v>
          </cell>
          <cell r="H440" t="str">
            <v>22665</v>
          </cell>
          <cell r="I440" t="str">
            <v>608000</v>
          </cell>
          <cell r="J440" t="str">
            <v>ZDA PE 11/21</v>
          </cell>
          <cell r="K440" t="str">
            <v>D1</v>
          </cell>
          <cell r="L440">
            <v>-1340</v>
          </cell>
          <cell r="M440" t="str">
            <v>X</v>
          </cell>
        </row>
        <row r="441">
          <cell r="A441" t="str">
            <v xml:space="preserve"> 01</v>
          </cell>
          <cell r="B441" t="str">
            <v>000747</v>
          </cell>
          <cell r="C441" t="str">
            <v>Jrnl</v>
          </cell>
          <cell r="D441" t="str">
            <v>10/Dec/1998</v>
          </cell>
          <cell r="E441" t="str">
            <v>NTON0052</v>
          </cell>
          <cell r="F441" t="str">
            <v>1998/12</v>
          </cell>
          <cell r="G441" t="str">
            <v>000000</v>
          </cell>
          <cell r="H441" t="str">
            <v>22665</v>
          </cell>
          <cell r="I441" t="str">
            <v>608000</v>
          </cell>
          <cell r="J441" t="str">
            <v>ZDA PE 11/21 Net</v>
          </cell>
          <cell r="K441" t="str">
            <v>D1</v>
          </cell>
          <cell r="L441">
            <v>1340</v>
          </cell>
          <cell r="M441" t="str">
            <v>X</v>
          </cell>
        </row>
        <row r="442">
          <cell r="A442" t="str">
            <v xml:space="preserve"> 01</v>
          </cell>
          <cell r="B442" t="str">
            <v>000722</v>
          </cell>
          <cell r="C442" t="str">
            <v>Jrnl</v>
          </cell>
          <cell r="D442" t="str">
            <v>23/Nov/1998</v>
          </cell>
          <cell r="E442" t="str">
            <v>NTON0028</v>
          </cell>
          <cell r="F442" t="str">
            <v>1998/11</v>
          </cell>
          <cell r="G442" t="str">
            <v>000000</v>
          </cell>
          <cell r="H442" t="str">
            <v>22665</v>
          </cell>
          <cell r="I442" t="str">
            <v>608000</v>
          </cell>
          <cell r="J442" t="str">
            <v>ZDA PE 11/7</v>
          </cell>
          <cell r="K442" t="str">
            <v>D1</v>
          </cell>
          <cell r="L442">
            <v>-1220</v>
          </cell>
          <cell r="M442" t="str">
            <v>X</v>
          </cell>
        </row>
        <row r="443">
          <cell r="A443" t="str">
            <v xml:space="preserve"> 01</v>
          </cell>
          <cell r="B443" t="str">
            <v>000721</v>
          </cell>
          <cell r="C443" t="str">
            <v>Jrnl</v>
          </cell>
          <cell r="D443" t="str">
            <v>23/Nov/1998</v>
          </cell>
          <cell r="E443" t="str">
            <v>NTON0028</v>
          </cell>
          <cell r="F443" t="str">
            <v>1998/11</v>
          </cell>
          <cell r="G443" t="str">
            <v>000000</v>
          </cell>
          <cell r="H443" t="str">
            <v>22665</v>
          </cell>
          <cell r="I443" t="str">
            <v>608000</v>
          </cell>
          <cell r="J443" t="str">
            <v>ZDA PE 11/7 Net</v>
          </cell>
          <cell r="K443" t="str">
            <v>D1</v>
          </cell>
          <cell r="L443">
            <v>1220</v>
          </cell>
          <cell r="M443" t="str">
            <v>X</v>
          </cell>
        </row>
        <row r="444">
          <cell r="A444" t="str">
            <v xml:space="preserve"> 01</v>
          </cell>
          <cell r="B444" t="str">
            <v>000459</v>
          </cell>
          <cell r="C444" t="str">
            <v>Jrnl</v>
          </cell>
          <cell r="D444" t="str">
            <v>22/Jun/1998</v>
          </cell>
          <cell r="E444" t="str">
            <v>KPUR0692</v>
          </cell>
          <cell r="F444" t="str">
            <v>1998/06</v>
          </cell>
          <cell r="G444" t="str">
            <v>000000</v>
          </cell>
          <cell r="H444" t="str">
            <v>22675</v>
          </cell>
          <cell r="I444" t="str">
            <v>608000</v>
          </cell>
          <cell r="J444" t="str">
            <v>VAC PAY - EISEMAN</v>
          </cell>
          <cell r="K444" t="str">
            <v>D1</v>
          </cell>
          <cell r="L444">
            <v>426.92</v>
          </cell>
        </row>
        <row r="445">
          <cell r="A445" t="str">
            <v xml:space="preserve"> 01</v>
          </cell>
          <cell r="B445" t="str">
            <v>000817</v>
          </cell>
          <cell r="C445" t="str">
            <v>Jrnl</v>
          </cell>
          <cell r="D445" t="str">
            <v>31/Dec/1998</v>
          </cell>
          <cell r="E445" t="str">
            <v>NTON0123</v>
          </cell>
          <cell r="F445" t="str">
            <v>1998/12</v>
          </cell>
          <cell r="G445" t="str">
            <v>000000</v>
          </cell>
          <cell r="H445" t="str">
            <v>22665</v>
          </cell>
          <cell r="I445" t="str">
            <v>608000</v>
          </cell>
          <cell r="J445" t="str">
            <v>ZDA PE 12/5</v>
          </cell>
          <cell r="K445" t="str">
            <v>D1</v>
          </cell>
          <cell r="L445">
            <v>-1100</v>
          </cell>
          <cell r="M445" t="str">
            <v>X</v>
          </cell>
        </row>
        <row r="446">
          <cell r="A446" t="str">
            <v xml:space="preserve"> 01</v>
          </cell>
          <cell r="B446" t="str">
            <v>000777</v>
          </cell>
          <cell r="C446" t="str">
            <v>Jrnl</v>
          </cell>
          <cell r="D446" t="str">
            <v>16/Dec/1998</v>
          </cell>
          <cell r="E446" t="str">
            <v>NTON0082</v>
          </cell>
          <cell r="F446" t="str">
            <v>1998/12</v>
          </cell>
          <cell r="G446" t="str">
            <v>000000</v>
          </cell>
          <cell r="H446" t="str">
            <v>22665</v>
          </cell>
          <cell r="I446" t="str">
            <v>608000</v>
          </cell>
          <cell r="J446" t="str">
            <v>ZDA PE 12/5 Net</v>
          </cell>
          <cell r="K446" t="str">
            <v>D1</v>
          </cell>
          <cell r="L446">
            <v>1100</v>
          </cell>
          <cell r="M446" t="str">
            <v>X</v>
          </cell>
        </row>
        <row r="447">
          <cell r="A447" t="str">
            <v xml:space="preserve"> 01</v>
          </cell>
          <cell r="B447" t="str">
            <v>000368</v>
          </cell>
          <cell r="C447" t="str">
            <v>Jrnl</v>
          </cell>
          <cell r="D447" t="str">
            <v>08/May/1998</v>
          </cell>
          <cell r="E447" t="str">
            <v>KPUR0417</v>
          </cell>
          <cell r="F447" t="str">
            <v>1998/05</v>
          </cell>
          <cell r="G447" t="str">
            <v>000000</v>
          </cell>
          <cell r="H447" t="str">
            <v>22665</v>
          </cell>
          <cell r="I447" t="str">
            <v>601000</v>
          </cell>
          <cell r="J447" t="str">
            <v>ZDA PE 4/25 NET VOID</v>
          </cell>
          <cell r="K447" t="str">
            <v>D1</v>
          </cell>
          <cell r="L447">
            <v>1529.8</v>
          </cell>
          <cell r="M447" t="str">
            <v>X</v>
          </cell>
        </row>
        <row r="448">
          <cell r="A448" t="str">
            <v xml:space="preserve"> 01</v>
          </cell>
          <cell r="B448" t="str">
            <v>000542</v>
          </cell>
          <cell r="C448" t="str">
            <v>Jrnl</v>
          </cell>
          <cell r="D448" t="str">
            <v>27/Aug/1998</v>
          </cell>
          <cell r="E448" t="str">
            <v>KPUR0876</v>
          </cell>
          <cell r="F448" t="str">
            <v>1998/08</v>
          </cell>
          <cell r="G448" t="str">
            <v>000000</v>
          </cell>
          <cell r="H448" t="str">
            <v>22665</v>
          </cell>
          <cell r="I448" t="str">
            <v>601000</v>
          </cell>
          <cell r="J448" t="str">
            <v>ZDA PE 8/1 ROMANOVA</v>
          </cell>
          <cell r="K448" t="str">
            <v>D1</v>
          </cell>
          <cell r="L448">
            <v>1280</v>
          </cell>
          <cell r="M448" t="str">
            <v>X</v>
          </cell>
        </row>
        <row r="449">
          <cell r="A449" t="str">
            <v xml:space="preserve"> 01</v>
          </cell>
          <cell r="B449" t="str">
            <v>000658</v>
          </cell>
          <cell r="C449" t="str">
            <v>Jrnl</v>
          </cell>
          <cell r="D449" t="str">
            <v>09/Oct/1998</v>
          </cell>
          <cell r="E449" t="str">
            <v>NTON0003</v>
          </cell>
          <cell r="F449" t="str">
            <v>1998/10</v>
          </cell>
          <cell r="G449" t="str">
            <v>000000</v>
          </cell>
          <cell r="H449" t="str">
            <v>22665</v>
          </cell>
          <cell r="I449" t="str">
            <v>608000</v>
          </cell>
          <cell r="J449" t="str">
            <v>ZDA PE 9/26 Dupuis</v>
          </cell>
          <cell r="K449" t="str">
            <v>D1</v>
          </cell>
          <cell r="L449">
            <v>2000</v>
          </cell>
          <cell r="M449" t="str">
            <v>X</v>
          </cell>
        </row>
        <row r="450">
          <cell r="A450" t="str">
            <v xml:space="preserve"> 01</v>
          </cell>
          <cell r="B450" t="str">
            <v>000659</v>
          </cell>
          <cell r="C450" t="str">
            <v>Jrnl</v>
          </cell>
          <cell r="D450" t="str">
            <v>07/Oct/1998</v>
          </cell>
          <cell r="E450" t="str">
            <v>NTON0003</v>
          </cell>
          <cell r="F450" t="str">
            <v>1998/10</v>
          </cell>
          <cell r="G450" t="str">
            <v>000000</v>
          </cell>
          <cell r="H450" t="str">
            <v>22665</v>
          </cell>
          <cell r="I450" t="str">
            <v>608000</v>
          </cell>
          <cell r="J450" t="str">
            <v>ZDA PE 9/26 Net</v>
          </cell>
          <cell r="K450" t="str">
            <v>D1</v>
          </cell>
          <cell r="L450">
            <v>-1155</v>
          </cell>
          <cell r="M450" t="str">
            <v>X</v>
          </cell>
        </row>
        <row r="451">
          <cell r="A451" t="str">
            <v xml:space="preserve"> 01</v>
          </cell>
          <cell r="B451" t="str">
            <v>000342</v>
          </cell>
          <cell r="C451" t="str">
            <v>Jrnl</v>
          </cell>
          <cell r="D451" t="str">
            <v>24/Apr/1998</v>
          </cell>
          <cell r="E451" t="str">
            <v>KPUR0351</v>
          </cell>
          <cell r="F451" t="str">
            <v>1998/04</v>
          </cell>
          <cell r="G451" t="str">
            <v>000000</v>
          </cell>
          <cell r="H451" t="str">
            <v>22665</v>
          </cell>
          <cell r="I451" t="str">
            <v>601000</v>
          </cell>
          <cell r="J451" t="str">
            <v>ZDA(1099)PE 4/11</v>
          </cell>
          <cell r="K451" t="str">
            <v>D1</v>
          </cell>
          <cell r="L451">
            <v>1529.8</v>
          </cell>
          <cell r="M451" t="str">
            <v>X</v>
          </cell>
        </row>
        <row r="452">
          <cell r="A452" t="str">
            <v xml:space="preserve"> 01</v>
          </cell>
          <cell r="B452" t="str">
            <v>000258</v>
          </cell>
          <cell r="C452" t="str">
            <v>Jrnl</v>
          </cell>
          <cell r="D452" t="str">
            <v>16/Feb/1998</v>
          </cell>
          <cell r="E452" t="str">
            <v>TLOH1230</v>
          </cell>
          <cell r="F452" t="str">
            <v>1998/02</v>
          </cell>
          <cell r="G452" t="str">
            <v>000000</v>
          </cell>
          <cell r="H452" t="str">
            <v>22665</v>
          </cell>
          <cell r="I452" t="str">
            <v>608000</v>
          </cell>
          <cell r="J452" t="str">
            <v>ZNP (1/18@1/31) NET</v>
          </cell>
          <cell r="K452" t="str">
            <v>D1</v>
          </cell>
          <cell r="L452">
            <v>3203.25</v>
          </cell>
          <cell r="M452" t="str">
            <v>X</v>
          </cell>
        </row>
        <row r="453">
          <cell r="A453" t="str">
            <v xml:space="preserve"> 01</v>
          </cell>
          <cell r="B453" t="str">
            <v>000729</v>
          </cell>
          <cell r="C453" t="str">
            <v>Jrnl</v>
          </cell>
          <cell r="D453" t="str">
            <v>10/Nov/1998</v>
          </cell>
          <cell r="E453" t="str">
            <v>NTON0035</v>
          </cell>
          <cell r="F453" t="str">
            <v>1998/11</v>
          </cell>
          <cell r="G453" t="str">
            <v>000000</v>
          </cell>
          <cell r="H453" t="str">
            <v>22665</v>
          </cell>
          <cell r="I453" t="str">
            <v>608000</v>
          </cell>
          <cell r="J453" t="str">
            <v>ZNP (10/11@10/24) Net</v>
          </cell>
          <cell r="K453" t="str">
            <v>D1</v>
          </cell>
          <cell r="L453">
            <v>169689.1</v>
          </cell>
          <cell r="M453" t="str">
            <v>X</v>
          </cell>
        </row>
        <row r="454">
          <cell r="A454" t="str">
            <v xml:space="preserve"> 01</v>
          </cell>
          <cell r="B454" t="str">
            <v>000721</v>
          </cell>
          <cell r="C454" t="str">
            <v>Jrnl</v>
          </cell>
          <cell r="D454" t="str">
            <v>23/Nov/1998</v>
          </cell>
          <cell r="E454" t="str">
            <v>NTON0028</v>
          </cell>
          <cell r="F454" t="str">
            <v>1998/11</v>
          </cell>
          <cell r="G454" t="str">
            <v>000000</v>
          </cell>
          <cell r="H454" t="str">
            <v>22665</v>
          </cell>
          <cell r="I454" t="str">
            <v>608000</v>
          </cell>
          <cell r="J454" t="str">
            <v>ZNP (10/25@11/7) Net</v>
          </cell>
          <cell r="K454" t="str">
            <v>D1</v>
          </cell>
          <cell r="L454">
            <v>177985.61</v>
          </cell>
          <cell r="M454" t="str">
            <v>X</v>
          </cell>
        </row>
        <row r="455">
          <cell r="A455" t="str">
            <v xml:space="preserve"> 01</v>
          </cell>
          <cell r="B455" t="str">
            <v>000777</v>
          </cell>
          <cell r="C455" t="str">
            <v>Jrnl</v>
          </cell>
          <cell r="D455" t="str">
            <v>16/Dec/1998</v>
          </cell>
          <cell r="E455" t="str">
            <v>NTON0082</v>
          </cell>
          <cell r="F455" t="str">
            <v>1998/12</v>
          </cell>
          <cell r="G455" t="str">
            <v>000000</v>
          </cell>
          <cell r="H455" t="str">
            <v>22665</v>
          </cell>
          <cell r="I455" t="str">
            <v>608000</v>
          </cell>
          <cell r="J455" t="str">
            <v>ZNP (11/22@12/5) Net</v>
          </cell>
          <cell r="K455" t="str">
            <v>D1</v>
          </cell>
          <cell r="L455">
            <v>193275.07</v>
          </cell>
          <cell r="M455" t="str">
            <v>X</v>
          </cell>
        </row>
        <row r="456">
          <cell r="A456" t="str">
            <v xml:space="preserve"> 01</v>
          </cell>
          <cell r="B456" t="str">
            <v>000263</v>
          </cell>
          <cell r="C456" t="str">
            <v>Jrnl</v>
          </cell>
          <cell r="D456" t="str">
            <v>28/Feb/1998</v>
          </cell>
          <cell r="E456" t="str">
            <v>TLOH1230</v>
          </cell>
          <cell r="F456" t="str">
            <v>1998/02</v>
          </cell>
          <cell r="G456" t="str">
            <v>000000</v>
          </cell>
          <cell r="H456" t="str">
            <v>22665</v>
          </cell>
          <cell r="I456" t="str">
            <v>608000</v>
          </cell>
          <cell r="J456" t="str">
            <v>ZNP (2/1@2/14) NET</v>
          </cell>
          <cell r="K456" t="str">
            <v>D1</v>
          </cell>
          <cell r="L456">
            <v>7265.97</v>
          </cell>
          <cell r="M456" t="str">
            <v>X</v>
          </cell>
        </row>
        <row r="457">
          <cell r="A457" t="str">
            <v xml:space="preserve"> 01</v>
          </cell>
          <cell r="B457" t="str">
            <v>000542</v>
          </cell>
          <cell r="C457" t="str">
            <v>Jrnl</v>
          </cell>
          <cell r="D457" t="str">
            <v>27/Aug/1998</v>
          </cell>
          <cell r="E457" t="str">
            <v>KPUR0876</v>
          </cell>
          <cell r="F457" t="str">
            <v>1998/08</v>
          </cell>
          <cell r="G457" t="str">
            <v>000000</v>
          </cell>
          <cell r="H457" t="str">
            <v>22665</v>
          </cell>
          <cell r="I457" t="str">
            <v>608000</v>
          </cell>
          <cell r="J457" t="str">
            <v>ZNP (7/19@8/1)NET</v>
          </cell>
          <cell r="K457" t="str">
            <v>D1</v>
          </cell>
          <cell r="L457">
            <v>40823.93</v>
          </cell>
          <cell r="M457" t="str">
            <v>X</v>
          </cell>
        </row>
        <row r="458">
          <cell r="A458" t="str">
            <v xml:space="preserve"> 01</v>
          </cell>
          <cell r="B458" t="str">
            <v>000659</v>
          </cell>
          <cell r="C458" t="str">
            <v>Jrnl</v>
          </cell>
          <cell r="D458" t="str">
            <v>07/Oct/1998</v>
          </cell>
          <cell r="E458" t="str">
            <v>NTON0003</v>
          </cell>
          <cell r="F458" t="str">
            <v>1998/10</v>
          </cell>
          <cell r="G458" t="str">
            <v>000000</v>
          </cell>
          <cell r="H458" t="str">
            <v>22665</v>
          </cell>
          <cell r="I458" t="str">
            <v>608000</v>
          </cell>
          <cell r="J458" t="str">
            <v>ZNP (9/13@9/26) Net</v>
          </cell>
          <cell r="K458" t="str">
            <v>D1</v>
          </cell>
          <cell r="L458">
            <v>-151165.79999999999</v>
          </cell>
          <cell r="M458" t="str">
            <v>X</v>
          </cell>
        </row>
        <row r="459">
          <cell r="A459" t="str">
            <v xml:space="preserve"> 02</v>
          </cell>
          <cell r="B459" t="str">
            <v>000013</v>
          </cell>
          <cell r="C459" t="str">
            <v>Accl</v>
          </cell>
          <cell r="D459" t="str">
            <v>25/Mar/1998</v>
          </cell>
          <cell r="E459" t="str">
            <v>KPUR0168</v>
          </cell>
          <cell r="F459" t="str">
            <v>1998/03</v>
          </cell>
          <cell r="G459" t="str">
            <v>000000</v>
          </cell>
          <cell r="H459" t="str">
            <v>22665</v>
          </cell>
          <cell r="I459" t="str">
            <v>608000</v>
          </cell>
          <cell r="J459" t="str">
            <v>ZNP 03/16@03/31</v>
          </cell>
          <cell r="K459" t="str">
            <v>D1</v>
          </cell>
          <cell r="L459">
            <v>-5904.77</v>
          </cell>
          <cell r="M459" t="str">
            <v>X</v>
          </cell>
        </row>
        <row r="460">
          <cell r="A460" t="str">
            <v xml:space="preserve"> 03</v>
          </cell>
          <cell r="B460" t="str">
            <v>000013</v>
          </cell>
          <cell r="C460" t="str">
            <v>Rvsl</v>
          </cell>
          <cell r="D460" t="str">
            <v>25/Mar/1998</v>
          </cell>
          <cell r="E460" t="str">
            <v>KPUR0168</v>
          </cell>
          <cell r="F460" t="str">
            <v>1998/04</v>
          </cell>
          <cell r="G460" t="str">
            <v>000000</v>
          </cell>
          <cell r="H460" t="str">
            <v>22665</v>
          </cell>
          <cell r="I460" t="str">
            <v>608000</v>
          </cell>
          <cell r="J460" t="str">
            <v>ZNP 03/16@03/31</v>
          </cell>
          <cell r="K460" t="str">
            <v>D1</v>
          </cell>
          <cell r="L460">
            <v>5904.77</v>
          </cell>
          <cell r="M460" t="str">
            <v>X</v>
          </cell>
        </row>
        <row r="461">
          <cell r="A461" t="str">
            <v xml:space="preserve"> 01</v>
          </cell>
          <cell r="B461" t="str">
            <v>000256</v>
          </cell>
          <cell r="C461" t="str">
            <v>Jrnl</v>
          </cell>
          <cell r="D461" t="str">
            <v>16/Feb/1998</v>
          </cell>
          <cell r="E461" t="str">
            <v>TLOH1230</v>
          </cell>
          <cell r="F461" t="str">
            <v>1998/02</v>
          </cell>
          <cell r="G461" t="str">
            <v>000000</v>
          </cell>
          <cell r="H461" t="str">
            <v>22665</v>
          </cell>
          <cell r="I461" t="str">
            <v>608000</v>
          </cell>
          <cell r="J461" t="str">
            <v>ZNP 1/18@1/31 NET</v>
          </cell>
          <cell r="K461" t="str">
            <v>D1</v>
          </cell>
          <cell r="L461">
            <v>-3203.25</v>
          </cell>
          <cell r="M461" t="str">
            <v>X</v>
          </cell>
        </row>
        <row r="462">
          <cell r="A462" t="str">
            <v xml:space="preserve"> 01</v>
          </cell>
          <cell r="B462" t="str">
            <v>000730</v>
          </cell>
          <cell r="C462" t="str">
            <v>Jrnl</v>
          </cell>
          <cell r="D462" t="str">
            <v>10/Nov/1998</v>
          </cell>
          <cell r="E462" t="str">
            <v>NTON0035</v>
          </cell>
          <cell r="F462" t="str">
            <v>1998/11</v>
          </cell>
          <cell r="G462" t="str">
            <v>000000</v>
          </cell>
          <cell r="H462" t="str">
            <v>22665</v>
          </cell>
          <cell r="I462" t="str">
            <v>608000</v>
          </cell>
          <cell r="J462" t="str">
            <v>ZNP 10/11@10/24 Net</v>
          </cell>
          <cell r="K462" t="str">
            <v>D1</v>
          </cell>
          <cell r="L462">
            <v>-169689.1</v>
          </cell>
          <cell r="M462" t="str">
            <v>X</v>
          </cell>
        </row>
        <row r="463">
          <cell r="A463" t="str">
            <v xml:space="preserve"> 01</v>
          </cell>
          <cell r="B463" t="str">
            <v>000722</v>
          </cell>
          <cell r="C463" t="str">
            <v>Jrnl</v>
          </cell>
          <cell r="D463" t="str">
            <v>23/Nov/1998</v>
          </cell>
          <cell r="E463" t="str">
            <v>NTON0028</v>
          </cell>
          <cell r="F463" t="str">
            <v>1998/11</v>
          </cell>
          <cell r="G463" t="str">
            <v>000000</v>
          </cell>
          <cell r="H463" t="str">
            <v>22665</v>
          </cell>
          <cell r="I463" t="str">
            <v>608000</v>
          </cell>
          <cell r="J463" t="str">
            <v>ZNP 10/25@11/7 Net</v>
          </cell>
          <cell r="K463" t="str">
            <v>D1</v>
          </cell>
          <cell r="L463">
            <v>-177985.61</v>
          </cell>
          <cell r="M463" t="str">
            <v>X</v>
          </cell>
        </row>
        <row r="464">
          <cell r="A464" t="str">
            <v xml:space="preserve"> 01</v>
          </cell>
          <cell r="B464" t="str">
            <v>000776</v>
          </cell>
          <cell r="C464" t="str">
            <v>Jrnl</v>
          </cell>
          <cell r="D464" t="str">
            <v>17/Dec/1998</v>
          </cell>
          <cell r="E464" t="str">
            <v>NTON0082</v>
          </cell>
          <cell r="F464" t="str">
            <v>1998/12</v>
          </cell>
          <cell r="G464" t="str">
            <v>000000</v>
          </cell>
          <cell r="H464" t="str">
            <v>22665</v>
          </cell>
          <cell r="I464" t="str">
            <v>608000</v>
          </cell>
          <cell r="J464" t="str">
            <v>ZNP 11/22@12/5 Net</v>
          </cell>
          <cell r="K464" t="str">
            <v>D1</v>
          </cell>
          <cell r="L464">
            <v>-193275.07</v>
          </cell>
          <cell r="M464" t="str">
            <v>X</v>
          </cell>
        </row>
        <row r="465">
          <cell r="A465" t="str">
            <v xml:space="preserve"> 75</v>
          </cell>
          <cell r="B465" t="str">
            <v>002040</v>
          </cell>
          <cell r="C465" t="str">
            <v>cshp</v>
          </cell>
          <cell r="D465" t="str">
            <v>27/Apr/1998</v>
          </cell>
          <cell r="E465" t="str">
            <v>KPUR0335</v>
          </cell>
          <cell r="F465" t="str">
            <v>1998/04</v>
          </cell>
          <cell r="G465" t="str">
            <v>000000</v>
          </cell>
          <cell r="H465" t="str">
            <v>22665</v>
          </cell>
          <cell r="I465" t="str">
            <v>601000</v>
          </cell>
          <cell r="J465" t="str">
            <v>VIJENT ADVANCE</v>
          </cell>
          <cell r="K465" t="str">
            <v>D1</v>
          </cell>
          <cell r="L465">
            <v>400</v>
          </cell>
        </row>
        <row r="466">
          <cell r="A466" t="str">
            <v xml:space="preserve"> 01</v>
          </cell>
          <cell r="B466" t="str">
            <v>000746</v>
          </cell>
          <cell r="C466" t="str">
            <v>Jrnl</v>
          </cell>
          <cell r="D466" t="str">
            <v>11/Dec/1998</v>
          </cell>
          <cell r="E466" t="str">
            <v>NTON0052</v>
          </cell>
          <cell r="F466" t="str">
            <v>1998/12</v>
          </cell>
          <cell r="G466" t="str">
            <v>000000</v>
          </cell>
          <cell r="H466" t="str">
            <v>22665</v>
          </cell>
          <cell r="I466" t="str">
            <v>608000</v>
          </cell>
          <cell r="J466" t="str">
            <v>ZNP 11/8@11/21 Net</v>
          </cell>
          <cell r="K466" t="str">
            <v>D1</v>
          </cell>
          <cell r="L466">
            <v>-167636.57</v>
          </cell>
          <cell r="M466" t="str">
            <v>X</v>
          </cell>
        </row>
        <row r="467">
          <cell r="A467" t="str">
            <v xml:space="preserve"> 01</v>
          </cell>
          <cell r="B467" t="str">
            <v>000261</v>
          </cell>
          <cell r="C467" t="str">
            <v>Jrnl</v>
          </cell>
          <cell r="D467" t="str">
            <v>28/Feb/1998</v>
          </cell>
          <cell r="E467" t="str">
            <v>TLOH1230</v>
          </cell>
          <cell r="F467" t="str">
            <v>1998/02</v>
          </cell>
          <cell r="G467" t="str">
            <v>000000</v>
          </cell>
          <cell r="H467" t="str">
            <v>22665</v>
          </cell>
          <cell r="I467" t="str">
            <v>608000</v>
          </cell>
          <cell r="J467" t="str">
            <v>ZNP 2/1@2/14 NET</v>
          </cell>
          <cell r="K467" t="str">
            <v>D1</v>
          </cell>
          <cell r="L467">
            <v>-7265.97</v>
          </cell>
          <cell r="M467" t="str">
            <v>X</v>
          </cell>
        </row>
        <row r="468">
          <cell r="A468" t="str">
            <v xml:space="preserve"> 01</v>
          </cell>
          <cell r="B468" t="str">
            <v>000275</v>
          </cell>
          <cell r="C468" t="str">
            <v>Jrnl</v>
          </cell>
          <cell r="D468" t="str">
            <v>17/Mar/1998</v>
          </cell>
          <cell r="E468" t="str">
            <v>KPUR0118</v>
          </cell>
          <cell r="F468" t="str">
            <v>1998/03</v>
          </cell>
          <cell r="G468" t="str">
            <v>000000</v>
          </cell>
          <cell r="H468" t="str">
            <v>22665</v>
          </cell>
          <cell r="I468" t="str">
            <v>608000</v>
          </cell>
          <cell r="J468" t="str">
            <v>ZNP 2/15@2/28 NET</v>
          </cell>
          <cell r="K468" t="str">
            <v>D1</v>
          </cell>
          <cell r="L468">
            <v>-3256.63</v>
          </cell>
          <cell r="M468" t="str">
            <v>X</v>
          </cell>
        </row>
        <row r="469">
          <cell r="A469" t="str">
            <v xml:space="preserve"> 01</v>
          </cell>
          <cell r="B469" t="str">
            <v>000327</v>
          </cell>
          <cell r="C469" t="str">
            <v>Jrnl</v>
          </cell>
          <cell r="D469" t="str">
            <v>14/Apr/1998</v>
          </cell>
          <cell r="E469" t="str">
            <v>KPUR0326</v>
          </cell>
          <cell r="F469" t="str">
            <v>1998/04</v>
          </cell>
          <cell r="G469" t="str">
            <v>000000</v>
          </cell>
          <cell r="H469" t="str">
            <v>22665</v>
          </cell>
          <cell r="I469" t="str">
            <v>608000</v>
          </cell>
          <cell r="J469" t="str">
            <v>ZNP 3/15@3/28 NET</v>
          </cell>
          <cell r="K469" t="str">
            <v>D1</v>
          </cell>
          <cell r="L469">
            <v>-4757.45</v>
          </cell>
          <cell r="M469" t="str">
            <v>X</v>
          </cell>
        </row>
        <row r="470">
          <cell r="A470" t="str">
            <v xml:space="preserve"> 01</v>
          </cell>
          <cell r="B470" t="str">
            <v>000338</v>
          </cell>
          <cell r="C470" t="str">
            <v>Jrnl</v>
          </cell>
          <cell r="D470" t="str">
            <v>24/Apr/1998</v>
          </cell>
          <cell r="E470" t="str">
            <v>KPUR0351</v>
          </cell>
          <cell r="F470" t="str">
            <v>1998/04</v>
          </cell>
          <cell r="G470" t="str">
            <v>000000</v>
          </cell>
          <cell r="H470" t="str">
            <v>22665</v>
          </cell>
          <cell r="I470" t="str">
            <v>608000</v>
          </cell>
          <cell r="J470" t="str">
            <v>ZNP 3/29@4/11 NET</v>
          </cell>
          <cell r="K470" t="str">
            <v>D1</v>
          </cell>
          <cell r="L470">
            <v>-4652.99</v>
          </cell>
          <cell r="M470" t="str">
            <v>X</v>
          </cell>
        </row>
        <row r="471">
          <cell r="A471" t="str">
            <v xml:space="preserve"> 01</v>
          </cell>
          <cell r="B471" t="str">
            <v>000366</v>
          </cell>
          <cell r="C471" t="str">
            <v>Jrnl</v>
          </cell>
          <cell r="D471" t="str">
            <v>08/May/1998</v>
          </cell>
          <cell r="E471" t="str">
            <v>KPUR0417</v>
          </cell>
          <cell r="F471" t="str">
            <v>1998/05</v>
          </cell>
          <cell r="G471" t="str">
            <v>000000</v>
          </cell>
          <cell r="H471" t="str">
            <v>22665</v>
          </cell>
          <cell r="I471" t="str">
            <v>608000</v>
          </cell>
          <cell r="J471" t="str">
            <v>ZNP 4/12@4/25 NET</v>
          </cell>
          <cell r="K471" t="str">
            <v>D1</v>
          </cell>
          <cell r="L471">
            <v>-4728.45</v>
          </cell>
          <cell r="M471" t="str">
            <v>X</v>
          </cell>
        </row>
        <row r="472">
          <cell r="A472" t="str">
            <v xml:space="preserve"> 01</v>
          </cell>
          <cell r="B472" t="str">
            <v>000387</v>
          </cell>
          <cell r="C472" t="str">
            <v>Jrnl</v>
          </cell>
          <cell r="D472" t="str">
            <v>26/May/1998</v>
          </cell>
          <cell r="E472" t="str">
            <v>KPUR0483</v>
          </cell>
          <cell r="F472" t="str">
            <v>1998/05</v>
          </cell>
          <cell r="G472" t="str">
            <v>000000</v>
          </cell>
          <cell r="H472" t="str">
            <v>22665</v>
          </cell>
          <cell r="I472" t="str">
            <v>608000</v>
          </cell>
          <cell r="J472" t="str">
            <v>ZNP 4-26@5-9 NET</v>
          </cell>
          <cell r="K472" t="str">
            <v>D1</v>
          </cell>
          <cell r="L472">
            <v>-4524.8900000000003</v>
          </cell>
          <cell r="M472" t="str">
            <v>X</v>
          </cell>
        </row>
        <row r="473">
          <cell r="A473" t="str">
            <v xml:space="preserve"> 01</v>
          </cell>
          <cell r="B473" t="str">
            <v>000420</v>
          </cell>
          <cell r="C473" t="str">
            <v>Jrnl</v>
          </cell>
          <cell r="D473" t="str">
            <v>06/Jun/1998</v>
          </cell>
          <cell r="E473" t="str">
            <v>KPUR0590</v>
          </cell>
          <cell r="F473" t="str">
            <v>1998/06</v>
          </cell>
          <cell r="G473" t="str">
            <v>000000</v>
          </cell>
          <cell r="H473" t="str">
            <v>22665</v>
          </cell>
          <cell r="I473" t="str">
            <v>608000</v>
          </cell>
          <cell r="J473" t="str">
            <v>ZNP 5/10@5/23 NET</v>
          </cell>
          <cell r="K473" t="str">
            <v>D1</v>
          </cell>
          <cell r="L473">
            <v>-5524.26</v>
          </cell>
          <cell r="M473" t="str">
            <v>X</v>
          </cell>
        </row>
        <row r="474">
          <cell r="A474" t="str">
            <v xml:space="preserve"> 01</v>
          </cell>
          <cell r="B474" t="str">
            <v>000459</v>
          </cell>
          <cell r="C474" t="str">
            <v>Jrnl</v>
          </cell>
          <cell r="D474" t="str">
            <v>22/Jun/1998</v>
          </cell>
          <cell r="E474" t="str">
            <v>KPUR0692</v>
          </cell>
          <cell r="F474" t="str">
            <v>1998/06</v>
          </cell>
          <cell r="G474" t="str">
            <v>000000</v>
          </cell>
          <cell r="H474" t="str">
            <v>22665</v>
          </cell>
          <cell r="I474" t="str">
            <v>608000</v>
          </cell>
          <cell r="J474" t="str">
            <v>ZNP 5/24@6/6 NET</v>
          </cell>
          <cell r="K474" t="str">
            <v>D1</v>
          </cell>
          <cell r="L474">
            <v>-5399.77</v>
          </cell>
          <cell r="M474" t="str">
            <v>X</v>
          </cell>
        </row>
        <row r="475">
          <cell r="A475" t="str">
            <v xml:space="preserve"> 02</v>
          </cell>
          <cell r="B475" t="str">
            <v>000018</v>
          </cell>
          <cell r="C475" t="str">
            <v>Accl</v>
          </cell>
          <cell r="D475" t="str">
            <v>30/Jun/1998</v>
          </cell>
          <cell r="E475" t="str">
            <v>KPUR0694</v>
          </cell>
          <cell r="F475" t="str">
            <v>1998/06</v>
          </cell>
          <cell r="G475" t="str">
            <v>000000</v>
          </cell>
          <cell r="H475" t="str">
            <v>22665</v>
          </cell>
          <cell r="I475" t="str">
            <v>608000</v>
          </cell>
          <cell r="J475" t="str">
            <v>ZNP 6/21@6/30 ACC NET</v>
          </cell>
          <cell r="K475" t="str">
            <v>D1</v>
          </cell>
          <cell r="L475">
            <v>-3856.98</v>
          </cell>
          <cell r="M475" t="str">
            <v>X</v>
          </cell>
        </row>
        <row r="476">
          <cell r="A476" t="str">
            <v xml:space="preserve"> 03</v>
          </cell>
          <cell r="B476" t="str">
            <v>000018</v>
          </cell>
          <cell r="C476" t="str">
            <v>Rvsl</v>
          </cell>
          <cell r="D476" t="str">
            <v>30/Jun/1998</v>
          </cell>
          <cell r="E476" t="str">
            <v>KPUR0694</v>
          </cell>
          <cell r="F476" t="str">
            <v>1998/07</v>
          </cell>
          <cell r="G476" t="str">
            <v>000000</v>
          </cell>
          <cell r="H476" t="str">
            <v>22665</v>
          </cell>
          <cell r="I476" t="str">
            <v>608000</v>
          </cell>
          <cell r="J476" t="str">
            <v>ZNP 6/21@6/30 ACC NET</v>
          </cell>
          <cell r="K476" t="str">
            <v>D1</v>
          </cell>
          <cell r="L476">
            <v>3856.98</v>
          </cell>
          <cell r="M476" t="str">
            <v>X</v>
          </cell>
        </row>
        <row r="477">
          <cell r="A477" t="str">
            <v xml:space="preserve"> 01</v>
          </cell>
          <cell r="B477" t="str">
            <v>000499</v>
          </cell>
          <cell r="C477" t="str">
            <v>Jrnl</v>
          </cell>
          <cell r="D477" t="str">
            <v>22/Jul/1998</v>
          </cell>
          <cell r="E477" t="str">
            <v>KPUR0808</v>
          </cell>
          <cell r="F477" t="str">
            <v>1998/07</v>
          </cell>
          <cell r="G477" t="str">
            <v>000000</v>
          </cell>
          <cell r="H477" t="str">
            <v>22665</v>
          </cell>
          <cell r="I477" t="str">
            <v>608000</v>
          </cell>
          <cell r="J477" t="str">
            <v>ZNP 6/21@7/4 NET</v>
          </cell>
          <cell r="K477" t="str">
            <v>D1</v>
          </cell>
          <cell r="L477">
            <v>-6029.22</v>
          </cell>
          <cell r="M477" t="str">
            <v>X</v>
          </cell>
        </row>
        <row r="478">
          <cell r="A478" t="str">
            <v xml:space="preserve"> 01</v>
          </cell>
          <cell r="B478" t="str">
            <v>000500</v>
          </cell>
          <cell r="C478" t="str">
            <v>Jrnl</v>
          </cell>
          <cell r="D478" t="str">
            <v>22/Jul/1998</v>
          </cell>
          <cell r="E478" t="str">
            <v>KPUR0808</v>
          </cell>
          <cell r="F478" t="str">
            <v>1998/07</v>
          </cell>
          <cell r="G478" t="str">
            <v>000000</v>
          </cell>
          <cell r="H478" t="str">
            <v>22665</v>
          </cell>
          <cell r="I478" t="str">
            <v>608000</v>
          </cell>
          <cell r="J478" t="str">
            <v>ZNP 6/21@7/4 NET</v>
          </cell>
          <cell r="K478" t="str">
            <v>D1</v>
          </cell>
          <cell r="L478">
            <v>6029.22</v>
          </cell>
          <cell r="M478" t="str">
            <v>X</v>
          </cell>
        </row>
        <row r="479">
          <cell r="A479" t="str">
            <v xml:space="preserve"> 02</v>
          </cell>
          <cell r="B479" t="str">
            <v>000019</v>
          </cell>
          <cell r="C479" t="str">
            <v>Accl</v>
          </cell>
          <cell r="D479" t="str">
            <v>30/Jun/1998</v>
          </cell>
          <cell r="E479" t="str">
            <v>KPUR0694</v>
          </cell>
          <cell r="F479" t="str">
            <v>1998/06</v>
          </cell>
          <cell r="G479" t="str">
            <v>000000</v>
          </cell>
          <cell r="H479" t="str">
            <v>22665</v>
          </cell>
          <cell r="I479" t="str">
            <v>608000</v>
          </cell>
          <cell r="J479" t="str">
            <v>ZNP 6/7@6/20 ACC NET</v>
          </cell>
          <cell r="K479" t="str">
            <v>D1</v>
          </cell>
          <cell r="L479">
            <v>-5399.77</v>
          </cell>
          <cell r="M479" t="str">
            <v>X</v>
          </cell>
        </row>
        <row r="480">
          <cell r="A480" t="str">
            <v xml:space="preserve"> 03</v>
          </cell>
          <cell r="B480" t="str">
            <v>000019</v>
          </cell>
          <cell r="C480" t="str">
            <v>Rvsl</v>
          </cell>
          <cell r="D480" t="str">
            <v>30/Jun/1998</v>
          </cell>
          <cell r="E480" t="str">
            <v>KPUR0694</v>
          </cell>
          <cell r="F480" t="str">
            <v>1998/07</v>
          </cell>
          <cell r="G480" t="str">
            <v>000000</v>
          </cell>
          <cell r="H480" t="str">
            <v>22665</v>
          </cell>
          <cell r="I480" t="str">
            <v>608000</v>
          </cell>
          <cell r="J480" t="str">
            <v>ZNP 6/7@6/20 ACC NET</v>
          </cell>
          <cell r="K480" t="str">
            <v>D1</v>
          </cell>
          <cell r="L480">
            <v>5399.77</v>
          </cell>
          <cell r="M480" t="str">
            <v>X</v>
          </cell>
        </row>
        <row r="481">
          <cell r="A481" t="str">
            <v xml:space="preserve"> 01</v>
          </cell>
          <cell r="B481" t="str">
            <v>000496</v>
          </cell>
          <cell r="C481" t="str">
            <v>Jrnl</v>
          </cell>
          <cell r="D481" t="str">
            <v>09/Jul/1998</v>
          </cell>
          <cell r="E481" t="str">
            <v>KPUR0808</v>
          </cell>
          <cell r="F481" t="str">
            <v>1998/07</v>
          </cell>
          <cell r="G481" t="str">
            <v>000000</v>
          </cell>
          <cell r="H481" t="str">
            <v>22665</v>
          </cell>
          <cell r="I481" t="str">
            <v>608000</v>
          </cell>
          <cell r="J481" t="str">
            <v>ZNP 6/7@6/20 NET</v>
          </cell>
          <cell r="K481" t="str">
            <v>D1</v>
          </cell>
          <cell r="L481">
            <v>-5349.12</v>
          </cell>
          <cell r="M481" t="str">
            <v>X</v>
          </cell>
        </row>
        <row r="482">
          <cell r="A482" t="str">
            <v xml:space="preserve"> 01</v>
          </cell>
          <cell r="B482" t="str">
            <v>000545</v>
          </cell>
          <cell r="C482" t="str">
            <v>Jrnl</v>
          </cell>
          <cell r="D482" t="str">
            <v>31/Aug/1998</v>
          </cell>
          <cell r="E482" t="str">
            <v>TLOH2054</v>
          </cell>
          <cell r="F482" t="str">
            <v>1998/08</v>
          </cell>
          <cell r="G482" t="str">
            <v>000000</v>
          </cell>
          <cell r="H482" t="str">
            <v>22665</v>
          </cell>
          <cell r="I482" t="str">
            <v>608000</v>
          </cell>
          <cell r="J482" t="str">
            <v>ZNP 7/19@8/1 NET</v>
          </cell>
          <cell r="K482" t="str">
            <v>D1</v>
          </cell>
          <cell r="L482">
            <v>-7664.2</v>
          </cell>
          <cell r="M482" t="str">
            <v>X</v>
          </cell>
        </row>
        <row r="483">
          <cell r="A483" t="str">
            <v xml:space="preserve"> 01</v>
          </cell>
          <cell r="B483" t="str">
            <v>000546</v>
          </cell>
          <cell r="C483" t="str">
            <v>Jrnl</v>
          </cell>
          <cell r="D483" t="str">
            <v>31/Aug/1998</v>
          </cell>
          <cell r="E483" t="str">
            <v>TLOH2054</v>
          </cell>
          <cell r="F483" t="str">
            <v>1998/08</v>
          </cell>
          <cell r="G483" t="str">
            <v>000000</v>
          </cell>
          <cell r="H483" t="str">
            <v>22665</v>
          </cell>
          <cell r="I483" t="str">
            <v>608000</v>
          </cell>
          <cell r="J483" t="str">
            <v>ZNP 7/19@8/1 NET</v>
          </cell>
          <cell r="K483" t="str">
            <v>D1</v>
          </cell>
          <cell r="L483">
            <v>-40823.94</v>
          </cell>
          <cell r="M483" t="str">
            <v>X</v>
          </cell>
        </row>
        <row r="484">
          <cell r="A484" t="str">
            <v xml:space="preserve"> 01</v>
          </cell>
          <cell r="B484" t="str">
            <v>000555</v>
          </cell>
          <cell r="C484" t="str">
            <v>Jrnl</v>
          </cell>
          <cell r="D484" t="str">
            <v>16/Sep/1998</v>
          </cell>
          <cell r="E484" t="str">
            <v>CWAN0065</v>
          </cell>
          <cell r="F484" t="str">
            <v>1998/09</v>
          </cell>
          <cell r="G484" t="str">
            <v>000000</v>
          </cell>
          <cell r="H484" t="str">
            <v>22665</v>
          </cell>
          <cell r="I484" t="str">
            <v>608000</v>
          </cell>
          <cell r="J484" t="str">
            <v>ZNP 8/16@8/29 NET</v>
          </cell>
          <cell r="K484" t="str">
            <v>D1</v>
          </cell>
          <cell r="L484">
            <v>-169610.04</v>
          </cell>
          <cell r="M484" t="str">
            <v>X</v>
          </cell>
        </row>
        <row r="485">
          <cell r="A485" t="str">
            <v xml:space="preserve"> 01</v>
          </cell>
          <cell r="B485" t="str">
            <v>000556</v>
          </cell>
          <cell r="C485" t="str">
            <v>Jrnl</v>
          </cell>
          <cell r="D485" t="str">
            <v>16/Sep/1998</v>
          </cell>
          <cell r="E485" t="str">
            <v>CWAN0065</v>
          </cell>
          <cell r="F485" t="str">
            <v>1998/09</v>
          </cell>
          <cell r="G485" t="str">
            <v>000000</v>
          </cell>
          <cell r="H485" t="str">
            <v>22665</v>
          </cell>
          <cell r="I485" t="str">
            <v>608000</v>
          </cell>
          <cell r="J485" t="str">
            <v>ZNP 8/16@8/29 NET</v>
          </cell>
          <cell r="K485" t="str">
            <v>D1</v>
          </cell>
          <cell r="L485">
            <v>169610.04</v>
          </cell>
          <cell r="M485" t="str">
            <v>X</v>
          </cell>
        </row>
        <row r="486">
          <cell r="A486" t="str">
            <v xml:space="preserve"> 01</v>
          </cell>
          <cell r="B486" t="str">
            <v>000553</v>
          </cell>
          <cell r="C486" t="str">
            <v>Jrnl</v>
          </cell>
          <cell r="D486" t="str">
            <v>31/Aug/1998</v>
          </cell>
          <cell r="E486" t="str">
            <v>TLOH2064</v>
          </cell>
          <cell r="F486" t="str">
            <v>1998/08</v>
          </cell>
          <cell r="G486" t="str">
            <v>000000</v>
          </cell>
          <cell r="H486" t="str">
            <v>22665</v>
          </cell>
          <cell r="I486" t="str">
            <v>608000</v>
          </cell>
          <cell r="J486" t="str">
            <v>ZNP 8/2@8/15 NET</v>
          </cell>
          <cell r="K486" t="str">
            <v>D1</v>
          </cell>
          <cell r="L486">
            <v>-190226.63</v>
          </cell>
          <cell r="M486" t="str">
            <v>X</v>
          </cell>
        </row>
        <row r="487">
          <cell r="A487" t="str">
            <v xml:space="preserve"> 01</v>
          </cell>
          <cell r="B487" t="str">
            <v>000610</v>
          </cell>
          <cell r="C487" t="str">
            <v>Jrnl</v>
          </cell>
          <cell r="D487" t="str">
            <v>30/Sep/1998</v>
          </cell>
          <cell r="E487" t="str">
            <v>CWAN0207</v>
          </cell>
          <cell r="F487" t="str">
            <v>1998/09</v>
          </cell>
          <cell r="G487" t="str">
            <v>000000</v>
          </cell>
          <cell r="H487" t="str">
            <v>22665</v>
          </cell>
          <cell r="I487" t="str">
            <v>608000</v>
          </cell>
          <cell r="J487" t="str">
            <v>ZNP 8/30@9/12 NET</v>
          </cell>
          <cell r="K487" t="str">
            <v>D1</v>
          </cell>
          <cell r="L487">
            <v>180589.74</v>
          </cell>
          <cell r="M487" t="str">
            <v>X</v>
          </cell>
        </row>
        <row r="488">
          <cell r="A488" t="str">
            <v xml:space="preserve"> 01</v>
          </cell>
          <cell r="B488" t="str">
            <v>000611</v>
          </cell>
          <cell r="C488" t="str">
            <v>Jrnl</v>
          </cell>
          <cell r="D488" t="str">
            <v>30/Sep/1998</v>
          </cell>
          <cell r="E488" t="str">
            <v>CWAN0207</v>
          </cell>
          <cell r="F488" t="str">
            <v>1998/09</v>
          </cell>
          <cell r="G488" t="str">
            <v>000000</v>
          </cell>
          <cell r="H488" t="str">
            <v>22665</v>
          </cell>
          <cell r="I488" t="str">
            <v>608000</v>
          </cell>
          <cell r="J488" t="str">
            <v>ZNP 8/30@9/12 NET</v>
          </cell>
          <cell r="K488" t="str">
            <v>D1</v>
          </cell>
          <cell r="L488">
            <v>-180589.74</v>
          </cell>
          <cell r="M488" t="str">
            <v>X</v>
          </cell>
        </row>
        <row r="489">
          <cell r="A489" t="str">
            <v xml:space="preserve"> 01</v>
          </cell>
          <cell r="B489" t="str">
            <v>000658</v>
          </cell>
          <cell r="C489" t="str">
            <v>Jrnl</v>
          </cell>
          <cell r="D489" t="str">
            <v>09/Oct/1998</v>
          </cell>
          <cell r="E489" t="str">
            <v>NTON0003</v>
          </cell>
          <cell r="F489" t="str">
            <v>1998/10</v>
          </cell>
          <cell r="G489" t="str">
            <v>000000</v>
          </cell>
          <cell r="H489" t="str">
            <v>22665</v>
          </cell>
          <cell r="I489" t="str">
            <v>608000</v>
          </cell>
          <cell r="J489" t="str">
            <v>ZNP 9/13@9/26 Net</v>
          </cell>
          <cell r="K489" t="str">
            <v>D1</v>
          </cell>
          <cell r="L489">
            <v>151165.79999999999</v>
          </cell>
          <cell r="M489" t="str">
            <v>X</v>
          </cell>
        </row>
        <row r="490">
          <cell r="A490" t="str">
            <v xml:space="preserve"> 02</v>
          </cell>
          <cell r="B490" t="str">
            <v>000026</v>
          </cell>
          <cell r="C490" t="str">
            <v>Accl</v>
          </cell>
          <cell r="D490" t="str">
            <v>30/Sep/1998</v>
          </cell>
          <cell r="E490" t="str">
            <v>DPAS0144</v>
          </cell>
          <cell r="F490" t="str">
            <v>1998/09</v>
          </cell>
          <cell r="G490" t="str">
            <v>000000</v>
          </cell>
          <cell r="H490" t="str">
            <v>22665</v>
          </cell>
          <cell r="I490" t="str">
            <v>608006</v>
          </cell>
          <cell r="J490" t="str">
            <v>ZNP 9/13@9/30 NET</v>
          </cell>
          <cell r="K490" t="str">
            <v>D1</v>
          </cell>
          <cell r="L490">
            <v>-187734.68</v>
          </cell>
          <cell r="M490" t="str">
            <v>X</v>
          </cell>
        </row>
        <row r="491">
          <cell r="A491" t="str">
            <v xml:space="preserve"> 03</v>
          </cell>
          <cell r="B491" t="str">
            <v>000026</v>
          </cell>
          <cell r="C491" t="str">
            <v>Rvsl</v>
          </cell>
          <cell r="D491" t="str">
            <v>30/Sep/1998</v>
          </cell>
          <cell r="E491" t="str">
            <v>DPAS0144</v>
          </cell>
          <cell r="F491" t="str">
            <v>1998/10</v>
          </cell>
          <cell r="G491" t="str">
            <v>000000</v>
          </cell>
          <cell r="H491" t="str">
            <v>22665</v>
          </cell>
          <cell r="I491" t="str">
            <v>608006</v>
          </cell>
          <cell r="J491" t="str">
            <v>ZNP 9/13@9/30 NET</v>
          </cell>
          <cell r="K491" t="str">
            <v>D1</v>
          </cell>
          <cell r="L491">
            <v>187734.68</v>
          </cell>
          <cell r="M491" t="str">
            <v>X</v>
          </cell>
        </row>
        <row r="492">
          <cell r="A492" t="str">
            <v xml:space="preserve"> 01</v>
          </cell>
          <cell r="B492" t="str">
            <v>000731</v>
          </cell>
          <cell r="C492" t="str">
            <v>Jrnl</v>
          </cell>
          <cell r="D492" t="str">
            <v>30/Nov/1998</v>
          </cell>
          <cell r="E492" t="str">
            <v>NTON0035</v>
          </cell>
          <cell r="F492" t="str">
            <v>1998/11</v>
          </cell>
          <cell r="G492" t="str">
            <v>000000</v>
          </cell>
          <cell r="H492" t="str">
            <v>22665</v>
          </cell>
          <cell r="I492" t="str">
            <v>608006</v>
          </cell>
          <cell r="J492" t="str">
            <v>ZNP 9/27@10/10 Net</v>
          </cell>
          <cell r="K492" t="str">
            <v>D1</v>
          </cell>
          <cell r="L492">
            <v>-167790.12</v>
          </cell>
          <cell r="M492" t="str">
            <v>X</v>
          </cell>
        </row>
        <row r="493">
          <cell r="A493" t="str">
            <v xml:space="preserve"> 01</v>
          </cell>
          <cell r="B493" t="str">
            <v>000609</v>
          </cell>
          <cell r="C493" t="str">
            <v>Jrnl</v>
          </cell>
          <cell r="D493" t="str">
            <v>30/Sep/1998</v>
          </cell>
          <cell r="E493" t="str">
            <v>CWAN0207</v>
          </cell>
          <cell r="F493" t="str">
            <v>1998/09</v>
          </cell>
          <cell r="G493" t="str">
            <v>000000</v>
          </cell>
          <cell r="H493" t="str">
            <v>22665</v>
          </cell>
          <cell r="I493" t="str">
            <v>608000</v>
          </cell>
          <cell r="J493" t="str">
            <v>ZNP PE9/12 VOID</v>
          </cell>
          <cell r="K493" t="str">
            <v>D1</v>
          </cell>
          <cell r="L493">
            <v>-2449.5100000000002</v>
          </cell>
          <cell r="M493" t="str">
            <v>X</v>
          </cell>
        </row>
        <row r="494">
          <cell r="A494" t="str">
            <v xml:space="preserve"> 01</v>
          </cell>
          <cell r="B494" t="str">
            <v>000747</v>
          </cell>
          <cell r="C494" t="str">
            <v>Jrnl</v>
          </cell>
          <cell r="D494" t="str">
            <v>10/Dec/1998</v>
          </cell>
          <cell r="E494" t="str">
            <v>NTON0052</v>
          </cell>
          <cell r="F494" t="str">
            <v>1998/12</v>
          </cell>
          <cell r="G494" t="str">
            <v>000000</v>
          </cell>
          <cell r="H494" t="str">
            <v>22665</v>
          </cell>
          <cell r="I494" t="str">
            <v>608000</v>
          </cell>
          <cell r="J494" t="str">
            <v>ZNP(11/8@11/21)Net</v>
          </cell>
          <cell r="K494" t="str">
            <v>D1</v>
          </cell>
          <cell r="L494">
            <v>167636.57</v>
          </cell>
          <cell r="M494" t="str">
            <v>X</v>
          </cell>
        </row>
        <row r="495">
          <cell r="A495" t="str">
            <v xml:space="preserve"> 01</v>
          </cell>
          <cell r="B495" t="str">
            <v>000273</v>
          </cell>
          <cell r="C495" t="str">
            <v>Jrnl</v>
          </cell>
          <cell r="D495" t="str">
            <v>17/Mar/1998</v>
          </cell>
          <cell r="E495" t="str">
            <v>KPUR0118</v>
          </cell>
          <cell r="F495" t="str">
            <v>1998/03</v>
          </cell>
          <cell r="G495" t="str">
            <v>000000</v>
          </cell>
          <cell r="H495" t="str">
            <v>22665</v>
          </cell>
          <cell r="I495" t="str">
            <v>608000</v>
          </cell>
          <cell r="J495" t="str">
            <v>ZNP(2/15@2/28) NET</v>
          </cell>
          <cell r="K495" t="str">
            <v>D1</v>
          </cell>
          <cell r="L495">
            <v>3256.63</v>
          </cell>
          <cell r="M495" t="str">
            <v>X</v>
          </cell>
        </row>
        <row r="496">
          <cell r="A496" t="str">
            <v xml:space="preserve"> 01</v>
          </cell>
          <cell r="B496" t="str">
            <v>000306</v>
          </cell>
          <cell r="C496" t="str">
            <v>Jrnl</v>
          </cell>
          <cell r="D496" t="str">
            <v>30/Mar/1998</v>
          </cell>
          <cell r="E496" t="str">
            <v>KPUR0260</v>
          </cell>
          <cell r="F496" t="str">
            <v>1998/03</v>
          </cell>
          <cell r="G496" t="str">
            <v>000000</v>
          </cell>
          <cell r="H496" t="str">
            <v>22665</v>
          </cell>
          <cell r="I496" t="str">
            <v>608000</v>
          </cell>
          <cell r="J496" t="str">
            <v>ZNP(3/1@3/14)NET</v>
          </cell>
          <cell r="K496" t="str">
            <v>D1</v>
          </cell>
          <cell r="L496">
            <v>4740.1400000000003</v>
          </cell>
          <cell r="M496" t="str">
            <v>X</v>
          </cell>
        </row>
        <row r="497">
          <cell r="A497" t="str">
            <v xml:space="preserve"> 01</v>
          </cell>
          <cell r="B497" t="str">
            <v>000316</v>
          </cell>
          <cell r="C497" t="str">
            <v>Jrnl</v>
          </cell>
          <cell r="D497" t="str">
            <v>14/Apr/1998</v>
          </cell>
          <cell r="E497" t="str">
            <v>KPUR0269</v>
          </cell>
          <cell r="F497" t="str">
            <v>1998/04</v>
          </cell>
          <cell r="G497" t="str">
            <v>000000</v>
          </cell>
          <cell r="H497" t="str">
            <v>22665</v>
          </cell>
          <cell r="I497" t="str">
            <v>608000</v>
          </cell>
          <cell r="J497" t="str">
            <v>ZNP(3/15@3/28)NET</v>
          </cell>
          <cell r="K497" t="str">
            <v>D1</v>
          </cell>
          <cell r="L497">
            <v>4757.45</v>
          </cell>
          <cell r="M497" t="str">
            <v>X</v>
          </cell>
        </row>
        <row r="498">
          <cell r="A498" t="str">
            <v xml:space="preserve"> 01</v>
          </cell>
          <cell r="B498" t="str">
            <v>000339</v>
          </cell>
          <cell r="C498" t="str">
            <v>Jrnl</v>
          </cell>
          <cell r="D498" t="str">
            <v>24/Apr/1998</v>
          </cell>
          <cell r="E498" t="str">
            <v>KPUR0351</v>
          </cell>
          <cell r="F498" t="str">
            <v>1998/04</v>
          </cell>
          <cell r="G498" t="str">
            <v>000000</v>
          </cell>
          <cell r="H498" t="str">
            <v>22665</v>
          </cell>
          <cell r="I498" t="str">
            <v>608000</v>
          </cell>
          <cell r="J498" t="str">
            <v>ZNP(3/29@4/11)NET</v>
          </cell>
          <cell r="K498" t="str">
            <v>D1</v>
          </cell>
          <cell r="L498">
            <v>4652.99</v>
          </cell>
          <cell r="M498" t="str">
            <v>X</v>
          </cell>
        </row>
        <row r="499">
          <cell r="A499" t="str">
            <v xml:space="preserve"> 01</v>
          </cell>
          <cell r="B499" t="str">
            <v>000369</v>
          </cell>
          <cell r="C499" t="str">
            <v>Jrnl</v>
          </cell>
          <cell r="D499" t="str">
            <v>08/May/1998</v>
          </cell>
          <cell r="E499" t="str">
            <v>KPUR0417</v>
          </cell>
          <cell r="F499" t="str">
            <v>1998/05</v>
          </cell>
          <cell r="G499" t="str">
            <v>000000</v>
          </cell>
          <cell r="H499" t="str">
            <v>22665</v>
          </cell>
          <cell r="I499" t="str">
            <v>608000</v>
          </cell>
          <cell r="J499" t="str">
            <v>ZNP(4/12@4/25)NET</v>
          </cell>
          <cell r="K499" t="str">
            <v>D1</v>
          </cell>
          <cell r="L499">
            <v>4728.45</v>
          </cell>
          <cell r="M499" t="str">
            <v>X</v>
          </cell>
        </row>
        <row r="500">
          <cell r="A500" t="str">
            <v xml:space="preserve"> 01</v>
          </cell>
          <cell r="B500" t="str">
            <v>000419</v>
          </cell>
          <cell r="C500" t="str">
            <v>Jrnl</v>
          </cell>
          <cell r="D500" t="str">
            <v>06/Jun/1998</v>
          </cell>
          <cell r="E500" t="str">
            <v>KPUR0590</v>
          </cell>
          <cell r="F500" t="str">
            <v>1998/06</v>
          </cell>
          <cell r="G500" t="str">
            <v>000000</v>
          </cell>
          <cell r="H500" t="str">
            <v>22665</v>
          </cell>
          <cell r="I500" t="str">
            <v>608000</v>
          </cell>
          <cell r="J500" t="str">
            <v>ZNP(5/10@5/23)NET</v>
          </cell>
          <cell r="K500" t="str">
            <v>D1</v>
          </cell>
          <cell r="L500">
            <v>5524.26</v>
          </cell>
          <cell r="M500" t="str">
            <v>X</v>
          </cell>
        </row>
        <row r="501">
          <cell r="A501" t="str">
            <v xml:space="preserve"> 01</v>
          </cell>
          <cell r="B501" t="str">
            <v>000440</v>
          </cell>
          <cell r="C501" t="str">
            <v>Jrnl</v>
          </cell>
          <cell r="D501" t="str">
            <v>22/Jun/1998</v>
          </cell>
          <cell r="E501" t="str">
            <v>KPUR0637</v>
          </cell>
          <cell r="F501" t="str">
            <v>1998/06</v>
          </cell>
          <cell r="G501" t="str">
            <v>000000</v>
          </cell>
          <cell r="H501" t="str">
            <v>22665</v>
          </cell>
          <cell r="I501" t="str">
            <v>608000</v>
          </cell>
          <cell r="J501" t="str">
            <v>ZNP(5-24@6-6)NET</v>
          </cell>
          <cell r="K501" t="str">
            <v>D1</v>
          </cell>
          <cell r="L501">
            <v>5399.77</v>
          </cell>
          <cell r="M501" t="str">
            <v>X</v>
          </cell>
        </row>
        <row r="502">
          <cell r="A502" t="str">
            <v xml:space="preserve"> 01</v>
          </cell>
          <cell r="B502" t="str">
            <v>000484</v>
          </cell>
          <cell r="C502" t="str">
            <v>Jrnl</v>
          </cell>
          <cell r="D502" t="str">
            <v>09/Jul/1998</v>
          </cell>
          <cell r="E502" t="str">
            <v>TLOH2008</v>
          </cell>
          <cell r="F502" t="str">
            <v>1998/07</v>
          </cell>
          <cell r="G502" t="str">
            <v>000000</v>
          </cell>
          <cell r="H502" t="str">
            <v>22665</v>
          </cell>
          <cell r="I502" t="str">
            <v>608000</v>
          </cell>
          <cell r="J502" t="str">
            <v>ZNP(6/7@6/20)NET</v>
          </cell>
          <cell r="K502" t="str">
            <v>D1</v>
          </cell>
          <cell r="L502">
            <v>5349.12</v>
          </cell>
          <cell r="M502" t="str">
            <v>X</v>
          </cell>
        </row>
        <row r="503">
          <cell r="A503" t="str">
            <v xml:space="preserve"> 01</v>
          </cell>
          <cell r="B503" t="str">
            <v>000544</v>
          </cell>
          <cell r="C503" t="str">
            <v>Jrnl</v>
          </cell>
          <cell r="D503" t="str">
            <v>31/Aug/1998</v>
          </cell>
          <cell r="E503" t="str">
            <v>KPUR0876</v>
          </cell>
          <cell r="F503" t="str">
            <v>1998/08</v>
          </cell>
          <cell r="G503" t="str">
            <v>000000</v>
          </cell>
          <cell r="H503" t="str">
            <v>22665</v>
          </cell>
          <cell r="I503" t="str">
            <v>608000</v>
          </cell>
          <cell r="J503" t="str">
            <v>ZNP(7/19@8/1) NET</v>
          </cell>
          <cell r="K503" t="str">
            <v>D1</v>
          </cell>
          <cell r="L503">
            <v>7664.2</v>
          </cell>
          <cell r="M503" t="str">
            <v>X</v>
          </cell>
        </row>
        <row r="504">
          <cell r="A504" t="str">
            <v xml:space="preserve"> 01</v>
          </cell>
          <cell r="B504" t="str">
            <v>000551</v>
          </cell>
          <cell r="C504" t="str">
            <v>Jrnl</v>
          </cell>
          <cell r="D504" t="str">
            <v>31/Aug/1998</v>
          </cell>
          <cell r="E504" t="str">
            <v>TLOH2063</v>
          </cell>
          <cell r="F504" t="str">
            <v>1998/08</v>
          </cell>
          <cell r="G504" t="str">
            <v>000000</v>
          </cell>
          <cell r="H504" t="str">
            <v>22665</v>
          </cell>
          <cell r="I504" t="str">
            <v>608000</v>
          </cell>
          <cell r="J504" t="str">
            <v>ZNP(8/2@8/15) NET</v>
          </cell>
          <cell r="K504" t="str">
            <v>D1</v>
          </cell>
          <cell r="L504">
            <v>190226.63</v>
          </cell>
          <cell r="M504" t="str">
            <v>X</v>
          </cell>
        </row>
        <row r="505">
          <cell r="A505" t="str">
            <v xml:space="preserve"> 01</v>
          </cell>
          <cell r="B505" t="str">
            <v>000732</v>
          </cell>
          <cell r="C505" t="str">
            <v>Jrnl</v>
          </cell>
          <cell r="D505" t="str">
            <v>30/Nov/1998</v>
          </cell>
          <cell r="E505" t="str">
            <v>NTON0035</v>
          </cell>
          <cell r="F505" t="str">
            <v>1998/11</v>
          </cell>
          <cell r="G505" t="str">
            <v>000000</v>
          </cell>
          <cell r="H505" t="str">
            <v>22665</v>
          </cell>
          <cell r="I505" t="str">
            <v>608000</v>
          </cell>
          <cell r="J505" t="str">
            <v>ZNP(9/27@10/10) Net</v>
          </cell>
          <cell r="K505" t="str">
            <v>D1</v>
          </cell>
          <cell r="L505">
            <v>167790.12</v>
          </cell>
          <cell r="M505" t="str">
            <v>X</v>
          </cell>
        </row>
        <row r="506">
          <cell r="A506" t="str">
            <v xml:space="preserve"> 01</v>
          </cell>
          <cell r="B506" t="str">
            <v>000305</v>
          </cell>
          <cell r="C506" t="str">
            <v>Jrnl</v>
          </cell>
          <cell r="D506" t="str">
            <v>30/Mar/1998</v>
          </cell>
          <cell r="E506" t="str">
            <v>KPUR0260</v>
          </cell>
          <cell r="F506" t="str">
            <v>1998/03</v>
          </cell>
          <cell r="G506" t="str">
            <v>000000</v>
          </cell>
          <cell r="H506" t="str">
            <v>22665</v>
          </cell>
          <cell r="I506" t="str">
            <v>608000</v>
          </cell>
          <cell r="J506" t="str">
            <v>ZNP3/1@3/14 NET</v>
          </cell>
          <cell r="K506" t="str">
            <v>D1</v>
          </cell>
          <cell r="L506">
            <v>-4740.1400000000003</v>
          </cell>
          <cell r="M506" t="str">
            <v>X</v>
          </cell>
        </row>
        <row r="507">
          <cell r="A507" t="str">
            <v xml:space="preserve"> 01</v>
          </cell>
          <cell r="B507" t="str">
            <v>000388</v>
          </cell>
          <cell r="C507" t="str">
            <v>Jrnl</v>
          </cell>
          <cell r="D507" t="str">
            <v>26/May/1998</v>
          </cell>
          <cell r="E507" t="str">
            <v>KPUR0483</v>
          </cell>
          <cell r="F507" t="str">
            <v>1998/05</v>
          </cell>
          <cell r="G507" t="str">
            <v>000000</v>
          </cell>
          <cell r="H507" t="str">
            <v>22665</v>
          </cell>
          <cell r="I507" t="str">
            <v>608000</v>
          </cell>
          <cell r="J507" t="str">
            <v>ZNP4-26@5-9)NET</v>
          </cell>
          <cell r="K507" t="str">
            <v>D1</v>
          </cell>
          <cell r="L507">
            <v>4524.8900000000003</v>
          </cell>
          <cell r="M507" t="str">
            <v>X</v>
          </cell>
        </row>
        <row r="508">
          <cell r="A508" t="str">
            <v xml:space="preserve"> 91</v>
          </cell>
          <cell r="B508" t="str">
            <v>000018</v>
          </cell>
          <cell r="C508" t="str">
            <v>PYr</v>
          </cell>
          <cell r="D508" t="str">
            <v>01/Jan/1998</v>
          </cell>
          <cell r="E508" t="str">
            <v>YE  1997</v>
          </cell>
          <cell r="F508" t="str">
            <v>1998/00</v>
          </cell>
          <cell r="G508" t="str">
            <v>000000</v>
          </cell>
          <cell r="H508" t="str">
            <v>22665</v>
          </cell>
          <cell r="I508" t="str">
            <v>601000</v>
          </cell>
          <cell r="K508" t="str">
            <v>D1</v>
          </cell>
          <cell r="L508">
            <v>-3364.75</v>
          </cell>
          <cell r="M508" t="str">
            <v>X</v>
          </cell>
        </row>
        <row r="509">
          <cell r="A509" t="str">
            <v xml:space="preserve"> 01</v>
          </cell>
          <cell r="B509" t="str">
            <v>000722</v>
          </cell>
          <cell r="C509" t="str">
            <v>Jrnl</v>
          </cell>
          <cell r="D509" t="str">
            <v>23/Nov/1998</v>
          </cell>
          <cell r="E509" t="str">
            <v>NTON0028</v>
          </cell>
          <cell r="F509" t="str">
            <v>1998/11</v>
          </cell>
          <cell r="G509" t="str">
            <v>000000</v>
          </cell>
          <cell r="H509" t="str">
            <v>22675</v>
          </cell>
          <cell r="I509" t="str">
            <v>608000</v>
          </cell>
          <cell r="J509" t="str">
            <v>Wymer Vac Adj</v>
          </cell>
          <cell r="K509" t="str">
            <v>D1</v>
          </cell>
          <cell r="L509">
            <v>719.55</v>
          </cell>
        </row>
        <row r="510">
          <cell r="A510" t="str">
            <v xml:space="preserve"> 01</v>
          </cell>
          <cell r="B510" t="str">
            <v>000731</v>
          </cell>
          <cell r="C510" t="str">
            <v>Jrnl</v>
          </cell>
          <cell r="D510" t="str">
            <v>30/Nov/1998</v>
          </cell>
          <cell r="E510" t="str">
            <v>NTON0035</v>
          </cell>
          <cell r="F510" t="str">
            <v>1998/11</v>
          </cell>
          <cell r="G510" t="str">
            <v>000000</v>
          </cell>
          <cell r="H510" t="str">
            <v>22665</v>
          </cell>
          <cell r="I510" t="str">
            <v>608006</v>
          </cell>
          <cell r="J510" t="str">
            <v>YTD Man Adj - Cote*</v>
          </cell>
          <cell r="K510" t="str">
            <v>D1</v>
          </cell>
          <cell r="L510">
            <v>2160.2600000000002</v>
          </cell>
          <cell r="M510" t="str">
            <v>X</v>
          </cell>
        </row>
        <row r="511">
          <cell r="A511" t="str">
            <v xml:space="preserve"> 02</v>
          </cell>
          <cell r="B511" t="str">
            <v>000044</v>
          </cell>
          <cell r="C511" t="str">
            <v>Accl</v>
          </cell>
          <cell r="D511" t="str">
            <v>22/Nov/1998</v>
          </cell>
          <cell r="E511" t="str">
            <v>NTON0028</v>
          </cell>
          <cell r="F511" t="str">
            <v>1998/11</v>
          </cell>
          <cell r="G511" t="str">
            <v>000000</v>
          </cell>
          <cell r="H511" t="str">
            <v>22675</v>
          </cell>
          <cell r="I511" t="str">
            <v>608000</v>
          </cell>
          <cell r="J511" t="str">
            <v>Acc 11/8@11/30 Vax</v>
          </cell>
          <cell r="K511" t="str">
            <v>D1</v>
          </cell>
          <cell r="L511">
            <v>-13921.21</v>
          </cell>
          <cell r="M511" t="str">
            <v>X</v>
          </cell>
        </row>
        <row r="512">
          <cell r="A512" t="str">
            <v xml:space="preserve"> 03</v>
          </cell>
          <cell r="B512" t="str">
            <v>000044</v>
          </cell>
          <cell r="C512" t="str">
            <v>Rvsl</v>
          </cell>
          <cell r="D512" t="str">
            <v>22/Nov/1998</v>
          </cell>
          <cell r="E512" t="str">
            <v>NTON0028</v>
          </cell>
          <cell r="F512" t="str">
            <v>1998/12</v>
          </cell>
          <cell r="G512" t="str">
            <v>000000</v>
          </cell>
          <cell r="H512" t="str">
            <v>22675</v>
          </cell>
          <cell r="I512" t="str">
            <v>608000</v>
          </cell>
          <cell r="J512" t="str">
            <v>Acc 11/8@11/30 Vax</v>
          </cell>
          <cell r="K512" t="str">
            <v>D1</v>
          </cell>
          <cell r="L512">
            <v>13921.21</v>
          </cell>
          <cell r="M512" t="str">
            <v>X</v>
          </cell>
        </row>
        <row r="513">
          <cell r="A513" t="str">
            <v xml:space="preserve"> 01</v>
          </cell>
          <cell r="B513" t="str">
            <v>000731</v>
          </cell>
          <cell r="C513" t="str">
            <v>Jrnl</v>
          </cell>
          <cell r="D513" t="str">
            <v>30/Nov/1998</v>
          </cell>
          <cell r="E513" t="str">
            <v>NTON0035</v>
          </cell>
          <cell r="F513" t="str">
            <v>1998/11</v>
          </cell>
          <cell r="G513" t="str">
            <v>000000</v>
          </cell>
          <cell r="H513" t="str">
            <v>22665</v>
          </cell>
          <cell r="I513" t="str">
            <v>608006</v>
          </cell>
          <cell r="J513" t="str">
            <v>YTD Man Adj - LaPlante*</v>
          </cell>
          <cell r="K513" t="str">
            <v>D1</v>
          </cell>
          <cell r="L513">
            <v>1467.21</v>
          </cell>
          <cell r="M513" t="str">
            <v>X</v>
          </cell>
        </row>
        <row r="514">
          <cell r="A514" t="str">
            <v xml:space="preserve"> 01</v>
          </cell>
          <cell r="B514" t="str">
            <v>000218</v>
          </cell>
          <cell r="C514" t="str">
            <v>Jrnl</v>
          </cell>
          <cell r="D514" t="str">
            <v>31/Jan/1998</v>
          </cell>
          <cell r="E514" t="str">
            <v>TLOH1051</v>
          </cell>
          <cell r="F514" t="str">
            <v>1998/01</v>
          </cell>
          <cell r="G514" t="str">
            <v>000000</v>
          </cell>
          <cell r="H514" t="str">
            <v>22675</v>
          </cell>
          <cell r="I514" t="str">
            <v>601000</v>
          </cell>
          <cell r="J514" t="str">
            <v>ZCY 1/4@1/17 VAC</v>
          </cell>
          <cell r="K514" t="str">
            <v>D1</v>
          </cell>
          <cell r="L514">
            <v>-476.08</v>
          </cell>
          <cell r="M514" t="str">
            <v>OK</v>
          </cell>
        </row>
        <row r="515">
          <cell r="A515" t="str">
            <v xml:space="preserve"> 01</v>
          </cell>
          <cell r="B515" t="str">
            <v>000262</v>
          </cell>
          <cell r="C515" t="str">
            <v>Jrnl</v>
          </cell>
          <cell r="D515" t="str">
            <v>28/Feb/1998</v>
          </cell>
          <cell r="E515" t="str">
            <v>TLOH1230</v>
          </cell>
          <cell r="F515" t="str">
            <v>1998/02</v>
          </cell>
          <cell r="G515" t="str">
            <v>000000</v>
          </cell>
          <cell r="H515" t="str">
            <v>22675</v>
          </cell>
          <cell r="I515" t="str">
            <v>601000</v>
          </cell>
          <cell r="J515" t="str">
            <v>ZCY 2/1@2/14 VAC</v>
          </cell>
          <cell r="K515" t="str">
            <v>D1</v>
          </cell>
          <cell r="L515">
            <v>-553.39</v>
          </cell>
          <cell r="M515" t="str">
            <v>OK</v>
          </cell>
        </row>
        <row r="516">
          <cell r="A516" t="str">
            <v xml:space="preserve"> 01</v>
          </cell>
          <cell r="B516" t="str">
            <v>000664</v>
          </cell>
          <cell r="C516" t="str">
            <v>Jrnl</v>
          </cell>
          <cell r="D516" t="str">
            <v>22/Oct/1998</v>
          </cell>
          <cell r="E516" t="str">
            <v>NTON0008</v>
          </cell>
          <cell r="F516" t="str">
            <v>1998/10</v>
          </cell>
          <cell r="G516" t="str">
            <v>000000</v>
          </cell>
          <cell r="H516" t="str">
            <v>22675</v>
          </cell>
          <cell r="I516" t="str">
            <v>608000</v>
          </cell>
          <cell r="J516" t="str">
            <v>To Reverse JE 000658</v>
          </cell>
          <cell r="K516" t="str">
            <v>D1</v>
          </cell>
          <cell r="L516">
            <v>-5569.8</v>
          </cell>
          <cell r="M516" t="str">
            <v>X</v>
          </cell>
        </row>
        <row r="517">
          <cell r="A517" t="str">
            <v xml:space="preserve"> 01</v>
          </cell>
          <cell r="B517" t="str">
            <v>000271</v>
          </cell>
          <cell r="C517" t="str">
            <v>Jrnl</v>
          </cell>
          <cell r="D517" t="str">
            <v>16/Mar/1998</v>
          </cell>
          <cell r="E517" t="str">
            <v>KPUR0118</v>
          </cell>
          <cell r="F517" t="str">
            <v>1998/03</v>
          </cell>
          <cell r="G517" t="str">
            <v>000000</v>
          </cell>
          <cell r="H517" t="str">
            <v>22675</v>
          </cell>
          <cell r="I517" t="str">
            <v>601000</v>
          </cell>
          <cell r="J517" t="str">
            <v>ZCY 2/15@2/28 vac</v>
          </cell>
          <cell r="K517" t="str">
            <v>D1</v>
          </cell>
          <cell r="L517">
            <v>-629.57000000000005</v>
          </cell>
          <cell r="M517" t="str">
            <v>OK</v>
          </cell>
        </row>
        <row r="518">
          <cell r="A518" t="str">
            <v xml:space="preserve"> 01</v>
          </cell>
          <cell r="B518" t="str">
            <v>000326</v>
          </cell>
          <cell r="C518" t="str">
            <v>Jrnl</v>
          </cell>
          <cell r="D518" t="str">
            <v>14/Apr/1998</v>
          </cell>
          <cell r="E518" t="str">
            <v>KPUR0326</v>
          </cell>
          <cell r="F518" t="str">
            <v>1998/04</v>
          </cell>
          <cell r="G518" t="str">
            <v>000000</v>
          </cell>
          <cell r="H518" t="str">
            <v>22675</v>
          </cell>
          <cell r="I518" t="str">
            <v>601000</v>
          </cell>
          <cell r="J518" t="str">
            <v>ZCY 3/15@3/28 VAC</v>
          </cell>
          <cell r="K518" t="str">
            <v>D1</v>
          </cell>
          <cell r="L518">
            <v>-769.16</v>
          </cell>
          <cell r="M518" t="str">
            <v>OK</v>
          </cell>
        </row>
        <row r="519">
          <cell r="A519" t="str">
            <v xml:space="preserve"> 01</v>
          </cell>
          <cell r="B519" t="str">
            <v>000341</v>
          </cell>
          <cell r="C519" t="str">
            <v>Jrnl</v>
          </cell>
          <cell r="D519" t="str">
            <v>24/Apr/1998</v>
          </cell>
          <cell r="E519" t="str">
            <v>KPUR0351</v>
          </cell>
          <cell r="F519" t="str">
            <v>1998/04</v>
          </cell>
          <cell r="G519" t="str">
            <v>000000</v>
          </cell>
          <cell r="H519" t="str">
            <v>22675</v>
          </cell>
          <cell r="I519" t="str">
            <v>601000</v>
          </cell>
          <cell r="J519" t="str">
            <v>ZCY 3/29@4/11 VAC</v>
          </cell>
          <cell r="K519" t="str">
            <v>D1</v>
          </cell>
          <cell r="L519">
            <v>-3351.48</v>
          </cell>
          <cell r="M519" t="str">
            <v>OK</v>
          </cell>
        </row>
        <row r="520">
          <cell r="A520" t="str">
            <v xml:space="preserve"> 02</v>
          </cell>
          <cell r="B520" t="str">
            <v>000010</v>
          </cell>
          <cell r="C520" t="str">
            <v>Accl</v>
          </cell>
          <cell r="D520" t="str">
            <v>30/Jan/1998</v>
          </cell>
          <cell r="E520" t="str">
            <v>TLOH1023</v>
          </cell>
          <cell r="F520" t="str">
            <v>1998/01</v>
          </cell>
          <cell r="G520" t="str">
            <v>000000</v>
          </cell>
          <cell r="H520" t="str">
            <v>22675</v>
          </cell>
          <cell r="I520" t="str">
            <v>601000</v>
          </cell>
          <cell r="J520" t="str">
            <v>ZCY 01/17@01/31</v>
          </cell>
          <cell r="K520" t="str">
            <v>D1</v>
          </cell>
          <cell r="L520">
            <v>-423.33</v>
          </cell>
          <cell r="M520" t="str">
            <v>X</v>
          </cell>
        </row>
        <row r="521">
          <cell r="A521" t="str">
            <v xml:space="preserve"> 03</v>
          </cell>
          <cell r="B521" t="str">
            <v>000010</v>
          </cell>
          <cell r="C521" t="str">
            <v>Rvsl</v>
          </cell>
          <cell r="D521" t="str">
            <v>30/Jan/1998</v>
          </cell>
          <cell r="E521" t="str">
            <v>TLOH1023</v>
          </cell>
          <cell r="F521" t="str">
            <v>1998/02</v>
          </cell>
          <cell r="G521" t="str">
            <v>000000</v>
          </cell>
          <cell r="H521" t="str">
            <v>22675</v>
          </cell>
          <cell r="I521" t="str">
            <v>601000</v>
          </cell>
          <cell r="J521" t="str">
            <v>ZCY 01/17@01/31</v>
          </cell>
          <cell r="K521" t="str">
            <v>D1</v>
          </cell>
          <cell r="L521">
            <v>423.33</v>
          </cell>
          <cell r="M521" t="str">
            <v>X</v>
          </cell>
        </row>
        <row r="522">
          <cell r="A522" t="str">
            <v xml:space="preserve"> 01</v>
          </cell>
          <cell r="B522" t="str">
            <v>000775</v>
          </cell>
          <cell r="C522" t="str">
            <v>Jrnl</v>
          </cell>
          <cell r="D522" t="str">
            <v>10/Dec/1998</v>
          </cell>
          <cell r="E522" t="str">
            <v>DPAN0004</v>
          </cell>
          <cell r="F522" t="str">
            <v>1998/12</v>
          </cell>
          <cell r="G522" t="str">
            <v>000000</v>
          </cell>
          <cell r="H522" t="str">
            <v>22665</v>
          </cell>
          <cell r="I522" t="str">
            <v>608000</v>
          </cell>
          <cell r="J522" t="str">
            <v>FICA Refund-Dumaine</v>
          </cell>
          <cell r="K522" t="str">
            <v>D1</v>
          </cell>
          <cell r="L522">
            <v>-887.4</v>
          </cell>
          <cell r="M522" t="str">
            <v>X</v>
          </cell>
        </row>
        <row r="523">
          <cell r="A523" t="str">
            <v xml:space="preserve"> 01</v>
          </cell>
          <cell r="B523" t="str">
            <v>000209</v>
          </cell>
          <cell r="C523" t="str">
            <v>Jrnl</v>
          </cell>
          <cell r="D523" t="str">
            <v>19/Jan/1998</v>
          </cell>
          <cell r="E523" t="str">
            <v>TLOH1004</v>
          </cell>
          <cell r="F523" t="str">
            <v>1998/01</v>
          </cell>
          <cell r="G523" t="str">
            <v>000000</v>
          </cell>
          <cell r="H523" t="str">
            <v>22675</v>
          </cell>
          <cell r="I523" t="str">
            <v>601000</v>
          </cell>
          <cell r="J523" t="str">
            <v>ZCY 12/21@01/03/98</v>
          </cell>
          <cell r="K523" t="str">
            <v>D1</v>
          </cell>
          <cell r="L523">
            <v>-179.38</v>
          </cell>
          <cell r="M523" t="str">
            <v>X</v>
          </cell>
        </row>
        <row r="524">
          <cell r="A524" t="str">
            <v xml:space="preserve"> 03</v>
          </cell>
          <cell r="B524" t="str">
            <v>000009</v>
          </cell>
          <cell r="C524" t="str">
            <v>Rvsl</v>
          </cell>
          <cell r="D524" t="str">
            <v>31/Dec/1997</v>
          </cell>
          <cell r="E524" t="str">
            <v>TLOH0974</v>
          </cell>
          <cell r="F524" t="str">
            <v>1998/01</v>
          </cell>
          <cell r="G524" t="str">
            <v>000000</v>
          </cell>
          <cell r="H524" t="str">
            <v>22675</v>
          </cell>
          <cell r="I524" t="str">
            <v>601000</v>
          </cell>
          <cell r="J524" t="str">
            <v>ZCY 12/21@12/31/97</v>
          </cell>
          <cell r="K524" t="str">
            <v>D1</v>
          </cell>
          <cell r="L524">
            <v>179.38</v>
          </cell>
          <cell r="M524" t="str">
            <v>X</v>
          </cell>
        </row>
        <row r="525">
          <cell r="A525" t="str">
            <v xml:space="preserve"> 75</v>
          </cell>
          <cell r="B525" t="str">
            <v>003190</v>
          </cell>
          <cell r="C525" t="str">
            <v>cshp</v>
          </cell>
          <cell r="D525" t="str">
            <v>08/Dec/1998</v>
          </cell>
          <cell r="E525" t="str">
            <v>MWAL0118</v>
          </cell>
          <cell r="F525" t="str">
            <v>1998/12</v>
          </cell>
          <cell r="G525" t="str">
            <v>000000</v>
          </cell>
          <cell r="H525" t="str">
            <v>22665</v>
          </cell>
          <cell r="I525" t="str">
            <v>608000</v>
          </cell>
          <cell r="J525" t="str">
            <v>Sylvie Dumaine</v>
          </cell>
          <cell r="K525" t="str">
            <v>D1</v>
          </cell>
          <cell r="L525">
            <v>887.4</v>
          </cell>
          <cell r="M525" t="str">
            <v>X</v>
          </cell>
        </row>
        <row r="526">
          <cell r="A526" t="str">
            <v xml:space="preserve"> 01</v>
          </cell>
          <cell r="B526" t="str">
            <v>000390</v>
          </cell>
          <cell r="C526" t="str">
            <v>Jrnl</v>
          </cell>
          <cell r="D526" t="str">
            <v>25/May/1998</v>
          </cell>
          <cell r="E526" t="str">
            <v>KPUR0483</v>
          </cell>
          <cell r="F526" t="str">
            <v>1998/05</v>
          </cell>
          <cell r="G526" t="str">
            <v>000000</v>
          </cell>
          <cell r="H526" t="str">
            <v>22675</v>
          </cell>
          <cell r="I526" t="str">
            <v>601000</v>
          </cell>
          <cell r="J526" t="str">
            <v>ZCY 4/26@5/9 VAC</v>
          </cell>
          <cell r="K526" t="str">
            <v>D1</v>
          </cell>
          <cell r="L526">
            <v>-3752.19</v>
          </cell>
          <cell r="M526" t="str">
            <v>OK</v>
          </cell>
        </row>
        <row r="527">
          <cell r="A527" t="str">
            <v xml:space="preserve"> 01</v>
          </cell>
          <cell r="B527" t="str">
            <v>000421</v>
          </cell>
          <cell r="C527" t="str">
            <v>Jrnl</v>
          </cell>
          <cell r="D527" t="str">
            <v>06/Jun/1998</v>
          </cell>
          <cell r="E527" t="str">
            <v>KPUR0590</v>
          </cell>
          <cell r="F527" t="str">
            <v>1998/06</v>
          </cell>
          <cell r="G527" t="str">
            <v>000000</v>
          </cell>
          <cell r="H527" t="str">
            <v>22675</v>
          </cell>
          <cell r="I527" t="str">
            <v>601000</v>
          </cell>
          <cell r="J527" t="str">
            <v>ZCY 5/10@5/23 VAC</v>
          </cell>
          <cell r="K527" t="str">
            <v>D1</v>
          </cell>
          <cell r="L527">
            <v>-3769.79</v>
          </cell>
          <cell r="M527" t="str">
            <v>OK</v>
          </cell>
        </row>
        <row r="528">
          <cell r="A528" t="str">
            <v xml:space="preserve"> 01</v>
          </cell>
          <cell r="B528" t="str">
            <v>000458</v>
          </cell>
          <cell r="C528" t="str">
            <v>Jrnl</v>
          </cell>
          <cell r="D528" t="str">
            <v>24/Jun/1998</v>
          </cell>
          <cell r="E528" t="str">
            <v>KPUR0692</v>
          </cell>
          <cell r="F528" t="str">
            <v>1998/06</v>
          </cell>
          <cell r="G528" t="str">
            <v>000000</v>
          </cell>
          <cell r="H528" t="str">
            <v>22675</v>
          </cell>
          <cell r="I528" t="str">
            <v>601000</v>
          </cell>
          <cell r="J528" t="str">
            <v>ZCY 5/24@6/6 VAC</v>
          </cell>
          <cell r="K528" t="str">
            <v>D1</v>
          </cell>
          <cell r="L528">
            <v>-3897.78</v>
          </cell>
          <cell r="M528" t="str">
            <v>OK</v>
          </cell>
        </row>
        <row r="529">
          <cell r="A529" t="str">
            <v xml:space="preserve"> 01</v>
          </cell>
          <cell r="B529" t="str">
            <v>000504</v>
          </cell>
          <cell r="C529" t="str">
            <v>Jrnl</v>
          </cell>
          <cell r="D529" t="str">
            <v>22/Jul/1998</v>
          </cell>
          <cell r="E529" t="str">
            <v>KPUR0808</v>
          </cell>
          <cell r="F529" t="str">
            <v>1998/07</v>
          </cell>
          <cell r="G529" t="str">
            <v>000000</v>
          </cell>
          <cell r="H529" t="str">
            <v>22675</v>
          </cell>
          <cell r="I529" t="str">
            <v>601000</v>
          </cell>
          <cell r="J529" t="str">
            <v>ZCY 6/21@7/4 VAC</v>
          </cell>
          <cell r="K529" t="str">
            <v>D1</v>
          </cell>
          <cell r="L529">
            <v>-4124.7299999999996</v>
          </cell>
          <cell r="M529" t="str">
            <v>OK</v>
          </cell>
        </row>
        <row r="530">
          <cell r="A530" t="str">
            <v xml:space="preserve"> 01</v>
          </cell>
          <cell r="B530" t="str">
            <v>000498</v>
          </cell>
          <cell r="C530" t="str">
            <v>Jrnl</v>
          </cell>
          <cell r="D530" t="str">
            <v>31/Jul/1998</v>
          </cell>
          <cell r="E530" t="str">
            <v>KPUR0808</v>
          </cell>
          <cell r="F530" t="str">
            <v>1998/07</v>
          </cell>
          <cell r="G530" t="str">
            <v>000000</v>
          </cell>
          <cell r="H530" t="str">
            <v>22675</v>
          </cell>
          <cell r="I530" t="str">
            <v>601000</v>
          </cell>
          <cell r="J530" t="str">
            <v>ZCY 6/7 @6/20 VAC</v>
          </cell>
          <cell r="K530" t="str">
            <v>D1</v>
          </cell>
          <cell r="L530">
            <v>-4325.66</v>
          </cell>
          <cell r="M530" t="str">
            <v>OK</v>
          </cell>
        </row>
        <row r="531">
          <cell r="A531" t="str">
            <v xml:space="preserve"> 01</v>
          </cell>
          <cell r="B531" t="str">
            <v>000546</v>
          </cell>
          <cell r="C531" t="str">
            <v>Jrnl</v>
          </cell>
          <cell r="D531" t="str">
            <v>31/Aug/1998</v>
          </cell>
          <cell r="E531" t="str">
            <v>TLOH2054</v>
          </cell>
          <cell r="F531" t="str">
            <v>1998/08</v>
          </cell>
          <cell r="G531" t="str">
            <v>000000</v>
          </cell>
          <cell r="H531" t="str">
            <v>22675</v>
          </cell>
          <cell r="I531" t="str">
            <v>601000</v>
          </cell>
          <cell r="J531" t="str">
            <v>ZCY 7/19@8/1 VAC</v>
          </cell>
          <cell r="K531" t="str">
            <v>D1</v>
          </cell>
          <cell r="L531">
            <v>-2025.51</v>
          </cell>
          <cell r="M531" t="str">
            <v>OK</v>
          </cell>
        </row>
        <row r="532">
          <cell r="A532" t="str">
            <v xml:space="preserve"> 02</v>
          </cell>
          <cell r="B532" t="str">
            <v>000020</v>
          </cell>
          <cell r="C532" t="str">
            <v>Accl</v>
          </cell>
          <cell r="D532" t="str">
            <v>30/Jun/1998</v>
          </cell>
          <cell r="E532" t="str">
            <v>KPUR0694</v>
          </cell>
          <cell r="F532" t="str">
            <v>1998/06</v>
          </cell>
          <cell r="G532" t="str">
            <v>000000</v>
          </cell>
          <cell r="H532" t="str">
            <v>22675</v>
          </cell>
          <cell r="I532" t="str">
            <v>601000</v>
          </cell>
          <cell r="J532" t="str">
            <v>ZCY 6/21@6/30 VACC ACC</v>
          </cell>
          <cell r="K532" t="str">
            <v>D1</v>
          </cell>
          <cell r="L532">
            <v>-2784.13</v>
          </cell>
          <cell r="M532" t="str">
            <v>X</v>
          </cell>
        </row>
        <row r="533">
          <cell r="A533" t="str">
            <v xml:space="preserve"> 03</v>
          </cell>
          <cell r="B533" t="str">
            <v>000020</v>
          </cell>
          <cell r="C533" t="str">
            <v>Rvsl</v>
          </cell>
          <cell r="D533" t="str">
            <v>30/Jun/1998</v>
          </cell>
          <cell r="E533" t="str">
            <v>KPUR0694</v>
          </cell>
          <cell r="F533" t="str">
            <v>1998/07</v>
          </cell>
          <cell r="G533" t="str">
            <v>000000</v>
          </cell>
          <cell r="H533" t="str">
            <v>22675</v>
          </cell>
          <cell r="I533" t="str">
            <v>601000</v>
          </cell>
          <cell r="J533" t="str">
            <v>ZCY 6/21@6/30 VACC ACC</v>
          </cell>
          <cell r="K533" t="str">
            <v>D1</v>
          </cell>
          <cell r="L533">
            <v>2784.13</v>
          </cell>
          <cell r="M533" t="str">
            <v>X</v>
          </cell>
        </row>
        <row r="534">
          <cell r="A534" t="str">
            <v xml:space="preserve"> 01</v>
          </cell>
          <cell r="B534" t="str">
            <v>000613</v>
          </cell>
          <cell r="C534" t="str">
            <v>Jrnl</v>
          </cell>
          <cell r="D534" t="str">
            <v>30/Sep/1998</v>
          </cell>
          <cell r="E534" t="str">
            <v>KPUR0961</v>
          </cell>
          <cell r="F534" t="str">
            <v>1998/09</v>
          </cell>
          <cell r="G534" t="str">
            <v>000000</v>
          </cell>
          <cell r="H534" t="str">
            <v>22675</v>
          </cell>
          <cell r="I534" t="str">
            <v>601000</v>
          </cell>
          <cell r="J534" t="str">
            <v>ZCY 7/5@7/18 VAC</v>
          </cell>
          <cell r="K534" t="str">
            <v>D1</v>
          </cell>
          <cell r="L534">
            <v>-4084.92</v>
          </cell>
          <cell r="M534" t="str">
            <v>OK</v>
          </cell>
        </row>
        <row r="535">
          <cell r="A535" t="str">
            <v xml:space="preserve"> 01</v>
          </cell>
          <cell r="B535" t="str">
            <v>000307</v>
          </cell>
          <cell r="C535" t="str">
            <v>Jrnl</v>
          </cell>
          <cell r="D535" t="str">
            <v>30/Mar/1998</v>
          </cell>
          <cell r="E535" t="str">
            <v>KPUR0260</v>
          </cell>
          <cell r="F535" t="str">
            <v>1998/03</v>
          </cell>
          <cell r="G535" t="str">
            <v>000000</v>
          </cell>
          <cell r="H535" t="str">
            <v>22675</v>
          </cell>
          <cell r="I535" t="str">
            <v>601000</v>
          </cell>
          <cell r="J535" t="str">
            <v>ZCY VAC 3/1@3/14</v>
          </cell>
          <cell r="K535" t="str">
            <v>D1</v>
          </cell>
          <cell r="L535">
            <v>-1149.93</v>
          </cell>
          <cell r="M535" t="str">
            <v>OK</v>
          </cell>
        </row>
        <row r="536">
          <cell r="A536" t="str">
            <v xml:space="preserve"> 02</v>
          </cell>
          <cell r="B536" t="str">
            <v>000017</v>
          </cell>
          <cell r="C536" t="str">
            <v>Accl</v>
          </cell>
          <cell r="D536" t="str">
            <v>30/Jun/1998</v>
          </cell>
          <cell r="E536" t="str">
            <v>KPUR0694</v>
          </cell>
          <cell r="F536" t="str">
            <v>1998/06</v>
          </cell>
          <cell r="G536" t="str">
            <v>000000</v>
          </cell>
          <cell r="H536" t="str">
            <v>22675</v>
          </cell>
          <cell r="I536" t="str">
            <v>601000</v>
          </cell>
          <cell r="J536" t="str">
            <v>ZCY 6/7@6/20 ACC VAC</v>
          </cell>
          <cell r="K536" t="str">
            <v>D1</v>
          </cell>
          <cell r="L536">
            <v>-3897.78</v>
          </cell>
          <cell r="M536" t="str">
            <v>X</v>
          </cell>
        </row>
        <row r="537">
          <cell r="A537" t="str">
            <v xml:space="preserve"> 03</v>
          </cell>
          <cell r="B537" t="str">
            <v>000017</v>
          </cell>
          <cell r="C537" t="str">
            <v>Rvsl</v>
          </cell>
          <cell r="D537" t="str">
            <v>30/Jun/1998</v>
          </cell>
          <cell r="E537" t="str">
            <v>KPUR0694</v>
          </cell>
          <cell r="F537" t="str">
            <v>1998/07</v>
          </cell>
          <cell r="G537" t="str">
            <v>000000</v>
          </cell>
          <cell r="H537" t="str">
            <v>22675</v>
          </cell>
          <cell r="I537" t="str">
            <v>601000</v>
          </cell>
          <cell r="J537" t="str">
            <v>ZCY 6/7@6/20 ACC VAC</v>
          </cell>
          <cell r="K537" t="str">
            <v>D1</v>
          </cell>
          <cell r="L537">
            <v>3897.78</v>
          </cell>
          <cell r="M537" t="str">
            <v>X</v>
          </cell>
        </row>
        <row r="538">
          <cell r="A538" t="str">
            <v xml:space="preserve"> 01</v>
          </cell>
          <cell r="B538" t="str">
            <v>000255</v>
          </cell>
          <cell r="C538" t="str">
            <v>Jrnl</v>
          </cell>
          <cell r="D538" t="str">
            <v>27/Feb/1998</v>
          </cell>
          <cell r="E538" t="str">
            <v>TLOH1216</v>
          </cell>
          <cell r="F538" t="str">
            <v>1998/02</v>
          </cell>
          <cell r="G538" t="str">
            <v>000000</v>
          </cell>
          <cell r="H538" t="str">
            <v>22675</v>
          </cell>
          <cell r="I538" t="str">
            <v>601000</v>
          </cell>
          <cell r="J538" t="str">
            <v>ZCY1/18@1/31 VAC</v>
          </cell>
          <cell r="K538" t="str">
            <v>D1</v>
          </cell>
          <cell r="L538">
            <v>-516.35</v>
          </cell>
          <cell r="M538" t="str">
            <v>OK</v>
          </cell>
        </row>
        <row r="539">
          <cell r="A539" t="str">
            <v xml:space="preserve"> 01</v>
          </cell>
          <cell r="B539" t="str">
            <v>000368</v>
          </cell>
          <cell r="C539" t="str">
            <v>Jrnl</v>
          </cell>
          <cell r="D539" t="str">
            <v>08/May/1998</v>
          </cell>
          <cell r="E539" t="str">
            <v>KPUR0417</v>
          </cell>
          <cell r="F539" t="str">
            <v>1998/05</v>
          </cell>
          <cell r="G539" t="str">
            <v>000000</v>
          </cell>
          <cell r="H539" t="str">
            <v>22675</v>
          </cell>
          <cell r="I539" t="str">
            <v>601000</v>
          </cell>
          <cell r="J539" t="str">
            <v>ZDA 4/12@4/25 VAC</v>
          </cell>
          <cell r="K539" t="str">
            <v>D1</v>
          </cell>
          <cell r="L539">
            <v>-3686.99</v>
          </cell>
          <cell r="M539" t="str">
            <v>OK</v>
          </cell>
        </row>
        <row r="540">
          <cell r="A540" t="str">
            <v xml:space="preserve"> 01</v>
          </cell>
          <cell r="B540" t="str">
            <v>000776</v>
          </cell>
          <cell r="C540" t="str">
            <v>Jrnl</v>
          </cell>
          <cell r="D540" t="str">
            <v>17/Dec/1998</v>
          </cell>
          <cell r="E540" t="str">
            <v>NTON0082</v>
          </cell>
          <cell r="F540" t="str">
            <v>1998/12</v>
          </cell>
          <cell r="G540" t="str">
            <v>000000</v>
          </cell>
          <cell r="H540" t="str">
            <v>22665</v>
          </cell>
          <cell r="I540" t="str">
            <v>608000</v>
          </cell>
          <cell r="J540" t="str">
            <v>ZDA PE 12/5</v>
          </cell>
          <cell r="K540" t="str">
            <v>D1</v>
          </cell>
          <cell r="L540">
            <v>-1100</v>
          </cell>
          <cell r="M540" t="str">
            <v>OK</v>
          </cell>
        </row>
        <row r="541">
          <cell r="A541" t="str">
            <v xml:space="preserve"> 01</v>
          </cell>
          <cell r="B541" t="str">
            <v>000256</v>
          </cell>
          <cell r="C541" t="str">
            <v>Jrnl</v>
          </cell>
          <cell r="D541" t="str">
            <v>16/Feb/1998</v>
          </cell>
          <cell r="E541" t="str">
            <v>TLOH1230</v>
          </cell>
          <cell r="F541" t="str">
            <v>1998/02</v>
          </cell>
          <cell r="G541" t="str">
            <v>000000</v>
          </cell>
          <cell r="H541" t="str">
            <v>22675</v>
          </cell>
          <cell r="I541" t="str">
            <v>608000</v>
          </cell>
          <cell r="J541" t="str">
            <v>ZNP 1/18@1/31 VAC</v>
          </cell>
          <cell r="K541" t="str">
            <v>D1</v>
          </cell>
          <cell r="L541">
            <v>-168.46</v>
          </cell>
          <cell r="M541" t="str">
            <v>OK</v>
          </cell>
        </row>
        <row r="542">
          <cell r="A542" t="str">
            <v xml:space="preserve"> 01</v>
          </cell>
          <cell r="B542" t="str">
            <v>000730</v>
          </cell>
          <cell r="C542" t="str">
            <v>Jrnl</v>
          </cell>
          <cell r="D542" t="str">
            <v>10/Nov/1998</v>
          </cell>
          <cell r="E542" t="str">
            <v>NTON0035</v>
          </cell>
          <cell r="F542" t="str">
            <v>1998/11</v>
          </cell>
          <cell r="G542" t="str">
            <v>000000</v>
          </cell>
          <cell r="H542" t="str">
            <v>22675</v>
          </cell>
          <cell r="I542" t="str">
            <v>608000</v>
          </cell>
          <cell r="J542" t="str">
            <v>ZNP 10/11@10/24 Vac</v>
          </cell>
          <cell r="K542" t="str">
            <v>D1</v>
          </cell>
          <cell r="L542">
            <v>-7237.4</v>
          </cell>
          <cell r="M542" t="str">
            <v>OK</v>
          </cell>
        </row>
        <row r="543">
          <cell r="A543" t="str">
            <v xml:space="preserve"> 01</v>
          </cell>
          <cell r="B543" t="str">
            <v>000722</v>
          </cell>
          <cell r="C543" t="str">
            <v>Jrnl</v>
          </cell>
          <cell r="D543" t="str">
            <v>23/Nov/1998</v>
          </cell>
          <cell r="E543" t="str">
            <v>NTON0028</v>
          </cell>
          <cell r="F543" t="str">
            <v>1998/11</v>
          </cell>
          <cell r="G543" t="str">
            <v>000000</v>
          </cell>
          <cell r="H543" t="str">
            <v>22675</v>
          </cell>
          <cell r="I543" t="str">
            <v>608000</v>
          </cell>
          <cell r="J543" t="str">
            <v>ZNP 10/25@11/7 Vac</v>
          </cell>
          <cell r="K543" t="str">
            <v>D1</v>
          </cell>
          <cell r="L543">
            <v>-8150.09</v>
          </cell>
          <cell r="M543" t="str">
            <v>OK</v>
          </cell>
        </row>
        <row r="544">
          <cell r="A544" t="str">
            <v xml:space="preserve"> 01</v>
          </cell>
          <cell r="B544" t="str">
            <v>000817</v>
          </cell>
          <cell r="C544" t="str">
            <v>Jrnl</v>
          </cell>
          <cell r="D544" t="str">
            <v>31/Dec/1998</v>
          </cell>
          <cell r="E544" t="str">
            <v>NTON0123</v>
          </cell>
          <cell r="F544" t="str">
            <v>1998/12</v>
          </cell>
          <cell r="G544" t="str">
            <v>000000</v>
          </cell>
          <cell r="H544" t="str">
            <v>22665</v>
          </cell>
          <cell r="I544" t="str">
            <v>608000</v>
          </cell>
          <cell r="J544" t="str">
            <v>ZNP 11/22@12/5 Net</v>
          </cell>
          <cell r="K544" t="str">
            <v>D1</v>
          </cell>
          <cell r="L544">
            <v>-193275.07</v>
          </cell>
          <cell r="M544" t="str">
            <v>OK</v>
          </cell>
        </row>
        <row r="545">
          <cell r="A545" t="str">
            <v xml:space="preserve"> 01</v>
          </cell>
          <cell r="B545" t="str">
            <v>000817</v>
          </cell>
          <cell r="C545" t="str">
            <v>Jrnl</v>
          </cell>
          <cell r="D545" t="str">
            <v>31/Dec/1998</v>
          </cell>
          <cell r="E545" t="str">
            <v>NTON0123</v>
          </cell>
          <cell r="F545" t="str">
            <v>1998/12</v>
          </cell>
          <cell r="G545" t="str">
            <v>000000</v>
          </cell>
          <cell r="H545" t="str">
            <v>22620</v>
          </cell>
          <cell r="I545" t="str">
            <v>608000</v>
          </cell>
          <cell r="J545" t="str">
            <v>ZNP 11/22@12/5 Tax</v>
          </cell>
          <cell r="K545" t="str">
            <v>D1</v>
          </cell>
          <cell r="L545">
            <v>-89494.27</v>
          </cell>
          <cell r="M545" t="str">
            <v>OK</v>
          </cell>
        </row>
        <row r="546">
          <cell r="A546" t="str">
            <v xml:space="preserve"> 01</v>
          </cell>
          <cell r="B546" t="str">
            <v>000776</v>
          </cell>
          <cell r="C546" t="str">
            <v>Jrnl</v>
          </cell>
          <cell r="D546" t="str">
            <v>17/Dec/1998</v>
          </cell>
          <cell r="E546" t="str">
            <v>NTON0082</v>
          </cell>
          <cell r="F546" t="str">
            <v>1998/12</v>
          </cell>
          <cell r="G546" t="str">
            <v>000000</v>
          </cell>
          <cell r="H546" t="str">
            <v>22675</v>
          </cell>
          <cell r="I546" t="str">
            <v>608000</v>
          </cell>
          <cell r="J546" t="str">
            <v>ZNP 11/22@12/5 Vac</v>
          </cell>
          <cell r="K546" t="str">
            <v>D1</v>
          </cell>
          <cell r="L546">
            <v>-8231.7800000000007</v>
          </cell>
          <cell r="M546" t="str">
            <v>OK</v>
          </cell>
        </row>
        <row r="547">
          <cell r="A547" t="str">
            <v xml:space="preserve"> 01</v>
          </cell>
          <cell r="B547" t="str">
            <v>000817</v>
          </cell>
          <cell r="C547" t="str">
            <v>Jrnl</v>
          </cell>
          <cell r="D547" t="str">
            <v>31/Dec/1998</v>
          </cell>
          <cell r="E547" t="str">
            <v>NTON0123</v>
          </cell>
          <cell r="F547" t="str">
            <v>1998/12</v>
          </cell>
          <cell r="G547" t="str">
            <v>000000</v>
          </cell>
          <cell r="H547" t="str">
            <v>22675</v>
          </cell>
          <cell r="I547" t="str">
            <v>608000</v>
          </cell>
          <cell r="J547" t="str">
            <v>ZNP 11/22@12/5 Vac</v>
          </cell>
          <cell r="K547" t="str">
            <v>D1</v>
          </cell>
          <cell r="L547">
            <v>-8231.7800000000007</v>
          </cell>
          <cell r="M547" t="str">
            <v>OK</v>
          </cell>
        </row>
        <row r="548">
          <cell r="A548" t="str">
            <v xml:space="preserve"> 01</v>
          </cell>
          <cell r="B548" t="str">
            <v>000746</v>
          </cell>
          <cell r="C548" t="str">
            <v>Jrnl</v>
          </cell>
          <cell r="D548" t="str">
            <v>11/Dec/1998</v>
          </cell>
          <cell r="E548" t="str">
            <v>NTON0052</v>
          </cell>
          <cell r="F548" t="str">
            <v>1998/12</v>
          </cell>
          <cell r="G548" t="str">
            <v>000000</v>
          </cell>
          <cell r="H548" t="str">
            <v>22675</v>
          </cell>
          <cell r="I548" t="str">
            <v>608000</v>
          </cell>
          <cell r="J548" t="str">
            <v>ZNP 11/8@11/21 Vac</v>
          </cell>
          <cell r="K548" t="str">
            <v>D1</v>
          </cell>
          <cell r="L548">
            <v>-8324.86</v>
          </cell>
          <cell r="M548" t="str">
            <v>OK</v>
          </cell>
        </row>
        <row r="549">
          <cell r="A549" t="str">
            <v xml:space="preserve"> 01</v>
          </cell>
          <cell r="B549" t="str">
            <v>000261</v>
          </cell>
          <cell r="C549" t="str">
            <v>Jrnl</v>
          </cell>
          <cell r="D549" t="str">
            <v>28/Feb/1998</v>
          </cell>
          <cell r="E549" t="str">
            <v>TLOH1230</v>
          </cell>
          <cell r="F549" t="str">
            <v>1998/02</v>
          </cell>
          <cell r="G549" t="str">
            <v>000000</v>
          </cell>
          <cell r="H549" t="str">
            <v>22675</v>
          </cell>
          <cell r="I549" t="str">
            <v>608000</v>
          </cell>
          <cell r="J549" t="str">
            <v>ZNP 2/1@2/14 VAC</v>
          </cell>
          <cell r="K549" t="str">
            <v>D1</v>
          </cell>
          <cell r="L549">
            <v>-173.85</v>
          </cell>
          <cell r="M549" t="str">
            <v>OK</v>
          </cell>
        </row>
        <row r="550">
          <cell r="A550" t="str">
            <v xml:space="preserve"> 01</v>
          </cell>
          <cell r="B550" t="str">
            <v>000275</v>
          </cell>
          <cell r="C550" t="str">
            <v>Jrnl</v>
          </cell>
          <cell r="D550" t="str">
            <v>17/Mar/1998</v>
          </cell>
          <cell r="E550" t="str">
            <v>KPUR0118</v>
          </cell>
          <cell r="F550" t="str">
            <v>1998/03</v>
          </cell>
          <cell r="G550" t="str">
            <v>000000</v>
          </cell>
          <cell r="H550" t="str">
            <v>22675</v>
          </cell>
          <cell r="I550" t="str">
            <v>608000</v>
          </cell>
          <cell r="J550" t="str">
            <v>ZNP 2/15@2/28 VAC</v>
          </cell>
          <cell r="K550" t="str">
            <v>D1</v>
          </cell>
          <cell r="L550">
            <v>-173.85</v>
          </cell>
          <cell r="M550" t="str">
            <v>OK</v>
          </cell>
        </row>
        <row r="551">
          <cell r="A551" t="str">
            <v xml:space="preserve"> 01</v>
          </cell>
          <cell r="B551" t="str">
            <v>000327</v>
          </cell>
          <cell r="C551" t="str">
            <v>Jrnl</v>
          </cell>
          <cell r="D551" t="str">
            <v>14/Apr/1998</v>
          </cell>
          <cell r="E551" t="str">
            <v>KPUR0326</v>
          </cell>
          <cell r="F551" t="str">
            <v>1998/04</v>
          </cell>
          <cell r="G551" t="str">
            <v>000000</v>
          </cell>
          <cell r="H551" t="str">
            <v>22675</v>
          </cell>
          <cell r="I551" t="str">
            <v>608000</v>
          </cell>
          <cell r="J551" t="str">
            <v>ZNP 3/15@3/28 VAC</v>
          </cell>
          <cell r="K551" t="str">
            <v>D1</v>
          </cell>
          <cell r="L551">
            <v>-173.85</v>
          </cell>
          <cell r="M551" t="str">
            <v>OK</v>
          </cell>
        </row>
        <row r="552">
          <cell r="A552" t="str">
            <v xml:space="preserve"> 01</v>
          </cell>
          <cell r="B552" t="str">
            <v>000338</v>
          </cell>
          <cell r="C552" t="str">
            <v>Jrnl</v>
          </cell>
          <cell r="D552" t="str">
            <v>24/Apr/1998</v>
          </cell>
          <cell r="E552" t="str">
            <v>KPUR0351</v>
          </cell>
          <cell r="F552" t="str">
            <v>1998/04</v>
          </cell>
          <cell r="G552" t="str">
            <v>000000</v>
          </cell>
          <cell r="H552" t="str">
            <v>22675</v>
          </cell>
          <cell r="I552" t="str">
            <v>608000</v>
          </cell>
          <cell r="J552" t="str">
            <v>ZNP 3/29@4/11 VAC</v>
          </cell>
          <cell r="K552" t="str">
            <v>D1</v>
          </cell>
          <cell r="L552">
            <v>-173.85</v>
          </cell>
          <cell r="M552" t="str">
            <v>OK</v>
          </cell>
        </row>
        <row r="553">
          <cell r="A553" t="str">
            <v xml:space="preserve"> 01</v>
          </cell>
          <cell r="B553" t="str">
            <v>000366</v>
          </cell>
          <cell r="C553" t="str">
            <v>Jrnl</v>
          </cell>
          <cell r="D553" t="str">
            <v>08/May/1998</v>
          </cell>
          <cell r="E553" t="str">
            <v>KPUR0417</v>
          </cell>
          <cell r="F553" t="str">
            <v>1998/05</v>
          </cell>
          <cell r="G553" t="str">
            <v>000000</v>
          </cell>
          <cell r="H553" t="str">
            <v>22675</v>
          </cell>
          <cell r="I553" t="str">
            <v>608000</v>
          </cell>
          <cell r="J553" t="str">
            <v>ZNP 4/12@4/25 VAC</v>
          </cell>
          <cell r="K553" t="str">
            <v>D1</v>
          </cell>
          <cell r="L553">
            <v>-173.85</v>
          </cell>
          <cell r="M553" t="str">
            <v>OK</v>
          </cell>
        </row>
        <row r="554">
          <cell r="A554" t="str">
            <v xml:space="preserve"> 01</v>
          </cell>
          <cell r="B554" t="str">
            <v>000387</v>
          </cell>
          <cell r="C554" t="str">
            <v>Jrnl</v>
          </cell>
          <cell r="D554" t="str">
            <v>26/May/1998</v>
          </cell>
          <cell r="E554" t="str">
            <v>KPUR0483</v>
          </cell>
          <cell r="F554" t="str">
            <v>1998/05</v>
          </cell>
          <cell r="G554" t="str">
            <v>000000</v>
          </cell>
          <cell r="H554" t="str">
            <v>22675</v>
          </cell>
          <cell r="I554" t="str">
            <v>608000</v>
          </cell>
          <cell r="J554" t="str">
            <v>ZNP 4-26@5-9 VAC</v>
          </cell>
          <cell r="K554" t="str">
            <v>D1</v>
          </cell>
          <cell r="L554">
            <v>-173.85</v>
          </cell>
          <cell r="M554" t="str">
            <v>OK</v>
          </cell>
        </row>
        <row r="555">
          <cell r="A555" t="str">
            <v xml:space="preserve"> 01</v>
          </cell>
          <cell r="B555" t="str">
            <v>000420</v>
          </cell>
          <cell r="C555" t="str">
            <v>Jrnl</v>
          </cell>
          <cell r="D555" t="str">
            <v>06/Jun/1998</v>
          </cell>
          <cell r="E555" t="str">
            <v>KPUR0590</v>
          </cell>
          <cell r="F555" t="str">
            <v>1998/06</v>
          </cell>
          <cell r="G555" t="str">
            <v>000000</v>
          </cell>
          <cell r="H555" t="str">
            <v>22675</v>
          </cell>
          <cell r="I555" t="str">
            <v>608000</v>
          </cell>
          <cell r="J555" t="str">
            <v>ZNP 5/10@5/23 VAC</v>
          </cell>
          <cell r="K555" t="str">
            <v>D1</v>
          </cell>
          <cell r="L555">
            <v>-221.82</v>
          </cell>
          <cell r="M555" t="str">
            <v>OK</v>
          </cell>
        </row>
        <row r="556">
          <cell r="A556" t="str">
            <v xml:space="preserve"> 01</v>
          </cell>
          <cell r="B556" t="str">
            <v>000459</v>
          </cell>
          <cell r="C556" t="str">
            <v>Jrnl</v>
          </cell>
          <cell r="D556" t="str">
            <v>22/Jun/1998</v>
          </cell>
          <cell r="E556" t="str">
            <v>KPUR0692</v>
          </cell>
          <cell r="F556" t="str">
            <v>1998/06</v>
          </cell>
          <cell r="G556" t="str">
            <v>000000</v>
          </cell>
          <cell r="H556" t="str">
            <v>22675</v>
          </cell>
          <cell r="I556" t="str">
            <v>608000</v>
          </cell>
          <cell r="J556" t="str">
            <v>ZNP 5/24@6/6 VAC</v>
          </cell>
          <cell r="K556" t="str">
            <v>D1</v>
          </cell>
          <cell r="L556">
            <v>-204.74</v>
          </cell>
          <cell r="M556" t="str">
            <v>OK</v>
          </cell>
        </row>
        <row r="557">
          <cell r="A557" t="str">
            <v xml:space="preserve"> 02</v>
          </cell>
          <cell r="B557" t="str">
            <v>000018</v>
          </cell>
          <cell r="C557" t="str">
            <v>Accl</v>
          </cell>
          <cell r="D557" t="str">
            <v>30/Jun/1998</v>
          </cell>
          <cell r="E557" t="str">
            <v>KPUR0694</v>
          </cell>
          <cell r="F557" t="str">
            <v>1998/06</v>
          </cell>
          <cell r="G557" t="str">
            <v>000000</v>
          </cell>
          <cell r="H557" t="str">
            <v>22675</v>
          </cell>
          <cell r="I557" t="str">
            <v>608000</v>
          </cell>
          <cell r="J557" t="str">
            <v>ZNP 6/21@6/30 ACC VAC</v>
          </cell>
          <cell r="K557" t="str">
            <v>D1</v>
          </cell>
          <cell r="L557">
            <v>-146.24</v>
          </cell>
          <cell r="M557" t="str">
            <v>X</v>
          </cell>
        </row>
        <row r="558">
          <cell r="A558" t="str">
            <v xml:space="preserve"> 03</v>
          </cell>
          <cell r="B558" t="str">
            <v>000018</v>
          </cell>
          <cell r="C558" t="str">
            <v>Rvsl</v>
          </cell>
          <cell r="D558" t="str">
            <v>30/Jun/1998</v>
          </cell>
          <cell r="E558" t="str">
            <v>KPUR0694</v>
          </cell>
          <cell r="F558" t="str">
            <v>1998/07</v>
          </cell>
          <cell r="G558" t="str">
            <v>000000</v>
          </cell>
          <cell r="H558" t="str">
            <v>22675</v>
          </cell>
          <cell r="I558" t="str">
            <v>608000</v>
          </cell>
          <cell r="J558" t="str">
            <v>ZNP 6/21@6/30 ACC VAC</v>
          </cell>
          <cell r="K558" t="str">
            <v>D1</v>
          </cell>
          <cell r="L558">
            <v>146.24</v>
          </cell>
          <cell r="M558" t="str">
            <v>X</v>
          </cell>
        </row>
        <row r="559">
          <cell r="A559" t="str">
            <v xml:space="preserve"> 01</v>
          </cell>
          <cell r="B559" t="str">
            <v>000499</v>
          </cell>
          <cell r="C559" t="str">
            <v>Jrnl</v>
          </cell>
          <cell r="D559" t="str">
            <v>22/Jul/1998</v>
          </cell>
          <cell r="E559" t="str">
            <v>KPUR0808</v>
          </cell>
          <cell r="F559" t="str">
            <v>1998/07</v>
          </cell>
          <cell r="G559" t="str">
            <v>000000</v>
          </cell>
          <cell r="H559" t="str">
            <v>22675</v>
          </cell>
          <cell r="I559" t="str">
            <v>608000</v>
          </cell>
          <cell r="J559" t="str">
            <v>ZNP 6/21@7/4 VAC</v>
          </cell>
          <cell r="K559" t="str">
            <v>D1</v>
          </cell>
          <cell r="L559">
            <v>-293.02</v>
          </cell>
          <cell r="M559" t="str">
            <v>OK</v>
          </cell>
        </row>
        <row r="560">
          <cell r="A560" t="str">
            <v xml:space="preserve"> 02</v>
          </cell>
          <cell r="B560" t="str">
            <v>000019</v>
          </cell>
          <cell r="C560" t="str">
            <v>Accl</v>
          </cell>
          <cell r="D560" t="str">
            <v>30/Jun/1998</v>
          </cell>
          <cell r="E560" t="str">
            <v>KPUR0694</v>
          </cell>
          <cell r="F560" t="str">
            <v>1998/06</v>
          </cell>
          <cell r="G560" t="str">
            <v>000000</v>
          </cell>
          <cell r="H560" t="str">
            <v>22675</v>
          </cell>
          <cell r="I560" t="str">
            <v>608000</v>
          </cell>
          <cell r="J560" t="str">
            <v>ZNP 6/7@6/20 ACC VAC</v>
          </cell>
          <cell r="K560" t="str">
            <v>D1</v>
          </cell>
          <cell r="L560">
            <v>-204.74</v>
          </cell>
          <cell r="M560" t="str">
            <v>X</v>
          </cell>
        </row>
        <row r="561">
          <cell r="A561" t="str">
            <v xml:space="preserve"> 03</v>
          </cell>
          <cell r="B561" t="str">
            <v>000019</v>
          </cell>
          <cell r="C561" t="str">
            <v>Rvsl</v>
          </cell>
          <cell r="D561" t="str">
            <v>30/Jun/1998</v>
          </cell>
          <cell r="E561" t="str">
            <v>KPUR0694</v>
          </cell>
          <cell r="F561" t="str">
            <v>1998/07</v>
          </cell>
          <cell r="G561" t="str">
            <v>000000</v>
          </cell>
          <cell r="H561" t="str">
            <v>22675</v>
          </cell>
          <cell r="I561" t="str">
            <v>608000</v>
          </cell>
          <cell r="J561" t="str">
            <v>ZNP 6/7@6/20 ACC VAC</v>
          </cell>
          <cell r="K561" t="str">
            <v>D1</v>
          </cell>
          <cell r="L561">
            <v>204.74</v>
          </cell>
          <cell r="M561" t="str">
            <v>X</v>
          </cell>
        </row>
        <row r="562">
          <cell r="A562" t="str">
            <v xml:space="preserve"> 01</v>
          </cell>
          <cell r="B562" t="str">
            <v>000496</v>
          </cell>
          <cell r="C562" t="str">
            <v>Jrnl</v>
          </cell>
          <cell r="D562" t="str">
            <v>09/Jul/1998</v>
          </cell>
          <cell r="E562" t="str">
            <v>KPUR0808</v>
          </cell>
          <cell r="F562" t="str">
            <v>1998/07</v>
          </cell>
          <cell r="G562" t="str">
            <v>000000</v>
          </cell>
          <cell r="H562" t="str">
            <v>22675</v>
          </cell>
          <cell r="I562" t="str">
            <v>608000</v>
          </cell>
          <cell r="J562" t="str">
            <v>ZNP 6/7@6/20 VAC</v>
          </cell>
          <cell r="K562" t="str">
            <v>D1</v>
          </cell>
          <cell r="L562">
            <v>-221.82</v>
          </cell>
          <cell r="M562" t="str">
            <v>OK</v>
          </cell>
        </row>
        <row r="563">
          <cell r="A563" t="str">
            <v xml:space="preserve"> 01</v>
          </cell>
          <cell r="B563" t="str">
            <v>000545</v>
          </cell>
          <cell r="C563" t="str">
            <v>Jrnl</v>
          </cell>
          <cell r="D563" t="str">
            <v>31/Aug/1998</v>
          </cell>
          <cell r="E563" t="str">
            <v>TLOH2054</v>
          </cell>
          <cell r="F563" t="str">
            <v>1998/08</v>
          </cell>
          <cell r="G563" t="str">
            <v>000000</v>
          </cell>
          <cell r="H563" t="str">
            <v>22675</v>
          </cell>
          <cell r="I563" t="str">
            <v>608000</v>
          </cell>
          <cell r="J563" t="str">
            <v>ZNP 7/19@8/1 VAC</v>
          </cell>
          <cell r="K563" t="str">
            <v>D1</v>
          </cell>
          <cell r="L563">
            <v>-337.82</v>
          </cell>
          <cell r="M563" t="str">
            <v>OK</v>
          </cell>
        </row>
        <row r="564">
          <cell r="A564" t="str">
            <v xml:space="preserve"> 01</v>
          </cell>
          <cell r="B564" t="str">
            <v>000546</v>
          </cell>
          <cell r="C564" t="str">
            <v>Jrnl</v>
          </cell>
          <cell r="D564" t="str">
            <v>31/Aug/1998</v>
          </cell>
          <cell r="E564" t="str">
            <v>TLOH2054</v>
          </cell>
          <cell r="F564" t="str">
            <v>1998/08</v>
          </cell>
          <cell r="G564" t="str">
            <v>000000</v>
          </cell>
          <cell r="H564" t="str">
            <v>22675</v>
          </cell>
          <cell r="I564" t="str">
            <v>608000</v>
          </cell>
          <cell r="J564" t="str">
            <v>ZNP 7/19@8/1 VAC</v>
          </cell>
          <cell r="K564" t="str">
            <v>D1</v>
          </cell>
          <cell r="L564">
            <v>-2025.52</v>
          </cell>
          <cell r="M564" t="str">
            <v>OK</v>
          </cell>
        </row>
        <row r="565">
          <cell r="A565" t="str">
            <v xml:space="preserve"> 01</v>
          </cell>
          <cell r="B565" t="str">
            <v>000555</v>
          </cell>
          <cell r="C565" t="str">
            <v>Jrnl</v>
          </cell>
          <cell r="D565" t="str">
            <v>16/Sep/1998</v>
          </cell>
          <cell r="E565" t="str">
            <v>CWAN0065</v>
          </cell>
          <cell r="F565" t="str">
            <v>1998/09</v>
          </cell>
          <cell r="G565" t="str">
            <v>000000</v>
          </cell>
          <cell r="H565" t="str">
            <v>22675</v>
          </cell>
          <cell r="I565" t="str">
            <v>608000</v>
          </cell>
          <cell r="J565" t="str">
            <v>ZNP 8/16@8/29 VAC</v>
          </cell>
          <cell r="K565" t="str">
            <v>D1</v>
          </cell>
          <cell r="L565">
            <v>-5114.16</v>
          </cell>
          <cell r="M565" t="str">
            <v>OK</v>
          </cell>
        </row>
        <row r="566">
          <cell r="A566" t="str">
            <v xml:space="preserve"> 01</v>
          </cell>
          <cell r="B566" t="str">
            <v>000553</v>
          </cell>
          <cell r="C566" t="str">
            <v>Jrnl</v>
          </cell>
          <cell r="D566" t="str">
            <v>31/Aug/1998</v>
          </cell>
          <cell r="E566" t="str">
            <v>TLOH2064</v>
          </cell>
          <cell r="F566" t="str">
            <v>1998/08</v>
          </cell>
          <cell r="G566" t="str">
            <v>000000</v>
          </cell>
          <cell r="H566" t="str">
            <v>22675</v>
          </cell>
          <cell r="I566" t="str">
            <v>608000</v>
          </cell>
          <cell r="J566" t="str">
            <v>ZNP 8/2@8/15 VAC</v>
          </cell>
          <cell r="K566" t="str">
            <v>D1</v>
          </cell>
          <cell r="L566">
            <v>-5171.6499999999996</v>
          </cell>
          <cell r="M566" t="str">
            <v>OK</v>
          </cell>
        </row>
        <row r="567">
          <cell r="A567" t="str">
            <v xml:space="preserve"> 01</v>
          </cell>
          <cell r="B567" t="str">
            <v>000611</v>
          </cell>
          <cell r="C567" t="str">
            <v>Jrnl</v>
          </cell>
          <cell r="D567" t="str">
            <v>30/Sep/1998</v>
          </cell>
          <cell r="E567" t="str">
            <v>CWAN0207</v>
          </cell>
          <cell r="F567" t="str">
            <v>1998/09</v>
          </cell>
          <cell r="G567" t="str">
            <v>000000</v>
          </cell>
          <cell r="H567" t="str">
            <v>22675</v>
          </cell>
          <cell r="I567" t="str">
            <v>608000</v>
          </cell>
          <cell r="J567" t="str">
            <v>ZNP 8/30@9/12 VAC</v>
          </cell>
          <cell r="K567" t="str">
            <v>D1</v>
          </cell>
          <cell r="L567">
            <v>-5643.36</v>
          </cell>
          <cell r="M567" t="str">
            <v>OK</v>
          </cell>
        </row>
        <row r="568">
          <cell r="A568" t="str">
            <v xml:space="preserve"> 01</v>
          </cell>
          <cell r="B568" t="str">
            <v>000658</v>
          </cell>
          <cell r="C568" t="str">
            <v>Jrnl</v>
          </cell>
          <cell r="D568" t="str">
            <v>09/Oct/1998</v>
          </cell>
          <cell r="E568" t="str">
            <v>NTON0003</v>
          </cell>
          <cell r="F568" t="str">
            <v>1998/10</v>
          </cell>
          <cell r="G568" t="str">
            <v>000000</v>
          </cell>
          <cell r="H568" t="str">
            <v>22675</v>
          </cell>
          <cell r="I568" t="str">
            <v>608000</v>
          </cell>
          <cell r="J568" t="str">
            <v>ZNP 9/13@9/26 Vac</v>
          </cell>
          <cell r="K568" t="str">
            <v>D1</v>
          </cell>
          <cell r="L568">
            <v>5569.8</v>
          </cell>
          <cell r="M568" t="str">
            <v>X</v>
          </cell>
        </row>
        <row r="569">
          <cell r="A569" t="str">
            <v xml:space="preserve"> 02</v>
          </cell>
          <cell r="B569" t="str">
            <v>000026</v>
          </cell>
          <cell r="C569" t="str">
            <v>Accl</v>
          </cell>
          <cell r="D569" t="str">
            <v>30/Sep/1998</v>
          </cell>
          <cell r="E569" t="str">
            <v>DPAS0144</v>
          </cell>
          <cell r="F569" t="str">
            <v>1998/09</v>
          </cell>
          <cell r="G569" t="str">
            <v>000000</v>
          </cell>
          <cell r="H569" t="str">
            <v>22675</v>
          </cell>
          <cell r="I569" t="str">
            <v>608006</v>
          </cell>
          <cell r="J569" t="str">
            <v>ZNP 9/13@9/30 VAC</v>
          </cell>
          <cell r="K569" t="str">
            <v>D1</v>
          </cell>
          <cell r="L569">
            <v>-7255.75</v>
          </cell>
          <cell r="M569" t="str">
            <v>X</v>
          </cell>
        </row>
        <row r="570">
          <cell r="A570" t="str">
            <v xml:space="preserve"> 03</v>
          </cell>
          <cell r="B570" t="str">
            <v>000026</v>
          </cell>
          <cell r="C570" t="str">
            <v>Rvsl</v>
          </cell>
          <cell r="D570" t="str">
            <v>30/Sep/1998</v>
          </cell>
          <cell r="E570" t="str">
            <v>DPAS0144</v>
          </cell>
          <cell r="F570" t="str">
            <v>1998/10</v>
          </cell>
          <cell r="G570" t="str">
            <v>000000</v>
          </cell>
          <cell r="H570" t="str">
            <v>22675</v>
          </cell>
          <cell r="I570" t="str">
            <v>608006</v>
          </cell>
          <cell r="J570" t="str">
            <v>ZNP 9/13@9/30 VAC</v>
          </cell>
          <cell r="K570" t="str">
            <v>D1</v>
          </cell>
          <cell r="L570">
            <v>7255.75</v>
          </cell>
          <cell r="M570" t="str">
            <v>X</v>
          </cell>
        </row>
        <row r="571">
          <cell r="A571" t="str">
            <v xml:space="preserve"> 01</v>
          </cell>
          <cell r="B571" t="str">
            <v>000731</v>
          </cell>
          <cell r="C571" t="str">
            <v>Jrnl</v>
          </cell>
          <cell r="D571" t="str">
            <v>30/Nov/1998</v>
          </cell>
          <cell r="E571" t="str">
            <v>NTON0035</v>
          </cell>
          <cell r="F571" t="str">
            <v>1998/11</v>
          </cell>
          <cell r="G571" t="str">
            <v>000000</v>
          </cell>
          <cell r="H571" t="str">
            <v>22675</v>
          </cell>
          <cell r="I571" t="str">
            <v>608006</v>
          </cell>
          <cell r="J571" t="str">
            <v>ZNP 9/27@10/10 Vac</v>
          </cell>
          <cell r="K571" t="str">
            <v>D1</v>
          </cell>
          <cell r="L571">
            <v>-5969.68</v>
          </cell>
          <cell r="M571" t="str">
            <v>OK</v>
          </cell>
        </row>
        <row r="572">
          <cell r="A572" t="str">
            <v xml:space="preserve"> 02</v>
          </cell>
          <cell r="B572" t="str">
            <v>000043</v>
          </cell>
          <cell r="C572" t="str">
            <v>Accl</v>
          </cell>
          <cell r="D572" t="str">
            <v>30/Oct/1998</v>
          </cell>
          <cell r="E572" t="str">
            <v>KPUR1007</v>
          </cell>
          <cell r="F572" t="str">
            <v>1998/10</v>
          </cell>
          <cell r="G572" t="str">
            <v>000000</v>
          </cell>
          <cell r="H572" t="str">
            <v>22675</v>
          </cell>
          <cell r="I572" t="str">
            <v>608000</v>
          </cell>
          <cell r="J572" t="str">
            <v>ZNP 9/27@10/10 VAC</v>
          </cell>
          <cell r="K572" t="str">
            <v>D1</v>
          </cell>
          <cell r="L572">
            <v>-8954.52</v>
          </cell>
          <cell r="M572" t="str">
            <v>X</v>
          </cell>
        </row>
        <row r="573">
          <cell r="A573" t="str">
            <v xml:space="preserve"> 03</v>
          </cell>
          <cell r="B573" t="str">
            <v>000043</v>
          </cell>
          <cell r="C573" t="str">
            <v>Rvsl</v>
          </cell>
          <cell r="D573" t="str">
            <v>30/Oct/1998</v>
          </cell>
          <cell r="E573" t="str">
            <v>KPUR1007</v>
          </cell>
          <cell r="F573" t="str">
            <v>1998/11</v>
          </cell>
          <cell r="G573" t="str">
            <v>000000</v>
          </cell>
          <cell r="H573" t="str">
            <v>22675</v>
          </cell>
          <cell r="I573" t="str">
            <v>608000</v>
          </cell>
          <cell r="J573" t="str">
            <v>ZNP 9/27@10/10 VAC</v>
          </cell>
          <cell r="K573" t="str">
            <v>D1</v>
          </cell>
          <cell r="L573">
            <v>8954.52</v>
          </cell>
          <cell r="M573" t="str">
            <v>X</v>
          </cell>
        </row>
        <row r="574">
          <cell r="A574" t="str">
            <v xml:space="preserve"> 01</v>
          </cell>
          <cell r="B574" t="str">
            <v>000608</v>
          </cell>
          <cell r="C574" t="str">
            <v>Jrnl</v>
          </cell>
          <cell r="D574" t="str">
            <v>30/Sep/1998</v>
          </cell>
          <cell r="E574" t="str">
            <v>CWAN0207</v>
          </cell>
          <cell r="F574" t="str">
            <v>1998/09</v>
          </cell>
          <cell r="G574" t="str">
            <v>000000</v>
          </cell>
          <cell r="H574" t="str">
            <v>22675</v>
          </cell>
          <cell r="I574" t="str">
            <v>608000</v>
          </cell>
          <cell r="J574" t="str">
            <v>ZNP PE9/12 VAC</v>
          </cell>
          <cell r="K574" t="str">
            <v>D1</v>
          </cell>
          <cell r="L574">
            <v>-4</v>
          </cell>
          <cell r="M574" t="str">
            <v>OK</v>
          </cell>
        </row>
        <row r="575">
          <cell r="A575" t="str">
            <v xml:space="preserve"> 01</v>
          </cell>
          <cell r="B575" t="str">
            <v>000305</v>
          </cell>
          <cell r="C575" t="str">
            <v>Jrnl</v>
          </cell>
          <cell r="D575" t="str">
            <v>30/Mar/1998</v>
          </cell>
          <cell r="E575" t="str">
            <v>KPUR0260</v>
          </cell>
          <cell r="F575" t="str">
            <v>1998/03</v>
          </cell>
          <cell r="G575" t="str">
            <v>000000</v>
          </cell>
          <cell r="H575" t="str">
            <v>22675</v>
          </cell>
          <cell r="I575" t="str">
            <v>608000</v>
          </cell>
          <cell r="J575" t="str">
            <v>ZNP3/1@3/14 VAC</v>
          </cell>
          <cell r="K575" t="str">
            <v>D1</v>
          </cell>
          <cell r="L575">
            <v>-173.85</v>
          </cell>
          <cell r="M575" t="str">
            <v>OK</v>
          </cell>
        </row>
        <row r="576">
          <cell r="A576" t="str">
            <v xml:space="preserve"> 91</v>
          </cell>
          <cell r="B576" t="str">
            <v>000018</v>
          </cell>
          <cell r="C576" t="str">
            <v>PYr</v>
          </cell>
          <cell r="D576" t="str">
            <v>01/Jan/1998</v>
          </cell>
          <cell r="E576" t="str">
            <v>YE  1997</v>
          </cell>
          <cell r="F576" t="str">
            <v>1998/00</v>
          </cell>
          <cell r="G576" t="str">
            <v>000000</v>
          </cell>
          <cell r="H576" t="str">
            <v>22675</v>
          </cell>
          <cell r="I576" t="str">
            <v>601000</v>
          </cell>
          <cell r="K576" t="str">
            <v>D1</v>
          </cell>
          <cell r="L576">
            <v>-179.38</v>
          </cell>
        </row>
      </sheetData>
      <sheetData sheetId="3" refreshError="1">
        <row r="1">
          <cell r="A1" t="str">
            <v>Cirque du Soleil Nevada, Inc. (Co. 12)</v>
          </cell>
        </row>
        <row r="9">
          <cell r="A9" t="str">
            <v>DOCUMENT</v>
          </cell>
          <cell r="B9" t="str">
            <v>NO_DOCUMEN</v>
          </cell>
          <cell r="C9" t="str">
            <v>ID_DOC</v>
          </cell>
          <cell r="D9" t="str">
            <v>DATE_DOC</v>
          </cell>
          <cell r="E9" t="str">
            <v>REF_LOT</v>
          </cell>
          <cell r="F9" t="str">
            <v>AN_PER</v>
          </cell>
          <cell r="G9" t="str">
            <v>CTRE_COUT</v>
          </cell>
          <cell r="H9" t="str">
            <v>NATURE</v>
          </cell>
          <cell r="I9" t="str">
            <v>PROJET</v>
          </cell>
          <cell r="J9" t="str">
            <v>DESC</v>
          </cell>
          <cell r="K9" t="str">
            <v>DEVISE</v>
          </cell>
          <cell r="L9" t="str">
            <v>VALEUR</v>
          </cell>
          <cell r="M9" t="str">
            <v>Sort Category (OK, RI, RO, X)</v>
          </cell>
          <cell r="N9" t="str">
            <v>Summary Level- (S)ummary, (D)etail</v>
          </cell>
          <cell r="O9" t="str">
            <v>Sort Order</v>
          </cell>
          <cell r="P9" t="str">
            <v>Compound Code</v>
          </cell>
          <cell r="Q9" t="str">
            <v>Special Groupings</v>
          </cell>
          <cell r="R9" t="str">
            <v>RO or RI G/L Account</v>
          </cell>
          <cell r="S9" t="str">
            <v>RO or RI Schedule No.</v>
          </cell>
          <cell r="T9" t="str">
            <v>Payment Received From</v>
          </cell>
          <cell r="U9" t="str">
            <v>Description</v>
          </cell>
          <cell r="V9" t="str">
            <v>G/L Account</v>
          </cell>
          <cell r="W9" t="str">
            <v>Amount</v>
          </cell>
          <cell r="X9" t="str">
            <v>Absolute Value</v>
          </cell>
          <cell r="Y9" t="str">
            <v>Amount</v>
          </cell>
          <cell r="Z9" t="str">
            <v>Absolute Value</v>
          </cell>
        </row>
        <row r="10">
          <cell r="A10" t="str">
            <v xml:space="preserve"> 01</v>
          </cell>
          <cell r="B10" t="str">
            <v>000394</v>
          </cell>
          <cell r="C10" t="str">
            <v>Jrnl</v>
          </cell>
          <cell r="D10" t="str">
            <v>19/May/1998</v>
          </cell>
          <cell r="E10" t="str">
            <v>KPUR0490</v>
          </cell>
          <cell r="F10" t="str">
            <v>1998/05</v>
          </cell>
          <cell r="G10" t="str">
            <v>081890</v>
          </cell>
          <cell r="H10" t="str">
            <v>37120</v>
          </cell>
          <cell r="I10" t="str">
            <v>080000</v>
          </cell>
          <cell r="J10" t="str">
            <v>Letter of credit</v>
          </cell>
          <cell r="K10" t="str">
            <v>D1</v>
          </cell>
          <cell r="L10">
            <v>116490</v>
          </cell>
          <cell r="M10" t="str">
            <v>X</v>
          </cell>
          <cell r="N10" t="str">
            <v>s</v>
          </cell>
          <cell r="O10" t="str">
            <v>X</v>
          </cell>
          <cell r="P10" t="str">
            <v>02855-X</v>
          </cell>
          <cell r="Q10" t="str">
            <v>ib</v>
          </cell>
          <cell r="R10" t="str">
            <v xml:space="preserve"> </v>
          </cell>
          <cell r="S10" t="str">
            <v xml:space="preserve"> </v>
          </cell>
          <cell r="T10" t="str">
            <v>Input</v>
          </cell>
          <cell r="U10" t="str">
            <v>Interest on Balance</v>
          </cell>
          <cell r="V10" t="str">
            <v>37120</v>
          </cell>
          <cell r="W10">
            <v>-6.95</v>
          </cell>
          <cell r="X10" t="str">
            <v>02855</v>
          </cell>
          <cell r="Y10">
            <v>116490</v>
          </cell>
          <cell r="Z10">
            <v>116490</v>
          </cell>
        </row>
        <row r="11">
          <cell r="A11" t="str">
            <v xml:space="preserve"> 01</v>
          </cell>
          <cell r="B11" t="str">
            <v>000395</v>
          </cell>
          <cell r="C11" t="str">
            <v>Jrnl</v>
          </cell>
          <cell r="D11" t="str">
            <v>09/May/1998</v>
          </cell>
          <cell r="E11" t="str">
            <v>KPUR0490</v>
          </cell>
          <cell r="F11" t="str">
            <v>1998/05</v>
          </cell>
          <cell r="G11" t="str">
            <v>081890</v>
          </cell>
          <cell r="H11" t="str">
            <v>37120</v>
          </cell>
          <cell r="I11" t="str">
            <v>080000</v>
          </cell>
          <cell r="J11" t="str">
            <v>LETTER OF CREDIT REVERSE</v>
          </cell>
          <cell r="K11" t="str">
            <v>D1</v>
          </cell>
          <cell r="L11">
            <v>-116490</v>
          </cell>
          <cell r="M11" t="str">
            <v>X</v>
          </cell>
          <cell r="N11" t="str">
            <v>s</v>
          </cell>
          <cell r="O11" t="str">
            <v>X</v>
          </cell>
          <cell r="P11" t="str">
            <v>02855-X</v>
          </cell>
          <cell r="Q11" t="str">
            <v>ib</v>
          </cell>
          <cell r="R11" t="str">
            <v xml:space="preserve"> </v>
          </cell>
          <cell r="S11" t="str">
            <v xml:space="preserve"> </v>
          </cell>
          <cell r="T11" t="str">
            <v>Input</v>
          </cell>
          <cell r="U11" t="str">
            <v>Interest on Balance</v>
          </cell>
          <cell r="V11" t="str">
            <v>37120</v>
          </cell>
          <cell r="W11">
            <v>-27.98</v>
          </cell>
          <cell r="X11" t="str">
            <v>02855</v>
          </cell>
          <cell r="Y11">
            <v>-116490</v>
          </cell>
          <cell r="Z11">
            <v>116490</v>
          </cell>
        </row>
        <row r="12">
          <cell r="A12" t="str">
            <v xml:space="preserve"> 01</v>
          </cell>
          <cell r="B12" t="str">
            <v>000492</v>
          </cell>
          <cell r="C12" t="str">
            <v>Jrnl</v>
          </cell>
          <cell r="D12" t="str">
            <v>31/Jul/1998</v>
          </cell>
          <cell r="E12" t="str">
            <v>CWAN0005</v>
          </cell>
          <cell r="F12" t="str">
            <v>1998/07</v>
          </cell>
          <cell r="G12" t="str">
            <v>081890</v>
          </cell>
          <cell r="H12" t="str">
            <v>37120</v>
          </cell>
          <cell r="I12" t="str">
            <v>080000</v>
          </cell>
          <cell r="J12" t="str">
            <v>INTEREST CETTQ JUNE</v>
          </cell>
          <cell r="K12" t="str">
            <v>D1</v>
          </cell>
          <cell r="L12">
            <v>-76.150000000000006</v>
          </cell>
          <cell r="M12" t="str">
            <v>ok</v>
          </cell>
          <cell r="N12" t="str">
            <v>s</v>
          </cell>
          <cell r="O12">
            <v>1</v>
          </cell>
          <cell r="P12" t="str">
            <v>37120-1</v>
          </cell>
          <cell r="Q12" t="str">
            <v>ib</v>
          </cell>
          <cell r="R12" t="str">
            <v xml:space="preserve"> </v>
          </cell>
          <cell r="S12" t="str">
            <v xml:space="preserve"> </v>
          </cell>
          <cell r="T12" t="str">
            <v>Caisse d'economics des travailleurs</v>
          </cell>
          <cell r="U12" t="str">
            <v>Interest on Balance</v>
          </cell>
          <cell r="V12" t="str">
            <v>37120</v>
          </cell>
          <cell r="W12">
            <v>-76.150000000000006</v>
          </cell>
          <cell r="X12">
            <v>76.150000000000006</v>
          </cell>
          <cell r="Y12">
            <v>5973.33</v>
          </cell>
          <cell r="Z12">
            <v>5973.33</v>
          </cell>
        </row>
        <row r="13">
          <cell r="A13" t="str">
            <v xml:space="preserve"> 01</v>
          </cell>
          <cell r="B13" t="str">
            <v>000586</v>
          </cell>
          <cell r="C13" t="str">
            <v>Jrnl</v>
          </cell>
          <cell r="D13" t="str">
            <v>30/Sep/1998</v>
          </cell>
          <cell r="E13" t="str">
            <v>CWAN0143</v>
          </cell>
          <cell r="F13" t="str">
            <v>1998/09</v>
          </cell>
          <cell r="G13" t="str">
            <v>081890</v>
          </cell>
          <cell r="H13" t="str">
            <v>37120</v>
          </cell>
          <cell r="I13" t="str">
            <v>080000</v>
          </cell>
          <cell r="J13" t="str">
            <v>INTEREST CETTQ AUGUST</v>
          </cell>
          <cell r="K13" t="str">
            <v>D1</v>
          </cell>
          <cell r="L13">
            <v>-76.489999999999995</v>
          </cell>
          <cell r="M13" t="str">
            <v>ok</v>
          </cell>
          <cell r="N13" t="str">
            <v>s</v>
          </cell>
          <cell r="O13">
            <v>1</v>
          </cell>
          <cell r="P13" t="str">
            <v>37120-1</v>
          </cell>
          <cell r="Q13" t="str">
            <v>ib</v>
          </cell>
          <cell r="R13" t="str">
            <v xml:space="preserve"> </v>
          </cell>
          <cell r="S13" t="str">
            <v xml:space="preserve"> </v>
          </cell>
          <cell r="T13" t="str">
            <v>Caisse d'economics des travailleurs</v>
          </cell>
          <cell r="U13" t="str">
            <v>Interest on Balance</v>
          </cell>
          <cell r="V13" t="str">
            <v>37120</v>
          </cell>
          <cell r="W13">
            <v>-76.489999999999995</v>
          </cell>
          <cell r="X13">
            <v>76.489999999999995</v>
          </cell>
          <cell r="Y13">
            <v>351.77</v>
          </cell>
          <cell r="Z13">
            <v>351.77</v>
          </cell>
        </row>
        <row r="14">
          <cell r="A14" t="str">
            <v xml:space="preserve"> 01</v>
          </cell>
          <cell r="B14" t="str">
            <v>000436</v>
          </cell>
          <cell r="C14" t="str">
            <v>Jrnl</v>
          </cell>
          <cell r="D14" t="str">
            <v>23/Jun/1998</v>
          </cell>
          <cell r="E14" t="str">
            <v>TLOH1911</v>
          </cell>
          <cell r="F14" t="str">
            <v>1998/06</v>
          </cell>
          <cell r="G14" t="str">
            <v>081890</v>
          </cell>
          <cell r="H14" t="str">
            <v>37120</v>
          </cell>
          <cell r="I14" t="str">
            <v>080000</v>
          </cell>
          <cell r="J14" t="str">
            <v>Interest Cettq May</v>
          </cell>
          <cell r="K14" t="str">
            <v>C1</v>
          </cell>
          <cell r="L14">
            <v>-84.99</v>
          </cell>
          <cell r="M14" t="str">
            <v>ok</v>
          </cell>
          <cell r="N14" t="str">
            <v>s</v>
          </cell>
          <cell r="O14">
            <v>1</v>
          </cell>
          <cell r="P14" t="str">
            <v>37120-1</v>
          </cell>
          <cell r="Q14" t="str">
            <v>ib</v>
          </cell>
          <cell r="R14" t="str">
            <v xml:space="preserve"> </v>
          </cell>
          <cell r="S14" t="str">
            <v xml:space="preserve"> </v>
          </cell>
          <cell r="T14" t="str">
            <v>Caisse d'economics des travailleurs</v>
          </cell>
          <cell r="U14" t="str">
            <v>Interest on Balance</v>
          </cell>
          <cell r="V14" t="str">
            <v>37120</v>
          </cell>
          <cell r="W14">
            <v>-84.99</v>
          </cell>
          <cell r="X14">
            <v>84.99</v>
          </cell>
          <cell r="Y14">
            <v>6297.2</v>
          </cell>
          <cell r="Z14">
            <v>6297.2</v>
          </cell>
        </row>
        <row r="15">
          <cell r="A15" t="str">
            <v xml:space="preserve"> 01</v>
          </cell>
          <cell r="B15" t="str">
            <v>000764</v>
          </cell>
          <cell r="C15" t="str">
            <v>Jrnl</v>
          </cell>
          <cell r="D15" t="str">
            <v>16/Dec/1998</v>
          </cell>
          <cell r="E15" t="str">
            <v>NTON0068</v>
          </cell>
          <cell r="F15" t="str">
            <v>1998/12</v>
          </cell>
          <cell r="G15" t="str">
            <v>403890</v>
          </cell>
          <cell r="H15" t="str">
            <v>37120</v>
          </cell>
          <cell r="I15" t="str">
            <v>608000</v>
          </cell>
          <cell r="J15" t="str">
            <v>Interest CETTQ - Oct 98</v>
          </cell>
          <cell r="K15" t="str">
            <v>D1</v>
          </cell>
          <cell r="L15">
            <v>-107</v>
          </cell>
          <cell r="M15" t="str">
            <v>ok</v>
          </cell>
          <cell r="N15" t="str">
            <v>s</v>
          </cell>
          <cell r="O15">
            <v>1</v>
          </cell>
          <cell r="P15" t="str">
            <v>37120-1</v>
          </cell>
          <cell r="Q15" t="str">
            <v>ib</v>
          </cell>
          <cell r="R15" t="str">
            <v xml:space="preserve"> </v>
          </cell>
          <cell r="S15" t="str">
            <v xml:space="preserve"> </v>
          </cell>
          <cell r="T15" t="str">
            <v>Caisse d'economics des travailleurs</v>
          </cell>
          <cell r="U15" t="str">
            <v>Interest on Balance</v>
          </cell>
          <cell r="V15" t="str">
            <v>37120</v>
          </cell>
          <cell r="W15">
            <v>-107</v>
          </cell>
          <cell r="X15">
            <v>107</v>
          </cell>
          <cell r="Y15">
            <v>12766.55</v>
          </cell>
          <cell r="Z15">
            <v>12766.55</v>
          </cell>
        </row>
        <row r="16">
          <cell r="A16" t="str">
            <v xml:space="preserve"> 01</v>
          </cell>
          <cell r="B16" t="str">
            <v>000322</v>
          </cell>
          <cell r="C16" t="str">
            <v>Jrnl</v>
          </cell>
          <cell r="D16" t="str">
            <v>31/Mar/1998</v>
          </cell>
          <cell r="E16" t="str">
            <v>JBEN0644</v>
          </cell>
          <cell r="F16" t="str">
            <v>1998/03</v>
          </cell>
          <cell r="G16" t="str">
            <v>081890</v>
          </cell>
          <cell r="H16" t="str">
            <v>37120</v>
          </cell>
          <cell r="I16" t="str">
            <v>080000</v>
          </cell>
          <cell r="J16" t="str">
            <v>INTEREST CETTQ MARCH</v>
          </cell>
          <cell r="K16" t="str">
            <v>D1</v>
          </cell>
          <cell r="L16">
            <v>-121.64</v>
          </cell>
          <cell r="M16" t="str">
            <v>ok</v>
          </cell>
          <cell r="N16" t="str">
            <v>s</v>
          </cell>
          <cell r="O16">
            <v>1</v>
          </cell>
          <cell r="P16" t="str">
            <v>37120-1</v>
          </cell>
          <cell r="Q16" t="str">
            <v>ib</v>
          </cell>
          <cell r="R16" t="str">
            <v xml:space="preserve"> </v>
          </cell>
          <cell r="S16" t="str">
            <v xml:space="preserve"> </v>
          </cell>
          <cell r="T16" t="str">
            <v>Caisse d'economics des travailleurs</v>
          </cell>
          <cell r="U16" t="str">
            <v>Interest on Balance</v>
          </cell>
          <cell r="V16" t="str">
            <v>37120</v>
          </cell>
          <cell r="W16">
            <v>-121.64</v>
          </cell>
          <cell r="X16">
            <v>121.64</v>
          </cell>
          <cell r="Y16">
            <v>-1509.09</v>
          </cell>
          <cell r="Z16">
            <v>1509.09</v>
          </cell>
        </row>
        <row r="17">
          <cell r="A17" t="str">
            <v xml:space="preserve"> 01</v>
          </cell>
          <cell r="B17" t="str">
            <v>000324</v>
          </cell>
          <cell r="C17" t="str">
            <v>Jrnl</v>
          </cell>
          <cell r="D17" t="str">
            <v>31/Mar/1998</v>
          </cell>
          <cell r="E17" t="str">
            <v>JBEN0645</v>
          </cell>
          <cell r="F17" t="str">
            <v>1998/03</v>
          </cell>
          <cell r="G17" t="str">
            <v>081890</v>
          </cell>
          <cell r="H17" t="str">
            <v>37120</v>
          </cell>
          <cell r="I17" t="str">
            <v>080000</v>
          </cell>
          <cell r="J17" t="str">
            <v>INTEREST CETTQ FEB.</v>
          </cell>
          <cell r="K17" t="str">
            <v>C1</v>
          </cell>
          <cell r="L17">
            <v>-165.24</v>
          </cell>
          <cell r="M17" t="str">
            <v>ok</v>
          </cell>
          <cell r="N17" t="str">
            <v>s</v>
          </cell>
          <cell r="O17">
            <v>1</v>
          </cell>
          <cell r="P17" t="str">
            <v>37120-1</v>
          </cell>
          <cell r="Q17" t="str">
            <v>ib</v>
          </cell>
          <cell r="R17" t="str">
            <v xml:space="preserve"> </v>
          </cell>
          <cell r="S17" t="str">
            <v xml:space="preserve"> </v>
          </cell>
          <cell r="T17" t="str">
            <v>Caisse d'economics des travailleurs</v>
          </cell>
          <cell r="U17" t="str">
            <v>Interest on Balance</v>
          </cell>
          <cell r="V17" t="str">
            <v>37120</v>
          </cell>
          <cell r="W17">
            <v>-165.24</v>
          </cell>
          <cell r="X17">
            <v>165.24</v>
          </cell>
          <cell r="Y17">
            <v>-1509.09</v>
          </cell>
          <cell r="Z17">
            <v>1509.09</v>
          </cell>
        </row>
        <row r="18">
          <cell r="A18" t="str">
            <v xml:space="preserve"> 01</v>
          </cell>
          <cell r="B18" t="str">
            <v>000493</v>
          </cell>
          <cell r="C18" t="str">
            <v>Jrnl</v>
          </cell>
          <cell r="D18" t="str">
            <v>31/Jul/1998</v>
          </cell>
          <cell r="E18" t="str">
            <v>CWAN0005</v>
          </cell>
          <cell r="F18" t="str">
            <v>1998/07</v>
          </cell>
          <cell r="G18" t="str">
            <v>081890</v>
          </cell>
          <cell r="H18" t="str">
            <v>37120</v>
          </cell>
          <cell r="I18" t="str">
            <v>080000</v>
          </cell>
          <cell r="J18" t="str">
            <v>INTEREST CETTQ JUNE</v>
          </cell>
          <cell r="K18" t="str">
            <v>C1</v>
          </cell>
          <cell r="L18">
            <v>-166.83</v>
          </cell>
          <cell r="M18" t="str">
            <v>ok</v>
          </cell>
          <cell r="N18" t="str">
            <v>s</v>
          </cell>
          <cell r="O18">
            <v>1</v>
          </cell>
          <cell r="P18" t="str">
            <v>37120-1</v>
          </cell>
          <cell r="Q18" t="str">
            <v>ib</v>
          </cell>
          <cell r="R18" t="str">
            <v xml:space="preserve"> </v>
          </cell>
          <cell r="S18" t="str">
            <v xml:space="preserve"> </v>
          </cell>
          <cell r="T18" t="str">
            <v>Caisse d'economics des travailleurs</v>
          </cell>
          <cell r="U18" t="str">
            <v>Interest on Balance</v>
          </cell>
          <cell r="V18" t="str">
            <v>37120</v>
          </cell>
          <cell r="W18">
            <v>-166.83</v>
          </cell>
          <cell r="X18">
            <v>166.83</v>
          </cell>
          <cell r="Y18">
            <v>-8059.09</v>
          </cell>
          <cell r="Z18">
            <v>8059.09</v>
          </cell>
        </row>
        <row r="19">
          <cell r="A19" t="str">
            <v xml:space="preserve"> 01</v>
          </cell>
          <cell r="B19" t="str">
            <v>000323</v>
          </cell>
          <cell r="C19" t="str">
            <v>Jrnl</v>
          </cell>
          <cell r="D19" t="str">
            <v>31/Mar/1998</v>
          </cell>
          <cell r="E19" t="str">
            <v>JBEN0644</v>
          </cell>
          <cell r="F19" t="str">
            <v>1998/03</v>
          </cell>
          <cell r="G19" t="str">
            <v>081890</v>
          </cell>
          <cell r="H19" t="str">
            <v>37120</v>
          </cell>
          <cell r="I19" t="str">
            <v>080000</v>
          </cell>
          <cell r="J19" t="str">
            <v>INTEREST CETTQ FEB</v>
          </cell>
          <cell r="K19" t="str">
            <v>D1</v>
          </cell>
          <cell r="L19">
            <v>-195.06</v>
          </cell>
          <cell r="M19" t="str">
            <v>ok</v>
          </cell>
          <cell r="N19" t="str">
            <v>s</v>
          </cell>
          <cell r="O19">
            <v>1</v>
          </cell>
          <cell r="P19" t="str">
            <v>37120-1</v>
          </cell>
          <cell r="Q19" t="str">
            <v>ib</v>
          </cell>
          <cell r="R19" t="str">
            <v xml:space="preserve"> </v>
          </cell>
          <cell r="S19" t="str">
            <v xml:space="preserve"> </v>
          </cell>
          <cell r="T19" t="str">
            <v>Caisse d'economics des travailleurs</v>
          </cell>
          <cell r="U19" t="str">
            <v>Interest on Balance</v>
          </cell>
          <cell r="V19" t="str">
            <v>37120</v>
          </cell>
          <cell r="W19">
            <v>-195.06</v>
          </cell>
          <cell r="X19">
            <v>195.06</v>
          </cell>
          <cell r="Y19">
            <v>3000</v>
          </cell>
          <cell r="Z19">
            <v>3000</v>
          </cell>
        </row>
        <row r="20">
          <cell r="A20" t="str">
            <v xml:space="preserve"> 01</v>
          </cell>
          <cell r="B20" t="str">
            <v>000587</v>
          </cell>
          <cell r="C20" t="str">
            <v>Jrnl</v>
          </cell>
          <cell r="D20" t="str">
            <v>30/Sep/1998</v>
          </cell>
          <cell r="E20" t="str">
            <v>CWAN0144</v>
          </cell>
          <cell r="F20" t="str">
            <v>1998/09</v>
          </cell>
          <cell r="G20" t="str">
            <v>081890</v>
          </cell>
          <cell r="H20" t="str">
            <v>37120</v>
          </cell>
          <cell r="I20" t="str">
            <v>080000</v>
          </cell>
          <cell r="J20" t="str">
            <v>INTEREST CETTQ AUGUST</v>
          </cell>
          <cell r="K20" t="str">
            <v>C1</v>
          </cell>
          <cell r="L20">
            <v>-204.81</v>
          </cell>
          <cell r="M20" t="str">
            <v>ok</v>
          </cell>
          <cell r="N20" t="str">
            <v>s</v>
          </cell>
          <cell r="O20">
            <v>1</v>
          </cell>
          <cell r="P20" t="str">
            <v>37120-1</v>
          </cell>
          <cell r="Q20" t="str">
            <v>ib</v>
          </cell>
          <cell r="R20" t="str">
            <v xml:space="preserve"> </v>
          </cell>
          <cell r="S20" t="str">
            <v xml:space="preserve"> </v>
          </cell>
          <cell r="T20" t="str">
            <v>Caisse d'economics des travailleurs</v>
          </cell>
          <cell r="U20" t="str">
            <v>Interest on Balance</v>
          </cell>
          <cell r="V20" t="str">
            <v>37120</v>
          </cell>
          <cell r="W20">
            <v>-204.81</v>
          </cell>
          <cell r="X20">
            <v>204.81</v>
          </cell>
          <cell r="Y20">
            <v>500</v>
          </cell>
          <cell r="Z20">
            <v>500</v>
          </cell>
        </row>
        <row r="21">
          <cell r="A21" t="str">
            <v xml:space="preserve"> 01</v>
          </cell>
          <cell r="B21" t="str">
            <v>000435</v>
          </cell>
          <cell r="C21" t="str">
            <v>Jrnl</v>
          </cell>
          <cell r="D21" t="str">
            <v>23/Jun/1998</v>
          </cell>
          <cell r="E21" t="str">
            <v>TLOH1911</v>
          </cell>
          <cell r="F21" t="str">
            <v>1998/06</v>
          </cell>
          <cell r="G21" t="str">
            <v>081890</v>
          </cell>
          <cell r="H21" t="str">
            <v>37120</v>
          </cell>
          <cell r="I21" t="str">
            <v>080000</v>
          </cell>
          <cell r="J21" t="str">
            <v>Interest Cettq May</v>
          </cell>
          <cell r="K21" t="str">
            <v>D1</v>
          </cell>
          <cell r="L21">
            <v>-252.15</v>
          </cell>
          <cell r="M21" t="str">
            <v>ok</v>
          </cell>
          <cell r="N21" t="str">
            <v>s</v>
          </cell>
          <cell r="O21">
            <v>1</v>
          </cell>
          <cell r="P21" t="str">
            <v>37120-1</v>
          </cell>
          <cell r="Q21" t="str">
            <v>ib</v>
          </cell>
          <cell r="R21" t="str">
            <v xml:space="preserve"> </v>
          </cell>
          <cell r="S21" t="str">
            <v xml:space="preserve"> </v>
          </cell>
          <cell r="T21" t="str">
            <v>Caisse d'economics des travailleurs</v>
          </cell>
          <cell r="U21" t="str">
            <v>Interest on Balance</v>
          </cell>
          <cell r="V21" t="str">
            <v>37120</v>
          </cell>
          <cell r="W21">
            <v>-252.15</v>
          </cell>
          <cell r="X21">
            <v>252.15</v>
          </cell>
          <cell r="Y21">
            <v>32.869999999999997</v>
          </cell>
          <cell r="Z21">
            <v>32.869999999999997</v>
          </cell>
        </row>
        <row r="22">
          <cell r="A22" t="str">
            <v xml:space="preserve"> 01</v>
          </cell>
          <cell r="B22" t="str">
            <v>000764</v>
          </cell>
          <cell r="C22" t="str">
            <v>Jrnl</v>
          </cell>
          <cell r="D22" t="str">
            <v>16/Dec/1998</v>
          </cell>
          <cell r="E22" t="str">
            <v>NTON0068</v>
          </cell>
          <cell r="F22" t="str">
            <v>1998/12</v>
          </cell>
          <cell r="G22" t="str">
            <v>403890</v>
          </cell>
          <cell r="H22" t="str">
            <v>37120</v>
          </cell>
          <cell r="I22" t="str">
            <v>608000</v>
          </cell>
          <cell r="J22" t="str">
            <v>Interest CETTQ - Nov 98</v>
          </cell>
          <cell r="K22" t="str">
            <v>D1</v>
          </cell>
          <cell r="L22">
            <v>-343.26</v>
          </cell>
          <cell r="M22" t="str">
            <v>ok</v>
          </cell>
          <cell r="N22" t="str">
            <v>s</v>
          </cell>
          <cell r="O22" t="str">
            <v>X</v>
          </cell>
          <cell r="P22" t="str">
            <v>02855-X</v>
          </cell>
          <cell r="Q22" t="str">
            <v>ib</v>
          </cell>
          <cell r="R22" t="str">
            <v xml:space="preserve"> </v>
          </cell>
          <cell r="S22" t="str">
            <v xml:space="preserve"> </v>
          </cell>
          <cell r="T22" t="str">
            <v>Input</v>
          </cell>
          <cell r="U22" t="str">
            <v>Interest on Balance</v>
          </cell>
          <cell r="V22" t="str">
            <v>37120</v>
          </cell>
          <cell r="W22">
            <v>-343.26</v>
          </cell>
          <cell r="X22" t="str">
            <v>02855</v>
          </cell>
          <cell r="Y22">
            <v>-708.65</v>
          </cell>
          <cell r="Z22">
            <v>708.65</v>
          </cell>
        </row>
        <row r="23">
          <cell r="A23" t="str">
            <v xml:space="preserve"> 01</v>
          </cell>
          <cell r="B23" t="str">
            <v>000325</v>
          </cell>
          <cell r="C23" t="str">
            <v>Jrnl</v>
          </cell>
          <cell r="D23" t="str">
            <v>31/Mar/1998</v>
          </cell>
          <cell r="E23" t="str">
            <v>JBEN0645</v>
          </cell>
          <cell r="F23" t="str">
            <v>1998/03</v>
          </cell>
          <cell r="G23" t="str">
            <v>081890</v>
          </cell>
          <cell r="H23" t="str">
            <v>37120</v>
          </cell>
          <cell r="I23" t="str">
            <v>080000</v>
          </cell>
          <cell r="J23" t="str">
            <v>INTEREST CETTQ MARCH</v>
          </cell>
          <cell r="K23" t="str">
            <v>C1</v>
          </cell>
          <cell r="L23">
            <v>-393.63</v>
          </cell>
          <cell r="M23" t="str">
            <v>ok</v>
          </cell>
          <cell r="N23" t="str">
            <v>s</v>
          </cell>
          <cell r="O23">
            <v>1</v>
          </cell>
          <cell r="P23" t="str">
            <v>37120-1</v>
          </cell>
          <cell r="Q23" t="str">
            <v>ib</v>
          </cell>
          <cell r="R23" t="str">
            <v xml:space="preserve"> </v>
          </cell>
          <cell r="S23" t="str">
            <v xml:space="preserve"> </v>
          </cell>
          <cell r="T23" t="str">
            <v>Caisse d'economics des travailleurs</v>
          </cell>
          <cell r="U23" t="str">
            <v>Interest on Balance</v>
          </cell>
          <cell r="V23" t="str">
            <v>37120</v>
          </cell>
          <cell r="W23">
            <v>-393.63</v>
          </cell>
          <cell r="X23">
            <v>393.63</v>
          </cell>
          <cell r="Y23">
            <v>-1599.24</v>
          </cell>
          <cell r="Z23">
            <v>1599.24</v>
          </cell>
        </row>
        <row r="24">
          <cell r="A24" t="str">
            <v xml:space="preserve"> 01</v>
          </cell>
          <cell r="B24" t="str">
            <v>000764</v>
          </cell>
          <cell r="C24" t="str">
            <v>Jrnl</v>
          </cell>
          <cell r="D24" t="str">
            <v>16/Dec/1998</v>
          </cell>
          <cell r="E24" t="str">
            <v>NTON0068</v>
          </cell>
          <cell r="F24" t="str">
            <v>1998/12</v>
          </cell>
          <cell r="G24" t="str">
            <v>403890</v>
          </cell>
          <cell r="H24" t="str">
            <v>37120</v>
          </cell>
          <cell r="I24" t="str">
            <v>608000</v>
          </cell>
          <cell r="J24" t="str">
            <v>Interest CETTQ - Nov 98</v>
          </cell>
          <cell r="K24" t="str">
            <v>D1</v>
          </cell>
          <cell r="L24">
            <v>-1333.84</v>
          </cell>
          <cell r="M24" t="str">
            <v>ok</v>
          </cell>
          <cell r="N24" t="str">
            <v>s</v>
          </cell>
          <cell r="O24">
            <v>1</v>
          </cell>
          <cell r="P24" t="str">
            <v>37120-1</v>
          </cell>
          <cell r="Q24" t="str">
            <v>ib</v>
          </cell>
          <cell r="R24" t="str">
            <v xml:space="preserve"> </v>
          </cell>
          <cell r="S24" t="str">
            <v xml:space="preserve"> </v>
          </cell>
          <cell r="T24" t="str">
            <v>Caisse d'economics des travailleurs</v>
          </cell>
          <cell r="U24" t="str">
            <v>Interest on Balance</v>
          </cell>
          <cell r="V24" t="str">
            <v>37120</v>
          </cell>
          <cell r="W24">
            <v>-1333.84</v>
          </cell>
          <cell r="X24">
            <v>1333.84</v>
          </cell>
          <cell r="Y24">
            <v>-1019.73</v>
          </cell>
          <cell r="Z24">
            <v>1019.73</v>
          </cell>
        </row>
        <row r="25">
          <cell r="A25" t="str">
            <v xml:space="preserve"> 01</v>
          </cell>
          <cell r="B25" t="str">
            <v>000764</v>
          </cell>
          <cell r="C25" t="str">
            <v>Jrnl</v>
          </cell>
          <cell r="D25" t="str">
            <v>16/Dec/1998</v>
          </cell>
          <cell r="E25" t="str">
            <v>NTON0068</v>
          </cell>
          <cell r="F25" t="str">
            <v>1998/12</v>
          </cell>
          <cell r="G25" t="str">
            <v>403890</v>
          </cell>
          <cell r="H25" t="str">
            <v>37120</v>
          </cell>
          <cell r="I25" t="str">
            <v>608000</v>
          </cell>
          <cell r="J25" t="str">
            <v>Interest CETTQ - Oct 98</v>
          </cell>
          <cell r="K25" t="str">
            <v>D1</v>
          </cell>
          <cell r="L25">
            <v>-1501</v>
          </cell>
          <cell r="M25" t="str">
            <v>ok</v>
          </cell>
          <cell r="N25" t="str">
            <v>s</v>
          </cell>
          <cell r="O25">
            <v>1</v>
          </cell>
          <cell r="P25" t="str">
            <v>37120-1</v>
          </cell>
          <cell r="Q25" t="str">
            <v>ib</v>
          </cell>
          <cell r="R25" t="str">
            <v xml:space="preserve"> </v>
          </cell>
          <cell r="S25" t="str">
            <v xml:space="preserve"> </v>
          </cell>
          <cell r="T25" t="str">
            <v>Caisse d'economics des travailleurs</v>
          </cell>
          <cell r="U25" t="str">
            <v>Interest on Balance</v>
          </cell>
          <cell r="V25" t="str">
            <v>37120</v>
          </cell>
          <cell r="W25">
            <v>-1501</v>
          </cell>
          <cell r="X25">
            <v>1501</v>
          </cell>
          <cell r="Y25">
            <v>-1204.52</v>
          </cell>
          <cell r="Z25">
            <v>1204.52</v>
          </cell>
        </row>
        <row r="26">
          <cell r="A26" t="str">
            <v xml:space="preserve"> 01</v>
          </cell>
          <cell r="B26" t="str">
            <v>000211</v>
          </cell>
          <cell r="C26" t="str">
            <v>Jrnl</v>
          </cell>
          <cell r="D26" t="str">
            <v>26/Jan/1998</v>
          </cell>
          <cell r="E26" t="str">
            <v>JFOR0452</v>
          </cell>
          <cell r="F26" t="str">
            <v>1998/01</v>
          </cell>
          <cell r="G26" t="str">
            <v>853890</v>
          </cell>
          <cell r="H26" t="str">
            <v>37120</v>
          </cell>
          <cell r="I26" t="str">
            <v>601000</v>
          </cell>
          <cell r="J26" t="str">
            <v>INTEREST WELLS DECEMBER</v>
          </cell>
          <cell r="K26" t="str">
            <v>D1</v>
          </cell>
          <cell r="L26">
            <v>-359.79</v>
          </cell>
          <cell r="M26" t="str">
            <v>ok</v>
          </cell>
          <cell r="N26" t="str">
            <v>s</v>
          </cell>
          <cell r="O26">
            <v>1</v>
          </cell>
          <cell r="P26" t="str">
            <v>37120-1</v>
          </cell>
          <cell r="Q26" t="str">
            <v>si</v>
          </cell>
          <cell r="R26" t="str">
            <v xml:space="preserve"> </v>
          </cell>
          <cell r="S26" t="str">
            <v xml:space="preserve"> </v>
          </cell>
          <cell r="T26" t="str">
            <v>Caisse d'economics des travailleurs</v>
          </cell>
          <cell r="U26" t="str">
            <v>Sweep Interest</v>
          </cell>
          <cell r="V26" t="str">
            <v>37120</v>
          </cell>
          <cell r="W26">
            <v>-359.79</v>
          </cell>
          <cell r="X26">
            <v>359.79</v>
          </cell>
          <cell r="Y26">
            <v>-1049.93</v>
          </cell>
          <cell r="Z26">
            <v>1049.93</v>
          </cell>
        </row>
        <row r="27">
          <cell r="A27" t="str">
            <v xml:space="preserve"> 01</v>
          </cell>
          <cell r="B27" t="str">
            <v>000749</v>
          </cell>
          <cell r="C27" t="str">
            <v>Jrnl</v>
          </cell>
          <cell r="D27" t="str">
            <v>03/Dec/1998</v>
          </cell>
          <cell r="E27" t="str">
            <v>NTON0052</v>
          </cell>
          <cell r="F27" t="str">
            <v>1998/12</v>
          </cell>
          <cell r="G27" t="str">
            <v>403890</v>
          </cell>
          <cell r="H27" t="str">
            <v>37120</v>
          </cell>
          <cell r="I27" t="str">
            <v>080000</v>
          </cell>
          <cell r="J27" t="str">
            <v>Interest Sweeps Oct 98</v>
          </cell>
          <cell r="K27" t="str">
            <v>D1</v>
          </cell>
          <cell r="L27">
            <v>-4.3</v>
          </cell>
          <cell r="M27" t="str">
            <v>ok</v>
          </cell>
          <cell r="N27" t="str">
            <v>s</v>
          </cell>
          <cell r="O27">
            <v>1</v>
          </cell>
          <cell r="P27" t="str">
            <v>37120-1</v>
          </cell>
          <cell r="Q27" t="str">
            <v>si</v>
          </cell>
          <cell r="R27" t="str">
            <v xml:space="preserve"> </v>
          </cell>
          <cell r="S27" t="str">
            <v xml:space="preserve"> </v>
          </cell>
          <cell r="T27" t="str">
            <v>Well Fargo</v>
          </cell>
          <cell r="U27" t="str">
            <v>Sweep Interest</v>
          </cell>
          <cell r="V27" t="str">
            <v>37120</v>
          </cell>
          <cell r="W27">
            <v>-4.3</v>
          </cell>
          <cell r="X27">
            <v>4.3</v>
          </cell>
          <cell r="Y27">
            <v>-32.869999999999997</v>
          </cell>
          <cell r="Z27">
            <v>32.869999999999997</v>
          </cell>
        </row>
        <row r="28">
          <cell r="A28" t="str">
            <v xml:space="preserve"> 01</v>
          </cell>
          <cell r="B28" t="str">
            <v>000649</v>
          </cell>
          <cell r="C28" t="str">
            <v>Jrnl</v>
          </cell>
          <cell r="D28" t="str">
            <v>30/Sep/1998</v>
          </cell>
          <cell r="E28" t="str">
            <v>DPAS0151</v>
          </cell>
          <cell r="F28" t="str">
            <v>1998/09</v>
          </cell>
          <cell r="G28" t="str">
            <v>403890</v>
          </cell>
          <cell r="H28" t="str">
            <v>37120</v>
          </cell>
          <cell r="I28" t="str">
            <v>608006</v>
          </cell>
          <cell r="J28" t="str">
            <v>RECLASS FROM 608000</v>
          </cell>
          <cell r="K28" t="str">
            <v>D1</v>
          </cell>
          <cell r="L28">
            <v>-308.27</v>
          </cell>
          <cell r="M28" t="str">
            <v>ok</v>
          </cell>
          <cell r="N28" t="str">
            <v>s</v>
          </cell>
          <cell r="O28">
            <v>1</v>
          </cell>
          <cell r="P28" t="str">
            <v>37120-1</v>
          </cell>
          <cell r="Q28" t="str">
            <v>si</v>
          </cell>
          <cell r="R28" t="str">
            <v xml:space="preserve"> </v>
          </cell>
          <cell r="S28" t="str">
            <v xml:space="preserve"> </v>
          </cell>
          <cell r="T28" t="str">
            <v>Well Fargo</v>
          </cell>
          <cell r="U28" t="str">
            <v>Sweep Interest</v>
          </cell>
          <cell r="V28" t="str">
            <v>37120</v>
          </cell>
          <cell r="W28">
            <v>-308.27</v>
          </cell>
          <cell r="X28">
            <v>308.27</v>
          </cell>
          <cell r="Y28">
            <v>708.65</v>
          </cell>
          <cell r="Z28">
            <v>708.65</v>
          </cell>
        </row>
        <row r="29">
          <cell r="A29" t="str">
            <v xml:space="preserve"> 01</v>
          </cell>
          <cell r="B29" t="str">
            <v>000467</v>
          </cell>
          <cell r="C29" t="str">
            <v>Jrnl</v>
          </cell>
          <cell r="D29" t="str">
            <v>30/Jun/1998</v>
          </cell>
          <cell r="E29" t="str">
            <v>KPUR0692</v>
          </cell>
          <cell r="F29" t="str">
            <v>1998/06</v>
          </cell>
          <cell r="G29" t="str">
            <v>081890</v>
          </cell>
          <cell r="H29" t="str">
            <v>37120</v>
          </cell>
          <cell r="I29" t="str">
            <v>080000</v>
          </cell>
          <cell r="J29" t="str">
            <v>RECLASS INT. SWEEP 01-05</v>
          </cell>
          <cell r="K29" t="str">
            <v>D1</v>
          </cell>
          <cell r="L29">
            <v>596.83000000000004</v>
          </cell>
          <cell r="M29" t="str">
            <v>ok</v>
          </cell>
          <cell r="N29" t="str">
            <v>s</v>
          </cell>
          <cell r="O29" t="str">
            <v>X</v>
          </cell>
          <cell r="P29" t="str">
            <v>02855-X</v>
          </cell>
          <cell r="Q29" t="str">
            <v>si</v>
          </cell>
          <cell r="R29" t="str">
            <v xml:space="preserve"> </v>
          </cell>
          <cell r="S29" t="str">
            <v xml:space="preserve"> </v>
          </cell>
          <cell r="T29" t="str">
            <v>Input</v>
          </cell>
          <cell r="U29" t="str">
            <v>Input</v>
          </cell>
          <cell r="V29" t="str">
            <v xml:space="preserve"> </v>
          </cell>
          <cell r="W29" t="str">
            <v>53020</v>
          </cell>
          <cell r="X29" t="str">
            <v>02855</v>
          </cell>
          <cell r="Y29">
            <v>1599.24</v>
          </cell>
          <cell r="Z29">
            <v>1599.24</v>
          </cell>
        </row>
        <row r="30">
          <cell r="A30" t="str">
            <v xml:space="preserve"> 01</v>
          </cell>
          <cell r="B30" t="str">
            <v>000460</v>
          </cell>
          <cell r="C30" t="str">
            <v>Jrnl</v>
          </cell>
          <cell r="D30" t="str">
            <v>30/Jun/1998</v>
          </cell>
          <cell r="E30" t="str">
            <v>KPUR0692</v>
          </cell>
          <cell r="F30" t="str">
            <v>1998/06</v>
          </cell>
          <cell r="G30" t="str">
            <v>081890</v>
          </cell>
          <cell r="H30" t="str">
            <v>37120</v>
          </cell>
          <cell r="I30" t="str">
            <v>080000</v>
          </cell>
          <cell r="J30" t="str">
            <v>RECLASS INT. SWEEP 01-05</v>
          </cell>
          <cell r="K30" t="str">
            <v>C1</v>
          </cell>
          <cell r="L30">
            <v>631.76</v>
          </cell>
          <cell r="M30" t="str">
            <v>ok</v>
          </cell>
          <cell r="N30" t="str">
            <v>s</v>
          </cell>
          <cell r="O30" t="str">
            <v>X</v>
          </cell>
          <cell r="P30" t="str">
            <v>02855-X</v>
          </cell>
          <cell r="Q30" t="str">
            <v>si</v>
          </cell>
          <cell r="R30" t="str">
            <v xml:space="preserve"> </v>
          </cell>
          <cell r="S30" t="str">
            <v xml:space="preserve"> </v>
          </cell>
          <cell r="T30" t="str">
            <v>Input</v>
          </cell>
          <cell r="U30" t="str">
            <v>Input</v>
          </cell>
          <cell r="V30" t="str">
            <v xml:space="preserve"> </v>
          </cell>
          <cell r="W30" t="str">
            <v>53020</v>
          </cell>
          <cell r="X30" t="str">
            <v>02855</v>
          </cell>
          <cell r="Y30">
            <v>1019.73</v>
          </cell>
          <cell r="Z30">
            <v>1019.73</v>
          </cell>
        </row>
        <row r="31">
          <cell r="A31" t="str">
            <v xml:space="preserve"> 01</v>
          </cell>
          <cell r="B31" t="str">
            <v>000502</v>
          </cell>
          <cell r="C31" t="str">
            <v>Jrnl</v>
          </cell>
          <cell r="D31" t="str">
            <v>31/Jul/1998</v>
          </cell>
          <cell r="E31" t="str">
            <v>KPUR0808</v>
          </cell>
          <cell r="F31" t="str">
            <v>1998/07</v>
          </cell>
          <cell r="G31" t="str">
            <v>853890</v>
          </cell>
          <cell r="H31" t="str">
            <v>37120</v>
          </cell>
          <cell r="I31" t="str">
            <v>601000</v>
          </cell>
          <cell r="J31" t="str">
            <v>FI INVESTMENT JULY</v>
          </cell>
          <cell r="K31" t="str">
            <v>D1</v>
          </cell>
          <cell r="L31">
            <v>-958.33</v>
          </cell>
          <cell r="M31" t="str">
            <v>ok</v>
          </cell>
          <cell r="N31" t="str">
            <v>s</v>
          </cell>
          <cell r="O31" t="str">
            <v>X</v>
          </cell>
          <cell r="P31" t="str">
            <v>02855-X</v>
          </cell>
          <cell r="Q31" t="str">
            <v>si</v>
          </cell>
          <cell r="R31" t="str">
            <v xml:space="preserve"> </v>
          </cell>
          <cell r="S31" t="str">
            <v xml:space="preserve"> </v>
          </cell>
          <cell r="T31" t="str">
            <v>Input</v>
          </cell>
          <cell r="U31" t="str">
            <v>Input</v>
          </cell>
          <cell r="V31" t="str">
            <v xml:space="preserve"> </v>
          </cell>
          <cell r="W31" t="str">
            <v>53020</v>
          </cell>
          <cell r="X31" t="str">
            <v>02855</v>
          </cell>
          <cell r="Y31">
            <v>1204.52</v>
          </cell>
          <cell r="Z31">
            <v>1204.52</v>
          </cell>
        </row>
        <row r="32">
          <cell r="A32" t="str">
            <v xml:space="preserve"> 01</v>
          </cell>
          <cell r="B32" t="str">
            <v>000334</v>
          </cell>
          <cell r="C32" t="str">
            <v>Jrnl</v>
          </cell>
          <cell r="D32" t="str">
            <v>21/Apr/1998</v>
          </cell>
          <cell r="E32" t="str">
            <v>TLOH1536</v>
          </cell>
          <cell r="F32" t="str">
            <v>1998/04</v>
          </cell>
          <cell r="G32" t="str">
            <v>853890</v>
          </cell>
          <cell r="H32" t="str">
            <v>37120</v>
          </cell>
          <cell r="I32" t="str">
            <v>601000</v>
          </cell>
          <cell r="J32" t="str">
            <v>Interest on FI investment Mar</v>
          </cell>
          <cell r="K32" t="str">
            <v>D1</v>
          </cell>
          <cell r="L32">
            <v>-1041.67</v>
          </cell>
          <cell r="M32" t="str">
            <v>ok</v>
          </cell>
          <cell r="N32" t="str">
            <v>s</v>
          </cell>
          <cell r="O32" t="str">
            <v>X</v>
          </cell>
          <cell r="P32" t="str">
            <v>53330-X</v>
          </cell>
          <cell r="Q32" t="str">
            <v>si</v>
          </cell>
          <cell r="R32" t="str">
            <v xml:space="preserve"> </v>
          </cell>
          <cell r="S32" t="str">
            <v xml:space="preserve"> </v>
          </cell>
          <cell r="T32" t="str">
            <v>Input</v>
          </cell>
          <cell r="U32" t="str">
            <v>Input</v>
          </cell>
          <cell r="V32" t="str">
            <v xml:space="preserve"> </v>
          </cell>
          <cell r="W32" t="str">
            <v>53020</v>
          </cell>
          <cell r="X32" t="str">
            <v>53330</v>
          </cell>
          <cell r="Y32">
            <v>1620.08</v>
          </cell>
          <cell r="Z32">
            <v>1620.08</v>
          </cell>
        </row>
        <row r="33">
          <cell r="A33" t="str">
            <v xml:space="preserve"> 01</v>
          </cell>
          <cell r="B33" t="str">
            <v>000402</v>
          </cell>
          <cell r="C33" t="str">
            <v>Jrnl</v>
          </cell>
          <cell r="D33" t="str">
            <v>16/May/1998</v>
          </cell>
          <cell r="E33" t="str">
            <v>KPUR0501</v>
          </cell>
          <cell r="F33" t="str">
            <v>1998/05</v>
          </cell>
          <cell r="G33" t="str">
            <v>853890</v>
          </cell>
          <cell r="H33" t="str">
            <v>37120</v>
          </cell>
          <cell r="I33" t="str">
            <v>601000</v>
          </cell>
          <cell r="J33" t="str">
            <v>FI INVESTMENT MAY</v>
          </cell>
          <cell r="K33" t="str">
            <v>D1</v>
          </cell>
          <cell r="L33">
            <v>-1166.67</v>
          </cell>
          <cell r="M33" t="str">
            <v>ok</v>
          </cell>
          <cell r="N33" t="str">
            <v>s</v>
          </cell>
          <cell r="O33" t="str">
            <v>X</v>
          </cell>
          <cell r="P33" t="str">
            <v>53330-X</v>
          </cell>
          <cell r="Q33" t="str">
            <v>si</v>
          </cell>
          <cell r="R33" t="str">
            <v xml:space="preserve"> </v>
          </cell>
          <cell r="S33" t="str">
            <v xml:space="preserve"> </v>
          </cell>
          <cell r="T33" t="str">
            <v>Input</v>
          </cell>
          <cell r="U33" t="str">
            <v>Input</v>
          </cell>
          <cell r="V33" t="str">
            <v xml:space="preserve"> </v>
          </cell>
          <cell r="W33" t="str">
            <v>53020</v>
          </cell>
          <cell r="X33" t="str">
            <v>53330</v>
          </cell>
          <cell r="Y33">
            <v>-1620.08</v>
          </cell>
          <cell r="Z33">
            <v>1620.08</v>
          </cell>
        </row>
        <row r="34">
          <cell r="A34" t="str">
            <v xml:space="preserve"> 01</v>
          </cell>
          <cell r="B34" t="str">
            <v>000277</v>
          </cell>
          <cell r="C34" t="str">
            <v>Jrnl</v>
          </cell>
          <cell r="D34" t="str">
            <v>18/Mar/1998</v>
          </cell>
          <cell r="E34" t="str">
            <v>KPUR0121</v>
          </cell>
          <cell r="F34" t="str">
            <v>1998/03</v>
          </cell>
          <cell r="G34" t="str">
            <v>853890</v>
          </cell>
          <cell r="H34" t="str">
            <v>37120</v>
          </cell>
          <cell r="I34" t="str">
            <v>601000</v>
          </cell>
          <cell r="J34" t="str">
            <v>FI INVESTMENT MAR</v>
          </cell>
          <cell r="K34" t="str">
            <v>D1</v>
          </cell>
          <cell r="L34">
            <v>-1178.33</v>
          </cell>
          <cell r="M34" t="str">
            <v>ok</v>
          </cell>
          <cell r="N34" t="str">
            <v>s</v>
          </cell>
          <cell r="O34">
            <v>1</v>
          </cell>
          <cell r="P34" t="str">
            <v>37120-1</v>
          </cell>
          <cell r="Q34" t="str">
            <v>si</v>
          </cell>
          <cell r="R34" t="str">
            <v xml:space="preserve"> </v>
          </cell>
          <cell r="S34" t="str">
            <v xml:space="preserve"> </v>
          </cell>
          <cell r="T34" t="str">
            <v>Well Fargo</v>
          </cell>
          <cell r="U34" t="str">
            <v>Sweep Interest</v>
          </cell>
          <cell r="V34" t="str">
            <v>37120</v>
          </cell>
          <cell r="W34">
            <v>-1178.33</v>
          </cell>
          <cell r="X34">
            <v>1178.33</v>
          </cell>
          <cell r="Y34">
            <v>1425.32</v>
          </cell>
          <cell r="Z34">
            <v>1425.32</v>
          </cell>
        </row>
        <row r="35">
          <cell r="A35" t="str">
            <v xml:space="preserve"> 01</v>
          </cell>
          <cell r="B35" t="str">
            <v>000512</v>
          </cell>
          <cell r="C35" t="str">
            <v>Jrnl</v>
          </cell>
          <cell r="D35" t="str">
            <v>18/Aug/1998</v>
          </cell>
          <cell r="E35" t="str">
            <v>CWAN0027</v>
          </cell>
          <cell r="F35" t="str">
            <v>1998/08</v>
          </cell>
          <cell r="G35" t="str">
            <v>853890</v>
          </cell>
          <cell r="H35" t="str">
            <v>37120</v>
          </cell>
          <cell r="I35" t="str">
            <v>601000</v>
          </cell>
          <cell r="J35" t="str">
            <v>INTEREST SWEEPS JULY 98</v>
          </cell>
          <cell r="K35" t="str">
            <v>D1</v>
          </cell>
          <cell r="L35">
            <v>-1204.9000000000001</v>
          </cell>
          <cell r="M35" t="str">
            <v>ok</v>
          </cell>
          <cell r="N35" t="str">
            <v>s</v>
          </cell>
          <cell r="O35">
            <v>1</v>
          </cell>
          <cell r="P35" t="str">
            <v>37120-1</v>
          </cell>
          <cell r="Q35" t="str">
            <v>si</v>
          </cell>
          <cell r="R35" t="str">
            <v xml:space="preserve"> </v>
          </cell>
          <cell r="S35" t="str">
            <v xml:space="preserve"> </v>
          </cell>
          <cell r="T35" t="str">
            <v>Well Fargo</v>
          </cell>
          <cell r="U35" t="str">
            <v>Sweep Interest</v>
          </cell>
          <cell r="V35" t="str">
            <v>37120</v>
          </cell>
          <cell r="W35">
            <v>-1204.9000000000001</v>
          </cell>
          <cell r="X35">
            <v>1204.9000000000001</v>
          </cell>
          <cell r="Y35">
            <v>83.77</v>
          </cell>
          <cell r="Z35">
            <v>83.77</v>
          </cell>
        </row>
        <row r="36">
          <cell r="A36" t="str">
            <v xml:space="preserve"> 01</v>
          </cell>
          <cell r="B36" t="str">
            <v>000453</v>
          </cell>
          <cell r="C36" t="str">
            <v>Jrnl</v>
          </cell>
          <cell r="D36" t="str">
            <v>30/Jun/1998</v>
          </cell>
          <cell r="E36" t="str">
            <v>KPUR0681</v>
          </cell>
          <cell r="F36" t="str">
            <v>1998/06</v>
          </cell>
          <cell r="G36" t="str">
            <v>853890</v>
          </cell>
          <cell r="H36" t="str">
            <v>37120</v>
          </cell>
          <cell r="I36" t="str">
            <v>601000</v>
          </cell>
          <cell r="J36" t="str">
            <v>FI INVESTMENT JUNE</v>
          </cell>
          <cell r="K36" t="str">
            <v>D1</v>
          </cell>
          <cell r="L36">
            <v>-1291.67</v>
          </cell>
          <cell r="M36" t="str">
            <v>ok</v>
          </cell>
          <cell r="N36" t="str">
            <v>s</v>
          </cell>
          <cell r="O36">
            <v>1</v>
          </cell>
          <cell r="P36" t="str">
            <v>37120-1</v>
          </cell>
          <cell r="Q36" t="str">
            <v>si</v>
          </cell>
          <cell r="R36" t="str">
            <v xml:space="preserve"> </v>
          </cell>
          <cell r="S36" t="str">
            <v xml:space="preserve"> </v>
          </cell>
          <cell r="T36" t="str">
            <v>Well Fargo</v>
          </cell>
          <cell r="U36" t="str">
            <v>Sweep Interest</v>
          </cell>
          <cell r="V36" t="str">
            <v>37120</v>
          </cell>
          <cell r="W36">
            <v>-1291.67</v>
          </cell>
          <cell r="X36">
            <v>1291.67</v>
          </cell>
          <cell r="Y36">
            <v>1425.32</v>
          </cell>
          <cell r="Z36">
            <v>1425.32</v>
          </cell>
        </row>
        <row r="37">
          <cell r="A37" t="str">
            <v xml:space="preserve"> 01</v>
          </cell>
          <cell r="B37" t="str">
            <v>000401</v>
          </cell>
          <cell r="C37" t="str">
            <v>Jrnl</v>
          </cell>
          <cell r="D37" t="str">
            <v>05/May/1998</v>
          </cell>
          <cell r="E37" t="str">
            <v>KPUR0501</v>
          </cell>
          <cell r="F37" t="str">
            <v>1998/05</v>
          </cell>
          <cell r="G37" t="str">
            <v>853890</v>
          </cell>
          <cell r="H37" t="str">
            <v>37120</v>
          </cell>
          <cell r="I37" t="str">
            <v>601000</v>
          </cell>
          <cell r="J37" t="str">
            <v>INTERST ON FI INVESTMENT</v>
          </cell>
          <cell r="K37" t="str">
            <v>D1</v>
          </cell>
          <cell r="L37">
            <v>-1291.67</v>
          </cell>
          <cell r="M37" t="str">
            <v>ok</v>
          </cell>
          <cell r="N37" t="str">
            <v>s</v>
          </cell>
          <cell r="O37">
            <v>1</v>
          </cell>
          <cell r="P37" t="str">
            <v>37120-1</v>
          </cell>
          <cell r="Q37" t="str">
            <v>si</v>
          </cell>
          <cell r="R37" t="str">
            <v xml:space="preserve"> </v>
          </cell>
          <cell r="S37" t="str">
            <v xml:space="preserve"> </v>
          </cell>
          <cell r="T37" t="str">
            <v>Well Fargo</v>
          </cell>
          <cell r="U37" t="str">
            <v>Sweep Interest</v>
          </cell>
          <cell r="V37" t="str">
            <v>37120</v>
          </cell>
          <cell r="W37">
            <v>-1291.67</v>
          </cell>
          <cell r="X37">
            <v>1291.67</v>
          </cell>
          <cell r="Y37">
            <v>83.77</v>
          </cell>
          <cell r="Z37">
            <v>83.77</v>
          </cell>
        </row>
        <row r="38">
          <cell r="A38" t="str">
            <v xml:space="preserve"> 01</v>
          </cell>
          <cell r="B38" t="str">
            <v>000264</v>
          </cell>
          <cell r="C38" t="str">
            <v>Jrnl</v>
          </cell>
          <cell r="D38" t="str">
            <v>28/Feb/1998</v>
          </cell>
          <cell r="E38" t="str">
            <v>SHUG0084</v>
          </cell>
          <cell r="F38" t="str">
            <v>1998/02</v>
          </cell>
          <cell r="G38" t="str">
            <v>853890</v>
          </cell>
          <cell r="H38" t="str">
            <v>37120</v>
          </cell>
          <cell r="I38" t="str">
            <v>601000</v>
          </cell>
          <cell r="J38" t="str">
            <v>interest on inv Jan</v>
          </cell>
          <cell r="K38" t="str">
            <v>D1</v>
          </cell>
          <cell r="L38">
            <v>-1333.33</v>
          </cell>
          <cell r="M38" t="str">
            <v>ok</v>
          </cell>
          <cell r="N38" t="str">
            <v>s</v>
          </cell>
          <cell r="O38">
            <v>1</v>
          </cell>
          <cell r="P38" t="str">
            <v>37120-1</v>
          </cell>
          <cell r="Q38" t="str">
            <v>si</v>
          </cell>
          <cell r="R38" t="str">
            <v xml:space="preserve"> </v>
          </cell>
          <cell r="S38" t="str">
            <v xml:space="preserve"> </v>
          </cell>
          <cell r="T38" t="str">
            <v>Well Fargo</v>
          </cell>
          <cell r="U38" t="str">
            <v>Sweep Interest</v>
          </cell>
          <cell r="V38" t="str">
            <v>37120</v>
          </cell>
          <cell r="W38">
            <v>-1333.33</v>
          </cell>
          <cell r="X38">
            <v>1333.33</v>
          </cell>
          <cell r="Y38">
            <v>1425.32</v>
          </cell>
          <cell r="Z38">
            <v>1425.32</v>
          </cell>
        </row>
        <row r="39">
          <cell r="A39" t="str">
            <v xml:space="preserve"> 01</v>
          </cell>
          <cell r="B39" t="str">
            <v>000565</v>
          </cell>
          <cell r="C39" t="str">
            <v>Jrnl</v>
          </cell>
          <cell r="D39" t="str">
            <v>24/Sep/1998</v>
          </cell>
          <cell r="E39" t="str">
            <v>CWAN0100</v>
          </cell>
          <cell r="F39" t="str">
            <v>1998/09</v>
          </cell>
          <cell r="G39" t="str">
            <v>853890</v>
          </cell>
          <cell r="H39" t="str">
            <v>37120</v>
          </cell>
          <cell r="I39" t="str">
            <v>601000</v>
          </cell>
          <cell r="J39" t="str">
            <v>PARTNER INTEREST SWEEPS 8/98</v>
          </cell>
          <cell r="K39" t="str">
            <v>D1</v>
          </cell>
          <cell r="L39">
            <v>-1478.75</v>
          </cell>
          <cell r="M39" t="str">
            <v>ok</v>
          </cell>
          <cell r="N39" t="str">
            <v>s</v>
          </cell>
          <cell r="O39">
            <v>1</v>
          </cell>
          <cell r="P39" t="str">
            <v>37120-1</v>
          </cell>
          <cell r="Q39" t="str">
            <v>si</v>
          </cell>
          <cell r="R39" t="str">
            <v xml:space="preserve"> </v>
          </cell>
          <cell r="S39" t="str">
            <v xml:space="preserve"> </v>
          </cell>
          <cell r="T39" t="str">
            <v>Well Fargo</v>
          </cell>
          <cell r="U39" t="str">
            <v>Sweep Interest</v>
          </cell>
          <cell r="V39" t="str">
            <v>37120</v>
          </cell>
          <cell r="W39">
            <v>-1478.75</v>
          </cell>
          <cell r="X39">
            <v>1478.75</v>
          </cell>
          <cell r="Y39">
            <v>84.42</v>
          </cell>
          <cell r="Z39">
            <v>84.42</v>
          </cell>
        </row>
        <row r="40">
          <cell r="A40" t="str">
            <v xml:space="preserve"> 01</v>
          </cell>
          <cell r="B40" t="str">
            <v>000618</v>
          </cell>
          <cell r="C40" t="str">
            <v>Jrnl</v>
          </cell>
          <cell r="D40" t="str">
            <v>30/Sep/1998</v>
          </cell>
          <cell r="E40" t="str">
            <v>KPUR0966</v>
          </cell>
          <cell r="F40" t="str">
            <v>1998/09</v>
          </cell>
          <cell r="G40" t="str">
            <v>403890</v>
          </cell>
          <cell r="H40" t="str">
            <v>37120</v>
          </cell>
          <cell r="I40" t="str">
            <v>608006</v>
          </cell>
          <cell r="J40" t="str">
            <v>RECLASS FROM 608000</v>
          </cell>
          <cell r="K40" t="str">
            <v>D1</v>
          </cell>
          <cell r="L40">
            <v>-4235.3599999999997</v>
          </cell>
          <cell r="M40" t="str">
            <v>ok</v>
          </cell>
          <cell r="N40" t="str">
            <v>s</v>
          </cell>
          <cell r="O40" t="str">
            <v>X</v>
          </cell>
          <cell r="P40" t="str">
            <v>53330-X</v>
          </cell>
          <cell r="Q40" t="str">
            <v>si</v>
          </cell>
          <cell r="R40" t="str">
            <v xml:space="preserve"> </v>
          </cell>
          <cell r="S40" t="str">
            <v xml:space="preserve"> </v>
          </cell>
          <cell r="T40" t="str">
            <v>Input</v>
          </cell>
          <cell r="U40" t="str">
            <v>Input</v>
          </cell>
          <cell r="V40" t="str">
            <v xml:space="preserve"> </v>
          </cell>
          <cell r="W40" t="str">
            <v>53020</v>
          </cell>
          <cell r="X40" t="str">
            <v>53330</v>
          </cell>
          <cell r="Y40">
            <v>-1620.08</v>
          </cell>
          <cell r="Z40">
            <v>1620.08</v>
          </cell>
        </row>
        <row r="41">
          <cell r="A41" t="str">
            <v xml:space="preserve"> 01</v>
          </cell>
          <cell r="B41" t="str">
            <v>000759</v>
          </cell>
          <cell r="C41" t="str">
            <v>Jrnl</v>
          </cell>
          <cell r="D41" t="str">
            <v>16/Dec/1998</v>
          </cell>
          <cell r="E41" t="str">
            <v>NTON0062</v>
          </cell>
          <cell r="F41" t="str">
            <v>1998/12</v>
          </cell>
          <cell r="G41" t="str">
            <v>403890</v>
          </cell>
          <cell r="H41" t="str">
            <v>37120</v>
          </cell>
          <cell r="I41" t="str">
            <v>608000</v>
          </cell>
          <cell r="J41" t="str">
            <v>Interest sweeps - Nov 98</v>
          </cell>
          <cell r="K41" t="str">
            <v>D1</v>
          </cell>
          <cell r="L41">
            <v>-4667.9799999999996</v>
          </cell>
          <cell r="M41" t="str">
            <v>ok</v>
          </cell>
          <cell r="N41" t="str">
            <v>s</v>
          </cell>
          <cell r="O41" t="str">
            <v>X</v>
          </cell>
          <cell r="P41" t="str">
            <v>53330-X</v>
          </cell>
          <cell r="Q41" t="str">
            <v>si</v>
          </cell>
          <cell r="R41" t="str">
            <v xml:space="preserve"> </v>
          </cell>
          <cell r="S41" t="str">
            <v xml:space="preserve"> </v>
          </cell>
          <cell r="T41" t="str">
            <v>Input</v>
          </cell>
          <cell r="U41" t="str">
            <v>Input</v>
          </cell>
          <cell r="V41" t="str">
            <v xml:space="preserve"> </v>
          </cell>
          <cell r="W41" t="str">
            <v>53020</v>
          </cell>
          <cell r="X41" t="str">
            <v>53330</v>
          </cell>
          <cell r="Y41">
            <v>-1620.08</v>
          </cell>
          <cell r="Z41">
            <v>1620.08</v>
          </cell>
        </row>
        <row r="42">
          <cell r="A42" t="str">
            <v xml:space="preserve"> 02</v>
          </cell>
          <cell r="B42" t="str">
            <v>000047</v>
          </cell>
          <cell r="C42" t="str">
            <v>Accl</v>
          </cell>
          <cell r="D42" t="str">
            <v>18/Dec/1998</v>
          </cell>
          <cell r="E42" t="str">
            <v>KROS0002</v>
          </cell>
          <cell r="F42" t="str">
            <v>1998/12</v>
          </cell>
          <cell r="G42" t="str">
            <v>403890</v>
          </cell>
          <cell r="H42" t="str">
            <v>37120</v>
          </cell>
          <cell r="I42" t="str">
            <v>608000</v>
          </cell>
          <cell r="J42" t="str">
            <v>December Interest Acrrual</v>
          </cell>
          <cell r="K42" t="str">
            <v>D1</v>
          </cell>
          <cell r="L42">
            <v>-4668</v>
          </cell>
          <cell r="M42" t="str">
            <v>ok</v>
          </cell>
          <cell r="N42" t="str">
            <v>s</v>
          </cell>
          <cell r="O42" t="str">
            <v>X</v>
          </cell>
          <cell r="P42" t="str">
            <v>53330-X</v>
          </cell>
          <cell r="Q42" t="str">
            <v>si</v>
          </cell>
          <cell r="R42" t="str">
            <v xml:space="preserve"> </v>
          </cell>
          <cell r="S42" t="str">
            <v xml:space="preserve"> </v>
          </cell>
          <cell r="T42" t="str">
            <v>Input</v>
          </cell>
          <cell r="U42" t="str">
            <v>Input</v>
          </cell>
          <cell r="V42" t="str">
            <v xml:space="preserve"> </v>
          </cell>
          <cell r="W42" t="str">
            <v>53020</v>
          </cell>
          <cell r="X42" t="str">
            <v>53330</v>
          </cell>
          <cell r="Y42">
            <v>1620.08</v>
          </cell>
          <cell r="Z42">
            <v>1620.08</v>
          </cell>
        </row>
        <row r="43">
          <cell r="A43" t="str">
            <v xml:space="preserve"> 01</v>
          </cell>
          <cell r="B43" t="str">
            <v>000726</v>
          </cell>
          <cell r="C43" t="str">
            <v>Jrnl</v>
          </cell>
          <cell r="D43" t="str">
            <v>30/Nov/1998</v>
          </cell>
          <cell r="E43" t="str">
            <v>NTON0029</v>
          </cell>
          <cell r="F43" t="str">
            <v>1998/11</v>
          </cell>
          <cell r="G43" t="str">
            <v>403890</v>
          </cell>
          <cell r="H43" t="str">
            <v>37120</v>
          </cell>
          <cell r="I43" t="str">
            <v>080000</v>
          </cell>
          <cell r="J43" t="str">
            <v>Interest Sweeps October 98</v>
          </cell>
          <cell r="K43" t="str">
            <v>D1</v>
          </cell>
          <cell r="L43">
            <v>-5666.77</v>
          </cell>
          <cell r="M43" t="str">
            <v>ok</v>
          </cell>
          <cell r="N43" t="str">
            <v>s</v>
          </cell>
          <cell r="O43" t="str">
            <v>X</v>
          </cell>
          <cell r="P43" t="str">
            <v>53330-X</v>
          </cell>
          <cell r="Q43" t="str">
            <v>si</v>
          </cell>
          <cell r="R43" t="str">
            <v xml:space="preserve"> </v>
          </cell>
          <cell r="S43" t="str">
            <v xml:space="preserve"> </v>
          </cell>
          <cell r="T43" t="str">
            <v>Input</v>
          </cell>
          <cell r="U43" t="str">
            <v>Input</v>
          </cell>
          <cell r="V43" t="str">
            <v xml:space="preserve"> </v>
          </cell>
          <cell r="W43" t="str">
            <v>53020</v>
          </cell>
          <cell r="X43" t="str">
            <v>53330</v>
          </cell>
          <cell r="Y43">
            <v>1620.08</v>
          </cell>
          <cell r="Z43">
            <v>1620.08</v>
          </cell>
        </row>
        <row r="44">
          <cell r="A44" t="str">
            <v xml:space="preserve"> 01</v>
          </cell>
          <cell r="B44" t="str">
            <v>000673</v>
          </cell>
          <cell r="C44" t="str">
            <v>Jrnl</v>
          </cell>
          <cell r="D44" t="str">
            <v>22/Oct/1998</v>
          </cell>
          <cell r="E44" t="str">
            <v>NTON0008</v>
          </cell>
          <cell r="F44" t="str">
            <v>1998/10</v>
          </cell>
          <cell r="G44" t="str">
            <v>403890</v>
          </cell>
          <cell r="H44" t="str">
            <v>37120</v>
          </cell>
          <cell r="I44" t="str">
            <v>608006</v>
          </cell>
          <cell r="J44" t="str">
            <v>Interest Sweeps Sept 98</v>
          </cell>
          <cell r="K44" t="str">
            <v>D1</v>
          </cell>
          <cell r="L44">
            <v>-8546.64</v>
          </cell>
          <cell r="M44" t="str">
            <v>ok</v>
          </cell>
          <cell r="N44" t="str">
            <v>s</v>
          </cell>
          <cell r="O44">
            <v>1</v>
          </cell>
          <cell r="P44" t="str">
            <v>37120-1</v>
          </cell>
          <cell r="Q44" t="str">
            <v>si</v>
          </cell>
          <cell r="R44" t="str">
            <v xml:space="preserve"> </v>
          </cell>
          <cell r="S44" t="str">
            <v xml:space="preserve"> </v>
          </cell>
          <cell r="T44" t="str">
            <v>Well Fargo</v>
          </cell>
          <cell r="U44" t="str">
            <v>Sweep Interest</v>
          </cell>
          <cell r="V44" t="str">
            <v>37120</v>
          </cell>
          <cell r="W44">
            <v>-8546.64</v>
          </cell>
          <cell r="X44">
            <v>8546.64</v>
          </cell>
          <cell r="Y44">
            <v>712.99</v>
          </cell>
          <cell r="Z44">
            <v>712.99</v>
          </cell>
        </row>
        <row r="45">
          <cell r="A45" t="str">
            <v xml:space="preserve"> 01</v>
          </cell>
          <cell r="B45" t="str">
            <v>000375</v>
          </cell>
          <cell r="C45" t="str">
            <v>Jrnl</v>
          </cell>
          <cell r="D45" t="str">
            <v>08/May/1998</v>
          </cell>
          <cell r="E45" t="str">
            <v>KPUR0436</v>
          </cell>
          <cell r="F45" t="str">
            <v>1998/05</v>
          </cell>
          <cell r="G45" t="str">
            <v>403890</v>
          </cell>
          <cell r="H45" t="str">
            <v>37120</v>
          </cell>
          <cell r="I45" t="str">
            <v>608000</v>
          </cell>
          <cell r="J45" t="str">
            <v>INTEREST SWEEPS APR 98</v>
          </cell>
          <cell r="K45" t="str">
            <v>D1</v>
          </cell>
          <cell r="L45">
            <v>-46.46</v>
          </cell>
          <cell r="M45" t="str">
            <v>x</v>
          </cell>
          <cell r="N45" t="str">
            <v>s</v>
          </cell>
          <cell r="O45" t="str">
            <v>X</v>
          </cell>
          <cell r="P45" t="str">
            <v>37120-X</v>
          </cell>
          <cell r="Q45" t="str">
            <v>pl</v>
          </cell>
          <cell r="R45" t="str">
            <v xml:space="preserve"> </v>
          </cell>
          <cell r="S45" t="str">
            <v xml:space="preserve"> </v>
          </cell>
          <cell r="T45" t="str">
            <v>Willis Corroon- General &amp; Professional Liability Insurance</v>
          </cell>
          <cell r="U45">
            <v>0</v>
          </cell>
          <cell r="V45" t="str">
            <v>37120</v>
          </cell>
          <cell r="W45">
            <v>-46.46</v>
          </cell>
          <cell r="X45">
            <v>46.46</v>
          </cell>
          <cell r="Y45">
            <v>5836.36</v>
          </cell>
          <cell r="Z45">
            <v>5836.36</v>
          </cell>
        </row>
      </sheetData>
      <sheetData sheetId="4" refreshError="1">
        <row r="1">
          <cell r="A1" t="str">
            <v>Cirque du Soleil Nevada, Inc. (Co. 12)</v>
          </cell>
        </row>
        <row r="15">
          <cell r="A15" t="str">
            <v xml:space="preserve"> 01</v>
          </cell>
          <cell r="B15" t="str">
            <v>000426</v>
          </cell>
          <cell r="C15" t="str">
            <v>Jrnl</v>
          </cell>
          <cell r="D15" t="str">
            <v>17/Jun/1998</v>
          </cell>
          <cell r="E15" t="str">
            <v>KPUR0611</v>
          </cell>
          <cell r="F15" t="str">
            <v>1998/06</v>
          </cell>
          <cell r="G15" t="str">
            <v>000000</v>
          </cell>
          <cell r="H15" t="str">
            <v>02855</v>
          </cell>
          <cell r="I15" t="str">
            <v>608000</v>
          </cell>
          <cell r="J15" t="str">
            <v>INS.PREMIUM 04/98TO03/98 TLT15</v>
          </cell>
          <cell r="K15" t="str">
            <v>C1</v>
          </cell>
          <cell r="L15">
            <v>12766.55</v>
          </cell>
          <cell r="M15" t="str">
            <v>ok</v>
          </cell>
          <cell r="N15" t="str">
            <v>s</v>
          </cell>
          <cell r="O15">
            <v>1</v>
          </cell>
          <cell r="P15" t="str">
            <v>02855-1</v>
          </cell>
          <cell r="Q15" t="str">
            <v>pl</v>
          </cell>
          <cell r="R15" t="str">
            <v xml:space="preserve"> </v>
          </cell>
          <cell r="S15" t="str">
            <v xml:space="preserve"> </v>
          </cell>
          <cell r="T15" t="str">
            <v>Willis Corroon- General &amp; Professional Liability Insurance</v>
          </cell>
          <cell r="U15" t="str">
            <v>db</v>
          </cell>
          <cell r="V15">
            <v>35886</v>
          </cell>
          <cell r="W15">
            <v>36250</v>
          </cell>
          <cell r="X15" t="str">
            <v>02855</v>
          </cell>
          <cell r="Y15">
            <v>12766.55</v>
          </cell>
        </row>
        <row r="16">
          <cell r="A16" t="str">
            <v xml:space="preserve"> 01</v>
          </cell>
          <cell r="B16" t="str">
            <v>000781</v>
          </cell>
          <cell r="C16" t="str">
            <v>Jrnl</v>
          </cell>
          <cell r="D16" t="str">
            <v>22/Dec/1998</v>
          </cell>
          <cell r="E16" t="str">
            <v>NTON0095</v>
          </cell>
          <cell r="F16" t="str">
            <v>1998/12</v>
          </cell>
          <cell r="G16" t="str">
            <v>000000</v>
          </cell>
          <cell r="H16" t="str">
            <v>02855</v>
          </cell>
          <cell r="I16" t="str">
            <v>608000</v>
          </cell>
          <cell r="J16" t="str">
            <v>Rcls Ins Prem TLT1587-2nd Qtr</v>
          </cell>
          <cell r="K16" t="str">
            <v>C1</v>
          </cell>
          <cell r="L16">
            <v>-1509.09</v>
          </cell>
          <cell r="M16" t="str">
            <v>ok</v>
          </cell>
          <cell r="N16" t="str">
            <v>s</v>
          </cell>
          <cell r="O16">
            <v>1</v>
          </cell>
          <cell r="P16" t="str">
            <v>02855-1</v>
          </cell>
          <cell r="Q16" t="str">
            <v>Ins</v>
          </cell>
          <cell r="R16" t="str">
            <v xml:space="preserve"> </v>
          </cell>
          <cell r="S16" t="str">
            <v xml:space="preserve"> </v>
          </cell>
          <cell r="T16" t="str">
            <v>Insurance Amortization</v>
          </cell>
          <cell r="U16" t="str">
            <v>ex</v>
          </cell>
          <cell r="V16" t="str">
            <v xml:space="preserve"> </v>
          </cell>
          <cell r="W16">
            <v>53020</v>
          </cell>
          <cell r="X16" t="str">
            <v>02855</v>
          </cell>
          <cell r="Y16">
            <v>-1509.09</v>
          </cell>
        </row>
        <row r="17">
          <cell r="A17" t="str">
            <v xml:space="preserve"> 01</v>
          </cell>
          <cell r="B17" t="str">
            <v>000781</v>
          </cell>
          <cell r="C17" t="str">
            <v>Jrnl</v>
          </cell>
          <cell r="D17" t="str">
            <v>22/Dec/1998</v>
          </cell>
          <cell r="E17" t="str">
            <v>NTON0095</v>
          </cell>
          <cell r="F17" t="str">
            <v>1998/12</v>
          </cell>
          <cell r="G17" t="str">
            <v>000000</v>
          </cell>
          <cell r="H17" t="str">
            <v>02855</v>
          </cell>
          <cell r="I17" t="str">
            <v>608000</v>
          </cell>
          <cell r="J17" t="str">
            <v>Rcls Ins Prem TLT1587-3rd Qtr</v>
          </cell>
          <cell r="K17" t="str">
            <v>C1</v>
          </cell>
          <cell r="L17">
            <v>-1509.09</v>
          </cell>
          <cell r="M17" t="str">
            <v>ok</v>
          </cell>
          <cell r="N17" t="str">
            <v>s</v>
          </cell>
          <cell r="O17">
            <v>1</v>
          </cell>
          <cell r="P17" t="str">
            <v>02855-1</v>
          </cell>
          <cell r="Q17" t="str">
            <v>Ins</v>
          </cell>
          <cell r="R17" t="str">
            <v xml:space="preserve"> </v>
          </cell>
          <cell r="S17" t="str">
            <v xml:space="preserve"> </v>
          </cell>
          <cell r="T17" t="str">
            <v>Insurance Amortization</v>
          </cell>
          <cell r="U17" t="str">
            <v>ex</v>
          </cell>
          <cell r="V17" t="str">
            <v xml:space="preserve"> </v>
          </cell>
          <cell r="W17">
            <v>53020</v>
          </cell>
          <cell r="X17" t="str">
            <v>02855</v>
          </cell>
          <cell r="Y17">
            <v>-1509.09</v>
          </cell>
        </row>
        <row r="18">
          <cell r="A18" t="str">
            <v xml:space="preserve"> 01</v>
          </cell>
          <cell r="B18" t="str">
            <v>000781</v>
          </cell>
          <cell r="C18" t="str">
            <v>Jrnl</v>
          </cell>
          <cell r="D18" t="str">
            <v>22/Dec/1998</v>
          </cell>
          <cell r="E18" t="str">
            <v>NTON0095</v>
          </cell>
          <cell r="F18" t="str">
            <v>1998/12</v>
          </cell>
          <cell r="G18" t="str">
            <v>000000</v>
          </cell>
          <cell r="H18" t="str">
            <v>02855</v>
          </cell>
          <cell r="I18" t="str">
            <v>608000</v>
          </cell>
          <cell r="J18" t="str">
            <v>Rcls Ins Prem TLT1587-4th Qtr</v>
          </cell>
          <cell r="K18" t="str">
            <v>C1</v>
          </cell>
          <cell r="L18">
            <v>-8059.09</v>
          </cell>
          <cell r="M18" t="str">
            <v>ok</v>
          </cell>
          <cell r="N18" t="str">
            <v>s</v>
          </cell>
          <cell r="O18">
            <v>1</v>
          </cell>
          <cell r="P18" t="str">
            <v>02855-1</v>
          </cell>
          <cell r="Q18" t="str">
            <v>Ins</v>
          </cell>
          <cell r="R18" t="str">
            <v xml:space="preserve"> </v>
          </cell>
          <cell r="S18" t="str">
            <v xml:space="preserve"> </v>
          </cell>
          <cell r="T18" t="str">
            <v>Insurance Amortization</v>
          </cell>
          <cell r="U18" t="str">
            <v>ex</v>
          </cell>
          <cell r="V18" t="str">
            <v xml:space="preserve"> </v>
          </cell>
          <cell r="W18">
            <v>53020</v>
          </cell>
          <cell r="X18" t="str">
            <v>02855</v>
          </cell>
          <cell r="Y18">
            <v>-8059.09</v>
          </cell>
        </row>
        <row r="19">
          <cell r="A19" t="str">
            <v xml:space="preserve"> 67</v>
          </cell>
          <cell r="B19" t="str">
            <v>201196</v>
          </cell>
          <cell r="C19" t="str">
            <v>Psbc</v>
          </cell>
          <cell r="D19" t="str">
            <v>02/Dec/1998</v>
          </cell>
          <cell r="E19" t="str">
            <v>JBEN0727</v>
          </cell>
          <cell r="F19" t="str">
            <v>1998/12</v>
          </cell>
          <cell r="G19" t="str">
            <v>000000</v>
          </cell>
          <cell r="H19" t="str">
            <v>02855</v>
          </cell>
          <cell r="I19" t="str">
            <v>608000</v>
          </cell>
          <cell r="J19" t="str">
            <v>HUNTERTON &amp; ASSOC RETAINER</v>
          </cell>
          <cell r="K19" t="str">
            <v>D1</v>
          </cell>
          <cell r="L19">
            <v>3000</v>
          </cell>
          <cell r="M19" t="str">
            <v>ro</v>
          </cell>
          <cell r="N19" t="str">
            <v>s</v>
          </cell>
          <cell r="O19">
            <v>3</v>
          </cell>
          <cell r="P19" t="str">
            <v>02855-3</v>
          </cell>
          <cell r="Q19" t="str">
            <v>ls</v>
          </cell>
          <cell r="R19" t="str">
            <v>TBD</v>
          </cell>
          <cell r="S19" t="str">
            <v>None</v>
          </cell>
          <cell r="T19" t="str">
            <v>Hunterton &amp; Associates- Legal Services Retainer</v>
          </cell>
          <cell r="U19" t="str">
            <v>db</v>
          </cell>
          <cell r="V19">
            <v>36131</v>
          </cell>
          <cell r="W19" t="str">
            <v>open</v>
          </cell>
          <cell r="X19" t="str">
            <v>RO to TBD-Sch None</v>
          </cell>
          <cell r="Y19">
            <v>3000</v>
          </cell>
        </row>
        <row r="20">
          <cell r="A20" t="str">
            <v xml:space="preserve"> 91</v>
          </cell>
          <cell r="B20" t="str">
            <v>000018</v>
          </cell>
          <cell r="C20" t="str">
            <v>PYr</v>
          </cell>
          <cell r="D20" t="str">
            <v>01/Jan/1998</v>
          </cell>
          <cell r="E20" t="str">
            <v>YE  1997</v>
          </cell>
          <cell r="F20" t="str">
            <v>1998/00</v>
          </cell>
          <cell r="G20" t="str">
            <v>000000</v>
          </cell>
          <cell r="H20" t="str">
            <v>02855</v>
          </cell>
          <cell r="I20" t="str">
            <v>608000</v>
          </cell>
          <cell r="J20" t="str">
            <v>BROWNE ZUKOW CASE</v>
          </cell>
          <cell r="K20" t="str">
            <v>D1</v>
          </cell>
          <cell r="L20">
            <v>500</v>
          </cell>
          <cell r="M20" t="str">
            <v>ro</v>
          </cell>
          <cell r="N20" t="str">
            <v>s</v>
          </cell>
          <cell r="O20">
            <v>3</v>
          </cell>
          <cell r="P20" t="str">
            <v>02855-3</v>
          </cell>
          <cell r="Q20" t="str">
            <v>u</v>
          </cell>
          <cell r="R20">
            <v>59530</v>
          </cell>
          <cell r="S20">
            <v>1</v>
          </cell>
          <cell r="T20" t="str">
            <v>Moses Lozano-Life Skills class</v>
          </cell>
          <cell r="U20" t="str">
            <v>Public Relations Consultant</v>
          </cell>
          <cell r="V20" t="str">
            <v xml:space="preserve"> </v>
          </cell>
          <cell r="W20" t="str">
            <v>53020</v>
          </cell>
          <cell r="X20" t="str">
            <v>RO to 59530-Sch 1</v>
          </cell>
          <cell r="Y20">
            <v>500</v>
          </cell>
        </row>
        <row r="21">
          <cell r="A21" t="str">
            <v xml:space="preserve"> 92</v>
          </cell>
          <cell r="B21" t="str">
            <v>000027</v>
          </cell>
          <cell r="C21" t="str">
            <v>reev</v>
          </cell>
          <cell r="D21" t="str">
            <v>30/Jun/1998</v>
          </cell>
          <cell r="E21" t="str">
            <v>MPAS0003</v>
          </cell>
          <cell r="F21" t="str">
            <v>1998/06</v>
          </cell>
          <cell r="G21" t="str">
            <v>000000</v>
          </cell>
          <cell r="H21" t="str">
            <v>02855</v>
          </cell>
          <cell r="I21" t="str">
            <v>608000</v>
          </cell>
          <cell r="J21" t="str">
            <v>Re-evaluation Per. 1998/06</v>
          </cell>
          <cell r="K21" t="str">
            <v>C1</v>
          </cell>
          <cell r="L21">
            <v>32.869999999999997</v>
          </cell>
          <cell r="M21" t="str">
            <v>X</v>
          </cell>
          <cell r="N21" t="str">
            <v>S</v>
          </cell>
          <cell r="O21" t="str">
            <v>X</v>
          </cell>
          <cell r="P21" t="str">
            <v>02855-X</v>
          </cell>
          <cell r="Q21" t="str">
            <v>ATL</v>
          </cell>
          <cell r="R21" t="str">
            <v xml:space="preserve"> </v>
          </cell>
          <cell r="S21" t="str">
            <v xml:space="preserve"> </v>
          </cell>
          <cell r="T21" t="str">
            <v>Input</v>
          </cell>
          <cell r="U21" t="str">
            <v>Agency Temporary Labor</v>
          </cell>
          <cell r="V21" t="str">
            <v xml:space="preserve"> </v>
          </cell>
          <cell r="W21" t="str">
            <v>72005</v>
          </cell>
          <cell r="X21" t="str">
            <v>02855</v>
          </cell>
          <cell r="Y21">
            <v>32.869999999999997</v>
          </cell>
        </row>
        <row r="22">
          <cell r="A22" t="str">
            <v xml:space="preserve"> 92</v>
          </cell>
          <cell r="B22" t="str">
            <v>000028</v>
          </cell>
          <cell r="C22" t="str">
            <v>reev</v>
          </cell>
          <cell r="D22" t="str">
            <v>31/Jul/1998</v>
          </cell>
          <cell r="E22" t="str">
            <v>JBEN0668</v>
          </cell>
          <cell r="F22" t="str">
            <v>1998/07</v>
          </cell>
          <cell r="G22" t="str">
            <v>000000</v>
          </cell>
          <cell r="H22" t="str">
            <v>02855</v>
          </cell>
          <cell r="I22" t="str">
            <v>608000</v>
          </cell>
          <cell r="J22" t="str">
            <v>Re-evaluation Per. 1998/07</v>
          </cell>
          <cell r="K22" t="str">
            <v>C1</v>
          </cell>
          <cell r="L22">
            <v>-708.65</v>
          </cell>
          <cell r="M22" t="str">
            <v>X</v>
          </cell>
          <cell r="N22" t="str">
            <v>s</v>
          </cell>
          <cell r="O22" t="str">
            <v>X</v>
          </cell>
          <cell r="P22" t="str">
            <v>02855-X</v>
          </cell>
          <cell r="Q22" t="str">
            <v>ib</v>
          </cell>
          <cell r="R22" t="str">
            <v xml:space="preserve"> </v>
          </cell>
          <cell r="S22" t="str">
            <v xml:space="preserve"> </v>
          </cell>
          <cell r="T22" t="str">
            <v>Input</v>
          </cell>
          <cell r="U22" t="str">
            <v>Interest on Balance</v>
          </cell>
          <cell r="V22" t="str">
            <v>37120</v>
          </cell>
          <cell r="W22">
            <v>-343.26</v>
          </cell>
          <cell r="X22" t="str">
            <v>02855</v>
          </cell>
          <cell r="Y22">
            <v>-708.65</v>
          </cell>
        </row>
        <row r="23">
          <cell r="A23" t="str">
            <v xml:space="preserve"> 92</v>
          </cell>
          <cell r="B23" t="str">
            <v>000029</v>
          </cell>
          <cell r="C23" t="str">
            <v>reev</v>
          </cell>
          <cell r="D23" t="str">
            <v>31/Aug/1998</v>
          </cell>
          <cell r="E23" t="str">
            <v>MPAS0010</v>
          </cell>
          <cell r="F23" t="str">
            <v>1998/08</v>
          </cell>
          <cell r="G23" t="str">
            <v>000000</v>
          </cell>
          <cell r="H23" t="str">
            <v>02855</v>
          </cell>
          <cell r="I23" t="str">
            <v>608000</v>
          </cell>
          <cell r="J23" t="str">
            <v>Re-evaluation Per. 1998/08</v>
          </cell>
          <cell r="K23" t="str">
            <v>C1</v>
          </cell>
          <cell r="L23">
            <v>-1599.24</v>
          </cell>
          <cell r="M23" t="str">
            <v>X</v>
          </cell>
          <cell r="N23" t="str">
            <v>S</v>
          </cell>
          <cell r="O23" t="str">
            <v>X</v>
          </cell>
          <cell r="P23" t="str">
            <v>02855-X</v>
          </cell>
          <cell r="Q23" t="str">
            <v>L</v>
          </cell>
          <cell r="R23" t="str">
            <v xml:space="preserve"> </v>
          </cell>
          <cell r="S23" t="str">
            <v xml:space="preserve"> </v>
          </cell>
          <cell r="T23" t="str">
            <v>Input</v>
          </cell>
          <cell r="U23" t="str">
            <v>Legal- Contract Review</v>
          </cell>
          <cell r="V23" t="str">
            <v xml:space="preserve"> </v>
          </cell>
          <cell r="W23" t="str">
            <v>53020</v>
          </cell>
          <cell r="X23" t="str">
            <v>02855</v>
          </cell>
          <cell r="Y23">
            <v>-1599.24</v>
          </cell>
        </row>
        <row r="24">
          <cell r="A24" t="str">
            <v xml:space="preserve"> 92</v>
          </cell>
          <cell r="B24" t="str">
            <v>000030</v>
          </cell>
          <cell r="C24" t="str">
            <v>reev</v>
          </cell>
          <cell r="D24" t="str">
            <v>30/Sep/1998</v>
          </cell>
          <cell r="E24" t="str">
            <v>JBEN0706</v>
          </cell>
          <cell r="F24" t="str">
            <v>1998/09</v>
          </cell>
          <cell r="G24" t="str">
            <v>000000</v>
          </cell>
          <cell r="H24" t="str">
            <v>02855</v>
          </cell>
          <cell r="I24" t="str">
            <v>608000</v>
          </cell>
          <cell r="J24" t="str">
            <v>Re-evaluation Per. 1998/09</v>
          </cell>
          <cell r="K24" t="str">
            <v>C1</v>
          </cell>
          <cell r="L24">
            <v>-1019.73</v>
          </cell>
          <cell r="M24" t="str">
            <v>X</v>
          </cell>
          <cell r="N24" t="str">
            <v>S</v>
          </cell>
          <cell r="O24" t="str">
            <v>X</v>
          </cell>
          <cell r="P24" t="str">
            <v>02855-X</v>
          </cell>
          <cell r="Q24" t="str">
            <v>A</v>
          </cell>
          <cell r="R24" t="str">
            <v xml:space="preserve"> </v>
          </cell>
          <cell r="S24" t="str">
            <v xml:space="preserve"> </v>
          </cell>
          <cell r="T24" t="str">
            <v>Input</v>
          </cell>
          <cell r="U24" t="str">
            <v>Accounting Audit</v>
          </cell>
          <cell r="V24" t="str">
            <v xml:space="preserve"> </v>
          </cell>
          <cell r="W24" t="str">
            <v>53020</v>
          </cell>
          <cell r="X24" t="str">
            <v>02855</v>
          </cell>
          <cell r="Y24">
            <v>-1019.73</v>
          </cell>
        </row>
        <row r="25">
          <cell r="A25" t="str">
            <v xml:space="preserve"> 92</v>
          </cell>
          <cell r="B25" t="str">
            <v>000031</v>
          </cell>
          <cell r="C25" t="str">
            <v>reev</v>
          </cell>
          <cell r="D25" t="str">
            <v>31/Oct/1998</v>
          </cell>
          <cell r="E25" t="str">
            <v>MPAS0012</v>
          </cell>
          <cell r="F25" t="str">
            <v>1998/10</v>
          </cell>
          <cell r="G25" t="str">
            <v>000000</v>
          </cell>
          <cell r="H25" t="str">
            <v>02855</v>
          </cell>
          <cell r="I25" t="str">
            <v>608000</v>
          </cell>
          <cell r="J25" t="str">
            <v>Re-evaluation Per. 1998/10</v>
          </cell>
          <cell r="K25" t="str">
            <v>C1</v>
          </cell>
          <cell r="L25">
            <v>-1204.52</v>
          </cell>
          <cell r="M25" t="str">
            <v>X</v>
          </cell>
          <cell r="N25" t="str">
            <v>S</v>
          </cell>
          <cell r="O25" t="str">
            <v>X</v>
          </cell>
          <cell r="P25" t="str">
            <v>02855-X</v>
          </cell>
          <cell r="Q25" t="str">
            <v>A</v>
          </cell>
          <cell r="R25" t="str">
            <v xml:space="preserve"> </v>
          </cell>
          <cell r="S25" t="str">
            <v xml:space="preserve"> </v>
          </cell>
          <cell r="T25" t="str">
            <v>Input</v>
          </cell>
          <cell r="U25" t="str">
            <v>Accounting Audit</v>
          </cell>
          <cell r="V25" t="str">
            <v xml:space="preserve"> </v>
          </cell>
          <cell r="W25" t="str">
            <v>53020</v>
          </cell>
          <cell r="X25" t="str">
            <v>02855</v>
          </cell>
          <cell r="Y25">
            <v>-1204.52</v>
          </cell>
        </row>
        <row r="26">
          <cell r="A26" t="str">
            <v xml:space="preserve"> 92</v>
          </cell>
          <cell r="B26" t="str">
            <v>000032</v>
          </cell>
          <cell r="C26" t="str">
            <v>reev</v>
          </cell>
          <cell r="D26" t="str">
            <v>30/Nov/1998</v>
          </cell>
          <cell r="E26" t="str">
            <v>JBEN0710</v>
          </cell>
          <cell r="F26" t="str">
            <v>1998/11</v>
          </cell>
          <cell r="G26" t="str">
            <v>000000</v>
          </cell>
          <cell r="H26" t="str">
            <v>02855</v>
          </cell>
          <cell r="I26" t="str">
            <v>608000</v>
          </cell>
          <cell r="J26" t="str">
            <v>Re-evaluation Per. 1998/11</v>
          </cell>
          <cell r="K26" t="str">
            <v>C1</v>
          </cell>
          <cell r="L26">
            <v>-1049.93</v>
          </cell>
          <cell r="M26" t="str">
            <v>ok</v>
          </cell>
          <cell r="N26" t="str">
            <v>s</v>
          </cell>
          <cell r="O26">
            <v>1</v>
          </cell>
          <cell r="P26" t="str">
            <v>02855-1</v>
          </cell>
          <cell r="Q26" t="str">
            <v>u</v>
          </cell>
          <cell r="R26" t="str">
            <v xml:space="preserve"> </v>
          </cell>
          <cell r="S26" t="str">
            <v xml:space="preserve"> </v>
          </cell>
          <cell r="T26" t="str">
            <v>Revaluation</v>
          </cell>
          <cell r="U26" t="str">
            <v>re</v>
          </cell>
          <cell r="V26" t="str">
            <v xml:space="preserve"> </v>
          </cell>
          <cell r="W26" t="str">
            <v>53020</v>
          </cell>
          <cell r="X26" t="str">
            <v>02855</v>
          </cell>
          <cell r="Y26">
            <v>-1049.93</v>
          </cell>
        </row>
        <row r="27">
          <cell r="A27" t="str">
            <v xml:space="preserve"> 93</v>
          </cell>
          <cell r="B27" t="str">
            <v>000027</v>
          </cell>
          <cell r="C27" t="str">
            <v>Rree</v>
          </cell>
          <cell r="D27" t="str">
            <v>31/Jul/1998</v>
          </cell>
          <cell r="E27" t="str">
            <v>JBEN0668</v>
          </cell>
          <cell r="F27" t="str">
            <v>1998/07</v>
          </cell>
          <cell r="G27" t="str">
            <v>000000</v>
          </cell>
          <cell r="H27" t="str">
            <v>02855</v>
          </cell>
          <cell r="I27" t="str">
            <v>608000</v>
          </cell>
          <cell r="J27" t="str">
            <v>Re-evaluation Per. 1998/06 Rev</v>
          </cell>
          <cell r="K27" t="str">
            <v>C1</v>
          </cell>
          <cell r="L27">
            <v>-32.869999999999997</v>
          </cell>
          <cell r="M27" t="str">
            <v>X</v>
          </cell>
          <cell r="N27" t="str">
            <v>S</v>
          </cell>
          <cell r="O27" t="str">
            <v>X</v>
          </cell>
          <cell r="P27" t="str">
            <v>02855-X</v>
          </cell>
          <cell r="Q27" t="str">
            <v>LT</v>
          </cell>
          <cell r="R27" t="str">
            <v xml:space="preserve"> </v>
          </cell>
          <cell r="S27" t="str">
            <v xml:space="preserve"> </v>
          </cell>
          <cell r="T27" t="str">
            <v>Input</v>
          </cell>
          <cell r="U27" t="str">
            <v>Language Translation</v>
          </cell>
          <cell r="V27" t="str">
            <v xml:space="preserve"> </v>
          </cell>
          <cell r="W27" t="str">
            <v>53020</v>
          </cell>
          <cell r="X27" t="str">
            <v>02855</v>
          </cell>
          <cell r="Y27">
            <v>-32.869999999999997</v>
          </cell>
        </row>
        <row r="28">
          <cell r="A28" t="str">
            <v xml:space="preserve"> 93</v>
          </cell>
          <cell r="B28" t="str">
            <v>000028</v>
          </cell>
          <cell r="C28" t="str">
            <v>Rree</v>
          </cell>
          <cell r="D28" t="str">
            <v>31/Aug/1998</v>
          </cell>
          <cell r="E28" t="str">
            <v>MPAS0010</v>
          </cell>
          <cell r="F28" t="str">
            <v>1998/08</v>
          </cell>
          <cell r="G28" t="str">
            <v>000000</v>
          </cell>
          <cell r="H28" t="str">
            <v>02855</v>
          </cell>
          <cell r="I28" t="str">
            <v>608000</v>
          </cell>
          <cell r="J28" t="str">
            <v>Re-evaluation Per. 1998/07 Rev</v>
          </cell>
          <cell r="K28" t="str">
            <v>C1</v>
          </cell>
          <cell r="L28">
            <v>708.65</v>
          </cell>
          <cell r="M28" t="str">
            <v>X</v>
          </cell>
          <cell r="N28" t="str">
            <v>S</v>
          </cell>
          <cell r="O28" t="str">
            <v>X</v>
          </cell>
          <cell r="P28" t="str">
            <v>02855-X</v>
          </cell>
          <cell r="Q28" t="str">
            <v>PR</v>
          </cell>
          <cell r="R28" t="str">
            <v xml:space="preserve"> </v>
          </cell>
          <cell r="S28" t="str">
            <v xml:space="preserve"> </v>
          </cell>
          <cell r="T28" t="str">
            <v>Input</v>
          </cell>
          <cell r="U28" t="str">
            <v>Public Relations Consultant</v>
          </cell>
          <cell r="V28" t="str">
            <v xml:space="preserve"> </v>
          </cell>
          <cell r="W28" t="str">
            <v>53020</v>
          </cell>
          <cell r="X28" t="str">
            <v>02855</v>
          </cell>
          <cell r="Y28">
            <v>708.65</v>
          </cell>
        </row>
        <row r="29">
          <cell r="A29" t="str">
            <v xml:space="preserve"> 93</v>
          </cell>
          <cell r="B29" t="str">
            <v>000029</v>
          </cell>
          <cell r="C29" t="str">
            <v>Rree</v>
          </cell>
          <cell r="D29" t="str">
            <v>30/Sep/1998</v>
          </cell>
          <cell r="E29" t="str">
            <v>JBEN0706</v>
          </cell>
          <cell r="F29" t="str">
            <v>1998/09</v>
          </cell>
          <cell r="G29" t="str">
            <v>000000</v>
          </cell>
          <cell r="H29" t="str">
            <v>02855</v>
          </cell>
          <cell r="I29" t="str">
            <v>608000</v>
          </cell>
          <cell r="J29" t="str">
            <v>Re-evaluation Per. 1998/08 Rev</v>
          </cell>
          <cell r="K29" t="str">
            <v>C1</v>
          </cell>
          <cell r="L29">
            <v>1599.24</v>
          </cell>
          <cell r="M29" t="str">
            <v>X</v>
          </cell>
          <cell r="N29" t="str">
            <v>s</v>
          </cell>
          <cell r="O29" t="str">
            <v>X</v>
          </cell>
          <cell r="P29" t="str">
            <v>02855-X</v>
          </cell>
          <cell r="Q29" t="str">
            <v>si</v>
          </cell>
          <cell r="R29" t="str">
            <v xml:space="preserve"> </v>
          </cell>
          <cell r="S29" t="str">
            <v xml:space="preserve"> </v>
          </cell>
          <cell r="T29" t="str">
            <v>Input</v>
          </cell>
          <cell r="U29" t="str">
            <v>Input</v>
          </cell>
          <cell r="V29" t="str">
            <v xml:space="preserve"> </v>
          </cell>
          <cell r="W29" t="str">
            <v>53020</v>
          </cell>
          <cell r="X29" t="str">
            <v>02855</v>
          </cell>
          <cell r="Y29">
            <v>1599.24</v>
          </cell>
        </row>
        <row r="30">
          <cell r="A30" t="str">
            <v xml:space="preserve"> 93</v>
          </cell>
          <cell r="B30" t="str">
            <v>000030</v>
          </cell>
          <cell r="C30" t="str">
            <v>Rree</v>
          </cell>
          <cell r="D30" t="str">
            <v>31/Oct/1998</v>
          </cell>
          <cell r="E30" t="str">
            <v>MPAS0012</v>
          </cell>
          <cell r="F30" t="str">
            <v>1998/10</v>
          </cell>
          <cell r="G30" t="str">
            <v>000000</v>
          </cell>
          <cell r="H30" t="str">
            <v>02855</v>
          </cell>
          <cell r="I30" t="str">
            <v>608000</v>
          </cell>
          <cell r="J30" t="str">
            <v>Re-evaluation Per. 1998/09 Rev</v>
          </cell>
          <cell r="K30" t="str">
            <v>C1</v>
          </cell>
          <cell r="L30">
            <v>1019.73</v>
          </cell>
          <cell r="M30" t="str">
            <v>X</v>
          </cell>
          <cell r="N30" t="str">
            <v>s</v>
          </cell>
          <cell r="O30" t="str">
            <v>X</v>
          </cell>
          <cell r="P30" t="str">
            <v>02855-X</v>
          </cell>
          <cell r="Q30" t="str">
            <v>si</v>
          </cell>
          <cell r="R30" t="str">
            <v xml:space="preserve"> </v>
          </cell>
          <cell r="S30" t="str">
            <v xml:space="preserve"> </v>
          </cell>
          <cell r="T30" t="str">
            <v>Input</v>
          </cell>
          <cell r="U30" t="str">
            <v>Input</v>
          </cell>
          <cell r="V30" t="str">
            <v xml:space="preserve"> </v>
          </cell>
          <cell r="W30" t="str">
            <v>53020</v>
          </cell>
          <cell r="X30" t="str">
            <v>02855</v>
          </cell>
          <cell r="Y30">
            <v>1019.73</v>
          </cell>
        </row>
        <row r="31">
          <cell r="A31" t="str">
            <v xml:space="preserve"> 93</v>
          </cell>
          <cell r="B31" t="str">
            <v>000031</v>
          </cell>
          <cell r="C31" t="str">
            <v>Rree</v>
          </cell>
          <cell r="D31" t="str">
            <v>30/Nov/1998</v>
          </cell>
          <cell r="E31" t="str">
            <v>JBEN0710</v>
          </cell>
          <cell r="F31" t="str">
            <v>1998/11</v>
          </cell>
          <cell r="G31" t="str">
            <v>000000</v>
          </cell>
          <cell r="H31" t="str">
            <v>02855</v>
          </cell>
          <cell r="I31" t="str">
            <v>608000</v>
          </cell>
          <cell r="J31" t="str">
            <v>Re-evaluation Per. 1998/10 Rev</v>
          </cell>
          <cell r="K31" t="str">
            <v>C1</v>
          </cell>
          <cell r="L31">
            <v>1204.52</v>
          </cell>
          <cell r="M31" t="str">
            <v>X</v>
          </cell>
          <cell r="N31" t="str">
            <v>s</v>
          </cell>
          <cell r="O31" t="str">
            <v>X</v>
          </cell>
          <cell r="P31" t="str">
            <v>02855-X</v>
          </cell>
          <cell r="Q31" t="str">
            <v>si</v>
          </cell>
          <cell r="R31" t="str">
            <v xml:space="preserve"> </v>
          </cell>
          <cell r="S31" t="str">
            <v xml:space="preserve"> </v>
          </cell>
          <cell r="T31" t="str">
            <v>Input</v>
          </cell>
          <cell r="U31" t="str">
            <v>Input</v>
          </cell>
          <cell r="V31" t="str">
            <v xml:space="preserve"> </v>
          </cell>
          <cell r="W31" t="str">
            <v>53020</v>
          </cell>
          <cell r="X31" t="str">
            <v>02855</v>
          </cell>
          <cell r="Y31">
            <v>1204.52</v>
          </cell>
        </row>
        <row r="32">
          <cell r="A32" t="str">
            <v xml:space="preserve"> 01</v>
          </cell>
          <cell r="B32" t="str">
            <v>000618</v>
          </cell>
          <cell r="C32" t="str">
            <v>Jrnl</v>
          </cell>
          <cell r="D32" t="str">
            <v>30/Sep/1998</v>
          </cell>
          <cell r="E32" t="str">
            <v>KPUR0966</v>
          </cell>
          <cell r="F32" t="str">
            <v>1998/09</v>
          </cell>
          <cell r="G32" t="str">
            <v>403040</v>
          </cell>
          <cell r="H32" t="str">
            <v>53330</v>
          </cell>
          <cell r="I32" t="str">
            <v>608005</v>
          </cell>
          <cell r="J32" t="str">
            <v>PRP. INS. 2/1-3/21 FAC.53758</v>
          </cell>
          <cell r="K32" t="str">
            <v>D1</v>
          </cell>
          <cell r="L32">
            <v>1620.08</v>
          </cell>
          <cell r="M32" t="str">
            <v>X</v>
          </cell>
          <cell r="N32" t="str">
            <v>s</v>
          </cell>
          <cell r="O32" t="str">
            <v>X</v>
          </cell>
          <cell r="P32" t="str">
            <v>53330-X</v>
          </cell>
          <cell r="Q32" t="str">
            <v>si</v>
          </cell>
          <cell r="R32" t="str">
            <v xml:space="preserve"> </v>
          </cell>
          <cell r="S32" t="str">
            <v xml:space="preserve"> </v>
          </cell>
          <cell r="T32" t="str">
            <v>Input</v>
          </cell>
          <cell r="U32" t="str">
            <v>Input</v>
          </cell>
          <cell r="V32" t="str">
            <v xml:space="preserve"> </v>
          </cell>
          <cell r="W32" t="str">
            <v>53020</v>
          </cell>
          <cell r="X32" t="str">
            <v>53330</v>
          </cell>
          <cell r="Y32">
            <v>1620.08</v>
          </cell>
        </row>
        <row r="33">
          <cell r="A33" t="str">
            <v xml:space="preserve"> 01</v>
          </cell>
          <cell r="B33" t="str">
            <v>000618</v>
          </cell>
          <cell r="C33" t="str">
            <v>Jrnl</v>
          </cell>
          <cell r="D33" t="str">
            <v>30/Sep/1998</v>
          </cell>
          <cell r="E33" t="str">
            <v>KPUR0966</v>
          </cell>
          <cell r="F33" t="str">
            <v>1998/09</v>
          </cell>
          <cell r="G33" t="str">
            <v>403040</v>
          </cell>
          <cell r="H33" t="str">
            <v>53330</v>
          </cell>
          <cell r="I33" t="str">
            <v>608000</v>
          </cell>
          <cell r="J33" t="str">
            <v>RECLASS TO 608005</v>
          </cell>
          <cell r="K33" t="str">
            <v>D1</v>
          </cell>
          <cell r="L33">
            <v>-1620.08</v>
          </cell>
          <cell r="M33" t="str">
            <v>X</v>
          </cell>
          <cell r="N33" t="str">
            <v>s</v>
          </cell>
          <cell r="O33" t="str">
            <v>X</v>
          </cell>
          <cell r="P33" t="str">
            <v>53330-X</v>
          </cell>
          <cell r="Q33" t="str">
            <v>si</v>
          </cell>
          <cell r="R33" t="str">
            <v xml:space="preserve"> </v>
          </cell>
          <cell r="S33" t="str">
            <v xml:space="preserve"> </v>
          </cell>
          <cell r="T33" t="str">
            <v>Input</v>
          </cell>
          <cell r="U33" t="str">
            <v>Input</v>
          </cell>
          <cell r="V33" t="str">
            <v xml:space="preserve"> </v>
          </cell>
          <cell r="W33" t="str">
            <v>53020</v>
          </cell>
          <cell r="X33" t="str">
            <v>53330</v>
          </cell>
          <cell r="Y33">
            <v>-1620.08</v>
          </cell>
        </row>
        <row r="34">
          <cell r="A34" t="str">
            <v xml:space="preserve"> 01</v>
          </cell>
          <cell r="B34" t="str">
            <v>000781</v>
          </cell>
          <cell r="C34" t="str">
            <v>Jrnl</v>
          </cell>
          <cell r="D34" t="str">
            <v>22/Dec/1998</v>
          </cell>
          <cell r="E34" t="str">
            <v>NTON0095</v>
          </cell>
          <cell r="F34" t="str">
            <v>1998/12</v>
          </cell>
          <cell r="G34" t="str">
            <v>403040</v>
          </cell>
          <cell r="H34" t="str">
            <v>53330</v>
          </cell>
          <cell r="I34" t="str">
            <v>608000</v>
          </cell>
          <cell r="J34" t="str">
            <v>Rcls Ins Prem TLT1587-2nd Qtr</v>
          </cell>
          <cell r="K34" t="str">
            <v>C1</v>
          </cell>
          <cell r="L34">
            <v>1425.32</v>
          </cell>
          <cell r="M34" t="str">
            <v>ok</v>
          </cell>
          <cell r="N34" t="str">
            <v>s</v>
          </cell>
          <cell r="O34">
            <v>1</v>
          </cell>
          <cell r="P34" t="str">
            <v>53330-1</v>
          </cell>
          <cell r="Q34" t="str">
            <v>gi</v>
          </cell>
          <cell r="R34" t="str">
            <v xml:space="preserve"> </v>
          </cell>
          <cell r="S34" t="str">
            <v xml:space="preserve"> </v>
          </cell>
          <cell r="T34" t="str">
            <v>Willis Corroon- Goods Insurance</v>
          </cell>
          <cell r="U34" t="str">
            <v>ex</v>
          </cell>
          <cell r="V34" t="str">
            <v xml:space="preserve"> </v>
          </cell>
          <cell r="W34" t="str">
            <v>53020</v>
          </cell>
          <cell r="X34" t="str">
            <v>53330</v>
          </cell>
          <cell r="Y34">
            <v>1425.32</v>
          </cell>
        </row>
        <row r="35">
          <cell r="A35" t="str">
            <v xml:space="preserve"> 01</v>
          </cell>
          <cell r="B35" t="str">
            <v>000781</v>
          </cell>
          <cell r="C35" t="str">
            <v>Jrnl</v>
          </cell>
          <cell r="D35" t="str">
            <v>22/Dec/1998</v>
          </cell>
          <cell r="E35" t="str">
            <v>NTON0095</v>
          </cell>
          <cell r="F35" t="str">
            <v>1998/12</v>
          </cell>
          <cell r="G35" t="str">
            <v>403040</v>
          </cell>
          <cell r="H35" t="str">
            <v>53330</v>
          </cell>
          <cell r="I35" t="str">
            <v>608000</v>
          </cell>
          <cell r="J35" t="str">
            <v>Rcls Ins Prem TLT1587-2nd Qtr</v>
          </cell>
          <cell r="K35" t="str">
            <v>C1</v>
          </cell>
          <cell r="L35">
            <v>83.77</v>
          </cell>
          <cell r="M35" t="str">
            <v>ok</v>
          </cell>
          <cell r="N35" t="str">
            <v>s</v>
          </cell>
          <cell r="O35">
            <v>1</v>
          </cell>
          <cell r="P35" t="str">
            <v>53330-1</v>
          </cell>
          <cell r="Q35" t="str">
            <v>bm</v>
          </cell>
          <cell r="R35" t="str">
            <v xml:space="preserve"> </v>
          </cell>
          <cell r="S35" t="str">
            <v xml:space="preserve"> </v>
          </cell>
          <cell r="T35" t="str">
            <v>Willis Corroon- Boiler &amp; Machinery</v>
          </cell>
          <cell r="U35" t="str">
            <v>ex</v>
          </cell>
          <cell r="V35" t="str">
            <v xml:space="preserve"> </v>
          </cell>
          <cell r="W35" t="str">
            <v>53020</v>
          </cell>
          <cell r="X35" t="str">
            <v>53330</v>
          </cell>
          <cell r="Y35">
            <v>83.77</v>
          </cell>
        </row>
        <row r="36">
          <cell r="A36" t="str">
            <v xml:space="preserve"> 01</v>
          </cell>
          <cell r="B36" t="str">
            <v>000781</v>
          </cell>
          <cell r="C36" t="str">
            <v>Jrnl</v>
          </cell>
          <cell r="D36" t="str">
            <v>22/Dec/1998</v>
          </cell>
          <cell r="E36" t="str">
            <v>NTON0095</v>
          </cell>
          <cell r="F36" t="str">
            <v>1998/12</v>
          </cell>
          <cell r="G36" t="str">
            <v>403040</v>
          </cell>
          <cell r="H36" t="str">
            <v>53330</v>
          </cell>
          <cell r="I36" t="str">
            <v>608000</v>
          </cell>
          <cell r="J36" t="str">
            <v>Rcls Ins Prem TLT1587-3rd Qtr</v>
          </cell>
          <cell r="K36" t="str">
            <v>C1</v>
          </cell>
          <cell r="L36">
            <v>1425.32</v>
          </cell>
          <cell r="M36" t="str">
            <v>ok</v>
          </cell>
          <cell r="N36" t="str">
            <v>s</v>
          </cell>
          <cell r="O36">
            <v>1</v>
          </cell>
          <cell r="P36" t="str">
            <v>53330-1</v>
          </cell>
          <cell r="Q36" t="str">
            <v>gi</v>
          </cell>
          <cell r="R36" t="str">
            <v xml:space="preserve"> </v>
          </cell>
          <cell r="S36" t="str">
            <v xml:space="preserve"> </v>
          </cell>
          <cell r="T36" t="str">
            <v>Willis Corroon- Goods Insurance</v>
          </cell>
          <cell r="U36" t="str">
            <v>ex</v>
          </cell>
          <cell r="V36" t="str">
            <v xml:space="preserve"> </v>
          </cell>
          <cell r="W36" t="str">
            <v>53020</v>
          </cell>
          <cell r="X36" t="str">
            <v>53330</v>
          </cell>
          <cell r="Y36">
            <v>1425.32</v>
          </cell>
        </row>
        <row r="37">
          <cell r="A37" t="str">
            <v xml:space="preserve"> 01</v>
          </cell>
          <cell r="B37" t="str">
            <v>000781</v>
          </cell>
          <cell r="C37" t="str">
            <v>Jrnl</v>
          </cell>
          <cell r="D37" t="str">
            <v>22/Dec/1998</v>
          </cell>
          <cell r="E37" t="str">
            <v>NTON0095</v>
          </cell>
          <cell r="F37" t="str">
            <v>1998/12</v>
          </cell>
          <cell r="G37" t="str">
            <v>403040</v>
          </cell>
          <cell r="H37" t="str">
            <v>53330</v>
          </cell>
          <cell r="I37" t="str">
            <v>608000</v>
          </cell>
          <cell r="J37" t="str">
            <v>Rcls Ins Prem TLT1587-3rd Qtr</v>
          </cell>
          <cell r="K37" t="str">
            <v>C1</v>
          </cell>
          <cell r="L37">
            <v>83.77</v>
          </cell>
          <cell r="M37" t="str">
            <v>ok</v>
          </cell>
          <cell r="N37" t="str">
            <v>s</v>
          </cell>
          <cell r="O37">
            <v>1</v>
          </cell>
          <cell r="P37" t="str">
            <v>53330-1</v>
          </cell>
          <cell r="Q37" t="str">
            <v>bm</v>
          </cell>
          <cell r="R37" t="str">
            <v xml:space="preserve"> </v>
          </cell>
          <cell r="S37" t="str">
            <v xml:space="preserve"> </v>
          </cell>
          <cell r="T37" t="str">
            <v>Willis Corroon- Boiler &amp; Machinery</v>
          </cell>
          <cell r="U37" t="str">
            <v>ex</v>
          </cell>
          <cell r="V37" t="str">
            <v xml:space="preserve"> </v>
          </cell>
          <cell r="W37" t="str">
            <v>53020</v>
          </cell>
          <cell r="X37" t="str">
            <v>53330</v>
          </cell>
          <cell r="Y37">
            <v>83.77</v>
          </cell>
        </row>
        <row r="38">
          <cell r="A38" t="str">
            <v xml:space="preserve"> 01</v>
          </cell>
          <cell r="B38" t="str">
            <v>000781</v>
          </cell>
          <cell r="C38" t="str">
            <v>Jrnl</v>
          </cell>
          <cell r="D38" t="str">
            <v>22/Dec/1998</v>
          </cell>
          <cell r="E38" t="str">
            <v>NTON0095</v>
          </cell>
          <cell r="F38" t="str">
            <v>1998/12</v>
          </cell>
          <cell r="G38" t="str">
            <v>403040</v>
          </cell>
          <cell r="H38" t="str">
            <v>53330</v>
          </cell>
          <cell r="I38" t="str">
            <v>608000</v>
          </cell>
          <cell r="J38" t="str">
            <v>Rcls Ins Prem TLT1587-4th Qtr</v>
          </cell>
          <cell r="K38" t="str">
            <v>C1</v>
          </cell>
          <cell r="L38">
            <v>1425.32</v>
          </cell>
          <cell r="M38" t="str">
            <v>ok</v>
          </cell>
          <cell r="N38" t="str">
            <v>s</v>
          </cell>
          <cell r="O38">
            <v>1</v>
          </cell>
          <cell r="P38" t="str">
            <v>53330-1</v>
          </cell>
          <cell r="Q38" t="str">
            <v>gi</v>
          </cell>
          <cell r="R38" t="str">
            <v xml:space="preserve"> </v>
          </cell>
          <cell r="S38" t="str">
            <v xml:space="preserve"> </v>
          </cell>
          <cell r="T38" t="str">
            <v>Willis Corroon- Goods Insurance</v>
          </cell>
          <cell r="U38" t="str">
            <v>ex</v>
          </cell>
          <cell r="V38" t="str">
            <v xml:space="preserve"> </v>
          </cell>
          <cell r="W38" t="str">
            <v>53020</v>
          </cell>
          <cell r="X38" t="str">
            <v>53330</v>
          </cell>
          <cell r="Y38">
            <v>1425.32</v>
          </cell>
        </row>
        <row r="39">
          <cell r="A39" t="str">
            <v xml:space="preserve"> 01</v>
          </cell>
          <cell r="B39" t="str">
            <v>000781</v>
          </cell>
          <cell r="C39" t="str">
            <v>Jrnl</v>
          </cell>
          <cell r="D39" t="str">
            <v>22/Dec/1998</v>
          </cell>
          <cell r="E39" t="str">
            <v>NTON0095</v>
          </cell>
          <cell r="F39" t="str">
            <v>1998/12</v>
          </cell>
          <cell r="G39" t="str">
            <v>403040</v>
          </cell>
          <cell r="H39" t="str">
            <v>53330</v>
          </cell>
          <cell r="I39" t="str">
            <v>608000</v>
          </cell>
          <cell r="J39" t="str">
            <v>Rcls Ins Prem TLT1587-4th Qtr</v>
          </cell>
          <cell r="K39" t="str">
            <v>C1</v>
          </cell>
          <cell r="L39">
            <v>84.42</v>
          </cell>
          <cell r="M39" t="str">
            <v>ok</v>
          </cell>
          <cell r="N39" t="str">
            <v>s</v>
          </cell>
          <cell r="O39">
            <v>1</v>
          </cell>
          <cell r="P39" t="str">
            <v>53330-1</v>
          </cell>
          <cell r="Q39" t="str">
            <v>bm</v>
          </cell>
          <cell r="R39" t="str">
            <v xml:space="preserve"> </v>
          </cell>
          <cell r="S39" t="str">
            <v xml:space="preserve"> </v>
          </cell>
          <cell r="T39" t="str">
            <v>Willis Corroon- Boiler &amp; Machinery</v>
          </cell>
          <cell r="U39" t="str">
            <v>ex</v>
          </cell>
          <cell r="V39" t="str">
            <v xml:space="preserve"> </v>
          </cell>
          <cell r="W39" t="str">
            <v>53020</v>
          </cell>
          <cell r="X39" t="str">
            <v>53330</v>
          </cell>
          <cell r="Y39">
            <v>84.42</v>
          </cell>
        </row>
        <row r="40">
          <cell r="A40" t="str">
            <v xml:space="preserve"> 01</v>
          </cell>
          <cell r="B40" t="str">
            <v>000826</v>
          </cell>
          <cell r="C40" t="str">
            <v>Jrnl</v>
          </cell>
          <cell r="D40" t="str">
            <v>31/Dec/1998</v>
          </cell>
          <cell r="E40" t="str">
            <v>KROS0021</v>
          </cell>
          <cell r="F40" t="str">
            <v>1998/12</v>
          </cell>
          <cell r="G40" t="str">
            <v>403040</v>
          </cell>
          <cell r="H40" t="str">
            <v>53330</v>
          </cell>
          <cell r="I40" t="str">
            <v>990060</v>
          </cell>
          <cell r="J40" t="str">
            <v>Def. Pre-Opening 12/31/98</v>
          </cell>
          <cell r="K40" t="str">
            <v>D1</v>
          </cell>
          <cell r="L40">
            <v>-1620.08</v>
          </cell>
          <cell r="M40" t="str">
            <v>X</v>
          </cell>
          <cell r="N40" t="str">
            <v>s</v>
          </cell>
          <cell r="O40" t="str">
            <v>X</v>
          </cell>
          <cell r="P40" t="str">
            <v>53330-X</v>
          </cell>
          <cell r="Q40" t="str">
            <v>si</v>
          </cell>
          <cell r="R40" t="str">
            <v xml:space="preserve"> </v>
          </cell>
          <cell r="S40" t="str">
            <v xml:space="preserve"> </v>
          </cell>
          <cell r="T40" t="str">
            <v>Input</v>
          </cell>
          <cell r="U40" t="str">
            <v>Input</v>
          </cell>
          <cell r="V40" t="str">
            <v xml:space="preserve"> </v>
          </cell>
          <cell r="W40" t="str">
            <v>53020</v>
          </cell>
          <cell r="X40" t="str">
            <v>53330</v>
          </cell>
          <cell r="Y40">
            <v>-1620.08</v>
          </cell>
        </row>
        <row r="41">
          <cell r="A41" t="str">
            <v xml:space="preserve"> 02</v>
          </cell>
          <cell r="B41" t="str">
            <v>000036</v>
          </cell>
          <cell r="C41" t="str">
            <v>Accl</v>
          </cell>
          <cell r="D41" t="str">
            <v>30/Sep/1998</v>
          </cell>
          <cell r="E41" t="str">
            <v>NTON0001</v>
          </cell>
          <cell r="F41" t="str">
            <v>1998/09</v>
          </cell>
          <cell r="G41" t="str">
            <v>403040</v>
          </cell>
          <cell r="H41" t="str">
            <v>53330</v>
          </cell>
          <cell r="I41" t="str">
            <v>990060</v>
          </cell>
          <cell r="J41" t="str">
            <v>Pre-Opening Def. Exp.</v>
          </cell>
          <cell r="K41" t="str">
            <v>D1</v>
          </cell>
          <cell r="L41">
            <v>-1620.08</v>
          </cell>
          <cell r="M41" t="str">
            <v>X</v>
          </cell>
          <cell r="N41" t="str">
            <v>s</v>
          </cell>
          <cell r="O41" t="str">
            <v>X</v>
          </cell>
          <cell r="P41" t="str">
            <v>53330-X</v>
          </cell>
          <cell r="Q41" t="str">
            <v>si</v>
          </cell>
          <cell r="R41" t="str">
            <v xml:space="preserve"> </v>
          </cell>
          <cell r="S41" t="str">
            <v xml:space="preserve"> </v>
          </cell>
          <cell r="T41" t="str">
            <v>Input</v>
          </cell>
          <cell r="U41" t="str">
            <v>Input</v>
          </cell>
          <cell r="V41" t="str">
            <v xml:space="preserve"> </v>
          </cell>
          <cell r="W41" t="str">
            <v>53020</v>
          </cell>
          <cell r="X41" t="str">
            <v>53330</v>
          </cell>
          <cell r="Y41">
            <v>-1620.08</v>
          </cell>
        </row>
        <row r="42">
          <cell r="A42" t="str">
            <v xml:space="preserve"> 03</v>
          </cell>
          <cell r="B42" t="str">
            <v>000036</v>
          </cell>
          <cell r="C42" t="str">
            <v>Rvsl</v>
          </cell>
          <cell r="D42" t="str">
            <v>30/Sep/1998</v>
          </cell>
          <cell r="E42" t="str">
            <v>NTON0001</v>
          </cell>
          <cell r="F42" t="str">
            <v>1998/10</v>
          </cell>
          <cell r="G42" t="str">
            <v>403040</v>
          </cell>
          <cell r="H42" t="str">
            <v>53330</v>
          </cell>
          <cell r="I42" t="str">
            <v>990060</v>
          </cell>
          <cell r="J42" t="str">
            <v>Pre-Opening Def. Exp.</v>
          </cell>
          <cell r="K42" t="str">
            <v>D1</v>
          </cell>
          <cell r="L42">
            <v>1620.08</v>
          </cell>
          <cell r="M42" t="str">
            <v>X</v>
          </cell>
          <cell r="N42" t="str">
            <v>s</v>
          </cell>
          <cell r="O42" t="str">
            <v>X</v>
          </cell>
          <cell r="P42" t="str">
            <v>53330-X</v>
          </cell>
          <cell r="Q42" t="str">
            <v>si</v>
          </cell>
          <cell r="R42" t="str">
            <v xml:space="preserve"> </v>
          </cell>
          <cell r="S42" t="str">
            <v xml:space="preserve"> </v>
          </cell>
          <cell r="T42" t="str">
            <v>Input</v>
          </cell>
          <cell r="U42" t="str">
            <v>Input</v>
          </cell>
          <cell r="V42" t="str">
            <v xml:space="preserve"> </v>
          </cell>
          <cell r="W42" t="str">
            <v>53020</v>
          </cell>
          <cell r="X42" t="str">
            <v>53330</v>
          </cell>
          <cell r="Y42">
            <v>1620.08</v>
          </cell>
        </row>
        <row r="43">
          <cell r="A43" t="str">
            <v xml:space="preserve"> 67</v>
          </cell>
          <cell r="B43" t="str">
            <v>200375</v>
          </cell>
          <cell r="C43" t="str">
            <v>Psbc</v>
          </cell>
          <cell r="D43" t="str">
            <v>12/May/1998</v>
          </cell>
          <cell r="E43" t="str">
            <v>MMAR1047</v>
          </cell>
          <cell r="F43" t="str">
            <v>1998/05</v>
          </cell>
          <cell r="G43" t="str">
            <v>403040</v>
          </cell>
          <cell r="H43" t="str">
            <v>53330</v>
          </cell>
          <cell r="I43" t="str">
            <v>608000</v>
          </cell>
          <cell r="J43" t="str">
            <v>PRP.INS.02/01-03/31 FAC.53758</v>
          </cell>
          <cell r="K43" t="str">
            <v>C1</v>
          </cell>
          <cell r="L43">
            <v>1620.08</v>
          </cell>
          <cell r="M43" t="str">
            <v>X</v>
          </cell>
          <cell r="N43" t="str">
            <v>s</v>
          </cell>
          <cell r="O43" t="str">
            <v>X</v>
          </cell>
          <cell r="P43" t="str">
            <v>53330-X</v>
          </cell>
          <cell r="Q43" t="str">
            <v>si</v>
          </cell>
          <cell r="R43" t="str">
            <v xml:space="preserve"> </v>
          </cell>
          <cell r="S43" t="str">
            <v xml:space="preserve"> </v>
          </cell>
          <cell r="T43" t="str">
            <v>Input</v>
          </cell>
          <cell r="U43" t="str">
            <v>Input</v>
          </cell>
          <cell r="V43" t="str">
            <v xml:space="preserve"> </v>
          </cell>
          <cell r="W43" t="str">
            <v>53020</v>
          </cell>
          <cell r="X43" t="str">
            <v>53330</v>
          </cell>
          <cell r="Y43">
            <v>1620.08</v>
          </cell>
        </row>
        <row r="44">
          <cell r="A44" t="str">
            <v xml:space="preserve"> 01</v>
          </cell>
          <cell r="B44" t="str">
            <v>000781</v>
          </cell>
          <cell r="C44" t="str">
            <v>Jrnl</v>
          </cell>
          <cell r="D44" t="str">
            <v>22/Dec/1998</v>
          </cell>
          <cell r="E44" t="str">
            <v>NTON0095</v>
          </cell>
          <cell r="F44" t="str">
            <v>1998/12</v>
          </cell>
          <cell r="G44" t="str">
            <v>403040</v>
          </cell>
          <cell r="H44" t="str">
            <v>53340</v>
          </cell>
          <cell r="I44" t="str">
            <v>608000</v>
          </cell>
          <cell r="J44" t="str">
            <v>Rcls Ins Prem TLT1587-4th Qtr</v>
          </cell>
          <cell r="K44" t="str">
            <v>C1</v>
          </cell>
          <cell r="L44">
            <v>712.99</v>
          </cell>
          <cell r="M44" t="str">
            <v>ok</v>
          </cell>
          <cell r="N44" t="str">
            <v>s</v>
          </cell>
          <cell r="O44">
            <v>1</v>
          </cell>
          <cell r="P44" t="str">
            <v>53340-1</v>
          </cell>
          <cell r="Q44" t="str">
            <v>bi</v>
          </cell>
          <cell r="R44" t="str">
            <v xml:space="preserve"> </v>
          </cell>
          <cell r="S44" t="str">
            <v xml:space="preserve"> </v>
          </cell>
          <cell r="T44" t="str">
            <v>Willis Corroon- Business Interruption Insurance</v>
          </cell>
          <cell r="U44" t="str">
            <v>ex</v>
          </cell>
          <cell r="V44" t="str">
            <v xml:space="preserve"> </v>
          </cell>
          <cell r="W44" t="str">
            <v>53020</v>
          </cell>
          <cell r="X44" t="str">
            <v>53340</v>
          </cell>
          <cell r="Y44">
            <v>712.99</v>
          </cell>
        </row>
        <row r="45">
          <cell r="A45" t="str">
            <v xml:space="preserve"> 01</v>
          </cell>
          <cell r="B45" t="str">
            <v>000781</v>
          </cell>
          <cell r="C45" t="str">
            <v>Jrnl</v>
          </cell>
          <cell r="D45" t="str">
            <v>22/Dec/1998</v>
          </cell>
          <cell r="E45" t="str">
            <v>NTON0095</v>
          </cell>
          <cell r="F45" t="str">
            <v>1998/12</v>
          </cell>
          <cell r="G45" t="str">
            <v>403040</v>
          </cell>
          <cell r="H45" t="str">
            <v>53350</v>
          </cell>
          <cell r="I45" t="str">
            <v>608000</v>
          </cell>
          <cell r="J45" t="str">
            <v>Rcls Ins Prem TLT1587-4th Qtr</v>
          </cell>
          <cell r="K45" t="str">
            <v>C1</v>
          </cell>
          <cell r="L45">
            <v>5836.36</v>
          </cell>
          <cell r="M45" t="str">
            <v>ok</v>
          </cell>
          <cell r="N45" t="str">
            <v>s</v>
          </cell>
          <cell r="O45">
            <v>1</v>
          </cell>
          <cell r="P45" t="str">
            <v>53350-1</v>
          </cell>
          <cell r="Q45" t="str">
            <v>pl</v>
          </cell>
          <cell r="R45" t="str">
            <v xml:space="preserve"> </v>
          </cell>
          <cell r="S45" t="str">
            <v xml:space="preserve"> </v>
          </cell>
          <cell r="T45" t="str">
            <v>Willis Corroon- General &amp; Professional Liability Insurance</v>
          </cell>
          <cell r="U45" t="str">
            <v>Input</v>
          </cell>
          <cell r="V45" t="str">
            <v xml:space="preserve"> </v>
          </cell>
          <cell r="W45" t="str">
            <v>53020</v>
          </cell>
          <cell r="X45">
            <v>1000</v>
          </cell>
          <cell r="Y45">
            <v>1000</v>
          </cell>
        </row>
        <row r="46">
          <cell r="A46" t="str">
            <v xml:space="preserve"> 67</v>
          </cell>
          <cell r="B46" t="str">
            <v>200260</v>
          </cell>
          <cell r="C46" t="str">
            <v>Psbc</v>
          </cell>
          <cell r="D46" t="str">
            <v>16/Feb/1998</v>
          </cell>
          <cell r="E46" t="str">
            <v>KPUR0137</v>
          </cell>
          <cell r="F46" t="str">
            <v>1998/03</v>
          </cell>
          <cell r="G46" t="str">
            <v>070240</v>
          </cell>
          <cell r="H46" t="str">
            <v>53020</v>
          </cell>
          <cell r="I46" t="str">
            <v>010000</v>
          </cell>
          <cell r="J46" t="str">
            <v>LEXTRA PO OOO14</v>
          </cell>
          <cell r="K46" t="str">
            <v>C1</v>
          </cell>
          <cell r="L46">
            <v>1605.9</v>
          </cell>
          <cell r="M46" t="str">
            <v>XXXX</v>
          </cell>
          <cell r="N46" t="str">
            <v>s</v>
          </cell>
          <cell r="O46" t="str">
            <v xml:space="preserve"> </v>
          </cell>
          <cell r="P46" t="str">
            <v xml:space="preserve">53020- </v>
          </cell>
          <cell r="R46" t="str">
            <v xml:space="preserve"> </v>
          </cell>
          <cell r="S46" t="str">
            <v xml:space="preserve"> </v>
          </cell>
          <cell r="U46" t="str">
            <v>Input</v>
          </cell>
          <cell r="V46" t="str">
            <v xml:space="preserve"> </v>
          </cell>
          <cell r="W46" t="str">
            <v>53020</v>
          </cell>
          <cell r="X46">
            <v>1605.9</v>
          </cell>
          <cell r="Y46">
            <v>1605.9</v>
          </cell>
        </row>
        <row r="47">
          <cell r="A47" t="str">
            <v xml:space="preserve"> 61</v>
          </cell>
          <cell r="B47" t="str">
            <v>200060</v>
          </cell>
          <cell r="C47" t="str">
            <v>PCNt</v>
          </cell>
          <cell r="D47" t="str">
            <v>08/Dec/1998</v>
          </cell>
          <cell r="E47" t="str">
            <v>TMIN0012</v>
          </cell>
          <cell r="F47" t="str">
            <v>1998/12</v>
          </cell>
          <cell r="G47" t="str">
            <v>853140</v>
          </cell>
          <cell r="H47" t="str">
            <v>53020</v>
          </cell>
          <cell r="I47" t="str">
            <v>601000</v>
          </cell>
          <cell r="J47" t="str">
            <v>VARI-LITE CREDIT MEMO</v>
          </cell>
          <cell r="K47" t="str">
            <v>D1</v>
          </cell>
          <cell r="L47">
            <v>-1800</v>
          </cell>
          <cell r="M47" t="str">
            <v>X</v>
          </cell>
          <cell r="N47" t="str">
            <v>s</v>
          </cell>
          <cell r="O47" t="str">
            <v xml:space="preserve"> </v>
          </cell>
          <cell r="P47" t="str">
            <v xml:space="preserve">53020- </v>
          </cell>
          <cell r="R47" t="str">
            <v xml:space="preserve"> </v>
          </cell>
          <cell r="S47" t="str">
            <v xml:space="preserve"> </v>
          </cell>
          <cell r="U47" t="str">
            <v>Input</v>
          </cell>
          <cell r="V47" t="str">
            <v xml:space="preserve"> </v>
          </cell>
          <cell r="W47" t="str">
            <v>53020</v>
          </cell>
          <cell r="X47">
            <v>-1800</v>
          </cell>
          <cell r="Y47">
            <v>1800</v>
          </cell>
        </row>
        <row r="48">
          <cell r="A48" t="str">
            <v xml:space="preserve"> 67</v>
          </cell>
          <cell r="B48" t="str">
            <v>201082</v>
          </cell>
          <cell r="C48" t="str">
            <v>Psbc</v>
          </cell>
          <cell r="D48" t="str">
            <v>20/Oct/1998</v>
          </cell>
          <cell r="E48" t="str">
            <v>SHUG0149</v>
          </cell>
          <cell r="F48" t="str">
            <v>1998/12</v>
          </cell>
          <cell r="G48" t="str">
            <v>853140</v>
          </cell>
          <cell r="H48" t="str">
            <v>53020</v>
          </cell>
          <cell r="I48" t="str">
            <v>601000</v>
          </cell>
          <cell r="J48" t="str">
            <v>VARI-LITE PO 77</v>
          </cell>
          <cell r="K48" t="str">
            <v>D1</v>
          </cell>
          <cell r="L48">
            <v>1800</v>
          </cell>
          <cell r="M48" t="str">
            <v>X</v>
          </cell>
          <cell r="N48" t="str">
            <v>s</v>
          </cell>
          <cell r="O48" t="str">
            <v xml:space="preserve"> </v>
          </cell>
          <cell r="P48" t="str">
            <v xml:space="preserve">53020- </v>
          </cell>
          <cell r="R48" t="str">
            <v xml:space="preserve"> </v>
          </cell>
          <cell r="S48" t="str">
            <v xml:space="preserve"> </v>
          </cell>
          <cell r="U48" t="str">
            <v>Input</v>
          </cell>
          <cell r="V48" t="str">
            <v xml:space="preserve"> </v>
          </cell>
          <cell r="W48" t="str">
            <v>53020</v>
          </cell>
          <cell r="X48">
            <v>1800</v>
          </cell>
          <cell r="Y48">
            <v>1800</v>
          </cell>
        </row>
        <row r="49">
          <cell r="A49" t="str">
            <v xml:space="preserve"> 01</v>
          </cell>
          <cell r="B49" t="str">
            <v>000897</v>
          </cell>
          <cell r="C49" t="str">
            <v>Jrnl</v>
          </cell>
          <cell r="D49" t="str">
            <v>31/Dec/1998</v>
          </cell>
          <cell r="E49" t="str">
            <v>NTON0163</v>
          </cell>
          <cell r="F49" t="str">
            <v>1998/12</v>
          </cell>
          <cell r="G49" t="str">
            <v>061140</v>
          </cell>
          <cell r="H49" t="str">
            <v>53020</v>
          </cell>
          <cell r="I49" t="str">
            <v>995061</v>
          </cell>
          <cell r="J49" t="str">
            <v>Corr JE 851</v>
          </cell>
          <cell r="K49" t="str">
            <v>D1</v>
          </cell>
          <cell r="L49">
            <v>-2034</v>
          </cell>
          <cell r="M49" t="str">
            <v>x</v>
          </cell>
          <cell r="N49" t="str">
            <v>S</v>
          </cell>
          <cell r="O49" t="str">
            <v>Error</v>
          </cell>
          <cell r="P49" t="str">
            <v>53020-Error</v>
          </cell>
          <cell r="R49" t="str">
            <v xml:space="preserve"> </v>
          </cell>
          <cell r="S49" t="str">
            <v xml:space="preserve"> </v>
          </cell>
          <cell r="U49" t="str">
            <v>Input</v>
          </cell>
          <cell r="V49" t="str">
            <v xml:space="preserve"> </v>
          </cell>
          <cell r="W49" t="str">
            <v>53020</v>
          </cell>
          <cell r="X49">
            <v>-2034</v>
          </cell>
          <cell r="Y49">
            <v>2034</v>
          </cell>
        </row>
        <row r="50">
          <cell r="A50" t="str">
            <v xml:space="preserve"> 01</v>
          </cell>
          <cell r="B50" t="str">
            <v>000826</v>
          </cell>
          <cell r="C50" t="str">
            <v>Jrnl</v>
          </cell>
          <cell r="D50" t="str">
            <v>31/Dec/1998</v>
          </cell>
          <cell r="E50" t="str">
            <v>KROS0021</v>
          </cell>
          <cell r="F50" t="str">
            <v>1998/12</v>
          </cell>
          <cell r="G50" t="str">
            <v>400140</v>
          </cell>
          <cell r="H50" t="str">
            <v>53020</v>
          </cell>
          <cell r="I50" t="str">
            <v>990060</v>
          </cell>
          <cell r="J50" t="str">
            <v>Def. Pre-Opening 12/31/98</v>
          </cell>
          <cell r="K50" t="str">
            <v>D1</v>
          </cell>
          <cell r="L50">
            <v>-2815.56</v>
          </cell>
          <cell r="M50" t="str">
            <v>XX</v>
          </cell>
          <cell r="N50" t="str">
            <v>s</v>
          </cell>
          <cell r="O50" t="str">
            <v xml:space="preserve"> </v>
          </cell>
          <cell r="P50" t="str">
            <v xml:space="preserve">53020- </v>
          </cell>
          <cell r="R50" t="str">
            <v xml:space="preserve"> </v>
          </cell>
          <cell r="S50" t="str">
            <v xml:space="preserve"> </v>
          </cell>
          <cell r="U50" t="str">
            <v>Input</v>
          </cell>
          <cell r="V50" t="str">
            <v xml:space="preserve"> </v>
          </cell>
          <cell r="W50" t="str">
            <v>53020</v>
          </cell>
          <cell r="X50">
            <v>-2815.56</v>
          </cell>
          <cell r="Y50">
            <v>2815.56</v>
          </cell>
        </row>
        <row r="51">
          <cell r="A51" t="str">
            <v xml:space="preserve"> 02</v>
          </cell>
          <cell r="B51" t="str">
            <v>000032</v>
          </cell>
          <cell r="C51" t="str">
            <v>Accl</v>
          </cell>
          <cell r="D51" t="str">
            <v>30/Sep/1998</v>
          </cell>
          <cell r="E51" t="str">
            <v>DPAS0154</v>
          </cell>
          <cell r="F51" t="str">
            <v>1998/09</v>
          </cell>
          <cell r="G51" t="str">
            <v>400140</v>
          </cell>
          <cell r="H51" t="str">
            <v>53020</v>
          </cell>
          <cell r="I51" t="str">
            <v>990060</v>
          </cell>
          <cell r="J51" t="str">
            <v>PRE-OPENING DEF. EXP.</v>
          </cell>
          <cell r="K51" t="str">
            <v>D1</v>
          </cell>
          <cell r="L51">
            <v>-2815.56</v>
          </cell>
          <cell r="M51" t="str">
            <v>X</v>
          </cell>
          <cell r="N51" t="str">
            <v>s</v>
          </cell>
          <cell r="O51" t="str">
            <v xml:space="preserve"> </v>
          </cell>
          <cell r="P51" t="str">
            <v xml:space="preserve">53020- </v>
          </cell>
          <cell r="R51" t="str">
            <v xml:space="preserve"> </v>
          </cell>
          <cell r="S51" t="str">
            <v xml:space="preserve"> </v>
          </cell>
          <cell r="U51" t="str">
            <v>Input</v>
          </cell>
          <cell r="V51" t="str">
            <v xml:space="preserve"> </v>
          </cell>
          <cell r="W51" t="str">
            <v>53020</v>
          </cell>
          <cell r="X51">
            <v>-2815.56</v>
          </cell>
          <cell r="Y51">
            <v>2815.56</v>
          </cell>
        </row>
        <row r="52">
          <cell r="A52" t="str">
            <v xml:space="preserve"> 03</v>
          </cell>
          <cell r="B52" t="str">
            <v>000032</v>
          </cell>
          <cell r="C52" t="str">
            <v>Rvsl</v>
          </cell>
          <cell r="D52" t="str">
            <v>30/Sep/1998</v>
          </cell>
          <cell r="E52" t="str">
            <v>DPAS0154</v>
          </cell>
          <cell r="F52" t="str">
            <v>1998/10</v>
          </cell>
          <cell r="G52" t="str">
            <v>400140</v>
          </cell>
          <cell r="H52" t="str">
            <v>53020</v>
          </cell>
          <cell r="I52" t="str">
            <v>990060</v>
          </cell>
          <cell r="J52" t="str">
            <v>PRE-OPENING DEF. EXP.</v>
          </cell>
          <cell r="K52" t="str">
            <v>D1</v>
          </cell>
          <cell r="L52">
            <v>2815.56</v>
          </cell>
          <cell r="M52" t="str">
            <v>X</v>
          </cell>
          <cell r="N52" t="str">
            <v>s</v>
          </cell>
          <cell r="O52" t="str">
            <v xml:space="preserve"> </v>
          </cell>
          <cell r="P52" t="str">
            <v xml:space="preserve">53020- </v>
          </cell>
          <cell r="R52" t="str">
            <v xml:space="preserve"> </v>
          </cell>
          <cell r="S52" t="str">
            <v xml:space="preserve"> </v>
          </cell>
          <cell r="U52" t="str">
            <v>Input</v>
          </cell>
          <cell r="V52" t="str">
            <v xml:space="preserve"> </v>
          </cell>
          <cell r="W52" t="str">
            <v>53020</v>
          </cell>
          <cell r="X52">
            <v>2815.56</v>
          </cell>
          <cell r="Y52">
            <v>2815.56</v>
          </cell>
        </row>
        <row r="53">
          <cell r="A53" t="str">
            <v xml:space="preserve"> 67</v>
          </cell>
          <cell r="B53" t="str">
            <v>200342</v>
          </cell>
          <cell r="C53" t="str">
            <v>Psbc</v>
          </cell>
          <cell r="D53" t="str">
            <v>26/Feb/1998</v>
          </cell>
          <cell r="E53" t="str">
            <v>KPUR0307</v>
          </cell>
          <cell r="F53" t="str">
            <v>1998/04</v>
          </cell>
          <cell r="G53" t="str">
            <v>070240</v>
          </cell>
          <cell r="H53" t="str">
            <v>53020</v>
          </cell>
          <cell r="I53" t="str">
            <v>010000</v>
          </cell>
          <cell r="J53" t="str">
            <v>HEENAN BLAIKIE PO 0019</v>
          </cell>
          <cell r="K53" t="str">
            <v>C1</v>
          </cell>
          <cell r="L53">
            <v>2941.59</v>
          </cell>
          <cell r="M53" t="str">
            <v>XXXX</v>
          </cell>
          <cell r="N53" t="str">
            <v>s</v>
          </cell>
          <cell r="O53" t="str">
            <v xml:space="preserve"> </v>
          </cell>
          <cell r="P53" t="str">
            <v xml:space="preserve">53020- </v>
          </cell>
          <cell r="R53" t="str">
            <v xml:space="preserve"> </v>
          </cell>
          <cell r="S53" t="str">
            <v xml:space="preserve"> </v>
          </cell>
          <cell r="U53" t="str">
            <v>Input</v>
          </cell>
          <cell r="V53" t="str">
            <v xml:space="preserve"> </v>
          </cell>
          <cell r="W53" t="str">
            <v>53020</v>
          </cell>
          <cell r="X53">
            <v>2941.59</v>
          </cell>
          <cell r="Y53">
            <v>2941.59</v>
          </cell>
        </row>
        <row r="54">
          <cell r="A54" t="str">
            <v xml:space="preserve"> 75</v>
          </cell>
          <cell r="B54" t="str">
            <v>000033</v>
          </cell>
          <cell r="C54" t="str">
            <v>cshp</v>
          </cell>
          <cell r="D54" t="str">
            <v>17/Jun/1998</v>
          </cell>
          <cell r="E54" t="str">
            <v>KPUR0572</v>
          </cell>
          <cell r="F54" t="str">
            <v>1998/06</v>
          </cell>
          <cell r="G54" t="str">
            <v>060140</v>
          </cell>
          <cell r="H54" t="str">
            <v>53020</v>
          </cell>
          <cell r="I54" t="str">
            <v>010000</v>
          </cell>
          <cell r="J54" t="str">
            <v>SAMSON BELAIR DELOITTE &amp; TOUCH</v>
          </cell>
          <cell r="K54" t="str">
            <v>C1</v>
          </cell>
          <cell r="L54">
            <v>4082.47</v>
          </cell>
          <cell r="M54" t="str">
            <v>XXXXX</v>
          </cell>
          <cell r="N54" t="str">
            <v>s</v>
          </cell>
          <cell r="O54" t="str">
            <v xml:space="preserve"> </v>
          </cell>
          <cell r="P54" t="str">
            <v xml:space="preserve">53020- </v>
          </cell>
          <cell r="R54" t="str">
            <v xml:space="preserve"> </v>
          </cell>
          <cell r="S54" t="str">
            <v xml:space="preserve"> </v>
          </cell>
          <cell r="U54" t="str">
            <v>Input</v>
          </cell>
          <cell r="V54" t="str">
            <v xml:space="preserve"> </v>
          </cell>
          <cell r="W54" t="str">
            <v>53020</v>
          </cell>
          <cell r="X54">
            <v>4082.47</v>
          </cell>
          <cell r="Y54">
            <v>4082.47</v>
          </cell>
        </row>
        <row r="55">
          <cell r="A55" t="str">
            <v xml:space="preserve"> 01</v>
          </cell>
          <cell r="B55" t="str">
            <v>000919</v>
          </cell>
          <cell r="C55" t="str">
            <v>Jrnl</v>
          </cell>
          <cell r="D55" t="str">
            <v>31/Dec/1998</v>
          </cell>
          <cell r="E55" t="str">
            <v>MPAS0024</v>
          </cell>
          <cell r="F55" t="str">
            <v>1998/12</v>
          </cell>
          <cell r="G55" t="str">
            <v>400140</v>
          </cell>
          <cell r="H55" t="str">
            <v>53020</v>
          </cell>
          <cell r="I55" t="str">
            <v>608000</v>
          </cell>
          <cell r="J55" t="str">
            <v>BB to Partner-Invitations</v>
          </cell>
          <cell r="K55" t="str">
            <v>D1</v>
          </cell>
          <cell r="L55">
            <v>-16523.2</v>
          </cell>
          <cell r="M55" t="str">
            <v>X</v>
          </cell>
          <cell r="N55" t="str">
            <v>s</v>
          </cell>
          <cell r="O55" t="str">
            <v>X</v>
          </cell>
          <cell r="P55" t="str">
            <v>37120-X</v>
          </cell>
          <cell r="R55" t="str">
            <v xml:space="preserve"> </v>
          </cell>
          <cell r="S55" t="str">
            <v xml:space="preserve"> </v>
          </cell>
          <cell r="U55" t="str">
            <v>Input</v>
          </cell>
          <cell r="V55" t="str">
            <v xml:space="preserve"> </v>
          </cell>
          <cell r="W55" t="str">
            <v>53020</v>
          </cell>
          <cell r="X55">
            <v>-16523.2</v>
          </cell>
          <cell r="Y55">
            <v>16523.2</v>
          </cell>
        </row>
        <row r="56">
          <cell r="A56" t="str">
            <v xml:space="preserve"> 75</v>
          </cell>
          <cell r="B56" t="str">
            <v>003015</v>
          </cell>
          <cell r="C56" t="str">
            <v>cshp</v>
          </cell>
          <cell r="D56" t="str">
            <v>21/Dec/1998</v>
          </cell>
          <cell r="E56" t="str">
            <v>TMIN0038</v>
          </cell>
          <cell r="F56" t="str">
            <v>1998/12</v>
          </cell>
          <cell r="G56" t="str">
            <v>403220</v>
          </cell>
          <cell r="H56" t="str">
            <v>72005</v>
          </cell>
          <cell r="I56" t="str">
            <v>608000</v>
          </cell>
          <cell r="J56" t="str">
            <v>ACCOUNTANTS, INC.</v>
          </cell>
          <cell r="K56" t="str">
            <v>D1</v>
          </cell>
          <cell r="L56">
            <v>1044.48</v>
          </cell>
          <cell r="M56" t="str">
            <v>OK</v>
          </cell>
          <cell r="N56" t="str">
            <v>S</v>
          </cell>
          <cell r="O56">
            <v>1</v>
          </cell>
          <cell r="P56" t="str">
            <v>72005-1</v>
          </cell>
          <cell r="Q56" t="str">
            <v>ATL</v>
          </cell>
          <cell r="R56" t="str">
            <v xml:space="preserve"> </v>
          </cell>
          <cell r="S56" t="str">
            <v xml:space="preserve"> </v>
          </cell>
          <cell r="T56" t="str">
            <v>Accountants, Inc.</v>
          </cell>
          <cell r="U56" t="str">
            <v>Agency Temporary Labor</v>
          </cell>
          <cell r="V56" t="str">
            <v xml:space="preserve"> </v>
          </cell>
          <cell r="W56" t="str">
            <v>72005</v>
          </cell>
          <cell r="X56">
            <v>1044.48</v>
          </cell>
          <cell r="Y56">
            <v>1044.48</v>
          </cell>
        </row>
        <row r="57">
          <cell r="A57" t="str">
            <v xml:space="preserve"> 01</v>
          </cell>
          <cell r="B57" t="str">
            <v>000264</v>
          </cell>
          <cell r="C57" t="str">
            <v>Jrnl</v>
          </cell>
          <cell r="D57" t="str">
            <v>28/Feb/1998</v>
          </cell>
          <cell r="E57" t="str">
            <v>SHUG0084</v>
          </cell>
          <cell r="F57" t="str">
            <v>1998/02</v>
          </cell>
          <cell r="G57" t="str">
            <v>853890</v>
          </cell>
          <cell r="H57" t="str">
            <v>37120</v>
          </cell>
          <cell r="I57" t="str">
            <v>601000</v>
          </cell>
          <cell r="J57" t="str">
            <v>Interest sweeps Feb</v>
          </cell>
          <cell r="K57" t="str">
            <v>D1</v>
          </cell>
          <cell r="L57">
            <v>-5215.53</v>
          </cell>
          <cell r="M57" t="str">
            <v>x</v>
          </cell>
          <cell r="N57" t="str">
            <v>s</v>
          </cell>
          <cell r="O57" t="str">
            <v>X</v>
          </cell>
          <cell r="P57" t="str">
            <v>37120-X</v>
          </cell>
          <cell r="R57" t="str">
            <v xml:space="preserve"> </v>
          </cell>
          <cell r="S57" t="str">
            <v xml:space="preserve"> </v>
          </cell>
          <cell r="T57" t="str">
            <v>Accountants, Inc. Total</v>
          </cell>
          <cell r="U57">
            <v>0</v>
          </cell>
          <cell r="V57" t="str">
            <v>37120</v>
          </cell>
          <cell r="W57">
            <v>-5215.53</v>
          </cell>
          <cell r="X57">
            <v>1044.48</v>
          </cell>
        </row>
        <row r="58">
          <cell r="A58" t="str">
            <v xml:space="preserve"> 67</v>
          </cell>
          <cell r="B58" t="str">
            <v>201298</v>
          </cell>
          <cell r="C58" t="str">
            <v>Psbc</v>
          </cell>
          <cell r="D58" t="str">
            <v>30/Sep/1998</v>
          </cell>
          <cell r="E58" t="str">
            <v>DPAS0280</v>
          </cell>
          <cell r="F58" t="str">
            <v>1998/12</v>
          </cell>
          <cell r="G58" t="str">
            <v>402840</v>
          </cell>
          <cell r="H58" t="str">
            <v>72005</v>
          </cell>
          <cell r="I58" t="str">
            <v>608006</v>
          </cell>
          <cell r="J58" t="str">
            <v>APPLEONE</v>
          </cell>
          <cell r="K58" t="str">
            <v>D1</v>
          </cell>
          <cell r="L58">
            <v>100</v>
          </cell>
          <cell r="M58" t="str">
            <v>OK</v>
          </cell>
          <cell r="N58" t="str">
            <v>S</v>
          </cell>
          <cell r="O58">
            <v>1</v>
          </cell>
          <cell r="P58" t="str">
            <v>72005-1</v>
          </cell>
          <cell r="Q58" t="str">
            <v>ATL</v>
          </cell>
          <cell r="R58" t="str">
            <v xml:space="preserve"> </v>
          </cell>
          <cell r="S58" t="str">
            <v xml:space="preserve"> </v>
          </cell>
          <cell r="T58" t="str">
            <v>AppleOne Employment Services</v>
          </cell>
          <cell r="U58" t="str">
            <v>Agency Temporary Labor</v>
          </cell>
          <cell r="V58" t="str">
            <v xml:space="preserve"> </v>
          </cell>
          <cell r="W58" t="str">
            <v>72005</v>
          </cell>
          <cell r="X58">
            <v>100</v>
          </cell>
          <cell r="Y58">
            <v>100</v>
          </cell>
        </row>
        <row r="59">
          <cell r="A59" t="str">
            <v xml:space="preserve"> 67</v>
          </cell>
          <cell r="B59" t="str">
            <v>201303</v>
          </cell>
          <cell r="C59" t="str">
            <v>Psbc</v>
          </cell>
          <cell r="D59" t="str">
            <v>02/Dec/1998</v>
          </cell>
          <cell r="E59" t="str">
            <v>DPAS0280</v>
          </cell>
          <cell r="F59" t="str">
            <v>1998/12</v>
          </cell>
          <cell r="G59" t="str">
            <v>402840</v>
          </cell>
          <cell r="H59" t="str">
            <v>72005</v>
          </cell>
          <cell r="I59" t="str">
            <v>608006</v>
          </cell>
          <cell r="J59" t="str">
            <v>APPLEONE</v>
          </cell>
          <cell r="K59" t="str">
            <v>D1</v>
          </cell>
          <cell r="L59">
            <v>335.63</v>
          </cell>
          <cell r="M59" t="str">
            <v>OK</v>
          </cell>
          <cell r="N59" t="str">
            <v>S</v>
          </cell>
          <cell r="O59">
            <v>1</v>
          </cell>
          <cell r="P59" t="str">
            <v>72005-1</v>
          </cell>
          <cell r="Q59" t="str">
            <v>ATL</v>
          </cell>
          <cell r="R59" t="str">
            <v xml:space="preserve"> </v>
          </cell>
          <cell r="S59" t="str">
            <v xml:space="preserve"> </v>
          </cell>
          <cell r="T59" t="str">
            <v>AppleOne Employment Services</v>
          </cell>
          <cell r="U59" t="str">
            <v>Agency Temporary Labor</v>
          </cell>
          <cell r="V59" t="str">
            <v xml:space="preserve"> </v>
          </cell>
          <cell r="W59" t="str">
            <v>72005</v>
          </cell>
          <cell r="X59">
            <v>335.63</v>
          </cell>
          <cell r="Y59">
            <v>335.63</v>
          </cell>
        </row>
        <row r="60">
          <cell r="A60" t="str">
            <v xml:space="preserve"> 67</v>
          </cell>
          <cell r="B60" t="str">
            <v>201068</v>
          </cell>
          <cell r="C60" t="str">
            <v>Psbc</v>
          </cell>
          <cell r="D60" t="str">
            <v>30/Sep/1998</v>
          </cell>
          <cell r="E60" t="str">
            <v>SHUG0114</v>
          </cell>
          <cell r="F60" t="str">
            <v>1998/11</v>
          </cell>
          <cell r="G60" t="str">
            <v>402840</v>
          </cell>
          <cell r="H60" t="str">
            <v>72005</v>
          </cell>
          <cell r="I60" t="str">
            <v>608006</v>
          </cell>
          <cell r="J60" t="str">
            <v>APPLEONE DIPIERO</v>
          </cell>
          <cell r="K60" t="str">
            <v>D1</v>
          </cell>
          <cell r="L60">
            <v>340</v>
          </cell>
          <cell r="M60" t="str">
            <v>OK</v>
          </cell>
          <cell r="N60" t="str">
            <v>S</v>
          </cell>
          <cell r="O60">
            <v>1</v>
          </cell>
          <cell r="P60" t="str">
            <v>72005-1</v>
          </cell>
          <cell r="Q60" t="str">
            <v>ATL</v>
          </cell>
          <cell r="R60" t="str">
            <v xml:space="preserve"> </v>
          </cell>
          <cell r="S60" t="str">
            <v xml:space="preserve"> </v>
          </cell>
          <cell r="T60" t="str">
            <v>AppleOne Employment Services</v>
          </cell>
          <cell r="U60" t="str">
            <v>Agency Temporary Labor</v>
          </cell>
          <cell r="V60" t="str">
            <v xml:space="preserve"> </v>
          </cell>
          <cell r="W60" t="str">
            <v>72005</v>
          </cell>
          <cell r="X60">
            <v>340</v>
          </cell>
          <cell r="Y60">
            <v>340</v>
          </cell>
        </row>
        <row r="61">
          <cell r="A61" t="str">
            <v xml:space="preserve"> 67</v>
          </cell>
          <cell r="B61" t="str">
            <v>201302</v>
          </cell>
          <cell r="C61" t="str">
            <v>Psbc</v>
          </cell>
          <cell r="D61" t="str">
            <v>09/Dec/1998</v>
          </cell>
          <cell r="E61" t="str">
            <v>DPAS0280</v>
          </cell>
          <cell r="F61" t="str">
            <v>1998/12</v>
          </cell>
          <cell r="G61" t="str">
            <v>402840</v>
          </cell>
          <cell r="H61" t="str">
            <v>72005</v>
          </cell>
          <cell r="I61" t="str">
            <v>608006</v>
          </cell>
          <cell r="J61" t="str">
            <v>APPLEONE</v>
          </cell>
          <cell r="K61" t="str">
            <v>D1</v>
          </cell>
          <cell r="L61">
            <v>450</v>
          </cell>
          <cell r="M61" t="str">
            <v>OK</v>
          </cell>
          <cell r="N61" t="str">
            <v>S</v>
          </cell>
          <cell r="O61">
            <v>1</v>
          </cell>
          <cell r="P61" t="str">
            <v>72005-1</v>
          </cell>
          <cell r="Q61" t="str">
            <v>ATL</v>
          </cell>
          <cell r="R61" t="str">
            <v xml:space="preserve"> </v>
          </cell>
          <cell r="S61" t="str">
            <v xml:space="preserve"> </v>
          </cell>
          <cell r="T61" t="str">
            <v>AppleOne Employment Services</v>
          </cell>
          <cell r="U61" t="str">
            <v>Agency Temporary Labor</v>
          </cell>
          <cell r="V61" t="str">
            <v xml:space="preserve"> </v>
          </cell>
          <cell r="W61" t="str">
            <v>72005</v>
          </cell>
          <cell r="X61">
            <v>450</v>
          </cell>
          <cell r="Y61">
            <v>450</v>
          </cell>
        </row>
        <row r="62">
          <cell r="A62" t="str">
            <v xml:space="preserve"> 67</v>
          </cell>
          <cell r="B62" t="str">
            <v>201067</v>
          </cell>
          <cell r="C62" t="str">
            <v>Psbc</v>
          </cell>
          <cell r="D62" t="str">
            <v>21/Oct/1998</v>
          </cell>
          <cell r="E62" t="str">
            <v>SHUG0114</v>
          </cell>
          <cell r="F62" t="str">
            <v>1998/11</v>
          </cell>
          <cell r="G62" t="str">
            <v>402840</v>
          </cell>
          <cell r="H62" t="str">
            <v>72005</v>
          </cell>
          <cell r="I62" t="str">
            <v>608006</v>
          </cell>
          <cell r="J62" t="str">
            <v>APPLEONE DIPIERO</v>
          </cell>
          <cell r="K62" t="str">
            <v>D1</v>
          </cell>
          <cell r="L62">
            <v>547.5</v>
          </cell>
          <cell r="M62" t="str">
            <v>OK</v>
          </cell>
          <cell r="N62" t="str">
            <v>S</v>
          </cell>
          <cell r="O62">
            <v>1</v>
          </cell>
          <cell r="P62" t="str">
            <v>72005-1</v>
          </cell>
          <cell r="Q62" t="str">
            <v>ATL</v>
          </cell>
          <cell r="R62" t="str">
            <v xml:space="preserve"> </v>
          </cell>
          <cell r="S62" t="str">
            <v xml:space="preserve"> </v>
          </cell>
          <cell r="T62" t="str">
            <v>AppleOne Employment Services</v>
          </cell>
          <cell r="U62" t="str">
            <v>Agency Temporary Labor</v>
          </cell>
          <cell r="V62" t="str">
            <v xml:space="preserve"> </v>
          </cell>
          <cell r="W62" t="str">
            <v>72005</v>
          </cell>
          <cell r="X62">
            <v>547.5</v>
          </cell>
          <cell r="Y62">
            <v>547.5</v>
          </cell>
        </row>
        <row r="63">
          <cell r="A63" t="str">
            <v xml:space="preserve"> 67</v>
          </cell>
          <cell r="B63" t="str">
            <v>201065</v>
          </cell>
          <cell r="C63" t="str">
            <v>Psbc</v>
          </cell>
          <cell r="D63" t="str">
            <v>28/Oct/1998</v>
          </cell>
          <cell r="E63" t="str">
            <v>SHUG0114</v>
          </cell>
          <cell r="F63" t="str">
            <v>1998/11</v>
          </cell>
          <cell r="G63" t="str">
            <v>402840</v>
          </cell>
          <cell r="H63" t="str">
            <v>72005</v>
          </cell>
          <cell r="I63" t="str">
            <v>608000</v>
          </cell>
          <cell r="J63" t="str">
            <v>APPLEONE DIPIERO</v>
          </cell>
          <cell r="K63" t="str">
            <v>D1</v>
          </cell>
          <cell r="L63">
            <v>570</v>
          </cell>
          <cell r="M63" t="str">
            <v>OK</v>
          </cell>
          <cell r="N63" t="str">
            <v>S</v>
          </cell>
          <cell r="O63">
            <v>1</v>
          </cell>
          <cell r="P63" t="str">
            <v>72005-1</v>
          </cell>
          <cell r="Q63" t="str">
            <v>ATL</v>
          </cell>
          <cell r="R63" t="str">
            <v xml:space="preserve"> </v>
          </cell>
          <cell r="S63" t="str">
            <v xml:space="preserve"> </v>
          </cell>
          <cell r="T63" t="str">
            <v>AppleOne Employment Services</v>
          </cell>
          <cell r="U63" t="str">
            <v>Agency Temporary Labor</v>
          </cell>
          <cell r="V63" t="str">
            <v xml:space="preserve"> </v>
          </cell>
          <cell r="W63" t="str">
            <v>72005</v>
          </cell>
          <cell r="X63">
            <v>570</v>
          </cell>
          <cell r="Y63">
            <v>570</v>
          </cell>
        </row>
        <row r="64">
          <cell r="A64" t="str">
            <v xml:space="preserve"> 75</v>
          </cell>
          <cell r="B64" t="str">
            <v>003016</v>
          </cell>
          <cell r="C64" t="str">
            <v>cshp</v>
          </cell>
          <cell r="D64" t="str">
            <v>21/Dec/1998</v>
          </cell>
          <cell r="E64" t="str">
            <v>TMIN0038</v>
          </cell>
          <cell r="F64" t="str">
            <v>1998/12</v>
          </cell>
          <cell r="G64" t="str">
            <v>400850</v>
          </cell>
          <cell r="H64" t="str">
            <v>72005</v>
          </cell>
          <cell r="I64" t="str">
            <v>608000</v>
          </cell>
          <cell r="J64" t="str">
            <v>APPLE ONE EMPLOYMENT SERVICES</v>
          </cell>
          <cell r="K64" t="str">
            <v>D1</v>
          </cell>
          <cell r="L64">
            <v>600</v>
          </cell>
          <cell r="M64" t="str">
            <v>OK</v>
          </cell>
          <cell r="N64" t="str">
            <v>S</v>
          </cell>
          <cell r="O64">
            <v>1</v>
          </cell>
          <cell r="P64" t="str">
            <v>72005-1</v>
          </cell>
          <cell r="Q64" t="str">
            <v>ATL</v>
          </cell>
          <cell r="R64" t="str">
            <v xml:space="preserve"> </v>
          </cell>
          <cell r="S64" t="str">
            <v xml:space="preserve"> </v>
          </cell>
          <cell r="T64" t="str">
            <v>AppleOne Employment Services</v>
          </cell>
          <cell r="U64" t="str">
            <v>Agency Temporary Labor</v>
          </cell>
          <cell r="V64" t="str">
            <v xml:space="preserve"> </v>
          </cell>
          <cell r="W64" t="str">
            <v>72005</v>
          </cell>
          <cell r="X64">
            <v>600</v>
          </cell>
          <cell r="Y64">
            <v>600</v>
          </cell>
        </row>
        <row r="65">
          <cell r="A65" t="str">
            <v xml:space="preserve"> 67</v>
          </cell>
          <cell r="B65" t="str">
            <v>201066</v>
          </cell>
          <cell r="C65" t="str">
            <v>Psbc</v>
          </cell>
          <cell r="D65" t="str">
            <v>11/Nov/1998</v>
          </cell>
          <cell r="E65" t="str">
            <v>SHUG0114</v>
          </cell>
          <cell r="F65" t="str">
            <v>1998/11</v>
          </cell>
          <cell r="G65" t="str">
            <v>402840</v>
          </cell>
          <cell r="H65" t="str">
            <v>72005</v>
          </cell>
          <cell r="I65" t="str">
            <v>608000</v>
          </cell>
          <cell r="J65" t="str">
            <v>APPLEONE DIPIERO</v>
          </cell>
          <cell r="K65" t="str">
            <v>D1</v>
          </cell>
          <cell r="L65">
            <v>600</v>
          </cell>
          <cell r="M65" t="str">
            <v>OK</v>
          </cell>
          <cell r="N65" t="str">
            <v>S</v>
          </cell>
          <cell r="O65">
            <v>1</v>
          </cell>
          <cell r="P65" t="str">
            <v>72005-1</v>
          </cell>
          <cell r="Q65" t="str">
            <v>ATL</v>
          </cell>
          <cell r="R65" t="str">
            <v xml:space="preserve"> </v>
          </cell>
          <cell r="S65" t="str">
            <v xml:space="preserve"> </v>
          </cell>
          <cell r="T65" t="str">
            <v>AppleOne Employment Services</v>
          </cell>
          <cell r="U65" t="str">
            <v>Agency Temporary Labor</v>
          </cell>
          <cell r="V65" t="str">
            <v xml:space="preserve"> </v>
          </cell>
          <cell r="W65" t="str">
            <v>72005</v>
          </cell>
          <cell r="X65">
            <v>600</v>
          </cell>
          <cell r="Y65">
            <v>600</v>
          </cell>
        </row>
        <row r="66">
          <cell r="A66" t="str">
            <v xml:space="preserve"> 67</v>
          </cell>
          <cell r="B66" t="str">
            <v>200945</v>
          </cell>
          <cell r="C66" t="str">
            <v>Psbc</v>
          </cell>
          <cell r="D66" t="str">
            <v>14/Oct/1998</v>
          </cell>
          <cell r="E66" t="str">
            <v>CWAN0290</v>
          </cell>
          <cell r="F66" t="str">
            <v>1998/11</v>
          </cell>
          <cell r="G66" t="str">
            <v>400850</v>
          </cell>
          <cell r="H66" t="str">
            <v>72005</v>
          </cell>
          <cell r="I66" t="str">
            <v>608006</v>
          </cell>
          <cell r="J66" t="str">
            <v>APPLEONE EMPLOYMENT DIPIERO</v>
          </cell>
          <cell r="K66" t="str">
            <v>D1</v>
          </cell>
          <cell r="L66">
            <v>600</v>
          </cell>
          <cell r="M66" t="str">
            <v>OK</v>
          </cell>
          <cell r="N66" t="str">
            <v>S</v>
          </cell>
          <cell r="O66">
            <v>1</v>
          </cell>
          <cell r="P66" t="str">
            <v>72005-1</v>
          </cell>
          <cell r="Q66" t="str">
            <v>ATL</v>
          </cell>
          <cell r="R66" t="str">
            <v xml:space="preserve"> </v>
          </cell>
          <cell r="S66" t="str">
            <v xml:space="preserve"> </v>
          </cell>
          <cell r="T66" t="str">
            <v>AppleOne Employment Services</v>
          </cell>
          <cell r="U66" t="str">
            <v>Agency Temporary Labor</v>
          </cell>
          <cell r="V66" t="str">
            <v xml:space="preserve"> </v>
          </cell>
          <cell r="W66" t="str">
            <v>72005</v>
          </cell>
          <cell r="X66">
            <v>600</v>
          </cell>
          <cell r="Y66">
            <v>600</v>
          </cell>
        </row>
        <row r="67">
          <cell r="A67" t="str">
            <v xml:space="preserve"> 67</v>
          </cell>
          <cell r="B67" t="str">
            <v>200943</v>
          </cell>
          <cell r="C67" t="str">
            <v>Psbc</v>
          </cell>
          <cell r="D67" t="str">
            <v>07/Oct/1998</v>
          </cell>
          <cell r="E67" t="str">
            <v>CWAN0290</v>
          </cell>
          <cell r="F67" t="str">
            <v>1998/11</v>
          </cell>
          <cell r="G67" t="str">
            <v>400850</v>
          </cell>
          <cell r="H67" t="str">
            <v>72005</v>
          </cell>
          <cell r="I67" t="str">
            <v>608006</v>
          </cell>
          <cell r="J67" t="str">
            <v>APPLEONE EMPLOYMENT DIPIERO</v>
          </cell>
          <cell r="K67" t="str">
            <v>D1</v>
          </cell>
          <cell r="L67">
            <v>622.5</v>
          </cell>
          <cell r="M67" t="str">
            <v>OK</v>
          </cell>
          <cell r="N67" t="str">
            <v>S</v>
          </cell>
          <cell r="O67">
            <v>1</v>
          </cell>
          <cell r="P67" t="str">
            <v>72005-1</v>
          </cell>
          <cell r="Q67" t="str">
            <v>ATL</v>
          </cell>
          <cell r="R67" t="str">
            <v xml:space="preserve"> </v>
          </cell>
          <cell r="S67" t="str">
            <v xml:space="preserve"> </v>
          </cell>
          <cell r="T67" t="str">
            <v>AppleOne Employment Services</v>
          </cell>
          <cell r="U67" t="str">
            <v>Agency Temporary Labor</v>
          </cell>
          <cell r="V67" t="str">
            <v xml:space="preserve"> </v>
          </cell>
          <cell r="W67" t="str">
            <v>72005</v>
          </cell>
          <cell r="X67">
            <v>622.5</v>
          </cell>
          <cell r="Y67">
            <v>622.5</v>
          </cell>
        </row>
        <row r="68">
          <cell r="A68" t="str">
            <v xml:space="preserve"> 67</v>
          </cell>
          <cell r="B68" t="str">
            <v>201064</v>
          </cell>
          <cell r="C68" t="str">
            <v>Psbc</v>
          </cell>
          <cell r="D68" t="str">
            <v>04/Nov/1998</v>
          </cell>
          <cell r="E68" t="str">
            <v>SHUG0114</v>
          </cell>
          <cell r="F68" t="str">
            <v>1998/11</v>
          </cell>
          <cell r="G68" t="str">
            <v>402840</v>
          </cell>
          <cell r="H68" t="str">
            <v>72005</v>
          </cell>
          <cell r="I68" t="str">
            <v>608000</v>
          </cell>
          <cell r="J68" t="str">
            <v>APPLEONE DIPIERO</v>
          </cell>
          <cell r="K68" t="str">
            <v>D1</v>
          </cell>
          <cell r="L68">
            <v>735</v>
          </cell>
          <cell r="M68" t="str">
            <v>OK</v>
          </cell>
          <cell r="N68" t="str">
            <v>S</v>
          </cell>
          <cell r="O68">
            <v>1</v>
          </cell>
          <cell r="P68" t="str">
            <v>72005-1</v>
          </cell>
          <cell r="Q68" t="str">
            <v>ATL</v>
          </cell>
          <cell r="R68" t="str">
            <v xml:space="preserve"> </v>
          </cell>
          <cell r="S68" t="str">
            <v xml:space="preserve"> </v>
          </cell>
          <cell r="T68" t="str">
            <v>AppleOne Employment Services</v>
          </cell>
          <cell r="U68" t="str">
            <v>Agency Temporary Labor</v>
          </cell>
          <cell r="V68" t="str">
            <v xml:space="preserve"> </v>
          </cell>
          <cell r="W68" t="str">
            <v>72005</v>
          </cell>
          <cell r="X68">
            <v>735</v>
          </cell>
          <cell r="Y68">
            <v>735</v>
          </cell>
        </row>
        <row r="69">
          <cell r="A69" t="str">
            <v xml:space="preserve"> 01</v>
          </cell>
          <cell r="B69" t="str">
            <v>000265</v>
          </cell>
          <cell r="C69" t="str">
            <v>Jrnl</v>
          </cell>
          <cell r="D69" t="str">
            <v>28/Feb/1998</v>
          </cell>
          <cell r="E69" t="str">
            <v>SHUG0084</v>
          </cell>
          <cell r="F69" t="str">
            <v>1998/02</v>
          </cell>
          <cell r="G69" t="str">
            <v>853890</v>
          </cell>
          <cell r="H69" t="str">
            <v>37120</v>
          </cell>
          <cell r="I69" t="str">
            <v>601000</v>
          </cell>
          <cell r="J69" t="str">
            <v>Interest sweeps jan</v>
          </cell>
          <cell r="K69" t="str">
            <v>D1</v>
          </cell>
          <cell r="L69">
            <v>-10215.700000000001</v>
          </cell>
          <cell r="M69" t="str">
            <v>x</v>
          </cell>
          <cell r="N69" t="str">
            <v>s</v>
          </cell>
          <cell r="O69" t="str">
            <v>X</v>
          </cell>
          <cell r="P69" t="str">
            <v>37120-X</v>
          </cell>
          <cell r="R69" t="str">
            <v xml:space="preserve"> </v>
          </cell>
          <cell r="S69" t="str">
            <v xml:space="preserve"> </v>
          </cell>
          <cell r="T69" t="str">
            <v>AppleOne Employment Services Total</v>
          </cell>
          <cell r="U69">
            <v>0</v>
          </cell>
          <cell r="V69" t="str">
            <v>37120</v>
          </cell>
          <cell r="W69">
            <v>-10215.700000000001</v>
          </cell>
          <cell r="X69">
            <v>5500.63</v>
          </cell>
        </row>
        <row r="70">
          <cell r="A70" t="str">
            <v xml:space="preserve"> 75</v>
          </cell>
          <cell r="B70" t="str">
            <v>003076</v>
          </cell>
          <cell r="C70" t="str">
            <v>cshp</v>
          </cell>
          <cell r="D70" t="str">
            <v>11/Nov/1998</v>
          </cell>
          <cell r="E70" t="str">
            <v>KPUR1021</v>
          </cell>
          <cell r="F70" t="str">
            <v>1998/11</v>
          </cell>
          <cell r="G70" t="str">
            <v>403220</v>
          </cell>
          <cell r="H70" t="str">
            <v>72005</v>
          </cell>
          <cell r="I70" t="str">
            <v>608000</v>
          </cell>
          <cell r="J70" t="str">
            <v>EASTRIDGE TEMPS WANNER10/25</v>
          </cell>
          <cell r="K70" t="str">
            <v>D1</v>
          </cell>
          <cell r="L70">
            <v>371.84</v>
          </cell>
          <cell r="M70" t="str">
            <v>OK</v>
          </cell>
          <cell r="N70" t="str">
            <v>S</v>
          </cell>
          <cell r="O70">
            <v>1</v>
          </cell>
          <cell r="P70" t="str">
            <v>72005-1</v>
          </cell>
          <cell r="Q70" t="str">
            <v>ATL</v>
          </cell>
          <cell r="R70" t="str">
            <v xml:space="preserve"> </v>
          </cell>
          <cell r="S70" t="str">
            <v xml:space="preserve"> </v>
          </cell>
          <cell r="T70" t="str">
            <v>Eastridge Temporary Services</v>
          </cell>
          <cell r="U70" t="str">
            <v>Agency Temporary Labor</v>
          </cell>
          <cell r="V70" t="str">
            <v xml:space="preserve"> </v>
          </cell>
          <cell r="W70" t="str">
            <v>72005</v>
          </cell>
          <cell r="X70">
            <v>371.84</v>
          </cell>
          <cell r="Y70">
            <v>371.84</v>
          </cell>
        </row>
        <row r="71">
          <cell r="A71" t="str">
            <v xml:space="preserve"> 75</v>
          </cell>
          <cell r="B71" t="str">
            <v>003076</v>
          </cell>
          <cell r="C71" t="str">
            <v>cshp</v>
          </cell>
          <cell r="D71" t="str">
            <v>11/Nov/1998</v>
          </cell>
          <cell r="E71" t="str">
            <v>KPUR1021</v>
          </cell>
          <cell r="F71" t="str">
            <v>1998/11</v>
          </cell>
          <cell r="G71" t="str">
            <v>403220</v>
          </cell>
          <cell r="H71" t="str">
            <v>72005</v>
          </cell>
          <cell r="I71" t="str">
            <v>608006</v>
          </cell>
          <cell r="J71" t="str">
            <v>EASTRIDGE TEMPS WANNER10/4</v>
          </cell>
          <cell r="K71" t="str">
            <v>D1</v>
          </cell>
          <cell r="L71">
            <v>534.52</v>
          </cell>
          <cell r="M71" t="str">
            <v>OK</v>
          </cell>
          <cell r="N71" t="str">
            <v>S</v>
          </cell>
          <cell r="O71">
            <v>1</v>
          </cell>
          <cell r="P71" t="str">
            <v>72005-1</v>
          </cell>
          <cell r="Q71" t="str">
            <v>ATL</v>
          </cell>
          <cell r="R71" t="str">
            <v xml:space="preserve"> </v>
          </cell>
          <cell r="S71" t="str">
            <v xml:space="preserve"> </v>
          </cell>
          <cell r="T71" t="str">
            <v>Eastridge Temporary Services</v>
          </cell>
          <cell r="U71" t="str">
            <v>Agency Temporary Labor</v>
          </cell>
          <cell r="V71" t="str">
            <v xml:space="preserve"> </v>
          </cell>
          <cell r="W71" t="str">
            <v>72005</v>
          </cell>
          <cell r="X71">
            <v>534.52</v>
          </cell>
          <cell r="Y71">
            <v>534.52</v>
          </cell>
        </row>
        <row r="72">
          <cell r="A72" t="str">
            <v xml:space="preserve"> 75</v>
          </cell>
          <cell r="B72" t="str">
            <v>003014</v>
          </cell>
          <cell r="C72" t="str">
            <v>cshp</v>
          </cell>
          <cell r="D72" t="str">
            <v>21/Dec/1998</v>
          </cell>
          <cell r="E72" t="str">
            <v>TMIN0038</v>
          </cell>
          <cell r="F72" t="str">
            <v>1998/12</v>
          </cell>
          <cell r="G72" t="str">
            <v>403220</v>
          </cell>
          <cell r="H72" t="str">
            <v>72005</v>
          </cell>
          <cell r="I72" t="str">
            <v>608000</v>
          </cell>
          <cell r="J72" t="str">
            <v>EASTRIDGE TEMPS</v>
          </cell>
          <cell r="K72" t="str">
            <v>D1</v>
          </cell>
          <cell r="L72">
            <v>650.72</v>
          </cell>
          <cell r="M72" t="str">
            <v>OK</v>
          </cell>
          <cell r="N72" t="str">
            <v>S</v>
          </cell>
          <cell r="O72">
            <v>1</v>
          </cell>
          <cell r="P72" t="str">
            <v>72005-1</v>
          </cell>
          <cell r="Q72" t="str">
            <v>ATL</v>
          </cell>
          <cell r="R72" t="str">
            <v xml:space="preserve"> </v>
          </cell>
          <cell r="S72" t="str">
            <v xml:space="preserve"> </v>
          </cell>
          <cell r="T72" t="str">
            <v>Eastridge Temporary Services</v>
          </cell>
          <cell r="U72" t="str">
            <v>Agency Temporary Labor</v>
          </cell>
          <cell r="V72" t="str">
            <v xml:space="preserve"> </v>
          </cell>
          <cell r="W72" t="str">
            <v>72005</v>
          </cell>
          <cell r="X72">
            <v>650.72</v>
          </cell>
          <cell r="Y72">
            <v>650.72</v>
          </cell>
        </row>
        <row r="73">
          <cell r="A73" t="str">
            <v xml:space="preserve"> 75</v>
          </cell>
          <cell r="B73" t="str">
            <v>003076</v>
          </cell>
          <cell r="C73" t="str">
            <v>cshp</v>
          </cell>
          <cell r="D73" t="str">
            <v>11/Nov/1998</v>
          </cell>
          <cell r="E73" t="str">
            <v>KPUR1021</v>
          </cell>
          <cell r="F73" t="str">
            <v>1998/11</v>
          </cell>
          <cell r="G73" t="str">
            <v>403220</v>
          </cell>
          <cell r="H73" t="str">
            <v>72005</v>
          </cell>
          <cell r="I73" t="str">
            <v>608000</v>
          </cell>
          <cell r="J73" t="str">
            <v>EASTRIDGE TEMPS WANNER10/11-18</v>
          </cell>
          <cell r="K73" t="str">
            <v>D1</v>
          </cell>
          <cell r="L73">
            <v>947.03</v>
          </cell>
          <cell r="M73" t="str">
            <v>OK</v>
          </cell>
          <cell r="N73" t="str">
            <v>S</v>
          </cell>
          <cell r="O73">
            <v>1</v>
          </cell>
          <cell r="P73" t="str">
            <v>72005-1</v>
          </cell>
          <cell r="Q73" t="str">
            <v>ATL</v>
          </cell>
          <cell r="R73" t="str">
            <v xml:space="preserve"> </v>
          </cell>
          <cell r="S73" t="str">
            <v xml:space="preserve"> </v>
          </cell>
          <cell r="T73" t="str">
            <v>Eastridge Temporary Services</v>
          </cell>
          <cell r="U73" t="str">
            <v>Agency Temporary Labor</v>
          </cell>
          <cell r="V73" t="str">
            <v xml:space="preserve"> </v>
          </cell>
          <cell r="W73" t="str">
            <v>72005</v>
          </cell>
          <cell r="X73">
            <v>947.03</v>
          </cell>
          <cell r="Y73">
            <v>947.03</v>
          </cell>
        </row>
        <row r="74">
          <cell r="A74" t="str">
            <v xml:space="preserve"> 01</v>
          </cell>
          <cell r="B74" t="str">
            <v>000763</v>
          </cell>
          <cell r="C74" t="str">
            <v>Jrnl</v>
          </cell>
          <cell r="D74" t="str">
            <v>16/Dec/1998</v>
          </cell>
          <cell r="E74" t="str">
            <v>NTON0068</v>
          </cell>
          <cell r="F74" t="str">
            <v>1998/12</v>
          </cell>
          <cell r="G74" t="str">
            <v>403890</v>
          </cell>
          <cell r="H74" t="str">
            <v>37130</v>
          </cell>
          <cell r="I74" t="str">
            <v>080000</v>
          </cell>
          <cell r="J74" t="str">
            <v>Interst Sweeps Nov 98</v>
          </cell>
          <cell r="K74" t="str">
            <v>D1</v>
          </cell>
          <cell r="L74">
            <v>-4.1500000000000004</v>
          </cell>
          <cell r="M74" t="str">
            <v>ok</v>
          </cell>
          <cell r="N74" t="str">
            <v>s</v>
          </cell>
          <cell r="O74">
            <v>1</v>
          </cell>
          <cell r="P74" t="str">
            <v>37130-1</v>
          </cell>
          <cell r="Q74" t="str">
            <v>si</v>
          </cell>
          <cell r="R74" t="str">
            <v xml:space="preserve"> </v>
          </cell>
          <cell r="S74" t="str">
            <v xml:space="preserve"> </v>
          </cell>
          <cell r="T74" t="str">
            <v>Eastridge Temporary Services Total</v>
          </cell>
          <cell r="U74" t="str">
            <v>Sweep Interest</v>
          </cell>
          <cell r="V74" t="str">
            <v>37130</v>
          </cell>
          <cell r="W74">
            <v>-4.1500000000000004</v>
          </cell>
          <cell r="X74">
            <v>2504.1099999999997</v>
          </cell>
        </row>
        <row r="75">
          <cell r="A75" t="str">
            <v xml:space="preserve"> 67</v>
          </cell>
          <cell r="B75" t="str">
            <v>201326</v>
          </cell>
          <cell r="C75" t="str">
            <v>Psbc</v>
          </cell>
          <cell r="D75" t="str">
            <v>25/Sep/1998</v>
          </cell>
          <cell r="E75" t="str">
            <v>DPAS0280</v>
          </cell>
          <cell r="F75" t="str">
            <v>1998/12</v>
          </cell>
          <cell r="G75" t="str">
            <v>400140</v>
          </cell>
          <cell r="H75" t="str">
            <v>53020</v>
          </cell>
          <cell r="I75" t="str">
            <v>408000</v>
          </cell>
          <cell r="J75" t="str">
            <v>FACILITEC</v>
          </cell>
          <cell r="K75" t="str">
            <v>D1</v>
          </cell>
          <cell r="L75">
            <v>603.57000000000005</v>
          </cell>
          <cell r="M75" t="str">
            <v>OK</v>
          </cell>
          <cell r="N75" t="str">
            <v>S</v>
          </cell>
          <cell r="O75">
            <v>1</v>
          </cell>
          <cell r="P75" t="str">
            <v>53020-1</v>
          </cell>
          <cell r="Q75" t="str">
            <v>FC</v>
          </cell>
          <cell r="R75" t="str">
            <v xml:space="preserve"> </v>
          </cell>
          <cell r="S75" t="str">
            <v xml:space="preserve"> </v>
          </cell>
          <cell r="T75" t="str">
            <v>Facilitec</v>
          </cell>
          <cell r="U75" t="str">
            <v>Facility Consultants- Office Reorg</v>
          </cell>
          <cell r="V75" t="str">
            <v xml:space="preserve"> </v>
          </cell>
          <cell r="W75" t="str">
            <v>53020</v>
          </cell>
          <cell r="X75">
            <v>603.57000000000005</v>
          </cell>
          <cell r="Y75">
            <v>603.57000000000005</v>
          </cell>
        </row>
        <row r="76">
          <cell r="A76" t="str">
            <v xml:space="preserve"> 01</v>
          </cell>
          <cell r="B76" t="str">
            <v>000741</v>
          </cell>
          <cell r="C76" t="str">
            <v>Jrnl</v>
          </cell>
          <cell r="D76" t="str">
            <v>09/Dec/1998</v>
          </cell>
          <cell r="E76" t="str">
            <v>NTON0044</v>
          </cell>
          <cell r="F76" t="str">
            <v>1998/12</v>
          </cell>
          <cell r="G76" t="str">
            <v>950895</v>
          </cell>
          <cell r="H76" t="str">
            <v>37130</v>
          </cell>
          <cell r="I76" t="str">
            <v>090001</v>
          </cell>
          <cell r="J76" t="str">
            <v>IntAdvNov98CDSBTrFaxWells</v>
          </cell>
          <cell r="K76" t="str">
            <v>D1</v>
          </cell>
          <cell r="L76">
            <v>-133.01</v>
          </cell>
          <cell r="M76" t="str">
            <v>ok</v>
          </cell>
          <cell r="N76" t="str">
            <v>s</v>
          </cell>
          <cell r="O76">
            <v>1</v>
          </cell>
          <cell r="P76" t="str">
            <v>37130-1</v>
          </cell>
          <cell r="Q76" t="str">
            <v>si</v>
          </cell>
          <cell r="R76" t="str">
            <v xml:space="preserve"> </v>
          </cell>
          <cell r="S76" t="str">
            <v xml:space="preserve"> </v>
          </cell>
          <cell r="T76" t="str">
            <v>Facilitec Total</v>
          </cell>
          <cell r="U76" t="str">
            <v>Sweep Interest</v>
          </cell>
          <cell r="V76" t="str">
            <v>37130</v>
          </cell>
          <cell r="W76">
            <v>-133.01</v>
          </cell>
          <cell r="X76">
            <v>603.57000000000005</v>
          </cell>
        </row>
        <row r="77">
          <cell r="A77" t="str">
            <v xml:space="preserve"> 75</v>
          </cell>
          <cell r="B77" t="str">
            <v>003067</v>
          </cell>
          <cell r="C77" t="str">
            <v>cshp</v>
          </cell>
          <cell r="D77" t="str">
            <v>10/Nov/1998</v>
          </cell>
          <cell r="E77" t="str">
            <v>KPUR1015</v>
          </cell>
          <cell r="F77" t="str">
            <v>1998/11</v>
          </cell>
          <cell r="G77" t="str">
            <v>400850</v>
          </cell>
          <cell r="H77" t="str">
            <v>72005</v>
          </cell>
          <cell r="I77" t="str">
            <v>608000</v>
          </cell>
          <cell r="J77" t="str">
            <v>HILL &amp; HILL DESIGNS PO 3314</v>
          </cell>
          <cell r="K77" t="str">
            <v>D1</v>
          </cell>
          <cell r="L77">
            <v>2614.63</v>
          </cell>
          <cell r="M77" t="str">
            <v>OK</v>
          </cell>
          <cell r="N77" t="str">
            <v>S</v>
          </cell>
          <cell r="O77">
            <v>1</v>
          </cell>
          <cell r="P77" t="str">
            <v>72005-1</v>
          </cell>
          <cell r="Q77" t="str">
            <v>FC</v>
          </cell>
          <cell r="R77" t="str">
            <v xml:space="preserve"> </v>
          </cell>
          <cell r="S77" t="str">
            <v xml:space="preserve"> </v>
          </cell>
          <cell r="T77" t="str">
            <v>Hill &amp; Hill Designs</v>
          </cell>
          <cell r="U77" t="str">
            <v>Facility Consultants- Office Reorg</v>
          </cell>
          <cell r="V77" t="str">
            <v xml:space="preserve"> </v>
          </cell>
          <cell r="W77" t="str">
            <v>72005</v>
          </cell>
          <cell r="X77">
            <v>2614.63</v>
          </cell>
          <cell r="Y77">
            <v>2614.63</v>
          </cell>
        </row>
        <row r="78">
          <cell r="A78" t="str">
            <v xml:space="preserve"> 01</v>
          </cell>
          <cell r="B78" t="str">
            <v>000460</v>
          </cell>
          <cell r="C78" t="str">
            <v>Jrnl</v>
          </cell>
          <cell r="D78" t="str">
            <v>30/Jun/1998</v>
          </cell>
          <cell r="E78" t="str">
            <v>KPUR0692</v>
          </cell>
          <cell r="F78" t="str">
            <v>1998/06</v>
          </cell>
          <cell r="G78" t="str">
            <v>081890</v>
          </cell>
          <cell r="H78" t="str">
            <v>37130</v>
          </cell>
          <cell r="I78" t="str">
            <v>080000</v>
          </cell>
          <cell r="J78" t="str">
            <v>RECLASS INT. SWEEP 01-05</v>
          </cell>
          <cell r="K78" t="str">
            <v>C1</v>
          </cell>
          <cell r="L78">
            <v>-631.76</v>
          </cell>
          <cell r="M78" t="str">
            <v>ok</v>
          </cell>
          <cell r="N78" t="str">
            <v>s</v>
          </cell>
          <cell r="O78">
            <v>1</v>
          </cell>
          <cell r="P78" t="str">
            <v>37130-1</v>
          </cell>
          <cell r="Q78" t="str">
            <v>si</v>
          </cell>
          <cell r="R78" t="str">
            <v xml:space="preserve"> </v>
          </cell>
          <cell r="S78" t="str">
            <v xml:space="preserve"> </v>
          </cell>
          <cell r="T78" t="str">
            <v>Hill &amp; Hill Designs Total</v>
          </cell>
          <cell r="U78" t="str">
            <v>Sweep Interest</v>
          </cell>
          <cell r="V78" t="str">
            <v>37130</v>
          </cell>
          <cell r="W78">
            <v>-631.76</v>
          </cell>
          <cell r="X78">
            <v>2614.63</v>
          </cell>
        </row>
        <row r="79">
          <cell r="A79" t="str">
            <v xml:space="preserve"> 67</v>
          </cell>
          <cell r="B79" t="str">
            <v>200302</v>
          </cell>
          <cell r="C79" t="str">
            <v>Psbc</v>
          </cell>
          <cell r="D79" t="str">
            <v>11/Apr/1998</v>
          </cell>
          <cell r="E79" t="str">
            <v>KPUR0293</v>
          </cell>
          <cell r="F79" t="str">
            <v>1998/04</v>
          </cell>
          <cell r="G79" t="str">
            <v>853820</v>
          </cell>
          <cell r="H79" t="str">
            <v>72005</v>
          </cell>
          <cell r="I79" t="str">
            <v>601000</v>
          </cell>
          <cell r="J79" t="str">
            <v>ANNA ROMANOVA TRANSLATION</v>
          </cell>
          <cell r="K79" t="str">
            <v>D1</v>
          </cell>
          <cell r="L79">
            <v>270</v>
          </cell>
          <cell r="M79" t="str">
            <v>OK</v>
          </cell>
          <cell r="N79" t="str">
            <v>S</v>
          </cell>
          <cell r="O79">
            <v>1</v>
          </cell>
          <cell r="P79" t="str">
            <v>72005-1</v>
          </cell>
          <cell r="Q79" t="str">
            <v>LT</v>
          </cell>
          <cell r="R79" t="str">
            <v xml:space="preserve"> </v>
          </cell>
          <cell r="S79" t="str">
            <v xml:space="preserve"> </v>
          </cell>
          <cell r="T79" t="str">
            <v>Anna Romanova</v>
          </cell>
          <cell r="U79" t="str">
            <v>Language Translation</v>
          </cell>
          <cell r="V79" t="str">
            <v xml:space="preserve"> </v>
          </cell>
          <cell r="W79" t="str">
            <v>72005</v>
          </cell>
          <cell r="X79">
            <v>270</v>
          </cell>
          <cell r="Y79">
            <v>270</v>
          </cell>
        </row>
        <row r="80">
          <cell r="A80" t="str">
            <v xml:space="preserve"> 67</v>
          </cell>
          <cell r="B80" t="str">
            <v>200577</v>
          </cell>
          <cell r="C80" t="str">
            <v>Psbc</v>
          </cell>
          <cell r="D80" t="str">
            <v>13/Aug/1998</v>
          </cell>
          <cell r="E80" t="str">
            <v>KPUR0851</v>
          </cell>
          <cell r="F80" t="str">
            <v>1998/08</v>
          </cell>
          <cell r="G80" t="str">
            <v>853820</v>
          </cell>
          <cell r="H80" t="str">
            <v>72005</v>
          </cell>
          <cell r="I80" t="str">
            <v>601000</v>
          </cell>
          <cell r="J80" t="str">
            <v>ROMANOVA PO 52063</v>
          </cell>
          <cell r="K80" t="str">
            <v>D1</v>
          </cell>
          <cell r="L80">
            <v>380</v>
          </cell>
          <cell r="M80" t="str">
            <v>OK</v>
          </cell>
          <cell r="N80" t="str">
            <v>S</v>
          </cell>
          <cell r="O80">
            <v>1</v>
          </cell>
          <cell r="P80" t="str">
            <v>72005-1</v>
          </cell>
          <cell r="Q80" t="str">
            <v>LT</v>
          </cell>
          <cell r="R80" t="str">
            <v xml:space="preserve"> </v>
          </cell>
          <cell r="S80" t="str">
            <v xml:space="preserve"> </v>
          </cell>
          <cell r="T80" t="str">
            <v>Anna Romanova</v>
          </cell>
          <cell r="U80" t="str">
            <v>Language Translation</v>
          </cell>
          <cell r="V80" t="str">
            <v xml:space="preserve"> </v>
          </cell>
          <cell r="W80" t="str">
            <v>72005</v>
          </cell>
          <cell r="X80">
            <v>380</v>
          </cell>
          <cell r="Y80">
            <v>380</v>
          </cell>
        </row>
        <row r="81">
          <cell r="A81" t="str">
            <v xml:space="preserve"> 67</v>
          </cell>
          <cell r="B81" t="str">
            <v>200406</v>
          </cell>
          <cell r="C81" t="str">
            <v>Psbc</v>
          </cell>
          <cell r="D81" t="str">
            <v>16/May/1998</v>
          </cell>
          <cell r="E81" t="str">
            <v>MWAL0008</v>
          </cell>
          <cell r="F81" t="str">
            <v>1998/05</v>
          </cell>
          <cell r="G81" t="str">
            <v>853820</v>
          </cell>
          <cell r="H81" t="str">
            <v>72005</v>
          </cell>
          <cell r="I81" t="str">
            <v>601000</v>
          </cell>
          <cell r="J81" t="str">
            <v>Anna Romanova BEL98-51146</v>
          </cell>
          <cell r="K81" t="str">
            <v>D1</v>
          </cell>
          <cell r="L81">
            <v>460</v>
          </cell>
          <cell r="M81" t="str">
            <v>OK</v>
          </cell>
          <cell r="N81" t="str">
            <v>S</v>
          </cell>
          <cell r="O81">
            <v>1</v>
          </cell>
          <cell r="P81" t="str">
            <v>72005-1</v>
          </cell>
          <cell r="Q81" t="str">
            <v>LT</v>
          </cell>
          <cell r="R81" t="str">
            <v xml:space="preserve"> </v>
          </cell>
          <cell r="S81" t="str">
            <v xml:space="preserve"> </v>
          </cell>
          <cell r="T81" t="str">
            <v>Anna Romanova</v>
          </cell>
          <cell r="U81" t="str">
            <v>Language Translation</v>
          </cell>
          <cell r="V81" t="str">
            <v xml:space="preserve"> </v>
          </cell>
          <cell r="W81" t="str">
            <v>72005</v>
          </cell>
          <cell r="X81">
            <v>460</v>
          </cell>
          <cell r="Y81">
            <v>460</v>
          </cell>
        </row>
        <row r="82">
          <cell r="A82" t="str">
            <v xml:space="preserve"> 67</v>
          </cell>
          <cell r="B82" t="str">
            <v>200360</v>
          </cell>
          <cell r="C82" t="str">
            <v>Psbc</v>
          </cell>
          <cell r="D82" t="str">
            <v>02/May/1998</v>
          </cell>
          <cell r="E82" t="str">
            <v>KPUR0405</v>
          </cell>
          <cell r="F82" t="str">
            <v>1998/05</v>
          </cell>
          <cell r="G82" t="str">
            <v>853820</v>
          </cell>
          <cell r="H82" t="str">
            <v>72005</v>
          </cell>
          <cell r="I82" t="str">
            <v>601000</v>
          </cell>
          <cell r="J82" t="str">
            <v>ROMANOVA TRANSLATION 5/2/98</v>
          </cell>
          <cell r="K82" t="str">
            <v>D1</v>
          </cell>
          <cell r="L82">
            <v>650</v>
          </cell>
          <cell r="M82" t="str">
            <v>OK</v>
          </cell>
          <cell r="N82" t="str">
            <v>S</v>
          </cell>
          <cell r="O82">
            <v>1</v>
          </cell>
          <cell r="P82" t="str">
            <v>72005-1</v>
          </cell>
          <cell r="Q82" t="str">
            <v>LT</v>
          </cell>
          <cell r="R82" t="str">
            <v xml:space="preserve"> </v>
          </cell>
          <cell r="S82" t="str">
            <v xml:space="preserve"> </v>
          </cell>
          <cell r="T82" t="str">
            <v>Anna Romanova</v>
          </cell>
          <cell r="U82" t="str">
            <v>Language Translation</v>
          </cell>
          <cell r="V82" t="str">
            <v xml:space="preserve"> </v>
          </cell>
          <cell r="W82" t="str">
            <v>72005</v>
          </cell>
          <cell r="X82">
            <v>650</v>
          </cell>
          <cell r="Y82">
            <v>650</v>
          </cell>
        </row>
        <row r="83">
          <cell r="A83" t="str">
            <v xml:space="preserve"> 67</v>
          </cell>
          <cell r="B83" t="str">
            <v>200432</v>
          </cell>
          <cell r="C83" t="str">
            <v>Psbc</v>
          </cell>
          <cell r="D83" t="str">
            <v>30/May/1998</v>
          </cell>
          <cell r="E83" t="str">
            <v>MWAL0015</v>
          </cell>
          <cell r="F83" t="str">
            <v>1998/06</v>
          </cell>
          <cell r="G83" t="str">
            <v>853820</v>
          </cell>
          <cell r="H83" t="str">
            <v>72005</v>
          </cell>
          <cell r="I83" t="str">
            <v>601000</v>
          </cell>
          <cell r="J83" t="str">
            <v>Anna Romanova PO#BEl98-51286</v>
          </cell>
          <cell r="K83" t="str">
            <v>D1</v>
          </cell>
          <cell r="L83">
            <v>1040</v>
          </cell>
          <cell r="M83" t="str">
            <v>OK</v>
          </cell>
          <cell r="N83" t="str">
            <v>S</v>
          </cell>
          <cell r="O83">
            <v>1</v>
          </cell>
          <cell r="P83" t="str">
            <v>72005-1</v>
          </cell>
          <cell r="Q83" t="str">
            <v>LT</v>
          </cell>
          <cell r="R83" t="str">
            <v xml:space="preserve"> </v>
          </cell>
          <cell r="S83" t="str">
            <v xml:space="preserve"> </v>
          </cell>
          <cell r="T83" t="str">
            <v>Anna Romanova</v>
          </cell>
          <cell r="U83" t="str">
            <v>Language Translation</v>
          </cell>
          <cell r="V83" t="str">
            <v xml:space="preserve"> </v>
          </cell>
          <cell r="W83" t="str">
            <v>72005</v>
          </cell>
          <cell r="X83">
            <v>1040</v>
          </cell>
          <cell r="Y83">
            <v>1040</v>
          </cell>
        </row>
        <row r="84">
          <cell r="A84" t="str">
            <v xml:space="preserve"> 67</v>
          </cell>
          <cell r="B84" t="str">
            <v>200455</v>
          </cell>
          <cell r="C84" t="str">
            <v>Psbc</v>
          </cell>
          <cell r="D84" t="str">
            <v>15/Jun/1998</v>
          </cell>
          <cell r="E84" t="str">
            <v>MWAL0029</v>
          </cell>
          <cell r="F84" t="str">
            <v>1998/06</v>
          </cell>
          <cell r="G84" t="str">
            <v>853820</v>
          </cell>
          <cell r="H84" t="str">
            <v>72005</v>
          </cell>
          <cell r="I84" t="str">
            <v>601000</v>
          </cell>
          <cell r="J84" t="str">
            <v>A Romanova PO#BEL98-51478</v>
          </cell>
          <cell r="K84" t="str">
            <v>D1</v>
          </cell>
          <cell r="L84">
            <v>1160</v>
          </cell>
          <cell r="M84" t="str">
            <v>OK</v>
          </cell>
          <cell r="N84" t="str">
            <v>S</v>
          </cell>
          <cell r="O84">
            <v>1</v>
          </cell>
          <cell r="P84" t="str">
            <v>72005-1</v>
          </cell>
          <cell r="Q84" t="str">
            <v>LT</v>
          </cell>
          <cell r="R84" t="str">
            <v xml:space="preserve"> </v>
          </cell>
          <cell r="S84" t="str">
            <v xml:space="preserve"> </v>
          </cell>
          <cell r="T84" t="str">
            <v>Anna Romanova</v>
          </cell>
          <cell r="U84" t="str">
            <v>Language Translation</v>
          </cell>
          <cell r="V84" t="str">
            <v xml:space="preserve"> </v>
          </cell>
          <cell r="W84" t="str">
            <v>72005</v>
          </cell>
          <cell r="X84">
            <v>1160</v>
          </cell>
          <cell r="Y84">
            <v>1160</v>
          </cell>
        </row>
        <row r="85">
          <cell r="A85" t="str">
            <v xml:space="preserve"> 01</v>
          </cell>
          <cell r="B85" t="str">
            <v>000546</v>
          </cell>
          <cell r="C85" t="str">
            <v>Jrnl</v>
          </cell>
          <cell r="D85" t="str">
            <v>31/Aug/1998</v>
          </cell>
          <cell r="E85" t="str">
            <v>TLOH2054</v>
          </cell>
          <cell r="F85" t="str">
            <v>1998/08</v>
          </cell>
          <cell r="G85" t="str">
            <v>853820</v>
          </cell>
          <cell r="H85" t="str">
            <v>72005</v>
          </cell>
          <cell r="I85" t="str">
            <v>601000</v>
          </cell>
          <cell r="J85" t="str">
            <v>ZDA - 1099 ROMANOVA</v>
          </cell>
          <cell r="K85" t="str">
            <v>D1</v>
          </cell>
          <cell r="L85">
            <v>1280</v>
          </cell>
          <cell r="M85" t="str">
            <v>OK</v>
          </cell>
          <cell r="N85" t="str">
            <v>S</v>
          </cell>
          <cell r="O85">
            <v>1</v>
          </cell>
          <cell r="P85" t="str">
            <v>72005-1</v>
          </cell>
          <cell r="Q85" t="str">
            <v>LT</v>
          </cell>
          <cell r="R85" t="str">
            <v xml:space="preserve"> </v>
          </cell>
          <cell r="S85" t="str">
            <v xml:space="preserve"> </v>
          </cell>
          <cell r="T85" t="str">
            <v>Anna Romanova</v>
          </cell>
          <cell r="U85" t="str">
            <v>Language Translation</v>
          </cell>
          <cell r="V85" t="str">
            <v xml:space="preserve"> </v>
          </cell>
          <cell r="W85" t="str">
            <v>72005</v>
          </cell>
          <cell r="X85">
            <v>1280</v>
          </cell>
          <cell r="Y85">
            <v>1280</v>
          </cell>
        </row>
        <row r="86">
          <cell r="A86" t="str">
            <v xml:space="preserve"> 75</v>
          </cell>
          <cell r="B86" t="str">
            <v>002482</v>
          </cell>
          <cell r="C86" t="str">
            <v>cshp</v>
          </cell>
          <cell r="D86" t="str">
            <v>08/Jul/1998</v>
          </cell>
          <cell r="E86" t="str">
            <v>KPUR0682</v>
          </cell>
          <cell r="F86" t="str">
            <v>1998/07</v>
          </cell>
          <cell r="G86" t="str">
            <v>853820</v>
          </cell>
          <cell r="H86" t="str">
            <v>72005</v>
          </cell>
          <cell r="I86" t="str">
            <v>601000</v>
          </cell>
          <cell r="J86" t="str">
            <v>ANNA ROMANOVA PO 51659</v>
          </cell>
          <cell r="K86" t="str">
            <v>D1</v>
          </cell>
          <cell r="L86">
            <v>1360</v>
          </cell>
          <cell r="M86" t="str">
            <v>OK</v>
          </cell>
          <cell r="N86" t="str">
            <v>S</v>
          </cell>
          <cell r="O86">
            <v>1</v>
          </cell>
          <cell r="P86" t="str">
            <v>72005-1</v>
          </cell>
          <cell r="Q86" t="str">
            <v>LT</v>
          </cell>
          <cell r="R86" t="str">
            <v xml:space="preserve"> </v>
          </cell>
          <cell r="S86" t="str">
            <v xml:space="preserve"> </v>
          </cell>
          <cell r="T86" t="str">
            <v>Anna Romanova</v>
          </cell>
          <cell r="U86" t="str">
            <v>Language Translation</v>
          </cell>
          <cell r="V86" t="str">
            <v xml:space="preserve"> </v>
          </cell>
          <cell r="W86" t="str">
            <v>72005</v>
          </cell>
          <cell r="X86">
            <v>1360</v>
          </cell>
          <cell r="Y86">
            <v>1360</v>
          </cell>
        </row>
        <row r="87">
          <cell r="A87" t="str">
            <v xml:space="preserve"> 75</v>
          </cell>
          <cell r="B87" t="str">
            <v>002515</v>
          </cell>
          <cell r="C87" t="str">
            <v>cshp</v>
          </cell>
          <cell r="D87" t="str">
            <v>29/Jul/1998</v>
          </cell>
          <cell r="E87" t="str">
            <v>MWAL0075</v>
          </cell>
          <cell r="F87" t="str">
            <v>1998/09</v>
          </cell>
          <cell r="G87" t="str">
            <v>853820</v>
          </cell>
          <cell r="H87" t="str">
            <v>72005</v>
          </cell>
          <cell r="I87" t="str">
            <v>601000</v>
          </cell>
          <cell r="J87" t="str">
            <v>Anna Romanova</v>
          </cell>
          <cell r="K87" t="str">
            <v>D1</v>
          </cell>
          <cell r="L87">
            <v>1860</v>
          </cell>
          <cell r="M87" t="str">
            <v>OK</v>
          </cell>
          <cell r="N87" t="str">
            <v>S</v>
          </cell>
          <cell r="O87">
            <v>1</v>
          </cell>
          <cell r="P87" t="str">
            <v>72005-1</v>
          </cell>
          <cell r="Q87" t="str">
            <v>LT</v>
          </cell>
          <cell r="R87" t="str">
            <v xml:space="preserve"> </v>
          </cell>
          <cell r="S87" t="str">
            <v xml:space="preserve"> </v>
          </cell>
          <cell r="T87" t="str">
            <v>Anna Romanova</v>
          </cell>
          <cell r="U87" t="str">
            <v>Language Translation</v>
          </cell>
          <cell r="V87" t="str">
            <v xml:space="preserve"> </v>
          </cell>
          <cell r="W87" t="str">
            <v>72005</v>
          </cell>
          <cell r="X87">
            <v>1860</v>
          </cell>
          <cell r="Y87">
            <v>1860</v>
          </cell>
        </row>
        <row r="88">
          <cell r="A88" t="str">
            <v xml:space="preserve"> 01</v>
          </cell>
          <cell r="B88" t="str">
            <v>000462</v>
          </cell>
          <cell r="C88" t="str">
            <v>Jrnl</v>
          </cell>
          <cell r="D88" t="str">
            <v>30/Jun/1998</v>
          </cell>
          <cell r="E88" t="str">
            <v>KPUR0692</v>
          </cell>
          <cell r="F88" t="str">
            <v>1998/06</v>
          </cell>
          <cell r="G88" t="str">
            <v>403890</v>
          </cell>
          <cell r="H88" t="str">
            <v>37130</v>
          </cell>
          <cell r="I88" t="str">
            <v>608000</v>
          </cell>
          <cell r="J88" t="str">
            <v>RECLASS APR INTEREST SWEEPS</v>
          </cell>
          <cell r="K88" t="str">
            <v>D1</v>
          </cell>
          <cell r="L88">
            <v>-46.46</v>
          </cell>
          <cell r="M88" t="str">
            <v>xi</v>
          </cell>
          <cell r="N88" t="str">
            <v>s</v>
          </cell>
          <cell r="O88" t="str">
            <v>Error</v>
          </cell>
          <cell r="P88" t="str">
            <v>37130-Error</v>
          </cell>
          <cell r="R88" t="str">
            <v xml:space="preserve"> </v>
          </cell>
          <cell r="S88" t="str">
            <v xml:space="preserve"> </v>
          </cell>
          <cell r="T88" t="str">
            <v>Anna Romanova Total</v>
          </cell>
          <cell r="U88">
            <v>0</v>
          </cell>
          <cell r="V88" t="str">
            <v>37130</v>
          </cell>
          <cell r="W88">
            <v>-46.46</v>
          </cell>
          <cell r="X88">
            <v>8460</v>
          </cell>
        </row>
        <row r="89">
          <cell r="A89" t="str">
            <v xml:space="preserve"> 01</v>
          </cell>
          <cell r="B89" t="str">
            <v>000722</v>
          </cell>
          <cell r="C89" t="str">
            <v>Jrnl</v>
          </cell>
          <cell r="D89" t="str">
            <v>23/Nov/1998</v>
          </cell>
          <cell r="E89" t="str">
            <v>NTON0028</v>
          </cell>
          <cell r="F89" t="str">
            <v>1998/11</v>
          </cell>
          <cell r="G89" t="str">
            <v>401220</v>
          </cell>
          <cell r="H89" t="str">
            <v>72005</v>
          </cell>
          <cell r="I89" t="str">
            <v>608000</v>
          </cell>
          <cell r="J89" t="str">
            <v>PE 11/7 Arlt - Kingman</v>
          </cell>
          <cell r="K89" t="str">
            <v>D1</v>
          </cell>
          <cell r="L89">
            <v>120</v>
          </cell>
          <cell r="M89" t="str">
            <v>OK</v>
          </cell>
          <cell r="N89" t="str">
            <v>S</v>
          </cell>
          <cell r="O89">
            <v>1</v>
          </cell>
          <cell r="P89" t="str">
            <v>72005-1</v>
          </cell>
          <cell r="Q89" t="str">
            <v>MC</v>
          </cell>
          <cell r="R89" t="str">
            <v xml:space="preserve"> </v>
          </cell>
          <cell r="S89" t="str">
            <v xml:space="preserve"> </v>
          </cell>
          <cell r="T89" t="str">
            <v>Dr. Kingman</v>
          </cell>
          <cell r="U89" t="str">
            <v>Medical Consultant</v>
          </cell>
          <cell r="V89" t="str">
            <v xml:space="preserve"> </v>
          </cell>
          <cell r="W89" t="str">
            <v>72005</v>
          </cell>
          <cell r="X89">
            <v>120</v>
          </cell>
          <cell r="Y89">
            <v>120</v>
          </cell>
        </row>
        <row r="90">
          <cell r="A90" t="str">
            <v xml:space="preserve"> 01</v>
          </cell>
          <cell r="B90" t="str">
            <v>000746</v>
          </cell>
          <cell r="C90" t="str">
            <v>Jrnl</v>
          </cell>
          <cell r="D90" t="str">
            <v>11/Dec/1998</v>
          </cell>
          <cell r="E90" t="str">
            <v>NTON0052</v>
          </cell>
          <cell r="F90" t="str">
            <v>1998/12</v>
          </cell>
          <cell r="G90" t="str">
            <v>401220</v>
          </cell>
          <cell r="H90" t="str">
            <v>72005</v>
          </cell>
          <cell r="I90" t="str">
            <v>608000</v>
          </cell>
          <cell r="J90" t="str">
            <v>PE 11/21 Arlt- Kingman</v>
          </cell>
          <cell r="K90" t="str">
            <v>D1</v>
          </cell>
          <cell r="L90">
            <v>240</v>
          </cell>
          <cell r="M90" t="str">
            <v>OK</v>
          </cell>
          <cell r="N90" t="str">
            <v>S</v>
          </cell>
          <cell r="O90">
            <v>1</v>
          </cell>
          <cell r="P90" t="str">
            <v>72005-1</v>
          </cell>
          <cell r="Q90" t="str">
            <v>MC</v>
          </cell>
          <cell r="R90" t="str">
            <v xml:space="preserve"> </v>
          </cell>
          <cell r="S90" t="str">
            <v xml:space="preserve"> </v>
          </cell>
          <cell r="T90" t="str">
            <v>Dr. Kingman</v>
          </cell>
          <cell r="U90" t="str">
            <v>Medical Consultant</v>
          </cell>
          <cell r="V90" t="str">
            <v xml:space="preserve"> </v>
          </cell>
          <cell r="W90" t="str">
            <v>72005</v>
          </cell>
          <cell r="X90">
            <v>240</v>
          </cell>
          <cell r="Y90">
            <v>240</v>
          </cell>
        </row>
        <row r="91">
          <cell r="A91" t="str">
            <v xml:space="preserve"> 01</v>
          </cell>
          <cell r="B91" t="str">
            <v>000731</v>
          </cell>
          <cell r="C91" t="str">
            <v>Jrnl</v>
          </cell>
          <cell r="D91" t="str">
            <v>30/Nov/1998</v>
          </cell>
          <cell r="E91" t="str">
            <v>NTON0035</v>
          </cell>
          <cell r="F91" t="str">
            <v>1998/11</v>
          </cell>
          <cell r="G91" t="str">
            <v>400220</v>
          </cell>
          <cell r="H91" t="str">
            <v>72005</v>
          </cell>
          <cell r="I91" t="str">
            <v>608006</v>
          </cell>
          <cell r="J91" t="str">
            <v>Ck #498 Dr. Kingman</v>
          </cell>
          <cell r="K91" t="str">
            <v>D1</v>
          </cell>
          <cell r="L91">
            <v>550</v>
          </cell>
          <cell r="M91" t="str">
            <v>OK</v>
          </cell>
          <cell r="N91" t="str">
            <v>S</v>
          </cell>
          <cell r="O91">
            <v>1</v>
          </cell>
          <cell r="P91" t="str">
            <v>72005-1</v>
          </cell>
          <cell r="Q91" t="str">
            <v>MC</v>
          </cell>
          <cell r="R91" t="str">
            <v xml:space="preserve"> </v>
          </cell>
          <cell r="S91" t="str">
            <v xml:space="preserve"> </v>
          </cell>
          <cell r="T91" t="str">
            <v>Dr. Kingman</v>
          </cell>
          <cell r="U91" t="str">
            <v>Medical Consultant</v>
          </cell>
          <cell r="V91" t="str">
            <v xml:space="preserve"> </v>
          </cell>
          <cell r="W91" t="str">
            <v>72005</v>
          </cell>
          <cell r="X91">
            <v>550</v>
          </cell>
          <cell r="Y91">
            <v>550</v>
          </cell>
        </row>
        <row r="92">
          <cell r="A92" t="str">
            <v xml:space="preserve"> 01</v>
          </cell>
          <cell r="B92" t="str">
            <v>000730</v>
          </cell>
          <cell r="C92" t="str">
            <v>Jrnl</v>
          </cell>
          <cell r="D92" t="str">
            <v>10/Nov/1998</v>
          </cell>
          <cell r="E92" t="str">
            <v>NTON0035</v>
          </cell>
          <cell r="F92" t="str">
            <v>1998/11</v>
          </cell>
          <cell r="G92" t="str">
            <v>400220</v>
          </cell>
          <cell r="H92" t="str">
            <v>72005</v>
          </cell>
          <cell r="I92" t="str">
            <v>608000</v>
          </cell>
          <cell r="J92" t="str">
            <v>Ck #534 Dr. Kingman</v>
          </cell>
          <cell r="K92" t="str">
            <v>D1</v>
          </cell>
          <cell r="L92">
            <v>880</v>
          </cell>
          <cell r="M92" t="str">
            <v>OK</v>
          </cell>
          <cell r="N92" t="str">
            <v>S</v>
          </cell>
          <cell r="O92">
            <v>1</v>
          </cell>
          <cell r="P92" t="str">
            <v>72005-1</v>
          </cell>
          <cell r="Q92" t="str">
            <v>MC</v>
          </cell>
          <cell r="R92" t="str">
            <v xml:space="preserve"> </v>
          </cell>
          <cell r="S92" t="str">
            <v xml:space="preserve"> </v>
          </cell>
          <cell r="T92" t="str">
            <v>Dr. Kingman</v>
          </cell>
          <cell r="U92" t="str">
            <v>Medical Consultant</v>
          </cell>
          <cell r="V92" t="str">
            <v xml:space="preserve"> </v>
          </cell>
          <cell r="W92" t="str">
            <v>72005</v>
          </cell>
          <cell r="X92">
            <v>880</v>
          </cell>
          <cell r="Y92">
            <v>880</v>
          </cell>
        </row>
        <row r="93">
          <cell r="A93" t="str">
            <v xml:space="preserve"> 01</v>
          </cell>
          <cell r="B93" t="str">
            <v>000746</v>
          </cell>
          <cell r="C93" t="str">
            <v>Jrnl</v>
          </cell>
          <cell r="D93" t="str">
            <v>11/Dec/1998</v>
          </cell>
          <cell r="E93" t="str">
            <v>NTON0052</v>
          </cell>
          <cell r="F93" t="str">
            <v>1998/12</v>
          </cell>
          <cell r="G93" t="str">
            <v>401220</v>
          </cell>
          <cell r="H93" t="str">
            <v>72005</v>
          </cell>
          <cell r="I93" t="str">
            <v>608000</v>
          </cell>
          <cell r="J93" t="str">
            <v>PE 11/21 Kingman</v>
          </cell>
          <cell r="K93" t="str">
            <v>D1</v>
          </cell>
          <cell r="L93">
            <v>1100</v>
          </cell>
          <cell r="M93" t="str">
            <v>OK</v>
          </cell>
          <cell r="N93" t="str">
            <v>S</v>
          </cell>
          <cell r="O93">
            <v>1</v>
          </cell>
          <cell r="P93" t="str">
            <v>72005-1</v>
          </cell>
          <cell r="Q93" t="str">
            <v>MC</v>
          </cell>
          <cell r="R93" t="str">
            <v xml:space="preserve"> </v>
          </cell>
          <cell r="S93" t="str">
            <v xml:space="preserve"> </v>
          </cell>
          <cell r="T93" t="str">
            <v>Dr. Kingman</v>
          </cell>
          <cell r="U93" t="str">
            <v>Medical Consultant</v>
          </cell>
          <cell r="V93" t="str">
            <v xml:space="preserve"> </v>
          </cell>
          <cell r="W93" t="str">
            <v>72005</v>
          </cell>
          <cell r="X93">
            <v>1100</v>
          </cell>
          <cell r="Y93">
            <v>1100</v>
          </cell>
        </row>
        <row r="94">
          <cell r="A94" t="str">
            <v xml:space="preserve"> 01</v>
          </cell>
          <cell r="B94" t="str">
            <v>000722</v>
          </cell>
          <cell r="C94" t="str">
            <v>Jrnl</v>
          </cell>
          <cell r="D94" t="str">
            <v>23/Nov/1998</v>
          </cell>
          <cell r="E94" t="str">
            <v>NTON0028</v>
          </cell>
          <cell r="F94" t="str">
            <v>1998/11</v>
          </cell>
          <cell r="G94" t="str">
            <v>401220</v>
          </cell>
          <cell r="H94" t="str">
            <v>72005</v>
          </cell>
          <cell r="I94" t="str">
            <v>608000</v>
          </cell>
          <cell r="J94" t="str">
            <v>PE 11/7 Kingman</v>
          </cell>
          <cell r="K94" t="str">
            <v>D1</v>
          </cell>
          <cell r="L94">
            <v>1100</v>
          </cell>
          <cell r="M94" t="str">
            <v>OK</v>
          </cell>
          <cell r="N94" t="str">
            <v>S</v>
          </cell>
          <cell r="O94">
            <v>1</v>
          </cell>
          <cell r="P94" t="str">
            <v>72005-1</v>
          </cell>
          <cell r="Q94" t="str">
            <v>MC</v>
          </cell>
          <cell r="R94" t="str">
            <v xml:space="preserve"> </v>
          </cell>
          <cell r="S94" t="str">
            <v xml:space="preserve"> </v>
          </cell>
          <cell r="T94" t="str">
            <v>Dr. Kingman</v>
          </cell>
          <cell r="U94" t="str">
            <v>Medical Consultant</v>
          </cell>
          <cell r="V94" t="str">
            <v xml:space="preserve"> </v>
          </cell>
          <cell r="W94" t="str">
            <v>72005</v>
          </cell>
          <cell r="X94">
            <v>1100</v>
          </cell>
          <cell r="Y94">
            <v>1100</v>
          </cell>
        </row>
        <row r="95">
          <cell r="A95" t="str">
            <v xml:space="preserve"> 01</v>
          </cell>
          <cell r="B95" t="str">
            <v>000776</v>
          </cell>
          <cell r="C95" t="str">
            <v>Jrnl</v>
          </cell>
          <cell r="D95" t="str">
            <v>17/Dec/1998</v>
          </cell>
          <cell r="E95" t="str">
            <v>NTON0082</v>
          </cell>
          <cell r="F95" t="str">
            <v>1998/12</v>
          </cell>
          <cell r="G95" t="str">
            <v>401220</v>
          </cell>
          <cell r="H95" t="str">
            <v>72005</v>
          </cell>
          <cell r="I95" t="str">
            <v>608000</v>
          </cell>
          <cell r="J95" t="str">
            <v>PE 12/5 Kingman</v>
          </cell>
          <cell r="K95" t="str">
            <v>D1</v>
          </cell>
          <cell r="L95">
            <v>1100</v>
          </cell>
          <cell r="M95" t="str">
            <v>OK</v>
          </cell>
          <cell r="N95" t="str">
            <v>S</v>
          </cell>
          <cell r="O95">
            <v>1</v>
          </cell>
          <cell r="P95" t="str">
            <v>72005-1</v>
          </cell>
          <cell r="Q95" t="str">
            <v>MC</v>
          </cell>
          <cell r="R95" t="str">
            <v xml:space="preserve"> </v>
          </cell>
          <cell r="S95" t="str">
            <v xml:space="preserve"> </v>
          </cell>
          <cell r="T95" t="str">
            <v>Dr. Kingman</v>
          </cell>
          <cell r="U95" t="str">
            <v>Medical Consultant</v>
          </cell>
          <cell r="V95" t="str">
            <v xml:space="preserve"> </v>
          </cell>
          <cell r="W95" t="str">
            <v>72005</v>
          </cell>
          <cell r="X95">
            <v>1100</v>
          </cell>
          <cell r="Y95">
            <v>1100</v>
          </cell>
        </row>
        <row r="96">
          <cell r="A96" t="str">
            <v xml:space="preserve"> 01</v>
          </cell>
          <cell r="B96" t="str">
            <v>000813</v>
          </cell>
          <cell r="C96" t="str">
            <v>Jrnl</v>
          </cell>
          <cell r="D96" t="str">
            <v>31/Dec/1998</v>
          </cell>
          <cell r="E96" t="str">
            <v>KROS0018</v>
          </cell>
          <cell r="F96" t="str">
            <v>1998/12</v>
          </cell>
          <cell r="G96" t="str">
            <v>400220</v>
          </cell>
          <cell r="H96" t="str">
            <v>72005</v>
          </cell>
          <cell r="I96" t="str">
            <v>608006</v>
          </cell>
          <cell r="J96" t="str">
            <v>Ck 455 Dr. Kingman</v>
          </cell>
          <cell r="K96" t="str">
            <v>D1</v>
          </cell>
          <cell r="L96">
            <v>1155</v>
          </cell>
          <cell r="M96" t="str">
            <v>OK</v>
          </cell>
          <cell r="N96" t="str">
            <v>S</v>
          </cell>
          <cell r="O96">
            <v>1</v>
          </cell>
          <cell r="P96" t="str">
            <v>72005-1</v>
          </cell>
          <cell r="Q96" t="str">
            <v>MC</v>
          </cell>
          <cell r="R96" t="str">
            <v xml:space="preserve"> </v>
          </cell>
          <cell r="S96" t="str">
            <v xml:space="preserve"> </v>
          </cell>
          <cell r="T96" t="str">
            <v>Dr. Kingman</v>
          </cell>
          <cell r="U96" t="str">
            <v>Medical Consultant</v>
          </cell>
          <cell r="V96" t="str">
            <v xml:space="preserve"> </v>
          </cell>
          <cell r="W96" t="str">
            <v>72005</v>
          </cell>
          <cell r="X96">
            <v>1155</v>
          </cell>
          <cell r="Y96">
            <v>1155</v>
          </cell>
        </row>
        <row r="97">
          <cell r="A97" t="str">
            <v xml:space="preserve"> 75</v>
          </cell>
          <cell r="B97" t="str">
            <v>002595</v>
          </cell>
          <cell r="C97" t="str">
            <v>cshp</v>
          </cell>
          <cell r="D97" t="str">
            <v>16/Sep/1998</v>
          </cell>
          <cell r="E97" t="str">
            <v>MWAL0081</v>
          </cell>
          <cell r="F97" t="str">
            <v>1998/09</v>
          </cell>
          <cell r="G97" t="str">
            <v>400220</v>
          </cell>
          <cell r="H97" t="str">
            <v>72005</v>
          </cell>
          <cell r="I97" t="str">
            <v>608005</v>
          </cell>
          <cell r="J97" t="str">
            <v>John Kingman, M.D.</v>
          </cell>
          <cell r="K97" t="str">
            <v>D1</v>
          </cell>
          <cell r="L97">
            <v>1910</v>
          </cell>
          <cell r="M97" t="str">
            <v>OK</v>
          </cell>
          <cell r="N97" t="str">
            <v>S</v>
          </cell>
          <cell r="O97">
            <v>1</v>
          </cell>
          <cell r="P97" t="str">
            <v>72005-1</v>
          </cell>
          <cell r="Q97" t="str">
            <v>MC</v>
          </cell>
          <cell r="R97" t="str">
            <v xml:space="preserve"> </v>
          </cell>
          <cell r="S97" t="str">
            <v xml:space="preserve"> </v>
          </cell>
          <cell r="T97" t="str">
            <v>Dr. Kingman</v>
          </cell>
          <cell r="U97" t="str">
            <v>Medical Consultant</v>
          </cell>
          <cell r="V97" t="str">
            <v xml:space="preserve"> </v>
          </cell>
          <cell r="W97" t="str">
            <v>72005</v>
          </cell>
          <cell r="X97">
            <v>1910</v>
          </cell>
          <cell r="Y97">
            <v>1910</v>
          </cell>
        </row>
        <row r="98">
          <cell r="A98" t="str">
            <v xml:space="preserve"> 01</v>
          </cell>
          <cell r="B98" t="str">
            <v>000806</v>
          </cell>
          <cell r="C98" t="str">
            <v>Jrnl</v>
          </cell>
          <cell r="D98" t="str">
            <v>30/Dec/1998</v>
          </cell>
          <cell r="E98" t="str">
            <v>NTON0116</v>
          </cell>
          <cell r="F98" t="str">
            <v>1998/12</v>
          </cell>
          <cell r="G98" t="str">
            <v>403890</v>
          </cell>
          <cell r="H98" t="str">
            <v>37130</v>
          </cell>
          <cell r="I98" t="str">
            <v>080000</v>
          </cell>
          <cell r="J98" t="str">
            <v>RevDoc763 Int Sweeps 10/98</v>
          </cell>
          <cell r="K98" t="str">
            <v>D1</v>
          </cell>
          <cell r="L98">
            <v>4.3</v>
          </cell>
          <cell r="M98" t="str">
            <v>x</v>
          </cell>
          <cell r="N98" t="str">
            <v>s</v>
          </cell>
          <cell r="O98" t="str">
            <v>X</v>
          </cell>
          <cell r="P98" t="str">
            <v>37130-X</v>
          </cell>
          <cell r="R98" t="str">
            <v xml:space="preserve"> </v>
          </cell>
          <cell r="S98" t="str">
            <v xml:space="preserve"> </v>
          </cell>
          <cell r="T98" t="str">
            <v>Dr. Kingman Total</v>
          </cell>
          <cell r="U98">
            <v>0</v>
          </cell>
          <cell r="V98" t="str">
            <v>37130</v>
          </cell>
          <cell r="W98">
            <v>4.3</v>
          </cell>
          <cell r="X98">
            <v>8155</v>
          </cell>
        </row>
        <row r="99">
          <cell r="A99" t="str">
            <v xml:space="preserve"> 75</v>
          </cell>
          <cell r="B99" t="str">
            <v>002185</v>
          </cell>
          <cell r="C99" t="str">
            <v>cshp</v>
          </cell>
          <cell r="D99" t="str">
            <v>08/May/1998</v>
          </cell>
          <cell r="E99" t="str">
            <v>KPUR0411</v>
          </cell>
          <cell r="F99" t="str">
            <v>1998/05</v>
          </cell>
          <cell r="G99" t="str">
            <v>853820</v>
          </cell>
          <cell r="H99" t="str">
            <v>72005</v>
          </cell>
          <cell r="I99" t="str">
            <v>601000</v>
          </cell>
          <cell r="J99" t="str">
            <v>FRANCOIS DUPUIS PO 51027</v>
          </cell>
          <cell r="K99" t="str">
            <v>D1</v>
          </cell>
          <cell r="L99">
            <v>1500</v>
          </cell>
          <cell r="M99" t="str">
            <v>OK</v>
          </cell>
          <cell r="N99" t="str">
            <v>S</v>
          </cell>
          <cell r="O99">
            <v>1</v>
          </cell>
          <cell r="P99" t="str">
            <v>72005-1</v>
          </cell>
          <cell r="Q99" t="str">
            <v>TPC</v>
          </cell>
          <cell r="R99" t="str">
            <v xml:space="preserve"> </v>
          </cell>
          <cell r="S99" t="str">
            <v xml:space="preserve"> </v>
          </cell>
          <cell r="T99" t="str">
            <v>Francois Dupuis</v>
          </cell>
          <cell r="U99" t="str">
            <v>Theatre Project Consultant</v>
          </cell>
          <cell r="V99" t="str">
            <v xml:space="preserve"> </v>
          </cell>
          <cell r="W99" t="str">
            <v>72005</v>
          </cell>
          <cell r="X99">
            <v>1500</v>
          </cell>
          <cell r="Y99">
            <v>1500</v>
          </cell>
        </row>
        <row r="100">
          <cell r="A100" t="str">
            <v xml:space="preserve"> 67</v>
          </cell>
          <cell r="B100" t="str">
            <v>200433</v>
          </cell>
          <cell r="C100" t="str">
            <v>Psbc</v>
          </cell>
          <cell r="D100" t="str">
            <v>30/May/1998</v>
          </cell>
          <cell r="E100" t="str">
            <v>MWAL0015</v>
          </cell>
          <cell r="F100" t="str">
            <v>1998/06</v>
          </cell>
          <cell r="G100" t="str">
            <v>853820</v>
          </cell>
          <cell r="H100" t="str">
            <v>72005</v>
          </cell>
          <cell r="I100" t="str">
            <v>601000</v>
          </cell>
          <cell r="J100" t="str">
            <v>F Dupuis BEL98-51027</v>
          </cell>
          <cell r="K100" t="str">
            <v>D1</v>
          </cell>
          <cell r="L100">
            <v>2000</v>
          </cell>
          <cell r="M100" t="str">
            <v>OK</v>
          </cell>
          <cell r="N100" t="str">
            <v>S</v>
          </cell>
          <cell r="O100">
            <v>1</v>
          </cell>
          <cell r="P100" t="str">
            <v>72005-1</v>
          </cell>
          <cell r="Q100" t="str">
            <v>TPC</v>
          </cell>
          <cell r="R100" t="str">
            <v xml:space="preserve"> </v>
          </cell>
          <cell r="S100" t="str">
            <v xml:space="preserve"> </v>
          </cell>
          <cell r="T100" t="str">
            <v>Francois Dupuis</v>
          </cell>
          <cell r="U100" t="str">
            <v>Theatre Project Consultant</v>
          </cell>
          <cell r="V100" t="str">
            <v xml:space="preserve"> </v>
          </cell>
          <cell r="W100" t="str">
            <v>72005</v>
          </cell>
          <cell r="X100">
            <v>2000</v>
          </cell>
          <cell r="Y100">
            <v>2000</v>
          </cell>
        </row>
        <row r="101">
          <cell r="A101" t="str">
            <v xml:space="preserve"> 75</v>
          </cell>
          <cell r="B101" t="str">
            <v>002514</v>
          </cell>
          <cell r="C101" t="str">
            <v>cshp</v>
          </cell>
          <cell r="D101" t="str">
            <v>29/Jul/1998</v>
          </cell>
          <cell r="E101" t="str">
            <v>MWAL0075</v>
          </cell>
          <cell r="F101" t="str">
            <v>1998/09</v>
          </cell>
          <cell r="G101" t="str">
            <v>853820</v>
          </cell>
          <cell r="H101" t="str">
            <v>72005</v>
          </cell>
          <cell r="I101" t="str">
            <v>601000</v>
          </cell>
          <cell r="J101" t="str">
            <v>Francois Dupuis</v>
          </cell>
          <cell r="K101" t="str">
            <v>D1</v>
          </cell>
          <cell r="L101">
            <v>2000</v>
          </cell>
          <cell r="M101" t="str">
            <v>OK</v>
          </cell>
          <cell r="N101" t="str">
            <v>S</v>
          </cell>
          <cell r="O101">
            <v>1</v>
          </cell>
          <cell r="P101" t="str">
            <v>72005-1</v>
          </cell>
          <cell r="Q101" t="str">
            <v>TPC</v>
          </cell>
          <cell r="R101" t="str">
            <v xml:space="preserve"> </v>
          </cell>
          <cell r="S101" t="str">
            <v xml:space="preserve"> </v>
          </cell>
          <cell r="T101" t="str">
            <v>Francois Dupuis</v>
          </cell>
          <cell r="U101" t="str">
            <v>Theatre Project Consultant</v>
          </cell>
          <cell r="V101" t="str">
            <v xml:space="preserve"> </v>
          </cell>
          <cell r="W101" t="str">
            <v>72005</v>
          </cell>
          <cell r="X101">
            <v>2000</v>
          </cell>
          <cell r="Y101">
            <v>2000</v>
          </cell>
        </row>
        <row r="102">
          <cell r="A102" t="str">
            <v xml:space="preserve"> 75</v>
          </cell>
          <cell r="B102" t="str">
            <v>002618</v>
          </cell>
          <cell r="C102" t="str">
            <v>cshp</v>
          </cell>
          <cell r="D102" t="str">
            <v>17/Sep/1998</v>
          </cell>
          <cell r="E102" t="str">
            <v>MWAL0083</v>
          </cell>
          <cell r="F102" t="str">
            <v>1998/09</v>
          </cell>
          <cell r="G102" t="str">
            <v>853820</v>
          </cell>
          <cell r="H102" t="str">
            <v>72005</v>
          </cell>
          <cell r="I102" t="str">
            <v>601000</v>
          </cell>
          <cell r="J102" t="str">
            <v>Francois Dupuis</v>
          </cell>
          <cell r="K102" t="str">
            <v>D1</v>
          </cell>
          <cell r="L102">
            <v>2000</v>
          </cell>
          <cell r="M102" t="str">
            <v>OK</v>
          </cell>
          <cell r="N102" t="str">
            <v>S</v>
          </cell>
          <cell r="O102">
            <v>1</v>
          </cell>
          <cell r="P102" t="str">
            <v>72005-1</v>
          </cell>
          <cell r="Q102" t="str">
            <v>TPC</v>
          </cell>
          <cell r="R102" t="str">
            <v xml:space="preserve"> </v>
          </cell>
          <cell r="S102" t="str">
            <v xml:space="preserve"> </v>
          </cell>
          <cell r="T102" t="str">
            <v>Francois Dupuis</v>
          </cell>
          <cell r="U102" t="str">
            <v>Theatre Project Consultant</v>
          </cell>
          <cell r="V102" t="str">
            <v xml:space="preserve"> </v>
          </cell>
          <cell r="W102" t="str">
            <v>72005</v>
          </cell>
          <cell r="X102">
            <v>2000</v>
          </cell>
          <cell r="Y102">
            <v>2000</v>
          </cell>
        </row>
        <row r="103">
          <cell r="T103" t="str">
            <v>Francois Dupuis Total</v>
          </cell>
          <cell r="X103">
            <v>7500</v>
          </cell>
        </row>
        <row r="104">
          <cell r="A104" t="str">
            <v xml:space="preserve"> 67</v>
          </cell>
          <cell r="B104" t="str">
            <v>200840</v>
          </cell>
          <cell r="C104" t="str">
            <v>Psbc</v>
          </cell>
          <cell r="D104" t="str">
            <v>30/Sep/1998</v>
          </cell>
          <cell r="E104" t="str">
            <v>CWAN0232</v>
          </cell>
          <cell r="F104" t="str">
            <v>1998/10</v>
          </cell>
          <cell r="G104" t="str">
            <v>402840</v>
          </cell>
          <cell r="H104" t="str">
            <v>72005</v>
          </cell>
          <cell r="I104" t="str">
            <v>608006</v>
          </cell>
          <cell r="J104" t="str">
            <v>POOL INSPECTION</v>
          </cell>
          <cell r="K104" t="str">
            <v>D1</v>
          </cell>
          <cell r="L104">
            <v>350</v>
          </cell>
          <cell r="M104" t="str">
            <v>OK</v>
          </cell>
          <cell r="N104" t="str">
            <v>S</v>
          </cell>
          <cell r="O104">
            <v>1</v>
          </cell>
          <cell r="P104" t="str">
            <v>72005-1</v>
          </cell>
          <cell r="Q104" t="str">
            <v>TPC</v>
          </cell>
          <cell r="R104" t="str">
            <v xml:space="preserve"> </v>
          </cell>
          <cell r="S104" t="str">
            <v xml:space="preserve"> </v>
          </cell>
          <cell r="T104" t="str">
            <v>Rod Hickey</v>
          </cell>
          <cell r="U104" t="str">
            <v>Theatre Project Consultant</v>
          </cell>
          <cell r="V104" t="str">
            <v xml:space="preserve"> </v>
          </cell>
          <cell r="W104" t="str">
            <v>72005</v>
          </cell>
          <cell r="X104">
            <v>350</v>
          </cell>
          <cell r="Y104">
            <v>350</v>
          </cell>
        </row>
        <row r="105">
          <cell r="A105" t="str">
            <v xml:space="preserve"> 67</v>
          </cell>
          <cell r="B105" t="str">
            <v>200840</v>
          </cell>
          <cell r="C105" t="str">
            <v>Psbc</v>
          </cell>
          <cell r="D105" t="str">
            <v>30/Sep/1998</v>
          </cell>
          <cell r="E105" t="str">
            <v>CWAN0232</v>
          </cell>
          <cell r="F105" t="str">
            <v>1998/10</v>
          </cell>
          <cell r="G105" t="str">
            <v>402840</v>
          </cell>
          <cell r="H105" t="str">
            <v>72005</v>
          </cell>
          <cell r="I105" t="str">
            <v>608006</v>
          </cell>
          <cell r="J105" t="str">
            <v>POOL MAINTAINENCE</v>
          </cell>
          <cell r="K105" t="str">
            <v>D1</v>
          </cell>
          <cell r="L105">
            <v>350</v>
          </cell>
          <cell r="M105" t="str">
            <v>OK</v>
          </cell>
          <cell r="N105" t="str">
            <v>S</v>
          </cell>
          <cell r="O105">
            <v>1</v>
          </cell>
          <cell r="P105" t="str">
            <v>72005-1</v>
          </cell>
          <cell r="Q105" t="str">
            <v>TPC</v>
          </cell>
          <cell r="R105" t="str">
            <v xml:space="preserve"> </v>
          </cell>
          <cell r="S105" t="str">
            <v xml:space="preserve"> </v>
          </cell>
          <cell r="T105" t="str">
            <v>Rod Hickey</v>
          </cell>
          <cell r="U105" t="str">
            <v>Theatre Project Consultant</v>
          </cell>
          <cell r="V105" t="str">
            <v xml:space="preserve"> </v>
          </cell>
          <cell r="W105" t="str">
            <v>72005</v>
          </cell>
          <cell r="X105">
            <v>350</v>
          </cell>
          <cell r="Y105">
            <v>350</v>
          </cell>
        </row>
        <row r="106">
          <cell r="T106" t="str">
            <v>Rod Hickey Total</v>
          </cell>
          <cell r="X106">
            <v>700</v>
          </cell>
        </row>
        <row r="107">
          <cell r="A107" t="str">
            <v xml:space="preserve"> 67</v>
          </cell>
          <cell r="B107" t="str">
            <v>201155</v>
          </cell>
          <cell r="C107" t="str">
            <v>Psbc</v>
          </cell>
          <cell r="D107" t="str">
            <v>04/Dec/1998</v>
          </cell>
          <cell r="E107" t="str">
            <v>KPUR1048</v>
          </cell>
          <cell r="F107" t="str">
            <v>1998/12</v>
          </cell>
          <cell r="G107" t="str">
            <v>401220</v>
          </cell>
          <cell r="H107" t="str">
            <v>72005</v>
          </cell>
          <cell r="I107" t="str">
            <v>608000</v>
          </cell>
          <cell r="J107" t="str">
            <v>DINERS CLUB PO3309 10/19</v>
          </cell>
          <cell r="K107" t="str">
            <v>D1</v>
          </cell>
          <cell r="L107">
            <v>695.27</v>
          </cell>
          <cell r="M107" t="str">
            <v>OK</v>
          </cell>
          <cell r="N107" t="str">
            <v>S</v>
          </cell>
          <cell r="O107">
            <v>1</v>
          </cell>
          <cell r="P107" t="str">
            <v>72005-1</v>
          </cell>
          <cell r="Q107" t="str">
            <v>TPC</v>
          </cell>
          <cell r="R107" t="str">
            <v xml:space="preserve"> </v>
          </cell>
          <cell r="S107" t="str">
            <v xml:space="preserve"> </v>
          </cell>
          <cell r="T107" t="str">
            <v>SCD Theatre</v>
          </cell>
          <cell r="U107" t="str">
            <v>Theatre Project Consultant</v>
          </cell>
          <cell r="V107" t="str">
            <v xml:space="preserve"> </v>
          </cell>
          <cell r="W107" t="str">
            <v>72005</v>
          </cell>
          <cell r="X107">
            <v>695.27</v>
          </cell>
          <cell r="Y107">
            <v>695.27</v>
          </cell>
        </row>
        <row r="108">
          <cell r="A108" t="str">
            <v xml:space="preserve"> 67</v>
          </cell>
          <cell r="B108" t="str">
            <v>200937</v>
          </cell>
          <cell r="C108" t="str">
            <v>Psbc</v>
          </cell>
          <cell r="D108" t="str">
            <v>29/Oct/1998</v>
          </cell>
          <cell r="E108" t="str">
            <v>CWAN0282</v>
          </cell>
          <cell r="F108" t="str">
            <v>1998/10</v>
          </cell>
          <cell r="G108" t="str">
            <v>401220</v>
          </cell>
          <cell r="H108" t="str">
            <v>72005</v>
          </cell>
          <cell r="I108" t="str">
            <v>608006</v>
          </cell>
          <cell r="J108" t="str">
            <v>SCD THEATRE PO 3504</v>
          </cell>
          <cell r="K108" t="str">
            <v>C1</v>
          </cell>
          <cell r="L108">
            <v>2044.39</v>
          </cell>
          <cell r="M108" t="str">
            <v>OK</v>
          </cell>
          <cell r="N108" t="str">
            <v>S</v>
          </cell>
          <cell r="O108">
            <v>1</v>
          </cell>
          <cell r="P108" t="str">
            <v>72005-1</v>
          </cell>
          <cell r="Q108" t="str">
            <v>TPC</v>
          </cell>
          <cell r="R108" t="str">
            <v xml:space="preserve"> </v>
          </cell>
          <cell r="S108" t="str">
            <v xml:space="preserve"> </v>
          </cell>
          <cell r="T108" t="str">
            <v>SCD Theatre</v>
          </cell>
          <cell r="U108" t="str">
            <v>Theatre Project Consultant</v>
          </cell>
          <cell r="V108" t="str">
            <v xml:space="preserve"> </v>
          </cell>
          <cell r="W108" t="str">
            <v>72005</v>
          </cell>
          <cell r="X108">
            <v>2044.39</v>
          </cell>
          <cell r="Y108">
            <v>2044.39</v>
          </cell>
        </row>
        <row r="109">
          <cell r="T109" t="str">
            <v>SCD Theatre Total</v>
          </cell>
          <cell r="X109">
            <v>2739.66</v>
          </cell>
        </row>
        <row r="110">
          <cell r="A110">
            <v>67</v>
          </cell>
          <cell r="B110" t="str">
            <v>201694</v>
          </cell>
          <cell r="C110" t="str">
            <v>Psbc</v>
          </cell>
          <cell r="D110" t="str">
            <v>31/Dec/1998</v>
          </cell>
          <cell r="E110" t="str">
            <v>SCEC0039</v>
          </cell>
          <cell r="F110" t="str">
            <v>1998/12</v>
          </cell>
          <cell r="G110" t="str">
            <v>402840</v>
          </cell>
          <cell r="H110" t="str">
            <v>72005</v>
          </cell>
          <cell r="I110" t="str">
            <v>608006</v>
          </cell>
          <cell r="J110" t="str">
            <v>cds (47) ZLZ 7/27,8/2 bill back</v>
          </cell>
          <cell r="K110" t="str">
            <v>D1</v>
          </cell>
          <cell r="L110">
            <v>44506.75</v>
          </cell>
          <cell r="M110" t="str">
            <v>X</v>
          </cell>
          <cell r="N110" t="str">
            <v>S</v>
          </cell>
          <cell r="O110" t="str">
            <v>Error</v>
          </cell>
          <cell r="P110" t="str">
            <v>72005-Error</v>
          </cell>
          <cell r="Q110" t="str">
            <v>U</v>
          </cell>
          <cell r="T110" t="str">
            <v>Unknown</v>
          </cell>
          <cell r="U110" t="str">
            <v>Unknown- To be Researched</v>
          </cell>
          <cell r="V110" t="str">
            <v xml:space="preserve"> </v>
          </cell>
          <cell r="W110" t="str">
            <v>72005</v>
          </cell>
          <cell r="X110">
            <v>44506.75</v>
          </cell>
          <cell r="Y110">
            <v>44506.75</v>
          </cell>
        </row>
        <row r="111">
          <cell r="A111" t="str">
            <v xml:space="preserve"> 67</v>
          </cell>
          <cell r="B111" t="str">
            <v>200251</v>
          </cell>
          <cell r="C111" t="str">
            <v>Psbc</v>
          </cell>
          <cell r="D111" t="str">
            <v>11/Mar/1998</v>
          </cell>
          <cell r="E111" t="str">
            <v>KPUR0135</v>
          </cell>
          <cell r="F111" t="str">
            <v>1998/03</v>
          </cell>
          <cell r="G111" t="str">
            <v>400850</v>
          </cell>
          <cell r="H111" t="str">
            <v>72005</v>
          </cell>
          <cell r="I111" t="str">
            <v>608005</v>
          </cell>
          <cell r="J111" t="str">
            <v>APPLE ONE GREEN WE 3/7/98</v>
          </cell>
          <cell r="K111" t="str">
            <v>D1</v>
          </cell>
          <cell r="L111">
            <v>106</v>
          </cell>
          <cell r="M111" t="str">
            <v>XXX</v>
          </cell>
          <cell r="O111" t="str">
            <v xml:space="preserve"> </v>
          </cell>
          <cell r="P111" t="str">
            <v xml:space="preserve">72005- </v>
          </cell>
          <cell r="R111" t="str">
            <v xml:space="preserve"> </v>
          </cell>
          <cell r="S111" t="str">
            <v xml:space="preserve"> </v>
          </cell>
          <cell r="U111" t="str">
            <v>Input</v>
          </cell>
          <cell r="V111" t="str">
            <v xml:space="preserve"> </v>
          </cell>
          <cell r="W111" t="str">
            <v>72005</v>
          </cell>
          <cell r="X111">
            <v>106</v>
          </cell>
          <cell r="Y111">
            <v>106</v>
          </cell>
        </row>
        <row r="112">
          <cell r="A112" t="str">
            <v xml:space="preserve"> 67</v>
          </cell>
          <cell r="B112" t="str">
            <v>200229</v>
          </cell>
          <cell r="C112" t="str">
            <v>Psbc</v>
          </cell>
          <cell r="D112" t="str">
            <v>18/Feb/1998</v>
          </cell>
          <cell r="E112" t="str">
            <v>KPUR0043</v>
          </cell>
          <cell r="F112" t="str">
            <v>1998/03</v>
          </cell>
          <cell r="G112" t="str">
            <v>400850</v>
          </cell>
          <cell r="H112" t="str">
            <v>72005</v>
          </cell>
          <cell r="I112" t="str">
            <v>608005</v>
          </cell>
          <cell r="J112" t="str">
            <v>APPLE ONE/GREEN WE 2/14/98</v>
          </cell>
          <cell r="K112" t="str">
            <v>D1</v>
          </cell>
          <cell r="L112">
            <v>106</v>
          </cell>
          <cell r="M112" t="str">
            <v>XXX</v>
          </cell>
          <cell r="O112" t="str">
            <v xml:space="preserve"> </v>
          </cell>
          <cell r="P112" t="str">
            <v xml:space="preserve">72005- </v>
          </cell>
          <cell r="R112" t="str">
            <v xml:space="preserve"> </v>
          </cell>
          <cell r="S112" t="str">
            <v xml:space="preserve"> </v>
          </cell>
          <cell r="U112" t="str">
            <v>Input</v>
          </cell>
          <cell r="V112" t="str">
            <v xml:space="preserve"> </v>
          </cell>
          <cell r="W112" t="str">
            <v>72005</v>
          </cell>
          <cell r="X112">
            <v>106</v>
          </cell>
          <cell r="Y112">
            <v>106</v>
          </cell>
        </row>
        <row r="113">
          <cell r="A113" t="str">
            <v xml:space="preserve"> 75</v>
          </cell>
          <cell r="B113" t="str">
            <v>003069</v>
          </cell>
          <cell r="C113" t="str">
            <v>cshp</v>
          </cell>
          <cell r="D113" t="str">
            <v>10/Nov/1998</v>
          </cell>
          <cell r="E113" t="str">
            <v>KPUR1016</v>
          </cell>
          <cell r="F113" t="str">
            <v>1998/11</v>
          </cell>
          <cell r="G113" t="str">
            <v>400850</v>
          </cell>
          <cell r="H113" t="str">
            <v>72005</v>
          </cell>
          <cell r="I113" t="str">
            <v>608000</v>
          </cell>
          <cell r="J113" t="str">
            <v>DON'S DESERT INN  PO 3314</v>
          </cell>
          <cell r="K113" t="str">
            <v>D1</v>
          </cell>
          <cell r="L113">
            <v>159.5</v>
          </cell>
          <cell r="M113" t="str">
            <v>X</v>
          </cell>
          <cell r="O113" t="str">
            <v xml:space="preserve"> </v>
          </cell>
          <cell r="P113" t="str">
            <v xml:space="preserve">72005- </v>
          </cell>
          <cell r="R113" t="str">
            <v xml:space="preserve"> </v>
          </cell>
          <cell r="S113" t="str">
            <v xml:space="preserve"> </v>
          </cell>
          <cell r="U113" t="str">
            <v>Input</v>
          </cell>
          <cell r="V113" t="str">
            <v xml:space="preserve"> </v>
          </cell>
          <cell r="W113" t="str">
            <v>72005</v>
          </cell>
          <cell r="X113">
            <v>159.5</v>
          </cell>
          <cell r="Y113">
            <v>159.5</v>
          </cell>
        </row>
        <row r="114">
          <cell r="A114" t="str">
            <v xml:space="preserve"> 75</v>
          </cell>
          <cell r="B114" t="str">
            <v>003068</v>
          </cell>
          <cell r="C114" t="str">
            <v>cshp</v>
          </cell>
          <cell r="D114" t="str">
            <v>10/Nov/1998</v>
          </cell>
          <cell r="E114" t="str">
            <v>KPUR1015</v>
          </cell>
          <cell r="F114" t="str">
            <v>1998/11</v>
          </cell>
          <cell r="G114" t="str">
            <v>400850</v>
          </cell>
          <cell r="H114" t="str">
            <v>72005</v>
          </cell>
          <cell r="I114" t="str">
            <v>608000</v>
          </cell>
          <cell r="J114" t="str">
            <v>DONS DESERT INN PO 3314</v>
          </cell>
          <cell r="K114" t="str">
            <v>D1</v>
          </cell>
          <cell r="L114">
            <v>159.5</v>
          </cell>
          <cell r="M114" t="str">
            <v>X</v>
          </cell>
          <cell r="O114" t="str">
            <v xml:space="preserve"> </v>
          </cell>
          <cell r="P114" t="str">
            <v xml:space="preserve">72005- </v>
          </cell>
          <cell r="R114" t="str">
            <v xml:space="preserve"> </v>
          </cell>
          <cell r="S114" t="str">
            <v xml:space="preserve"> </v>
          </cell>
          <cell r="U114" t="str">
            <v>Input</v>
          </cell>
          <cell r="V114" t="str">
            <v xml:space="preserve"> </v>
          </cell>
          <cell r="W114" t="str">
            <v>72005</v>
          </cell>
          <cell r="X114">
            <v>159.5</v>
          </cell>
          <cell r="Y114">
            <v>159.5</v>
          </cell>
        </row>
        <row r="115">
          <cell r="A115" t="str">
            <v xml:space="preserve"> 75</v>
          </cell>
          <cell r="B115" t="str">
            <v>003066</v>
          </cell>
          <cell r="C115" t="str">
            <v>cshp</v>
          </cell>
          <cell r="D115" t="str">
            <v>10/Nov/1998</v>
          </cell>
          <cell r="E115" t="str">
            <v>KPUR1015</v>
          </cell>
          <cell r="F115" t="str">
            <v>1998/11</v>
          </cell>
          <cell r="G115" t="str">
            <v>400850</v>
          </cell>
          <cell r="H115" t="str">
            <v>72005</v>
          </cell>
          <cell r="I115" t="str">
            <v>608000</v>
          </cell>
          <cell r="J115" t="str">
            <v>DON'S DESERT INN PO 3314</v>
          </cell>
          <cell r="K115" t="str">
            <v>D1</v>
          </cell>
          <cell r="L115">
            <v>159.5</v>
          </cell>
          <cell r="M115" t="str">
            <v>X</v>
          </cell>
          <cell r="O115" t="str">
            <v xml:space="preserve"> </v>
          </cell>
          <cell r="P115" t="str">
            <v xml:space="preserve">72005- </v>
          </cell>
          <cell r="R115" t="str">
            <v xml:space="preserve"> </v>
          </cell>
          <cell r="S115" t="str">
            <v xml:space="preserve"> </v>
          </cell>
          <cell r="U115" t="str">
            <v>Input</v>
          </cell>
          <cell r="V115" t="str">
            <v xml:space="preserve"> </v>
          </cell>
          <cell r="W115" t="str">
            <v>72005</v>
          </cell>
          <cell r="X115">
            <v>159.5</v>
          </cell>
          <cell r="Y115">
            <v>159.5</v>
          </cell>
        </row>
        <row r="116">
          <cell r="A116" t="str">
            <v xml:space="preserve"> 75</v>
          </cell>
          <cell r="B116" t="str">
            <v>003065</v>
          </cell>
          <cell r="C116" t="str">
            <v>cshp</v>
          </cell>
          <cell r="D116" t="str">
            <v>10/Nov/1998</v>
          </cell>
          <cell r="E116" t="str">
            <v>KPUR1015</v>
          </cell>
          <cell r="F116" t="str">
            <v>1998/11</v>
          </cell>
          <cell r="G116" t="str">
            <v>400850</v>
          </cell>
          <cell r="H116" t="str">
            <v>72005</v>
          </cell>
          <cell r="I116" t="str">
            <v>608000</v>
          </cell>
          <cell r="J116" t="str">
            <v>DON'S DESERT INN SERVICE</v>
          </cell>
          <cell r="K116" t="str">
            <v>D1</v>
          </cell>
          <cell r="L116">
            <v>159.5</v>
          </cell>
          <cell r="M116" t="str">
            <v>X</v>
          </cell>
          <cell r="O116" t="str">
            <v xml:space="preserve"> </v>
          </cell>
          <cell r="P116" t="str">
            <v xml:space="preserve">72005- </v>
          </cell>
          <cell r="R116" t="str">
            <v xml:space="preserve"> </v>
          </cell>
          <cell r="S116" t="str">
            <v xml:space="preserve"> </v>
          </cell>
          <cell r="U116" t="str">
            <v>Input</v>
          </cell>
          <cell r="V116" t="str">
            <v xml:space="preserve"> </v>
          </cell>
          <cell r="W116" t="str">
            <v>72005</v>
          </cell>
          <cell r="X116">
            <v>159.5</v>
          </cell>
          <cell r="Y116">
            <v>159.5</v>
          </cell>
        </row>
        <row r="117">
          <cell r="A117" t="str">
            <v xml:space="preserve"> 75</v>
          </cell>
          <cell r="B117" t="str">
            <v>003070</v>
          </cell>
          <cell r="C117" t="str">
            <v>cshp</v>
          </cell>
          <cell r="D117" t="str">
            <v>10/Nov/1998</v>
          </cell>
          <cell r="E117" t="str">
            <v>KPUR1016</v>
          </cell>
          <cell r="F117" t="str">
            <v>1998/11</v>
          </cell>
          <cell r="G117" t="str">
            <v>400850</v>
          </cell>
          <cell r="H117" t="str">
            <v>72005</v>
          </cell>
          <cell r="I117" t="str">
            <v>608000</v>
          </cell>
          <cell r="J117" t="str">
            <v>DON'S DESERT INN SERVICE</v>
          </cell>
          <cell r="K117" t="str">
            <v>D1</v>
          </cell>
          <cell r="L117">
            <v>159.5</v>
          </cell>
          <cell r="M117" t="str">
            <v>X</v>
          </cell>
          <cell r="O117" t="str">
            <v xml:space="preserve"> </v>
          </cell>
          <cell r="P117" t="str">
            <v xml:space="preserve">72005- </v>
          </cell>
          <cell r="R117" t="str">
            <v xml:space="preserve"> </v>
          </cell>
          <cell r="S117" t="str">
            <v xml:space="preserve"> </v>
          </cell>
          <cell r="U117" t="str">
            <v>Input</v>
          </cell>
          <cell r="V117" t="str">
            <v xml:space="preserve"> </v>
          </cell>
          <cell r="W117" t="str">
            <v>72005</v>
          </cell>
          <cell r="X117">
            <v>159.5</v>
          </cell>
          <cell r="Y117">
            <v>159.5</v>
          </cell>
        </row>
        <row r="118">
          <cell r="A118" t="str">
            <v xml:space="preserve"> 01</v>
          </cell>
          <cell r="B118" t="str">
            <v>000713</v>
          </cell>
          <cell r="C118" t="str">
            <v>Jrnl</v>
          </cell>
          <cell r="D118" t="str">
            <v>20/Nov/1998</v>
          </cell>
          <cell r="E118" t="str">
            <v>NTON0023</v>
          </cell>
          <cell r="F118" t="str">
            <v>1998/11</v>
          </cell>
          <cell r="G118" t="str">
            <v>400850</v>
          </cell>
          <cell r="H118" t="str">
            <v>72005</v>
          </cell>
          <cell r="I118" t="str">
            <v>608000</v>
          </cell>
          <cell r="J118" t="str">
            <v>Void Ck 3065 Printer Malf.</v>
          </cell>
          <cell r="K118" t="str">
            <v>D1</v>
          </cell>
          <cell r="L118">
            <v>-159.5</v>
          </cell>
          <cell r="M118" t="str">
            <v>X</v>
          </cell>
          <cell r="O118" t="str">
            <v xml:space="preserve"> </v>
          </cell>
          <cell r="P118" t="str">
            <v xml:space="preserve">72005- </v>
          </cell>
          <cell r="R118" t="str">
            <v xml:space="preserve"> </v>
          </cell>
          <cell r="S118" t="str">
            <v xml:space="preserve"> </v>
          </cell>
          <cell r="U118" t="str">
            <v>Input</v>
          </cell>
          <cell r="V118" t="str">
            <v xml:space="preserve"> </v>
          </cell>
          <cell r="W118" t="str">
            <v>72005</v>
          </cell>
          <cell r="X118">
            <v>-159.5</v>
          </cell>
          <cell r="Y118">
            <v>159.5</v>
          </cell>
        </row>
        <row r="119">
          <cell r="A119" t="str">
            <v xml:space="preserve"> 01</v>
          </cell>
          <cell r="B119" t="str">
            <v>000713</v>
          </cell>
          <cell r="C119" t="str">
            <v>Jrnl</v>
          </cell>
          <cell r="D119" t="str">
            <v>20/Nov/1998</v>
          </cell>
          <cell r="E119" t="str">
            <v>NTON0023</v>
          </cell>
          <cell r="F119" t="str">
            <v>1998/11</v>
          </cell>
          <cell r="G119" t="str">
            <v>400850</v>
          </cell>
          <cell r="H119" t="str">
            <v>72005</v>
          </cell>
          <cell r="I119" t="str">
            <v>608000</v>
          </cell>
          <cell r="J119" t="str">
            <v>Void Ck 3066 Printer Malf.</v>
          </cell>
          <cell r="K119" t="str">
            <v>D1</v>
          </cell>
          <cell r="L119">
            <v>-159.5</v>
          </cell>
          <cell r="M119" t="str">
            <v>X</v>
          </cell>
          <cell r="O119" t="str">
            <v xml:space="preserve"> </v>
          </cell>
          <cell r="P119" t="str">
            <v xml:space="preserve">72005- </v>
          </cell>
          <cell r="R119" t="str">
            <v xml:space="preserve"> </v>
          </cell>
          <cell r="S119" t="str">
            <v xml:space="preserve"> </v>
          </cell>
          <cell r="U119" t="str">
            <v>Input</v>
          </cell>
          <cell r="V119" t="str">
            <v xml:space="preserve"> </v>
          </cell>
          <cell r="W119" t="str">
            <v>72005</v>
          </cell>
          <cell r="X119">
            <v>-159.5</v>
          </cell>
          <cell r="Y119">
            <v>159.5</v>
          </cell>
        </row>
        <row r="120">
          <cell r="A120" t="str">
            <v xml:space="preserve"> 01</v>
          </cell>
          <cell r="B120" t="str">
            <v>000713</v>
          </cell>
          <cell r="C120" t="str">
            <v>Jrnl</v>
          </cell>
          <cell r="D120" t="str">
            <v>20/Nov/1998</v>
          </cell>
          <cell r="E120" t="str">
            <v>NTON0023</v>
          </cell>
          <cell r="F120" t="str">
            <v>1998/11</v>
          </cell>
          <cell r="G120" t="str">
            <v>400850</v>
          </cell>
          <cell r="H120" t="str">
            <v>72005</v>
          </cell>
          <cell r="I120" t="str">
            <v>608000</v>
          </cell>
          <cell r="J120" t="str">
            <v>Void Ck 3068 Printer Malf.</v>
          </cell>
          <cell r="K120" t="str">
            <v>D1</v>
          </cell>
          <cell r="L120">
            <v>-159.5</v>
          </cell>
          <cell r="M120" t="str">
            <v>X</v>
          </cell>
          <cell r="O120" t="str">
            <v xml:space="preserve"> </v>
          </cell>
          <cell r="P120" t="str">
            <v xml:space="preserve">72005- </v>
          </cell>
          <cell r="R120" t="str">
            <v xml:space="preserve"> </v>
          </cell>
          <cell r="S120" t="str">
            <v xml:space="preserve"> </v>
          </cell>
          <cell r="U120" t="str">
            <v>Input</v>
          </cell>
          <cell r="V120" t="str">
            <v xml:space="preserve"> </v>
          </cell>
          <cell r="W120" t="str">
            <v>72005</v>
          </cell>
          <cell r="X120">
            <v>-159.5</v>
          </cell>
          <cell r="Y120">
            <v>159.5</v>
          </cell>
        </row>
        <row r="121">
          <cell r="A121" t="str">
            <v xml:space="preserve"> 01</v>
          </cell>
          <cell r="B121" t="str">
            <v>000713</v>
          </cell>
          <cell r="C121" t="str">
            <v>Jrnl</v>
          </cell>
          <cell r="D121" t="str">
            <v>20/Nov/1998</v>
          </cell>
          <cell r="E121" t="str">
            <v>NTON0023</v>
          </cell>
          <cell r="F121" t="str">
            <v>1998/11</v>
          </cell>
          <cell r="G121" t="str">
            <v>400850</v>
          </cell>
          <cell r="H121" t="str">
            <v>72005</v>
          </cell>
          <cell r="I121" t="str">
            <v>608000</v>
          </cell>
          <cell r="J121" t="str">
            <v>Void Ck 3069 Printer Malf.</v>
          </cell>
          <cell r="K121" t="str">
            <v>D1</v>
          </cell>
          <cell r="L121">
            <v>-159.5</v>
          </cell>
          <cell r="M121" t="str">
            <v>X</v>
          </cell>
          <cell r="O121" t="str">
            <v xml:space="preserve"> </v>
          </cell>
          <cell r="P121" t="str">
            <v xml:space="preserve">72005- </v>
          </cell>
          <cell r="R121" t="str">
            <v xml:space="preserve"> </v>
          </cell>
          <cell r="S121" t="str">
            <v xml:space="preserve"> </v>
          </cell>
          <cell r="U121" t="str">
            <v>Input</v>
          </cell>
          <cell r="V121" t="str">
            <v xml:space="preserve"> </v>
          </cell>
          <cell r="W121" t="str">
            <v>72005</v>
          </cell>
          <cell r="X121">
            <v>-159.5</v>
          </cell>
          <cell r="Y121">
            <v>159.5</v>
          </cell>
        </row>
        <row r="122">
          <cell r="A122" t="str">
            <v xml:space="preserve"> 01</v>
          </cell>
          <cell r="B122" t="str">
            <v>000713</v>
          </cell>
          <cell r="C122" t="str">
            <v>Jrnl</v>
          </cell>
          <cell r="D122" t="str">
            <v>20/Nov/1998</v>
          </cell>
          <cell r="E122" t="str">
            <v>NTON0023</v>
          </cell>
          <cell r="F122" t="str">
            <v>1998/11</v>
          </cell>
          <cell r="G122" t="str">
            <v>400850</v>
          </cell>
          <cell r="H122" t="str">
            <v>72005</v>
          </cell>
          <cell r="I122" t="str">
            <v>608000</v>
          </cell>
          <cell r="J122" t="str">
            <v>Void Ck 3070 Printer Malf.</v>
          </cell>
          <cell r="K122" t="str">
            <v>D1</v>
          </cell>
          <cell r="L122">
            <v>-159.5</v>
          </cell>
          <cell r="M122" t="str">
            <v>X</v>
          </cell>
          <cell r="O122" t="str">
            <v xml:space="preserve"> </v>
          </cell>
          <cell r="P122" t="str">
            <v xml:space="preserve">72005- </v>
          </cell>
          <cell r="R122" t="str">
            <v xml:space="preserve"> </v>
          </cell>
          <cell r="S122" t="str">
            <v xml:space="preserve"> </v>
          </cell>
          <cell r="U122" t="str">
            <v>Input</v>
          </cell>
          <cell r="V122" t="str">
            <v xml:space="preserve"> </v>
          </cell>
          <cell r="W122" t="str">
            <v>72005</v>
          </cell>
          <cell r="X122">
            <v>-159.5</v>
          </cell>
          <cell r="Y122">
            <v>159.5</v>
          </cell>
        </row>
        <row r="123">
          <cell r="A123" t="str">
            <v xml:space="preserve"> 01</v>
          </cell>
          <cell r="B123" t="str">
            <v>000877</v>
          </cell>
          <cell r="C123" t="str">
            <v>Jrnl</v>
          </cell>
          <cell r="D123" t="str">
            <v>31/Dec/1998</v>
          </cell>
          <cell r="E123" t="str">
            <v>SCES0058</v>
          </cell>
          <cell r="F123" t="str">
            <v>1998/12</v>
          </cell>
          <cell r="G123" t="str">
            <v>402840</v>
          </cell>
          <cell r="H123" t="str">
            <v>72005</v>
          </cell>
          <cell r="I123" t="str">
            <v>608006</v>
          </cell>
          <cell r="J123" t="str">
            <v>CORR APPLEONE D-201303</v>
          </cell>
          <cell r="K123" t="str">
            <v>D1</v>
          </cell>
          <cell r="L123">
            <v>-335.63</v>
          </cell>
          <cell r="M123" t="str">
            <v>X</v>
          </cell>
          <cell r="U123" t="str">
            <v>Input</v>
          </cell>
          <cell r="V123" t="str">
            <v xml:space="preserve"> </v>
          </cell>
          <cell r="W123" t="str">
            <v>72005</v>
          </cell>
          <cell r="X123">
            <v>-335.63</v>
          </cell>
          <cell r="Y123">
            <v>335.63</v>
          </cell>
        </row>
        <row r="124">
          <cell r="A124" t="str">
            <v xml:space="preserve"> 01</v>
          </cell>
          <cell r="B124" t="str">
            <v>000877</v>
          </cell>
          <cell r="C124" t="str">
            <v>Jrnl</v>
          </cell>
          <cell r="D124" t="str">
            <v>31/Dec/1998</v>
          </cell>
          <cell r="E124" t="str">
            <v>SCES0058</v>
          </cell>
          <cell r="F124" t="str">
            <v>1998/12</v>
          </cell>
          <cell r="G124" t="str">
            <v>402840</v>
          </cell>
          <cell r="H124" t="str">
            <v>72005</v>
          </cell>
          <cell r="I124" t="str">
            <v>608000</v>
          </cell>
          <cell r="J124" t="str">
            <v>CORR APPLEONE D-201303</v>
          </cell>
          <cell r="K124" t="str">
            <v>D1</v>
          </cell>
          <cell r="L124">
            <v>335.63</v>
          </cell>
          <cell r="M124" t="str">
            <v>X</v>
          </cell>
          <cell r="U124" t="str">
            <v>Input</v>
          </cell>
          <cell r="V124" t="str">
            <v xml:space="preserve"> </v>
          </cell>
          <cell r="W124" t="str">
            <v>72005</v>
          </cell>
          <cell r="X124">
            <v>335.63</v>
          </cell>
          <cell r="Y124">
            <v>335.63</v>
          </cell>
        </row>
        <row r="125">
          <cell r="A125" t="str">
            <v xml:space="preserve"> 01</v>
          </cell>
          <cell r="B125" t="str">
            <v>000877</v>
          </cell>
          <cell r="C125" t="str">
            <v>Jrnl</v>
          </cell>
          <cell r="D125" t="str">
            <v>31/Dec/1998</v>
          </cell>
          <cell r="E125" t="str">
            <v>SCES0058</v>
          </cell>
          <cell r="F125" t="str">
            <v>1998/12</v>
          </cell>
          <cell r="G125" t="str">
            <v>402840</v>
          </cell>
          <cell r="H125" t="str">
            <v>72005</v>
          </cell>
          <cell r="I125" t="str">
            <v>608006</v>
          </cell>
          <cell r="J125" t="str">
            <v>CORR APPLEONE D-201302</v>
          </cell>
          <cell r="K125" t="str">
            <v>D1</v>
          </cell>
          <cell r="L125">
            <v>-450</v>
          </cell>
          <cell r="M125" t="str">
            <v>X</v>
          </cell>
          <cell r="U125" t="str">
            <v>Input</v>
          </cell>
          <cell r="V125" t="str">
            <v xml:space="preserve"> </v>
          </cell>
          <cell r="W125" t="str">
            <v>72005</v>
          </cell>
          <cell r="X125">
            <v>-450</v>
          </cell>
          <cell r="Y125">
            <v>450</v>
          </cell>
        </row>
        <row r="126">
          <cell r="A126" t="str">
            <v xml:space="preserve"> 01</v>
          </cell>
          <cell r="B126" t="str">
            <v>000877</v>
          </cell>
          <cell r="C126" t="str">
            <v>Jrnl</v>
          </cell>
          <cell r="D126" t="str">
            <v>31/Dec/1998</v>
          </cell>
          <cell r="E126" t="str">
            <v>SCES0058</v>
          </cell>
          <cell r="F126" t="str">
            <v>1998/12</v>
          </cell>
          <cell r="G126" t="str">
            <v>402840</v>
          </cell>
          <cell r="H126" t="str">
            <v>72005</v>
          </cell>
          <cell r="I126" t="str">
            <v>608000</v>
          </cell>
          <cell r="J126" t="str">
            <v>CORR APPLEONE D-201302</v>
          </cell>
          <cell r="K126" t="str">
            <v>D1</v>
          </cell>
          <cell r="L126">
            <v>450</v>
          </cell>
          <cell r="M126" t="str">
            <v>X</v>
          </cell>
          <cell r="U126" t="str">
            <v>Input</v>
          </cell>
          <cell r="V126" t="str">
            <v xml:space="preserve"> </v>
          </cell>
          <cell r="W126" t="str">
            <v>72005</v>
          </cell>
          <cell r="X126">
            <v>450</v>
          </cell>
          <cell r="Y126">
            <v>450</v>
          </cell>
        </row>
        <row r="127">
          <cell r="A127" t="str">
            <v xml:space="preserve"> 01</v>
          </cell>
          <cell r="B127" t="str">
            <v>000822</v>
          </cell>
          <cell r="C127" t="str">
            <v>Jrnl</v>
          </cell>
          <cell r="D127" t="str">
            <v>31/Dec/1998</v>
          </cell>
          <cell r="E127" t="str">
            <v>KROS0020</v>
          </cell>
          <cell r="F127" t="str">
            <v>1998/12</v>
          </cell>
          <cell r="G127" t="str">
            <v>403220</v>
          </cell>
          <cell r="H127" t="str">
            <v>72005</v>
          </cell>
          <cell r="I127" t="str">
            <v>608000</v>
          </cell>
          <cell r="J127" t="str">
            <v>Reclass to Project 608006</v>
          </cell>
          <cell r="K127" t="str">
            <v>D1</v>
          </cell>
          <cell r="L127">
            <v>-488.04</v>
          </cell>
          <cell r="M127" t="str">
            <v>X</v>
          </cell>
          <cell r="O127" t="str">
            <v xml:space="preserve"> </v>
          </cell>
          <cell r="P127" t="str">
            <v xml:space="preserve">72005- </v>
          </cell>
          <cell r="R127" t="str">
            <v xml:space="preserve"> </v>
          </cell>
          <cell r="S127" t="str">
            <v xml:space="preserve"> </v>
          </cell>
          <cell r="U127" t="str">
            <v>Input</v>
          </cell>
          <cell r="V127" t="str">
            <v xml:space="preserve"> </v>
          </cell>
          <cell r="W127" t="str">
            <v>72005</v>
          </cell>
          <cell r="X127">
            <v>-488.04</v>
          </cell>
          <cell r="Y127">
            <v>488.04</v>
          </cell>
        </row>
        <row r="128">
          <cell r="A128" t="str">
            <v xml:space="preserve"> 01</v>
          </cell>
          <cell r="B128" t="str">
            <v>000822</v>
          </cell>
          <cell r="C128" t="str">
            <v>Jrnl</v>
          </cell>
          <cell r="D128" t="str">
            <v>31/Dec/1998</v>
          </cell>
          <cell r="E128" t="str">
            <v>KROS0020</v>
          </cell>
          <cell r="F128" t="str">
            <v>1998/12</v>
          </cell>
          <cell r="G128" t="str">
            <v>403220</v>
          </cell>
          <cell r="H128" t="str">
            <v>72005</v>
          </cell>
          <cell r="I128" t="str">
            <v>608006</v>
          </cell>
          <cell r="J128" t="str">
            <v>Reclass to Project 608006</v>
          </cell>
          <cell r="K128" t="str">
            <v>D1</v>
          </cell>
          <cell r="L128">
            <v>488.04</v>
          </cell>
          <cell r="M128" t="str">
            <v>X</v>
          </cell>
          <cell r="O128" t="str">
            <v xml:space="preserve"> </v>
          </cell>
          <cell r="P128" t="str">
            <v xml:space="preserve">72005- </v>
          </cell>
          <cell r="R128" t="str">
            <v xml:space="preserve"> </v>
          </cell>
          <cell r="S128" t="str">
            <v xml:space="preserve"> </v>
          </cell>
          <cell r="U128" t="str">
            <v>Input</v>
          </cell>
          <cell r="V128" t="str">
            <v xml:space="preserve"> </v>
          </cell>
          <cell r="W128" t="str">
            <v>72005</v>
          </cell>
          <cell r="X128">
            <v>488.04</v>
          </cell>
          <cell r="Y128">
            <v>488.04</v>
          </cell>
        </row>
        <row r="129">
          <cell r="A129" t="str">
            <v xml:space="preserve"> 67</v>
          </cell>
          <cell r="B129" t="str">
            <v>200235</v>
          </cell>
          <cell r="C129" t="str">
            <v>Psbc</v>
          </cell>
          <cell r="D129" t="str">
            <v>04/Mar/1998</v>
          </cell>
          <cell r="E129" t="str">
            <v>KPUR0067</v>
          </cell>
          <cell r="F129" t="str">
            <v>1998/03</v>
          </cell>
          <cell r="G129" t="str">
            <v>400850</v>
          </cell>
          <cell r="H129" t="str">
            <v>72005</v>
          </cell>
          <cell r="I129" t="str">
            <v>608005</v>
          </cell>
          <cell r="J129" t="str">
            <v>APPLE ONE GREEN WE 2/28/98</v>
          </cell>
          <cell r="K129" t="str">
            <v>D1</v>
          </cell>
          <cell r="L129">
            <v>530</v>
          </cell>
          <cell r="M129" t="str">
            <v>XXX</v>
          </cell>
          <cell r="O129" t="str">
            <v xml:space="preserve"> </v>
          </cell>
          <cell r="P129" t="str">
            <v xml:space="preserve">72005- </v>
          </cell>
          <cell r="R129" t="str">
            <v xml:space="preserve"> </v>
          </cell>
          <cell r="S129" t="str">
            <v xml:space="preserve"> </v>
          </cell>
          <cell r="U129" t="str">
            <v>Input</v>
          </cell>
          <cell r="V129" t="str">
            <v xml:space="preserve"> </v>
          </cell>
          <cell r="W129" t="str">
            <v>72005</v>
          </cell>
          <cell r="X129">
            <v>530</v>
          </cell>
          <cell r="Y129">
            <v>530</v>
          </cell>
        </row>
        <row r="130">
          <cell r="A130" t="str">
            <v xml:space="preserve"> 67</v>
          </cell>
          <cell r="B130" t="str">
            <v>200228</v>
          </cell>
          <cell r="C130" t="str">
            <v>Psbc</v>
          </cell>
          <cell r="D130" t="str">
            <v>25/Feb/1998</v>
          </cell>
          <cell r="E130" t="str">
            <v>KPUR0043</v>
          </cell>
          <cell r="F130" t="str">
            <v>1998/03</v>
          </cell>
          <cell r="G130" t="str">
            <v>400850</v>
          </cell>
          <cell r="H130" t="str">
            <v>72005</v>
          </cell>
          <cell r="I130" t="str">
            <v>608005</v>
          </cell>
          <cell r="J130" t="str">
            <v>APPLE ONE/ DUTCHESS GREEN</v>
          </cell>
          <cell r="K130" t="str">
            <v>D1</v>
          </cell>
          <cell r="L130">
            <v>530</v>
          </cell>
          <cell r="M130" t="str">
            <v>XXX</v>
          </cell>
          <cell r="O130" t="str">
            <v xml:space="preserve"> </v>
          </cell>
          <cell r="P130" t="str">
            <v xml:space="preserve">72005- </v>
          </cell>
          <cell r="R130" t="str">
            <v xml:space="preserve"> </v>
          </cell>
          <cell r="S130" t="str">
            <v xml:space="preserve"> </v>
          </cell>
          <cell r="U130" t="str">
            <v>Input</v>
          </cell>
          <cell r="V130" t="str">
            <v xml:space="preserve"> </v>
          </cell>
          <cell r="W130" t="str">
            <v>72005</v>
          </cell>
          <cell r="X130">
            <v>530</v>
          </cell>
          <cell r="Y130">
            <v>530</v>
          </cell>
        </row>
        <row r="131">
          <cell r="A131" t="str">
            <v xml:space="preserve"> 01</v>
          </cell>
          <cell r="B131" t="str">
            <v>000412</v>
          </cell>
          <cell r="C131" t="str">
            <v>Jrnl</v>
          </cell>
          <cell r="D131" t="str">
            <v>04/Jun/1998</v>
          </cell>
          <cell r="E131" t="str">
            <v>KPUR0576</v>
          </cell>
          <cell r="F131" t="str">
            <v>1998/06</v>
          </cell>
          <cell r="G131" t="str">
            <v>400220</v>
          </cell>
          <cell r="H131" t="str">
            <v>72005</v>
          </cell>
          <cell r="I131" t="str">
            <v>608005</v>
          </cell>
          <cell r="J131" t="str">
            <v>MARTINA CARTWRIGHT 5/98</v>
          </cell>
          <cell r="K131" t="str">
            <v>D1</v>
          </cell>
          <cell r="L131">
            <v>660</v>
          </cell>
          <cell r="M131" t="str">
            <v>XXX</v>
          </cell>
          <cell r="O131" t="str">
            <v xml:space="preserve"> </v>
          </cell>
          <cell r="P131" t="str">
            <v xml:space="preserve">72005- </v>
          </cell>
          <cell r="R131" t="str">
            <v xml:space="preserve"> </v>
          </cell>
          <cell r="S131" t="str">
            <v xml:space="preserve"> </v>
          </cell>
          <cell r="U131" t="str">
            <v>Input</v>
          </cell>
          <cell r="V131" t="str">
            <v xml:space="preserve"> </v>
          </cell>
          <cell r="W131" t="str">
            <v>72005</v>
          </cell>
          <cell r="X131">
            <v>660</v>
          </cell>
          <cell r="Y131">
            <v>660</v>
          </cell>
        </row>
        <row r="132">
          <cell r="A132" t="str">
            <v xml:space="preserve"> 01</v>
          </cell>
          <cell r="B132" t="str">
            <v>000558</v>
          </cell>
          <cell r="C132" t="str">
            <v>Jrnl</v>
          </cell>
          <cell r="D132" t="str">
            <v>17/Sep/1998</v>
          </cell>
          <cell r="E132" t="str">
            <v>CWAN0081</v>
          </cell>
          <cell r="F132" t="str">
            <v>1998/09</v>
          </cell>
          <cell r="G132" t="str">
            <v>400220</v>
          </cell>
          <cell r="H132" t="str">
            <v>72005</v>
          </cell>
          <cell r="I132" t="str">
            <v>608005</v>
          </cell>
          <cell r="J132" t="str">
            <v>MARTINA CARTWRIGHT 7/98</v>
          </cell>
          <cell r="K132" t="str">
            <v>D1</v>
          </cell>
          <cell r="L132">
            <v>660</v>
          </cell>
          <cell r="M132" t="str">
            <v>XXX</v>
          </cell>
          <cell r="O132" t="str">
            <v xml:space="preserve"> </v>
          </cell>
          <cell r="P132" t="str">
            <v xml:space="preserve">72005- </v>
          </cell>
          <cell r="R132" t="str">
            <v xml:space="preserve"> </v>
          </cell>
          <cell r="S132" t="str">
            <v xml:space="preserve"> </v>
          </cell>
          <cell r="U132" t="str">
            <v>Input</v>
          </cell>
          <cell r="V132" t="str">
            <v xml:space="preserve"> </v>
          </cell>
          <cell r="W132" t="str">
            <v>72005</v>
          </cell>
          <cell r="X132">
            <v>660</v>
          </cell>
          <cell r="Y132">
            <v>660</v>
          </cell>
        </row>
        <row r="133">
          <cell r="A133" t="str">
            <v xml:space="preserve"> 01</v>
          </cell>
          <cell r="B133" t="str">
            <v>000412</v>
          </cell>
          <cell r="C133" t="str">
            <v>Jrnl</v>
          </cell>
          <cell r="D133" t="str">
            <v>04/Jun/1998</v>
          </cell>
          <cell r="E133" t="str">
            <v>KPUR0576</v>
          </cell>
          <cell r="F133" t="str">
            <v>1998/06</v>
          </cell>
          <cell r="G133" t="str">
            <v>853820</v>
          </cell>
          <cell r="H133" t="str">
            <v>72005</v>
          </cell>
          <cell r="I133" t="str">
            <v>601000</v>
          </cell>
          <cell r="J133" t="str">
            <v>CARTWRIGHT CODE CORRECTION</v>
          </cell>
          <cell r="K133" t="str">
            <v>D1</v>
          </cell>
          <cell r="L133">
            <v>-660</v>
          </cell>
          <cell r="M133" t="str">
            <v>X</v>
          </cell>
          <cell r="O133" t="str">
            <v xml:space="preserve"> </v>
          </cell>
          <cell r="P133" t="str">
            <v xml:space="preserve">72005- </v>
          </cell>
          <cell r="R133" t="str">
            <v xml:space="preserve"> </v>
          </cell>
          <cell r="S133" t="str">
            <v xml:space="preserve"> </v>
          </cell>
          <cell r="U133" t="str">
            <v>Input</v>
          </cell>
          <cell r="V133" t="str">
            <v xml:space="preserve"> </v>
          </cell>
          <cell r="W133" t="str">
            <v>72005</v>
          </cell>
          <cell r="X133">
            <v>-660</v>
          </cell>
          <cell r="Y133">
            <v>660</v>
          </cell>
        </row>
        <row r="134">
          <cell r="A134" t="str">
            <v xml:space="preserve"> 01</v>
          </cell>
          <cell r="B134" t="str">
            <v>000558</v>
          </cell>
          <cell r="C134" t="str">
            <v>Jrnl</v>
          </cell>
          <cell r="D134" t="str">
            <v>17/Sep/1998</v>
          </cell>
          <cell r="E134" t="str">
            <v>CWAN0081</v>
          </cell>
          <cell r="F134" t="str">
            <v>1998/09</v>
          </cell>
          <cell r="G134" t="str">
            <v>853820</v>
          </cell>
          <cell r="H134" t="str">
            <v>72005</v>
          </cell>
          <cell r="I134" t="str">
            <v>601000</v>
          </cell>
          <cell r="J134" t="str">
            <v>CARTWRIGHT CODE CORRECTION</v>
          </cell>
          <cell r="K134" t="str">
            <v>D1</v>
          </cell>
          <cell r="L134">
            <v>-660</v>
          </cell>
          <cell r="M134" t="str">
            <v>X</v>
          </cell>
          <cell r="O134" t="str">
            <v xml:space="preserve"> </v>
          </cell>
          <cell r="P134" t="str">
            <v xml:space="preserve">72005- </v>
          </cell>
          <cell r="R134" t="str">
            <v xml:space="preserve"> </v>
          </cell>
          <cell r="S134" t="str">
            <v xml:space="preserve"> </v>
          </cell>
          <cell r="U134" t="str">
            <v>Input</v>
          </cell>
          <cell r="V134" t="str">
            <v xml:space="preserve"> </v>
          </cell>
          <cell r="W134" t="str">
            <v>72005</v>
          </cell>
          <cell r="X134">
            <v>-660</v>
          </cell>
          <cell r="Y134">
            <v>660</v>
          </cell>
        </row>
        <row r="135">
          <cell r="A135" t="str">
            <v xml:space="preserve"> 75</v>
          </cell>
          <cell r="B135" t="str">
            <v>002320</v>
          </cell>
          <cell r="C135" t="str">
            <v>cshp</v>
          </cell>
          <cell r="D135" t="str">
            <v>27/May/1998</v>
          </cell>
          <cell r="E135" t="str">
            <v>MWAL0005</v>
          </cell>
          <cell r="F135" t="str">
            <v>1998/05</v>
          </cell>
          <cell r="G135" t="str">
            <v>853820</v>
          </cell>
          <cell r="H135" t="str">
            <v>72005</v>
          </cell>
          <cell r="I135" t="str">
            <v>601000</v>
          </cell>
          <cell r="J135" t="str">
            <v>Martina Cartwright</v>
          </cell>
          <cell r="K135" t="str">
            <v>D1</v>
          </cell>
          <cell r="L135">
            <v>660</v>
          </cell>
          <cell r="M135" t="str">
            <v>X</v>
          </cell>
          <cell r="O135" t="str">
            <v xml:space="preserve"> </v>
          </cell>
          <cell r="P135" t="str">
            <v xml:space="preserve">72005- </v>
          </cell>
          <cell r="R135" t="str">
            <v xml:space="preserve"> </v>
          </cell>
          <cell r="S135" t="str">
            <v xml:space="preserve"> </v>
          </cell>
          <cell r="U135" t="str">
            <v>Input</v>
          </cell>
          <cell r="V135" t="str">
            <v xml:space="preserve"> </v>
          </cell>
          <cell r="W135" t="str">
            <v>72005</v>
          </cell>
          <cell r="X135">
            <v>660</v>
          </cell>
          <cell r="Y135">
            <v>660</v>
          </cell>
        </row>
        <row r="136">
          <cell r="A136" t="str">
            <v xml:space="preserve"> 75</v>
          </cell>
          <cell r="B136" t="str">
            <v>002518</v>
          </cell>
          <cell r="C136" t="str">
            <v>cshp</v>
          </cell>
          <cell r="D136" t="str">
            <v>31/Jul/1998</v>
          </cell>
          <cell r="E136" t="str">
            <v>MWAL0075</v>
          </cell>
          <cell r="F136" t="str">
            <v>1998/09</v>
          </cell>
          <cell r="G136" t="str">
            <v>853820</v>
          </cell>
          <cell r="H136" t="str">
            <v>72005</v>
          </cell>
          <cell r="I136" t="str">
            <v>601000</v>
          </cell>
          <cell r="J136" t="str">
            <v>Martina Cartwright</v>
          </cell>
          <cell r="K136" t="str">
            <v>D1</v>
          </cell>
          <cell r="L136">
            <v>660</v>
          </cell>
          <cell r="M136" t="str">
            <v>X</v>
          </cell>
          <cell r="O136" t="str">
            <v xml:space="preserve"> </v>
          </cell>
          <cell r="P136" t="str">
            <v xml:space="preserve">72005- </v>
          </cell>
          <cell r="R136" t="str">
            <v xml:space="preserve"> </v>
          </cell>
          <cell r="S136" t="str">
            <v xml:space="preserve"> </v>
          </cell>
          <cell r="U136" t="str">
            <v>Input</v>
          </cell>
          <cell r="V136" t="str">
            <v xml:space="preserve"> </v>
          </cell>
          <cell r="W136" t="str">
            <v>72005</v>
          </cell>
          <cell r="X136">
            <v>660</v>
          </cell>
          <cell r="Y136">
            <v>660</v>
          </cell>
        </row>
        <row r="137">
          <cell r="A137" t="str">
            <v xml:space="preserve"> 01</v>
          </cell>
          <cell r="B137" t="str">
            <v>000817</v>
          </cell>
          <cell r="C137" t="str">
            <v>Jrnl</v>
          </cell>
          <cell r="D137" t="str">
            <v>31/Dec/1998</v>
          </cell>
          <cell r="E137" t="str">
            <v>NTON0123</v>
          </cell>
          <cell r="F137" t="str">
            <v>1998/12</v>
          </cell>
          <cell r="G137" t="str">
            <v>401220</v>
          </cell>
          <cell r="H137" t="str">
            <v>72005</v>
          </cell>
          <cell r="I137" t="str">
            <v>608000</v>
          </cell>
          <cell r="J137" t="str">
            <v>PE 12/5 Kingman</v>
          </cell>
          <cell r="K137" t="str">
            <v>D1</v>
          </cell>
          <cell r="L137">
            <v>1100</v>
          </cell>
          <cell r="M137" t="str">
            <v>X</v>
          </cell>
          <cell r="O137" t="str">
            <v xml:space="preserve"> </v>
          </cell>
          <cell r="P137" t="str">
            <v xml:space="preserve">72005- </v>
          </cell>
          <cell r="R137" t="str">
            <v xml:space="preserve"> </v>
          </cell>
          <cell r="S137" t="str">
            <v xml:space="preserve"> </v>
          </cell>
          <cell r="U137" t="str">
            <v>Input</v>
          </cell>
          <cell r="V137" t="str">
            <v xml:space="preserve"> </v>
          </cell>
          <cell r="W137" t="str">
            <v>72005</v>
          </cell>
          <cell r="X137">
            <v>1100</v>
          </cell>
          <cell r="Y137">
            <v>1100</v>
          </cell>
        </row>
        <row r="138">
          <cell r="A138" t="str">
            <v>01</v>
          </cell>
          <cell r="B138" t="str">
            <v>000855</v>
          </cell>
          <cell r="C138" t="str">
            <v>Jrnl</v>
          </cell>
          <cell r="D138" t="str">
            <v>30/Dec/1998</v>
          </cell>
          <cell r="E138" t="str">
            <v>SCES0034</v>
          </cell>
          <cell r="F138" t="str">
            <v>1998/12</v>
          </cell>
          <cell r="G138" t="str">
            <v>401220</v>
          </cell>
          <cell r="H138" t="str">
            <v>72005</v>
          </cell>
          <cell r="I138" t="str">
            <v>608000</v>
          </cell>
          <cell r="J138" t="str">
            <v>Rev J/E 817 Double-entry</v>
          </cell>
          <cell r="K138" t="str">
            <v>D1</v>
          </cell>
          <cell r="L138">
            <v>-1100</v>
          </cell>
          <cell r="M138" t="str">
            <v>X</v>
          </cell>
          <cell r="O138" t="str">
            <v xml:space="preserve"> </v>
          </cell>
          <cell r="P138" t="str">
            <v xml:space="preserve">72005- </v>
          </cell>
          <cell r="R138" t="str">
            <v xml:space="preserve"> </v>
          </cell>
          <cell r="S138" t="str">
            <v xml:space="preserve"> </v>
          </cell>
          <cell r="U138" t="str">
            <v>Input</v>
          </cell>
          <cell r="V138" t="str">
            <v xml:space="preserve"> </v>
          </cell>
          <cell r="W138" t="str">
            <v>72005</v>
          </cell>
          <cell r="X138">
            <v>-1100</v>
          </cell>
          <cell r="Y138">
            <v>1100</v>
          </cell>
        </row>
        <row r="139">
          <cell r="A139" t="str">
            <v xml:space="preserve"> 01</v>
          </cell>
          <cell r="B139" t="str">
            <v>000658</v>
          </cell>
          <cell r="C139" t="str">
            <v>Jrnl</v>
          </cell>
          <cell r="D139" t="str">
            <v>09/Oct/1998</v>
          </cell>
          <cell r="E139" t="str">
            <v>NTON0003</v>
          </cell>
          <cell r="F139" t="str">
            <v>1998/10</v>
          </cell>
          <cell r="G139" t="str">
            <v>400220</v>
          </cell>
          <cell r="H139" t="str">
            <v>72005</v>
          </cell>
          <cell r="I139" t="str">
            <v>608000</v>
          </cell>
          <cell r="J139" t="str">
            <v>Ck #455 Dr. Kingman</v>
          </cell>
          <cell r="K139" t="str">
            <v>D1</v>
          </cell>
          <cell r="L139">
            <v>-1155</v>
          </cell>
          <cell r="M139" t="str">
            <v>X</v>
          </cell>
          <cell r="O139" t="str">
            <v xml:space="preserve"> </v>
          </cell>
          <cell r="P139" t="str">
            <v xml:space="preserve">72005- </v>
          </cell>
          <cell r="R139" t="str">
            <v xml:space="preserve"> </v>
          </cell>
          <cell r="S139" t="str">
            <v xml:space="preserve"> </v>
          </cell>
          <cell r="U139" t="str">
            <v>Input</v>
          </cell>
          <cell r="V139" t="str">
            <v xml:space="preserve"> </v>
          </cell>
          <cell r="W139" t="str">
            <v>72005</v>
          </cell>
          <cell r="X139">
            <v>-1155</v>
          </cell>
          <cell r="Y139">
            <v>1155</v>
          </cell>
        </row>
        <row r="140">
          <cell r="A140" t="str">
            <v xml:space="preserve"> 01</v>
          </cell>
          <cell r="B140" t="str">
            <v>000813</v>
          </cell>
          <cell r="C140" t="str">
            <v>Jrnl</v>
          </cell>
          <cell r="D140" t="str">
            <v>31/Dec/1998</v>
          </cell>
          <cell r="E140" t="str">
            <v>KROS0018</v>
          </cell>
          <cell r="F140" t="str">
            <v>1998/12</v>
          </cell>
          <cell r="G140" t="str">
            <v>400220</v>
          </cell>
          <cell r="H140" t="str">
            <v>72005</v>
          </cell>
          <cell r="I140" t="str">
            <v>608000</v>
          </cell>
          <cell r="J140" t="str">
            <v>Ck 455 Dr. Kingman</v>
          </cell>
          <cell r="K140" t="str">
            <v>D1</v>
          </cell>
          <cell r="L140">
            <v>-1155</v>
          </cell>
          <cell r="M140" t="str">
            <v>X</v>
          </cell>
          <cell r="O140" t="str">
            <v xml:space="preserve"> </v>
          </cell>
          <cell r="P140" t="str">
            <v xml:space="preserve">72005- </v>
          </cell>
          <cell r="R140" t="str">
            <v xml:space="preserve"> </v>
          </cell>
          <cell r="S140" t="str">
            <v xml:space="preserve"> </v>
          </cell>
          <cell r="U140" t="str">
            <v>Input</v>
          </cell>
          <cell r="V140" t="str">
            <v xml:space="preserve"> </v>
          </cell>
          <cell r="W140" t="str">
            <v>72005</v>
          </cell>
          <cell r="X140">
            <v>-1155</v>
          </cell>
          <cell r="Y140">
            <v>1155</v>
          </cell>
        </row>
        <row r="141">
          <cell r="A141" t="str">
            <v xml:space="preserve"> 01</v>
          </cell>
          <cell r="B141" t="str">
            <v>000665</v>
          </cell>
          <cell r="C141" t="str">
            <v>Jrnl</v>
          </cell>
          <cell r="D141" t="str">
            <v>22/Oct/1998</v>
          </cell>
          <cell r="E141" t="str">
            <v>NTON0008</v>
          </cell>
          <cell r="F141" t="str">
            <v>1998/10</v>
          </cell>
          <cell r="G141" t="str">
            <v>400220</v>
          </cell>
          <cell r="H141" t="str">
            <v>72005</v>
          </cell>
          <cell r="I141" t="str">
            <v>608000</v>
          </cell>
          <cell r="J141" t="str">
            <v>To Correct JE 000658</v>
          </cell>
          <cell r="K141" t="str">
            <v>D1</v>
          </cell>
          <cell r="L141">
            <v>1155</v>
          </cell>
          <cell r="M141" t="str">
            <v>X</v>
          </cell>
          <cell r="O141" t="str">
            <v xml:space="preserve"> </v>
          </cell>
          <cell r="P141" t="str">
            <v xml:space="preserve">72005- </v>
          </cell>
          <cell r="R141" t="str">
            <v xml:space="preserve"> </v>
          </cell>
          <cell r="S141" t="str">
            <v xml:space="preserve"> </v>
          </cell>
          <cell r="U141" t="str">
            <v>Input</v>
          </cell>
          <cell r="V141" t="str">
            <v xml:space="preserve"> </v>
          </cell>
          <cell r="W141" t="str">
            <v>72005</v>
          </cell>
          <cell r="X141">
            <v>1155</v>
          </cell>
          <cell r="Y141">
            <v>1155</v>
          </cell>
        </row>
        <row r="142">
          <cell r="A142" t="str">
            <v xml:space="preserve"> 01</v>
          </cell>
          <cell r="B142" t="str">
            <v>000664</v>
          </cell>
          <cell r="C142" t="str">
            <v>Jrnl</v>
          </cell>
          <cell r="D142" t="str">
            <v>22/Oct/1998</v>
          </cell>
          <cell r="E142" t="str">
            <v>NTON0008</v>
          </cell>
          <cell r="F142" t="str">
            <v>1998/10</v>
          </cell>
          <cell r="G142" t="str">
            <v>400220</v>
          </cell>
          <cell r="H142" t="str">
            <v>72005</v>
          </cell>
          <cell r="I142" t="str">
            <v>608000</v>
          </cell>
          <cell r="J142" t="str">
            <v>To Reverse JE 000658</v>
          </cell>
          <cell r="K142" t="str">
            <v>D1</v>
          </cell>
          <cell r="L142">
            <v>1155</v>
          </cell>
          <cell r="M142" t="str">
            <v>X</v>
          </cell>
          <cell r="O142" t="str">
            <v xml:space="preserve"> </v>
          </cell>
          <cell r="P142" t="str">
            <v xml:space="preserve">72005- </v>
          </cell>
          <cell r="R142" t="str">
            <v xml:space="preserve"> </v>
          </cell>
          <cell r="S142" t="str">
            <v xml:space="preserve"> </v>
          </cell>
          <cell r="U142" t="str">
            <v>Input</v>
          </cell>
          <cell r="V142" t="str">
            <v xml:space="preserve"> </v>
          </cell>
          <cell r="W142" t="str">
            <v>72005</v>
          </cell>
          <cell r="X142">
            <v>1155</v>
          </cell>
          <cell r="Y142">
            <v>1155</v>
          </cell>
        </row>
        <row r="143">
          <cell r="A143" t="str">
            <v xml:space="preserve"> 01</v>
          </cell>
          <cell r="B143" t="str">
            <v>000826</v>
          </cell>
          <cell r="C143" t="str">
            <v>Jrnl</v>
          </cell>
          <cell r="D143" t="str">
            <v>31/Dec/1998</v>
          </cell>
          <cell r="E143" t="str">
            <v>KROS0021</v>
          </cell>
          <cell r="F143" t="str">
            <v>1998/12</v>
          </cell>
          <cell r="G143" t="str">
            <v>400850</v>
          </cell>
          <cell r="H143" t="str">
            <v>72005</v>
          </cell>
          <cell r="I143" t="str">
            <v>990060</v>
          </cell>
          <cell r="J143" t="str">
            <v>Def. Pre-Opening 12/31/98</v>
          </cell>
          <cell r="K143" t="str">
            <v>D1</v>
          </cell>
          <cell r="L143">
            <v>-1272</v>
          </cell>
          <cell r="M143" t="str">
            <v>XXX</v>
          </cell>
          <cell r="O143" t="str">
            <v xml:space="preserve"> </v>
          </cell>
          <cell r="P143" t="str">
            <v xml:space="preserve">72005- </v>
          </cell>
          <cell r="R143" t="str">
            <v xml:space="preserve"> </v>
          </cell>
          <cell r="S143" t="str">
            <v xml:space="preserve"> </v>
          </cell>
          <cell r="U143" t="str">
            <v>Input</v>
          </cell>
          <cell r="V143" t="str">
            <v xml:space="preserve"> </v>
          </cell>
          <cell r="W143" t="str">
            <v>72005</v>
          </cell>
          <cell r="X143">
            <v>-1272</v>
          </cell>
          <cell r="Y143">
            <v>1272</v>
          </cell>
        </row>
        <row r="144">
          <cell r="A144" t="str">
            <v xml:space="preserve"> 02</v>
          </cell>
          <cell r="B144" t="str">
            <v>000033</v>
          </cell>
          <cell r="C144" t="str">
            <v>Accl</v>
          </cell>
          <cell r="D144" t="str">
            <v>30/Sep/1998</v>
          </cell>
          <cell r="E144" t="str">
            <v>DPAS0154</v>
          </cell>
          <cell r="F144" t="str">
            <v>1998/09</v>
          </cell>
          <cell r="G144" t="str">
            <v>400850</v>
          </cell>
          <cell r="H144" t="str">
            <v>72005</v>
          </cell>
          <cell r="I144" t="str">
            <v>990060</v>
          </cell>
          <cell r="J144" t="str">
            <v>PRE-OPENING DEF EXP.</v>
          </cell>
          <cell r="K144" t="str">
            <v>D1</v>
          </cell>
          <cell r="L144">
            <v>-1272</v>
          </cell>
          <cell r="M144" t="str">
            <v>X</v>
          </cell>
          <cell r="O144" t="str">
            <v xml:space="preserve"> </v>
          </cell>
          <cell r="P144" t="str">
            <v xml:space="preserve">72005- </v>
          </cell>
          <cell r="R144" t="str">
            <v xml:space="preserve"> </v>
          </cell>
          <cell r="S144" t="str">
            <v xml:space="preserve"> </v>
          </cell>
          <cell r="U144" t="str">
            <v>Input</v>
          </cell>
          <cell r="V144" t="str">
            <v xml:space="preserve"> </v>
          </cell>
          <cell r="W144" t="str">
            <v>72005</v>
          </cell>
          <cell r="X144">
            <v>-1272</v>
          </cell>
          <cell r="Y144">
            <v>1272</v>
          </cell>
        </row>
        <row r="145">
          <cell r="A145" t="str">
            <v xml:space="preserve"> 03</v>
          </cell>
          <cell r="B145" t="str">
            <v>000033</v>
          </cell>
          <cell r="C145" t="str">
            <v>Rvsl</v>
          </cell>
          <cell r="D145" t="str">
            <v>30/Sep/1998</v>
          </cell>
          <cell r="E145" t="str">
            <v>DPAS0154</v>
          </cell>
          <cell r="F145" t="str">
            <v>1998/10</v>
          </cell>
          <cell r="G145" t="str">
            <v>400850</v>
          </cell>
          <cell r="H145" t="str">
            <v>72005</v>
          </cell>
          <cell r="I145" t="str">
            <v>990060</v>
          </cell>
          <cell r="J145" t="str">
            <v>PRE-OPENING DEF EXP.</v>
          </cell>
          <cell r="K145" t="str">
            <v>D1</v>
          </cell>
          <cell r="L145">
            <v>1272</v>
          </cell>
          <cell r="M145" t="str">
            <v>X</v>
          </cell>
          <cell r="O145" t="str">
            <v xml:space="preserve"> </v>
          </cell>
          <cell r="P145" t="str">
            <v xml:space="preserve">72005- </v>
          </cell>
          <cell r="R145" t="str">
            <v xml:space="preserve"> </v>
          </cell>
          <cell r="S145" t="str">
            <v xml:space="preserve"> </v>
          </cell>
          <cell r="U145" t="str">
            <v>Input</v>
          </cell>
          <cell r="V145" t="str">
            <v xml:space="preserve"> </v>
          </cell>
          <cell r="W145" t="str">
            <v>72005</v>
          </cell>
          <cell r="X145">
            <v>1272</v>
          </cell>
          <cell r="Y145">
            <v>1272</v>
          </cell>
        </row>
        <row r="146">
          <cell r="A146" t="str">
            <v xml:space="preserve"> 75</v>
          </cell>
          <cell r="B146" t="str">
            <v>002617</v>
          </cell>
          <cell r="C146" t="str">
            <v>cshp</v>
          </cell>
          <cell r="D146" t="str">
            <v>16/Sep/1998</v>
          </cell>
          <cell r="E146" t="str">
            <v>MWAL0082</v>
          </cell>
          <cell r="F146" t="str">
            <v>1998/09</v>
          </cell>
          <cell r="G146" t="str">
            <v>400220</v>
          </cell>
          <cell r="H146" t="str">
            <v>72005</v>
          </cell>
          <cell r="I146" t="str">
            <v>608005</v>
          </cell>
          <cell r="J146" t="str">
            <v>John Kingman, M.D.</v>
          </cell>
          <cell r="K146" t="str">
            <v>D1</v>
          </cell>
          <cell r="L146">
            <v>1910</v>
          </cell>
          <cell r="M146" t="str">
            <v>X</v>
          </cell>
          <cell r="O146" t="str">
            <v xml:space="preserve"> </v>
          </cell>
          <cell r="P146" t="str">
            <v xml:space="preserve">72005- </v>
          </cell>
          <cell r="R146" t="str">
            <v xml:space="preserve"> </v>
          </cell>
          <cell r="S146" t="str">
            <v xml:space="preserve"> </v>
          </cell>
          <cell r="U146" t="str">
            <v>Input</v>
          </cell>
          <cell r="V146" t="str">
            <v xml:space="preserve"> </v>
          </cell>
          <cell r="W146" t="str">
            <v>72005</v>
          </cell>
          <cell r="X146">
            <v>1910</v>
          </cell>
          <cell r="Y146">
            <v>1910</v>
          </cell>
        </row>
        <row r="147">
          <cell r="A147" t="str">
            <v xml:space="preserve"> 01</v>
          </cell>
          <cell r="B147" t="str">
            <v>000822</v>
          </cell>
          <cell r="C147" t="str">
            <v>Jrnl</v>
          </cell>
          <cell r="D147" t="str">
            <v>31/Dec/1998</v>
          </cell>
          <cell r="E147" t="str">
            <v>KROS0020</v>
          </cell>
          <cell r="F147" t="str">
            <v>1998/12</v>
          </cell>
          <cell r="G147" t="str">
            <v>400220</v>
          </cell>
          <cell r="H147" t="str">
            <v>72005</v>
          </cell>
          <cell r="I147" t="str">
            <v>608006</v>
          </cell>
          <cell r="J147" t="str">
            <v>Reclass to Project 608006</v>
          </cell>
          <cell r="K147" t="str">
            <v>D1</v>
          </cell>
          <cell r="L147">
            <v>1910</v>
          </cell>
          <cell r="M147" t="str">
            <v>X</v>
          </cell>
          <cell r="O147" t="str">
            <v xml:space="preserve"> </v>
          </cell>
          <cell r="P147" t="str">
            <v xml:space="preserve">72005- </v>
          </cell>
          <cell r="R147" t="str">
            <v xml:space="preserve"> </v>
          </cell>
          <cell r="S147" t="str">
            <v xml:space="preserve"> </v>
          </cell>
          <cell r="U147" t="str">
            <v>Input</v>
          </cell>
          <cell r="V147" t="str">
            <v xml:space="preserve"> </v>
          </cell>
          <cell r="W147" t="str">
            <v>72005</v>
          </cell>
          <cell r="X147">
            <v>1910</v>
          </cell>
          <cell r="Y147">
            <v>1910</v>
          </cell>
        </row>
        <row r="148">
          <cell r="A148" t="str">
            <v xml:space="preserve"> 01</v>
          </cell>
          <cell r="B148" t="str">
            <v>000564</v>
          </cell>
          <cell r="C148" t="str">
            <v>Jrnl</v>
          </cell>
          <cell r="D148" t="str">
            <v>24/Sep/1998</v>
          </cell>
          <cell r="E148" t="str">
            <v>CWAN0100</v>
          </cell>
          <cell r="F148" t="str">
            <v>1998/09</v>
          </cell>
          <cell r="G148" t="str">
            <v>400220</v>
          </cell>
          <cell r="H148" t="str">
            <v>72005</v>
          </cell>
          <cell r="I148" t="str">
            <v>608005</v>
          </cell>
          <cell r="J148" t="str">
            <v>VD CK KINGMAN 2595</v>
          </cell>
          <cell r="K148" t="str">
            <v>D1</v>
          </cell>
          <cell r="L148">
            <v>-1910</v>
          </cell>
          <cell r="M148" t="str">
            <v>X</v>
          </cell>
          <cell r="O148" t="str">
            <v xml:space="preserve"> </v>
          </cell>
          <cell r="P148" t="str">
            <v xml:space="preserve">72005- </v>
          </cell>
          <cell r="R148" t="str">
            <v xml:space="preserve"> </v>
          </cell>
          <cell r="S148" t="str">
            <v xml:space="preserve"> </v>
          </cell>
          <cell r="U148" t="str">
            <v>Input</v>
          </cell>
          <cell r="V148" t="str">
            <v xml:space="preserve"> </v>
          </cell>
          <cell r="W148" t="str">
            <v>72005</v>
          </cell>
          <cell r="X148">
            <v>-1910</v>
          </cell>
          <cell r="Y148">
            <v>1910</v>
          </cell>
        </row>
        <row r="149">
          <cell r="A149" t="str">
            <v xml:space="preserve"> 01</v>
          </cell>
          <cell r="B149" t="str">
            <v>000822</v>
          </cell>
          <cell r="C149" t="str">
            <v>Jrnl</v>
          </cell>
          <cell r="D149" t="str">
            <v>31/Dec/1998</v>
          </cell>
          <cell r="E149" t="str">
            <v>KROS0020</v>
          </cell>
          <cell r="F149" t="str">
            <v>1998/12</v>
          </cell>
          <cell r="G149" t="str">
            <v>400220</v>
          </cell>
          <cell r="H149" t="str">
            <v>72005</v>
          </cell>
          <cell r="I149" t="str">
            <v>608005</v>
          </cell>
          <cell r="J149" t="str">
            <v>Reclass to Project 608006</v>
          </cell>
          <cell r="K149" t="str">
            <v>D1</v>
          </cell>
          <cell r="L149">
            <v>-1910</v>
          </cell>
          <cell r="M149" t="str">
            <v>X</v>
          </cell>
          <cell r="O149" t="str">
            <v xml:space="preserve"> </v>
          </cell>
          <cell r="P149" t="str">
            <v xml:space="preserve">72005- </v>
          </cell>
          <cell r="R149" t="str">
            <v xml:space="preserve"> </v>
          </cell>
          <cell r="S149" t="str">
            <v xml:space="preserve"> </v>
          </cell>
          <cell r="U149" t="str">
            <v>Input</v>
          </cell>
          <cell r="V149" t="str">
            <v xml:space="preserve"> </v>
          </cell>
          <cell r="W149" t="str">
            <v>72005</v>
          </cell>
          <cell r="X149">
            <v>-1910</v>
          </cell>
          <cell r="Y149">
            <v>1910</v>
          </cell>
        </row>
        <row r="150">
          <cell r="A150" t="str">
            <v xml:space="preserve"> 01</v>
          </cell>
          <cell r="B150" t="str">
            <v>000368</v>
          </cell>
          <cell r="C150" t="str">
            <v>Jrnl</v>
          </cell>
          <cell r="D150" t="str">
            <v>08/May/1998</v>
          </cell>
          <cell r="E150" t="str">
            <v>KPUR0417</v>
          </cell>
          <cell r="F150" t="str">
            <v>1998/05</v>
          </cell>
          <cell r="G150" t="str">
            <v>853820</v>
          </cell>
          <cell r="H150" t="str">
            <v>72005</v>
          </cell>
          <cell r="I150" t="str">
            <v>601000</v>
          </cell>
          <cell r="J150" t="str">
            <v>ZDA 4/12@4/25 VOID</v>
          </cell>
          <cell r="K150" t="str">
            <v>D1</v>
          </cell>
          <cell r="L150">
            <v>-1916.67</v>
          </cell>
          <cell r="M150" t="str">
            <v>X</v>
          </cell>
          <cell r="O150" t="str">
            <v xml:space="preserve"> </v>
          </cell>
          <cell r="P150" t="str">
            <v xml:space="preserve">72005- </v>
          </cell>
          <cell r="R150" t="str">
            <v xml:space="preserve"> </v>
          </cell>
          <cell r="S150" t="str">
            <v xml:space="preserve"> </v>
          </cell>
          <cell r="U150" t="str">
            <v>Input</v>
          </cell>
          <cell r="V150" t="str">
            <v xml:space="preserve"> </v>
          </cell>
          <cell r="W150" t="str">
            <v>72005</v>
          </cell>
          <cell r="X150">
            <v>-1916.67</v>
          </cell>
          <cell r="Y150">
            <v>1916.67</v>
          </cell>
        </row>
        <row r="151">
          <cell r="A151" t="str">
            <v xml:space="preserve"> 01</v>
          </cell>
          <cell r="B151" t="str">
            <v>000341</v>
          </cell>
          <cell r="C151" t="str">
            <v>Jrnl</v>
          </cell>
          <cell r="D151" t="str">
            <v>24/Apr/1998</v>
          </cell>
          <cell r="E151" t="str">
            <v>KPUR0351</v>
          </cell>
          <cell r="F151" t="str">
            <v>1998/04</v>
          </cell>
          <cell r="G151" t="str">
            <v>853820</v>
          </cell>
          <cell r="H151" t="str">
            <v>72005</v>
          </cell>
          <cell r="I151" t="str">
            <v>601000</v>
          </cell>
          <cell r="J151" t="str">
            <v>ZDA(1099) 3/29@4/11</v>
          </cell>
          <cell r="K151" t="str">
            <v>D1</v>
          </cell>
          <cell r="L151">
            <v>1916.67</v>
          </cell>
          <cell r="M151" t="str">
            <v>X</v>
          </cell>
          <cell r="O151" t="str">
            <v xml:space="preserve"> </v>
          </cell>
          <cell r="P151" t="str">
            <v xml:space="preserve">72005- </v>
          </cell>
          <cell r="R151" t="str">
            <v xml:space="preserve"> </v>
          </cell>
          <cell r="S151" t="str">
            <v xml:space="preserve"> </v>
          </cell>
          <cell r="U151" t="str">
            <v>Input</v>
          </cell>
          <cell r="V151" t="str">
            <v xml:space="preserve"> </v>
          </cell>
          <cell r="W151" t="str">
            <v>72005</v>
          </cell>
          <cell r="X151">
            <v>1916.67</v>
          </cell>
          <cell r="Y151">
            <v>1916.67</v>
          </cell>
        </row>
        <row r="152">
          <cell r="A152" t="str">
            <v xml:space="preserve"> 75</v>
          </cell>
          <cell r="B152" t="str">
            <v>002316</v>
          </cell>
          <cell r="C152" t="str">
            <v>cshp</v>
          </cell>
          <cell r="D152" t="str">
            <v>03/Jul/1998</v>
          </cell>
          <cell r="E152" t="str">
            <v>KPUR0656</v>
          </cell>
          <cell r="F152" t="str">
            <v>1998/07</v>
          </cell>
          <cell r="G152" t="str">
            <v>853820</v>
          </cell>
          <cell r="H152" t="str">
            <v>72005</v>
          </cell>
          <cell r="I152" t="str">
            <v>601000</v>
          </cell>
          <cell r="J152" t="str">
            <v>FRANCOIS DUPUIS ART CONS 6/28</v>
          </cell>
          <cell r="K152" t="str">
            <v>D1</v>
          </cell>
          <cell r="L152">
            <v>2000</v>
          </cell>
          <cell r="M152" t="str">
            <v>X</v>
          </cell>
          <cell r="O152" t="str">
            <v xml:space="preserve"> </v>
          </cell>
          <cell r="P152" t="str">
            <v xml:space="preserve">72005- </v>
          </cell>
          <cell r="R152" t="str">
            <v xml:space="preserve"> </v>
          </cell>
          <cell r="S152" t="str">
            <v xml:space="preserve"> </v>
          </cell>
          <cell r="U152" t="str">
            <v>Input</v>
          </cell>
          <cell r="V152" t="str">
            <v xml:space="preserve"> </v>
          </cell>
          <cell r="W152" t="str">
            <v>72005</v>
          </cell>
          <cell r="X152">
            <v>2000</v>
          </cell>
          <cell r="Y152">
            <v>2000</v>
          </cell>
        </row>
      </sheetData>
      <sheetData sheetId="5" refreshError="1">
        <row r="9">
          <cell r="A9" t="str">
            <v>DOCUMENT</v>
          </cell>
          <cell r="B9" t="str">
            <v>NO_DOCUMEN</v>
          </cell>
          <cell r="C9" t="str">
            <v>ID_DOC</v>
          </cell>
          <cell r="D9" t="str">
            <v>DATE_DOC</v>
          </cell>
          <cell r="E9" t="str">
            <v>REF_LOT</v>
          </cell>
          <cell r="F9" t="str">
            <v>AN_PER</v>
          </cell>
          <cell r="G9" t="str">
            <v>CTRE_COUT</v>
          </cell>
          <cell r="H9" t="str">
            <v>NATURE</v>
          </cell>
          <cell r="I9" t="str">
            <v>PROJET</v>
          </cell>
          <cell r="J9" t="str">
            <v>DESC</v>
          </cell>
          <cell r="K9" t="str">
            <v>DEVISE</v>
          </cell>
          <cell r="L9" t="str">
            <v>VALEUR</v>
          </cell>
          <cell r="M9" t="str">
            <v>Sort Category (OK, RI, RO, X)</v>
          </cell>
          <cell r="N9" t="str">
            <v>Summary Level- (S)ummary, (D)etail</v>
          </cell>
          <cell r="O9" t="str">
            <v>Sort Order</v>
          </cell>
          <cell r="P9" t="str">
            <v>Compound Code</v>
          </cell>
          <cell r="Q9" t="str">
            <v>Special Groupings</v>
          </cell>
          <cell r="R9" t="str">
            <v>RO or RI G/L Account</v>
          </cell>
          <cell r="S9" t="str">
            <v>RO or RI Schedule No.</v>
          </cell>
          <cell r="T9" t="str">
            <v>Description</v>
          </cell>
          <cell r="U9" t="str">
            <v>G/L Account</v>
          </cell>
          <cell r="V9" t="str">
            <v>Amount</v>
          </cell>
          <cell r="W9" t="str">
            <v>Absolute Value</v>
          </cell>
        </row>
        <row r="10">
          <cell r="A10" t="str">
            <v xml:space="preserve"> 01</v>
          </cell>
          <cell r="B10" t="str">
            <v>000649</v>
          </cell>
          <cell r="C10" t="str">
            <v>Jrnl</v>
          </cell>
          <cell r="D10" t="str">
            <v>30/Sep/1998</v>
          </cell>
          <cell r="E10" t="str">
            <v>DPAS0151</v>
          </cell>
          <cell r="F10" t="str">
            <v>1998/09</v>
          </cell>
          <cell r="G10" t="str">
            <v>403355</v>
          </cell>
          <cell r="H10" t="str">
            <v>58030</v>
          </cell>
          <cell r="I10" t="str">
            <v>608005</v>
          </cell>
          <cell r="J10" t="str">
            <v>RECLASS FROM 608000</v>
          </cell>
          <cell r="K10" t="str">
            <v>D1</v>
          </cell>
          <cell r="L10">
            <v>590</v>
          </cell>
          <cell r="M10" t="str">
            <v>x</v>
          </cell>
          <cell r="N10" t="str">
            <v>s</v>
          </cell>
          <cell r="O10" t="str">
            <v>X</v>
          </cell>
          <cell r="P10" t="str">
            <v>58030-X</v>
          </cell>
          <cell r="R10" t="str">
            <v xml:space="preserve"> </v>
          </cell>
          <cell r="S10" t="str">
            <v xml:space="preserve"> </v>
          </cell>
          <cell r="T10">
            <v>0</v>
          </cell>
          <cell r="U10" t="str">
            <v>58030</v>
          </cell>
          <cell r="V10">
            <v>590</v>
          </cell>
          <cell r="W10">
            <v>590</v>
          </cell>
        </row>
        <row r="11">
          <cell r="A11" t="str">
            <v xml:space="preserve"> 01</v>
          </cell>
          <cell r="B11" t="str">
            <v>000649</v>
          </cell>
          <cell r="C11" t="str">
            <v>Jrnl</v>
          </cell>
          <cell r="D11" t="str">
            <v>30/Sep/1998</v>
          </cell>
          <cell r="E11" t="str">
            <v>DPAS0151</v>
          </cell>
          <cell r="F11" t="str">
            <v>1998/09</v>
          </cell>
          <cell r="G11" t="str">
            <v>403355</v>
          </cell>
          <cell r="H11" t="str">
            <v>58030</v>
          </cell>
          <cell r="I11" t="str">
            <v>608000</v>
          </cell>
          <cell r="J11" t="str">
            <v>RECLASS TO 608005</v>
          </cell>
          <cell r="K11" t="str">
            <v>D1</v>
          </cell>
          <cell r="L11">
            <v>-590</v>
          </cell>
          <cell r="M11" t="str">
            <v>x</v>
          </cell>
          <cell r="O11" t="str">
            <v xml:space="preserve"> </v>
          </cell>
          <cell r="P11" t="str">
            <v xml:space="preserve">58030- </v>
          </cell>
          <cell r="R11" t="str">
            <v xml:space="preserve"> </v>
          </cell>
          <cell r="S11" t="str">
            <v xml:space="preserve"> </v>
          </cell>
          <cell r="U11" t="str">
            <v>58030</v>
          </cell>
          <cell r="V11">
            <v>-590</v>
          </cell>
          <cell r="W11">
            <v>590</v>
          </cell>
        </row>
        <row r="12">
          <cell r="A12" t="str">
            <v xml:space="preserve"> 01</v>
          </cell>
          <cell r="B12" t="str">
            <v>000826</v>
          </cell>
          <cell r="C12" t="str">
            <v>Jrnl</v>
          </cell>
          <cell r="D12" t="str">
            <v>31/Dec/1998</v>
          </cell>
          <cell r="E12" t="str">
            <v>KROS0021</v>
          </cell>
          <cell r="F12" t="str">
            <v>1998/12</v>
          </cell>
          <cell r="G12" t="str">
            <v>403355</v>
          </cell>
          <cell r="H12" t="str">
            <v>58030</v>
          </cell>
          <cell r="I12" t="str">
            <v>990060</v>
          </cell>
          <cell r="J12" t="str">
            <v>Def. Pre-Opening 12/31/98</v>
          </cell>
          <cell r="K12" t="str">
            <v>D1</v>
          </cell>
          <cell r="L12">
            <v>-590</v>
          </cell>
          <cell r="M12" t="str">
            <v>x</v>
          </cell>
          <cell r="O12" t="str">
            <v xml:space="preserve"> </v>
          </cell>
          <cell r="P12" t="str">
            <v xml:space="preserve">58030- </v>
          </cell>
          <cell r="R12" t="str">
            <v xml:space="preserve"> </v>
          </cell>
          <cell r="S12" t="str">
            <v xml:space="preserve"> </v>
          </cell>
          <cell r="U12" t="str">
            <v>58030</v>
          </cell>
          <cell r="V12">
            <v>-590</v>
          </cell>
          <cell r="W12">
            <v>590</v>
          </cell>
        </row>
        <row r="13">
          <cell r="A13" t="str">
            <v xml:space="preserve"> 02</v>
          </cell>
          <cell r="B13" t="str">
            <v>000036</v>
          </cell>
          <cell r="C13" t="str">
            <v>Accl</v>
          </cell>
          <cell r="D13" t="str">
            <v>30/Sep/1998</v>
          </cell>
          <cell r="E13" t="str">
            <v>NTON0001</v>
          </cell>
          <cell r="F13" t="str">
            <v>1998/09</v>
          </cell>
          <cell r="G13" t="str">
            <v>403355</v>
          </cell>
          <cell r="H13" t="str">
            <v>58030</v>
          </cell>
          <cell r="I13" t="str">
            <v>990060</v>
          </cell>
          <cell r="J13" t="str">
            <v>Pre-Opening Def. Exp.</v>
          </cell>
          <cell r="K13" t="str">
            <v>D1</v>
          </cell>
          <cell r="L13">
            <v>-590</v>
          </cell>
          <cell r="M13" t="str">
            <v>x</v>
          </cell>
          <cell r="O13" t="str">
            <v xml:space="preserve"> </v>
          </cell>
          <cell r="P13" t="str">
            <v xml:space="preserve">58030- </v>
          </cell>
          <cell r="R13" t="str">
            <v xml:space="preserve"> </v>
          </cell>
          <cell r="S13" t="str">
            <v xml:space="preserve"> </v>
          </cell>
          <cell r="U13" t="str">
            <v>58030</v>
          </cell>
          <cell r="V13">
            <v>-590</v>
          </cell>
          <cell r="W13">
            <v>590</v>
          </cell>
        </row>
        <row r="14">
          <cell r="A14" t="str">
            <v xml:space="preserve"> 03</v>
          </cell>
          <cell r="B14" t="str">
            <v>000036</v>
          </cell>
          <cell r="C14" t="str">
            <v>Rvsl</v>
          </cell>
          <cell r="D14" t="str">
            <v>30/Sep/1998</v>
          </cell>
          <cell r="E14" t="str">
            <v>NTON0001</v>
          </cell>
          <cell r="F14" t="str">
            <v>1998/10</v>
          </cell>
          <cell r="G14" t="str">
            <v>403355</v>
          </cell>
          <cell r="H14" t="str">
            <v>58030</v>
          </cell>
          <cell r="I14" t="str">
            <v>990060</v>
          </cell>
          <cell r="J14" t="str">
            <v>Pre-Opening Def. Exp.</v>
          </cell>
          <cell r="K14" t="str">
            <v>D1</v>
          </cell>
          <cell r="L14">
            <v>590</v>
          </cell>
          <cell r="M14" t="str">
            <v>x</v>
          </cell>
          <cell r="O14" t="str">
            <v xml:space="preserve"> </v>
          </cell>
          <cell r="P14" t="str">
            <v xml:space="preserve">58030- </v>
          </cell>
          <cell r="R14" t="str">
            <v xml:space="preserve"> </v>
          </cell>
          <cell r="S14" t="str">
            <v xml:space="preserve"> </v>
          </cell>
          <cell r="U14" t="str">
            <v>58030</v>
          </cell>
          <cell r="V14">
            <v>590</v>
          </cell>
          <cell r="W14">
            <v>590</v>
          </cell>
        </row>
        <row r="15">
          <cell r="A15" t="str">
            <v xml:space="preserve"> 75</v>
          </cell>
          <cell r="B15" t="str">
            <v>002451</v>
          </cell>
          <cell r="C15" t="str">
            <v>cshp</v>
          </cell>
          <cell r="D15" t="str">
            <v>22/Jun/1998</v>
          </cell>
          <cell r="E15" t="str">
            <v>KPUR0605</v>
          </cell>
          <cell r="F15" t="str">
            <v>1998/06</v>
          </cell>
          <cell r="G15" t="str">
            <v>403355</v>
          </cell>
          <cell r="H15" t="str">
            <v>58030</v>
          </cell>
          <cell r="I15" t="str">
            <v>608000</v>
          </cell>
          <cell r="J15" t="str">
            <v>BAD ACCT WRITE OFF</v>
          </cell>
          <cell r="K15" t="str">
            <v>D1</v>
          </cell>
          <cell r="L15">
            <v>590</v>
          </cell>
          <cell r="M15" t="str">
            <v>x</v>
          </cell>
          <cell r="O15" t="str">
            <v xml:space="preserve"> </v>
          </cell>
          <cell r="P15" t="str">
            <v xml:space="preserve">58030- </v>
          </cell>
          <cell r="R15" t="str">
            <v xml:space="preserve"> </v>
          </cell>
          <cell r="S15" t="str">
            <v xml:space="preserve"> </v>
          </cell>
          <cell r="U15" t="str">
            <v>58030</v>
          </cell>
          <cell r="V15">
            <v>590</v>
          </cell>
          <cell r="W15">
            <v>590</v>
          </cell>
        </row>
      </sheetData>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pageSetUpPr fitToPage="1"/>
  </sheetPr>
  <dimension ref="B1:W53"/>
  <sheetViews>
    <sheetView showGridLines="0" view="pageBreakPreview" zoomScale="95" zoomScaleNormal="70" zoomScaleSheetLayoutView="95" workbookViewId="0">
      <selection activeCell="M3" sqref="M3:T31"/>
    </sheetView>
  </sheetViews>
  <sheetFormatPr baseColWidth="10" defaultColWidth="11.44140625" defaultRowHeight="14.4" x14ac:dyDescent="0.3"/>
  <cols>
    <col min="1" max="1" width="1.44140625" style="180" customWidth="1"/>
    <col min="2" max="2" width="1.109375" style="180" customWidth="1"/>
    <col min="3" max="11" width="10.6640625" style="180" customWidth="1"/>
    <col min="12" max="12" width="5" style="180" customWidth="1"/>
    <col min="13" max="13" width="10.6640625" style="3" customWidth="1"/>
    <col min="14" max="14" width="10.88671875" style="3" customWidth="1"/>
    <col min="15" max="20" width="11.44140625" style="3"/>
    <col min="21" max="21" width="5" style="180" customWidth="1"/>
    <col min="22" max="22" width="11.44140625" style="3"/>
    <col min="23" max="16384" width="11.44140625" style="180"/>
  </cols>
  <sheetData>
    <row r="1" spans="2:23" ht="6.75" customHeight="1" x14ac:dyDescent="0.3"/>
    <row r="2" spans="2:23" ht="17.399999999999999" customHeight="1" x14ac:dyDescent="0.3">
      <c r="B2" s="181"/>
      <c r="C2" s="182"/>
      <c r="D2" s="182"/>
      <c r="E2" s="182"/>
      <c r="F2" s="182"/>
      <c r="G2" s="182"/>
      <c r="H2" s="182"/>
      <c r="I2" s="182"/>
      <c r="J2" s="182"/>
      <c r="K2" s="183"/>
      <c r="L2" s="182"/>
      <c r="M2" s="109"/>
      <c r="U2" s="182"/>
    </row>
    <row r="3" spans="2:23" ht="17.399999999999999" customHeight="1" x14ac:dyDescent="0.3">
      <c r="B3" s="184"/>
      <c r="C3" s="185"/>
      <c r="D3" s="185"/>
      <c r="E3" s="185"/>
      <c r="F3" s="185"/>
      <c r="G3" s="185"/>
      <c r="H3" s="185"/>
      <c r="I3" s="185"/>
      <c r="J3" s="185"/>
      <c r="K3" s="185"/>
      <c r="L3" s="185"/>
      <c r="M3" s="1196" t="s">
        <v>122</v>
      </c>
      <c r="N3" s="1196"/>
      <c r="O3" s="1196"/>
      <c r="P3" s="1196"/>
      <c r="Q3" s="1196"/>
      <c r="R3" s="1196"/>
      <c r="S3" s="1196"/>
      <c r="T3" s="1196"/>
      <c r="U3" s="185"/>
      <c r="V3" s="190"/>
      <c r="W3" s="190"/>
    </row>
    <row r="4" spans="2:23" ht="17.399999999999999" customHeight="1" x14ac:dyDescent="0.3">
      <c r="B4" s="184"/>
      <c r="C4" s="185"/>
      <c r="D4" s="185"/>
      <c r="E4" s="185"/>
      <c r="F4" s="185"/>
      <c r="G4" s="185"/>
      <c r="H4" s="185"/>
      <c r="I4" s="185"/>
      <c r="J4" s="185"/>
      <c r="K4" s="185"/>
      <c r="L4" s="185"/>
      <c r="M4" s="1196"/>
      <c r="N4" s="1196"/>
      <c r="O4" s="1196"/>
      <c r="P4" s="1196"/>
      <c r="Q4" s="1196"/>
      <c r="R4" s="1196"/>
      <c r="S4" s="1196"/>
      <c r="T4" s="1196"/>
      <c r="U4" s="185"/>
      <c r="V4" s="190"/>
      <c r="W4" s="190"/>
    </row>
    <row r="5" spans="2:23" ht="17.399999999999999" customHeight="1" x14ac:dyDescent="0.3">
      <c r="B5" s="184"/>
      <c r="C5" s="185"/>
      <c r="D5" s="185"/>
      <c r="E5" s="185"/>
      <c r="F5" s="185"/>
      <c r="G5" s="185"/>
      <c r="H5" s="186"/>
      <c r="I5" s="185"/>
      <c r="J5" s="185"/>
      <c r="K5" s="185"/>
      <c r="L5" s="185"/>
      <c r="M5" s="1196"/>
      <c r="N5" s="1196"/>
      <c r="O5" s="1196"/>
      <c r="P5" s="1196"/>
      <c r="Q5" s="1196"/>
      <c r="R5" s="1196"/>
      <c r="S5" s="1196"/>
      <c r="T5" s="1196"/>
      <c r="U5" s="185"/>
      <c r="V5" s="190"/>
      <c r="W5" s="190"/>
    </row>
    <row r="6" spans="2:23" ht="17.399999999999999" customHeight="1" x14ac:dyDescent="0.3">
      <c r="B6" s="184"/>
      <c r="C6" s="185"/>
      <c r="D6" s="185"/>
      <c r="E6" s="185"/>
      <c r="F6" s="185"/>
      <c r="G6" s="185"/>
      <c r="H6" s="186"/>
      <c r="I6" s="185"/>
      <c r="J6" s="185"/>
      <c r="K6" s="185"/>
      <c r="L6" s="185"/>
      <c r="M6" s="1196"/>
      <c r="N6" s="1196"/>
      <c r="O6" s="1196"/>
      <c r="P6" s="1196"/>
      <c r="Q6" s="1196"/>
      <c r="R6" s="1196"/>
      <c r="S6" s="1196"/>
      <c r="T6" s="1196"/>
      <c r="U6" s="185"/>
      <c r="V6" s="190"/>
      <c r="W6" s="190"/>
    </row>
    <row r="7" spans="2:23" ht="17.399999999999999" customHeight="1" x14ac:dyDescent="0.3">
      <c r="B7" s="184"/>
      <c r="C7" s="185"/>
      <c r="D7" s="185"/>
      <c r="E7" s="185"/>
      <c r="F7" s="185"/>
      <c r="G7" s="185"/>
      <c r="H7" s="186"/>
      <c r="I7" s="185"/>
      <c r="J7" s="185"/>
      <c r="K7" s="185"/>
      <c r="L7" s="185"/>
      <c r="M7" s="1196"/>
      <c r="N7" s="1196"/>
      <c r="O7" s="1196"/>
      <c r="P7" s="1196"/>
      <c r="Q7" s="1196"/>
      <c r="R7" s="1196"/>
      <c r="S7" s="1196"/>
      <c r="T7" s="1196"/>
      <c r="U7" s="185"/>
      <c r="V7" s="190"/>
      <c r="W7" s="190"/>
    </row>
    <row r="8" spans="2:23" ht="17.399999999999999" customHeight="1" x14ac:dyDescent="0.3">
      <c r="B8" s="184"/>
      <c r="C8" s="185"/>
      <c r="D8" s="185"/>
      <c r="E8" s="185"/>
      <c r="F8" s="185"/>
      <c r="G8" s="185"/>
      <c r="H8" s="186"/>
      <c r="I8" s="185"/>
      <c r="J8" s="185"/>
      <c r="K8" s="185"/>
      <c r="L8" s="185"/>
      <c r="M8" s="1196"/>
      <c r="N8" s="1196"/>
      <c r="O8" s="1196"/>
      <c r="P8" s="1196"/>
      <c r="Q8" s="1196"/>
      <c r="R8" s="1196"/>
      <c r="S8" s="1196"/>
      <c r="T8" s="1196"/>
      <c r="U8" s="185"/>
      <c r="V8" s="190"/>
      <c r="W8" s="190"/>
    </row>
    <row r="9" spans="2:23" ht="17.399999999999999" customHeight="1" x14ac:dyDescent="0.3">
      <c r="B9" s="184"/>
      <c r="C9" s="185"/>
      <c r="D9" s="185"/>
      <c r="E9" s="185"/>
      <c r="F9" s="185"/>
      <c r="G9" s="185"/>
      <c r="H9" s="186"/>
      <c r="I9" s="185"/>
      <c r="J9" s="185"/>
      <c r="K9" s="185"/>
      <c r="L9" s="185"/>
      <c r="M9" s="1196"/>
      <c r="N9" s="1196"/>
      <c r="O9" s="1196"/>
      <c r="P9" s="1196"/>
      <c r="Q9" s="1196"/>
      <c r="R9" s="1196"/>
      <c r="S9" s="1196"/>
      <c r="T9" s="1196"/>
      <c r="U9" s="185"/>
      <c r="V9" s="190"/>
      <c r="W9" s="190"/>
    </row>
    <row r="10" spans="2:23" ht="17.399999999999999" customHeight="1" x14ac:dyDescent="0.3">
      <c r="B10" s="184"/>
      <c r="C10" s="185"/>
      <c r="D10" s="185"/>
      <c r="E10" s="185"/>
      <c r="F10" s="185"/>
      <c r="G10" s="185"/>
      <c r="H10" s="186"/>
      <c r="I10" s="185"/>
      <c r="J10" s="185"/>
      <c r="K10" s="185"/>
      <c r="L10" s="185"/>
      <c r="M10" s="1196"/>
      <c r="N10" s="1196"/>
      <c r="O10" s="1196"/>
      <c r="P10" s="1196"/>
      <c r="Q10" s="1196"/>
      <c r="R10" s="1196"/>
      <c r="S10" s="1196"/>
      <c r="T10" s="1196"/>
      <c r="U10" s="185"/>
      <c r="V10" s="190"/>
      <c r="W10" s="190"/>
    </row>
    <row r="11" spans="2:23" ht="17.399999999999999" customHeight="1" x14ac:dyDescent="0.3">
      <c r="B11" s="184"/>
      <c r="C11" s="185"/>
      <c r="D11" s="185"/>
      <c r="E11" s="185"/>
      <c r="F11" s="185"/>
      <c r="G11" s="185"/>
      <c r="H11" s="186"/>
      <c r="I11" s="185"/>
      <c r="J11" s="185"/>
      <c r="K11" s="185"/>
      <c r="L11" s="185"/>
      <c r="M11" s="1196"/>
      <c r="N11" s="1196"/>
      <c r="O11" s="1196"/>
      <c r="P11" s="1196"/>
      <c r="Q11" s="1196"/>
      <c r="R11" s="1196"/>
      <c r="S11" s="1196"/>
      <c r="T11" s="1196"/>
      <c r="U11" s="185"/>
      <c r="V11" s="190"/>
      <c r="W11" s="190"/>
    </row>
    <row r="12" spans="2:23" ht="17.399999999999999" customHeight="1" x14ac:dyDescent="0.3">
      <c r="B12" s="184"/>
      <c r="C12" s="185"/>
      <c r="D12" s="185"/>
      <c r="E12" s="185"/>
      <c r="F12" s="185"/>
      <c r="G12" s="185"/>
      <c r="H12" s="186"/>
      <c r="I12" s="185"/>
      <c r="J12" s="185"/>
      <c r="K12" s="185"/>
      <c r="L12" s="185"/>
      <c r="M12" s="1196"/>
      <c r="N12" s="1196"/>
      <c r="O12" s="1196"/>
      <c r="P12" s="1196"/>
      <c r="Q12" s="1196"/>
      <c r="R12" s="1196"/>
      <c r="S12" s="1196"/>
      <c r="T12" s="1196"/>
      <c r="U12" s="185"/>
      <c r="V12" s="190"/>
      <c r="W12" s="190"/>
    </row>
    <row r="13" spans="2:23" ht="17.399999999999999" customHeight="1" x14ac:dyDescent="0.3">
      <c r="B13" s="184"/>
      <c r="C13" s="185"/>
      <c r="D13" s="185"/>
      <c r="E13" s="185"/>
      <c r="F13" s="185"/>
      <c r="G13" s="185"/>
      <c r="H13" s="186"/>
      <c r="I13" s="185"/>
      <c r="J13" s="185"/>
      <c r="K13" s="185"/>
      <c r="L13" s="185"/>
      <c r="M13" s="1196"/>
      <c r="N13" s="1196"/>
      <c r="O13" s="1196"/>
      <c r="P13" s="1196"/>
      <c r="Q13" s="1196"/>
      <c r="R13" s="1196"/>
      <c r="S13" s="1196"/>
      <c r="T13" s="1196"/>
      <c r="U13" s="185"/>
      <c r="V13" s="190"/>
      <c r="W13" s="190"/>
    </row>
    <row r="14" spans="2:23" ht="17.399999999999999" customHeight="1" x14ac:dyDescent="0.3">
      <c r="B14" s="184"/>
      <c r="C14" s="185"/>
      <c r="D14" s="185"/>
      <c r="E14" s="185"/>
      <c r="F14" s="185"/>
      <c r="G14" s="185"/>
      <c r="H14" s="186"/>
      <c r="I14" s="185"/>
      <c r="J14" s="185"/>
      <c r="K14" s="185"/>
      <c r="L14" s="185"/>
      <c r="M14" s="1196"/>
      <c r="N14" s="1196"/>
      <c r="O14" s="1196"/>
      <c r="P14" s="1196"/>
      <c r="Q14" s="1196"/>
      <c r="R14" s="1196"/>
      <c r="S14" s="1196"/>
      <c r="T14" s="1196"/>
      <c r="U14" s="185"/>
      <c r="V14" s="190"/>
      <c r="W14" s="190"/>
    </row>
    <row r="15" spans="2:23" ht="17.399999999999999" customHeight="1" x14ac:dyDescent="0.3">
      <c r="B15" s="184"/>
      <c r="C15" s="185"/>
      <c r="D15" s="185"/>
      <c r="E15" s="185"/>
      <c r="F15" s="185"/>
      <c r="G15" s="185"/>
      <c r="H15" s="186"/>
      <c r="I15" s="185"/>
      <c r="J15" s="185"/>
      <c r="K15" s="185"/>
      <c r="L15" s="185"/>
      <c r="M15" s="1196"/>
      <c r="N15" s="1196"/>
      <c r="O15" s="1196"/>
      <c r="P15" s="1196"/>
      <c r="Q15" s="1196"/>
      <c r="R15" s="1196"/>
      <c r="S15" s="1196"/>
      <c r="T15" s="1196"/>
      <c r="U15" s="185"/>
      <c r="V15" s="190"/>
      <c r="W15" s="190"/>
    </row>
    <row r="16" spans="2:23" ht="17.399999999999999" customHeight="1" x14ac:dyDescent="0.3">
      <c r="B16" s="184"/>
      <c r="C16" s="185"/>
      <c r="D16" s="185"/>
      <c r="E16" s="185"/>
      <c r="F16" s="185"/>
      <c r="G16" s="185"/>
      <c r="H16" s="186"/>
      <c r="I16" s="185"/>
      <c r="J16" s="185"/>
      <c r="K16" s="185"/>
      <c r="L16" s="185"/>
      <c r="M16" s="1196"/>
      <c r="N16" s="1196"/>
      <c r="O16" s="1196"/>
      <c r="P16" s="1196"/>
      <c r="Q16" s="1196"/>
      <c r="R16" s="1196"/>
      <c r="S16" s="1196"/>
      <c r="T16" s="1196"/>
      <c r="U16" s="185"/>
      <c r="V16" s="190"/>
      <c r="W16" s="190"/>
    </row>
    <row r="17" spans="2:23" ht="17.399999999999999" customHeight="1" x14ac:dyDescent="0.3">
      <c r="B17" s="184"/>
      <c r="C17" s="185"/>
      <c r="D17" s="185"/>
      <c r="E17" s="185"/>
      <c r="F17" s="185"/>
      <c r="G17" s="185"/>
      <c r="H17" s="186"/>
      <c r="I17" s="185"/>
      <c r="J17" s="185"/>
      <c r="K17" s="185"/>
      <c r="L17" s="185"/>
      <c r="M17" s="1196"/>
      <c r="N17" s="1196"/>
      <c r="O17" s="1196"/>
      <c r="P17" s="1196"/>
      <c r="Q17" s="1196"/>
      <c r="R17" s="1196"/>
      <c r="S17" s="1196"/>
      <c r="T17" s="1196"/>
      <c r="U17" s="185"/>
      <c r="V17" s="190"/>
      <c r="W17" s="190"/>
    </row>
    <row r="18" spans="2:23" ht="17.399999999999999" customHeight="1" x14ac:dyDescent="0.3">
      <c r="B18" s="184"/>
      <c r="C18" s="185"/>
      <c r="D18" s="185"/>
      <c r="E18" s="185"/>
      <c r="F18" s="185"/>
      <c r="G18" s="185"/>
      <c r="H18" s="186"/>
      <c r="I18" s="185"/>
      <c r="J18" s="185"/>
      <c r="K18" s="185"/>
      <c r="L18" s="185"/>
      <c r="M18" s="1196"/>
      <c r="N18" s="1196"/>
      <c r="O18" s="1196"/>
      <c r="P18" s="1196"/>
      <c r="Q18" s="1196"/>
      <c r="R18" s="1196"/>
      <c r="S18" s="1196"/>
      <c r="T18" s="1196"/>
      <c r="U18" s="185"/>
      <c r="V18" s="190"/>
      <c r="W18" s="190"/>
    </row>
    <row r="19" spans="2:23" ht="17.399999999999999" customHeight="1" x14ac:dyDescent="0.3">
      <c r="B19" s="184"/>
      <c r="C19" s="185"/>
      <c r="D19" s="185"/>
      <c r="E19" s="185"/>
      <c r="F19" s="185"/>
      <c r="G19" s="185"/>
      <c r="H19" s="186"/>
      <c r="I19" s="185"/>
      <c r="J19" s="185"/>
      <c r="K19" s="185"/>
      <c r="L19" s="185"/>
      <c r="M19" s="1196"/>
      <c r="N19" s="1196"/>
      <c r="O19" s="1196"/>
      <c r="P19" s="1196"/>
      <c r="Q19" s="1196"/>
      <c r="R19" s="1196"/>
      <c r="S19" s="1196"/>
      <c r="T19" s="1196"/>
      <c r="U19" s="185"/>
      <c r="V19" s="190"/>
      <c r="W19" s="190"/>
    </row>
    <row r="20" spans="2:23" ht="17.399999999999999" customHeight="1" x14ac:dyDescent="0.3">
      <c r="B20" s="184"/>
      <c r="C20" s="185"/>
      <c r="D20" s="185"/>
      <c r="E20" s="185"/>
      <c r="F20" s="185"/>
      <c r="G20" s="185"/>
      <c r="H20" s="186"/>
      <c r="I20" s="185"/>
      <c r="J20" s="185"/>
      <c r="K20" s="185"/>
      <c r="L20" s="185"/>
      <c r="M20" s="1196"/>
      <c r="N20" s="1196"/>
      <c r="O20" s="1196"/>
      <c r="P20" s="1196"/>
      <c r="Q20" s="1196"/>
      <c r="R20" s="1196"/>
      <c r="S20" s="1196"/>
      <c r="T20" s="1196"/>
      <c r="U20" s="185"/>
      <c r="V20" s="190"/>
      <c r="W20" s="190"/>
    </row>
    <row r="21" spans="2:23" ht="17.399999999999999" customHeight="1" x14ac:dyDescent="0.3">
      <c r="B21" s="184"/>
      <c r="C21" s="185"/>
      <c r="D21" s="185"/>
      <c r="E21" s="185"/>
      <c r="F21" s="185"/>
      <c r="G21" s="185"/>
      <c r="H21" s="186"/>
      <c r="I21" s="185"/>
      <c r="J21" s="185"/>
      <c r="K21" s="185"/>
      <c r="L21" s="185"/>
      <c r="M21" s="1196"/>
      <c r="N21" s="1196"/>
      <c r="O21" s="1196"/>
      <c r="P21" s="1196"/>
      <c r="Q21" s="1196"/>
      <c r="R21" s="1196"/>
      <c r="S21" s="1196"/>
      <c r="T21" s="1196"/>
      <c r="U21" s="185"/>
      <c r="V21" s="190"/>
      <c r="W21" s="190"/>
    </row>
    <row r="22" spans="2:23" ht="17.399999999999999" customHeight="1" x14ac:dyDescent="0.3">
      <c r="B22" s="184"/>
      <c r="C22" s="185"/>
      <c r="D22" s="185"/>
      <c r="E22" s="185"/>
      <c r="F22" s="185"/>
      <c r="G22" s="185"/>
      <c r="H22" s="186"/>
      <c r="I22" s="185"/>
      <c r="J22" s="185"/>
      <c r="K22" s="185"/>
      <c r="L22" s="185"/>
      <c r="M22" s="1196"/>
      <c r="N22" s="1196"/>
      <c r="O22" s="1196"/>
      <c r="P22" s="1196"/>
      <c r="Q22" s="1196"/>
      <c r="R22" s="1196"/>
      <c r="S22" s="1196"/>
      <c r="T22" s="1196"/>
      <c r="U22" s="185"/>
      <c r="V22" s="190"/>
      <c r="W22" s="190"/>
    </row>
    <row r="23" spans="2:23" ht="17.399999999999999" customHeight="1" x14ac:dyDescent="0.3">
      <c r="B23" s="184"/>
      <c r="C23" s="185"/>
      <c r="D23" s="185"/>
      <c r="E23" s="185"/>
      <c r="F23" s="185"/>
      <c r="G23" s="185"/>
      <c r="H23" s="185"/>
      <c r="I23" s="185"/>
      <c r="J23" s="185"/>
      <c r="K23" s="185"/>
      <c r="L23" s="185"/>
      <c r="M23" s="1196"/>
      <c r="N23" s="1196"/>
      <c r="O23" s="1196"/>
      <c r="P23" s="1196"/>
      <c r="Q23" s="1196"/>
      <c r="R23" s="1196"/>
      <c r="S23" s="1196"/>
      <c r="T23" s="1196"/>
      <c r="U23" s="185"/>
      <c r="V23" s="190"/>
      <c r="W23" s="190"/>
    </row>
    <row r="24" spans="2:23" ht="17.399999999999999" customHeight="1" x14ac:dyDescent="0.3">
      <c r="B24" s="184"/>
      <c r="C24" s="185"/>
      <c r="D24" s="187"/>
      <c r="E24" s="185"/>
      <c r="F24" s="185"/>
      <c r="G24" s="185"/>
      <c r="H24" s="185"/>
      <c r="I24" s="185"/>
      <c r="J24" s="185"/>
      <c r="K24" s="185"/>
      <c r="L24" s="185"/>
      <c r="M24" s="1196"/>
      <c r="N24" s="1196"/>
      <c r="O24" s="1196"/>
      <c r="P24" s="1196"/>
      <c r="Q24" s="1196"/>
      <c r="R24" s="1196"/>
      <c r="S24" s="1196"/>
      <c r="T24" s="1196"/>
      <c r="U24" s="185"/>
      <c r="V24" s="190"/>
      <c r="W24" s="190"/>
    </row>
    <row r="25" spans="2:23" ht="17.399999999999999" customHeight="1" x14ac:dyDescent="0.3">
      <c r="B25" s="184"/>
      <c r="C25" s="185"/>
      <c r="D25" s="185"/>
      <c r="E25" s="185"/>
      <c r="F25" s="185"/>
      <c r="G25" s="185"/>
      <c r="H25" s="185"/>
      <c r="I25" s="185"/>
      <c r="J25" s="185"/>
      <c r="K25" s="185"/>
      <c r="L25" s="185"/>
      <c r="M25" s="1196"/>
      <c r="N25" s="1196"/>
      <c r="O25" s="1196"/>
      <c r="P25" s="1196"/>
      <c r="Q25" s="1196"/>
      <c r="R25" s="1196"/>
      <c r="S25" s="1196"/>
      <c r="T25" s="1196"/>
      <c r="U25" s="185"/>
      <c r="V25" s="190"/>
      <c r="W25" s="190"/>
    </row>
    <row r="26" spans="2:23" ht="17.399999999999999" customHeight="1" x14ac:dyDescent="0.3">
      <c r="B26" s="185"/>
      <c r="C26" s="185"/>
      <c r="D26" s="185"/>
      <c r="E26" s="185"/>
      <c r="F26" s="185"/>
      <c r="G26" s="185"/>
      <c r="H26" s="185"/>
      <c r="I26" s="185"/>
      <c r="J26" s="185"/>
      <c r="K26" s="185"/>
      <c r="L26" s="185"/>
      <c r="M26" s="1196"/>
      <c r="N26" s="1196"/>
      <c r="O26" s="1196"/>
      <c r="P26" s="1196"/>
      <c r="Q26" s="1196"/>
      <c r="R26" s="1196"/>
      <c r="S26" s="1196"/>
      <c r="T26" s="1196"/>
      <c r="U26" s="185"/>
      <c r="V26" s="190"/>
      <c r="W26" s="190"/>
    </row>
    <row r="27" spans="2:23" ht="17.399999999999999" customHeight="1" x14ac:dyDescent="0.3">
      <c r="B27" s="188"/>
      <c r="C27" s="185"/>
      <c r="E27" s="189"/>
      <c r="F27" s="189"/>
      <c r="G27" s="189"/>
      <c r="H27" s="189"/>
      <c r="I27" s="189"/>
      <c r="J27" s="189"/>
      <c r="K27" s="189"/>
      <c r="L27" s="189"/>
      <c r="M27" s="1196"/>
      <c r="N27" s="1196"/>
      <c r="O27" s="1196"/>
      <c r="P27" s="1196"/>
      <c r="Q27" s="1196"/>
      <c r="R27" s="1196"/>
      <c r="S27" s="1196"/>
      <c r="T27" s="1196"/>
      <c r="U27" s="189"/>
      <c r="V27" s="190"/>
      <c r="W27" s="190"/>
    </row>
    <row r="28" spans="2:23" ht="17.399999999999999" customHeight="1" x14ac:dyDescent="0.3">
      <c r="B28" s="188"/>
      <c r="C28" s="185"/>
      <c r="K28" s="189"/>
      <c r="L28" s="189"/>
      <c r="M28" s="1196"/>
      <c r="N28" s="1196"/>
      <c r="O28" s="1196"/>
      <c r="P28" s="1196"/>
      <c r="Q28" s="1196"/>
      <c r="R28" s="1196"/>
      <c r="S28" s="1196"/>
      <c r="T28" s="1196"/>
      <c r="U28" s="189"/>
      <c r="V28" s="190"/>
      <c r="W28" s="190"/>
    </row>
    <row r="29" spans="2:23" ht="17.25" customHeight="1" x14ac:dyDescent="0.3">
      <c r="B29" s="188"/>
      <c r="C29" s="185"/>
      <c r="K29" s="189"/>
      <c r="L29" s="189"/>
      <c r="M29" s="1196"/>
      <c r="N29" s="1196"/>
      <c r="O29" s="1196"/>
      <c r="P29" s="1196"/>
      <c r="Q29" s="1196"/>
      <c r="R29" s="1196"/>
      <c r="S29" s="1196"/>
      <c r="T29" s="1196"/>
      <c r="U29" s="189"/>
      <c r="V29" s="190"/>
      <c r="W29" s="190"/>
    </row>
    <row r="30" spans="2:23" ht="17.25" customHeight="1" x14ac:dyDescent="0.3">
      <c r="B30" s="188"/>
      <c r="C30" s="185"/>
      <c r="K30" s="189"/>
      <c r="L30" s="189"/>
      <c r="M30" s="1196"/>
      <c r="N30" s="1196"/>
      <c r="O30" s="1196"/>
      <c r="P30" s="1196"/>
      <c r="Q30" s="1196"/>
      <c r="R30" s="1196"/>
      <c r="S30" s="1196"/>
      <c r="T30" s="1196"/>
      <c r="U30" s="189"/>
      <c r="V30" s="190"/>
      <c r="W30" s="190"/>
    </row>
    <row r="31" spans="2:23" x14ac:dyDescent="0.3">
      <c r="B31" s="188"/>
      <c r="C31" s="185"/>
      <c r="K31" s="185"/>
      <c r="L31" s="185"/>
      <c r="M31" s="1196"/>
      <c r="N31" s="1196"/>
      <c r="O31" s="1196"/>
      <c r="P31" s="1196"/>
      <c r="Q31" s="1196"/>
      <c r="R31" s="1196"/>
      <c r="S31" s="1196"/>
      <c r="T31" s="1196"/>
      <c r="U31" s="185"/>
      <c r="V31" s="190"/>
      <c r="W31" s="190"/>
    </row>
    <row r="32" spans="2:23" ht="15" customHeight="1" x14ac:dyDescent="0.3">
      <c r="B32" s="188"/>
      <c r="N32" s="190"/>
      <c r="O32" s="1197" t="s">
        <v>562</v>
      </c>
      <c r="P32" s="1197"/>
      <c r="Q32" s="1197"/>
      <c r="R32" s="1197"/>
      <c r="S32" s="926"/>
      <c r="T32" s="190"/>
      <c r="V32" s="190"/>
      <c r="W32" s="190"/>
    </row>
    <row r="33" spans="2:23" ht="15" customHeight="1" x14ac:dyDescent="0.3">
      <c r="B33" s="188"/>
      <c r="N33" s="190"/>
      <c r="O33" s="1193" t="s">
        <v>563</v>
      </c>
      <c r="P33" s="1193"/>
      <c r="Q33" s="1193"/>
      <c r="R33" s="1193"/>
      <c r="S33" s="927"/>
      <c r="T33" s="190"/>
      <c r="V33" s="190"/>
      <c r="W33" s="190"/>
    </row>
    <row r="34" spans="2:23" ht="15" customHeight="1" x14ac:dyDescent="0.3">
      <c r="B34" s="188"/>
      <c r="N34" s="190"/>
      <c r="O34" s="1194" t="s">
        <v>564</v>
      </c>
      <c r="P34" s="1194"/>
      <c r="Q34" s="1194"/>
      <c r="R34" s="1194"/>
      <c r="S34" s="924"/>
      <c r="T34" s="190"/>
      <c r="V34" s="190"/>
      <c r="W34" s="190"/>
    </row>
    <row r="35" spans="2:23" ht="15" customHeight="1" x14ac:dyDescent="0.3">
      <c r="B35" s="188"/>
      <c r="O35" s="1195" t="s">
        <v>565</v>
      </c>
      <c r="P35" s="1195"/>
      <c r="Q35" s="1195"/>
      <c r="R35" s="1195"/>
      <c r="S35" s="925"/>
    </row>
    <row r="36" spans="2:23" x14ac:dyDescent="0.3">
      <c r="B36" s="188"/>
    </row>
    <row r="37" spans="2:23" x14ac:dyDescent="0.3">
      <c r="B37" s="184"/>
    </row>
    <row r="38" spans="2:23" x14ac:dyDescent="0.3">
      <c r="B38" s="184"/>
    </row>
    <row r="39" spans="2:23" x14ac:dyDescent="0.3">
      <c r="B39" s="184"/>
    </row>
    <row r="40" spans="2:23" x14ac:dyDescent="0.3">
      <c r="B40" s="184"/>
    </row>
    <row r="41" spans="2:23" x14ac:dyDescent="0.3">
      <c r="B41" s="184"/>
    </row>
    <row r="53" spans="10:10" x14ac:dyDescent="0.3">
      <c r="J53"/>
    </row>
  </sheetData>
  <mergeCells count="5">
    <mergeCell ref="O33:R33"/>
    <mergeCell ref="O34:R34"/>
    <mergeCell ref="O35:R35"/>
    <mergeCell ref="M3:T31"/>
    <mergeCell ref="O32:R32"/>
  </mergeCells>
  <pageMargins left="0.7" right="0.7" top="0.75" bottom="0.75" header="0.3" footer="0.3"/>
  <pageSetup scale="83" fitToWidth="0" orientation="landscape" r:id="rId1"/>
  <colBreaks count="1" manualBreakCount="1">
    <brk id="11" min="1" max="3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499984740745262"/>
    <pageSetUpPr fitToPage="1"/>
  </sheetPr>
  <dimension ref="A1:W275"/>
  <sheetViews>
    <sheetView showGridLines="0" tabSelected="1" zoomScale="80" zoomScaleNormal="80" zoomScaleSheetLayoutView="100" zoomScalePageLayoutView="85" workbookViewId="0">
      <selection activeCell="J14" sqref="J14"/>
    </sheetView>
  </sheetViews>
  <sheetFormatPr baseColWidth="10" defaultColWidth="0" defaultRowHeight="12.75" customHeight="1" x14ac:dyDescent="0.3"/>
  <cols>
    <col min="1" max="1" width="3.33203125" style="3" customWidth="1"/>
    <col min="2" max="5" width="14.6640625" style="3" customWidth="1"/>
    <col min="6" max="6" width="17" style="3" customWidth="1"/>
    <col min="7" max="7" width="14.6640625" style="3" customWidth="1"/>
    <col min="8" max="8" width="3.33203125" style="3" customWidth="1"/>
    <col min="9" max="9" width="38" style="3" customWidth="1"/>
    <col min="10" max="10" width="24.5546875" style="3" customWidth="1"/>
    <col min="11" max="12" width="19" style="3" customWidth="1"/>
    <col min="13" max="13" width="3.33203125" style="3" customWidth="1"/>
    <col min="14" max="18" width="13.6640625" style="3" customWidth="1"/>
    <col min="19" max="19" width="16.6640625" style="3" customWidth="1"/>
    <col min="20" max="21" width="13.6640625" style="3" customWidth="1"/>
    <col min="22" max="22" width="16.6640625" style="3" customWidth="1"/>
    <col min="23" max="23" width="11.6640625" style="3" customWidth="1"/>
    <col min="24" max="16384" width="0" style="3" hidden="1"/>
  </cols>
  <sheetData>
    <row r="1" spans="1:23" ht="5.0999999999999996" customHeight="1" x14ac:dyDescent="0.3"/>
    <row r="2" spans="1:23" ht="10.8" x14ac:dyDescent="0.3">
      <c r="B2" s="5"/>
      <c r="C2" s="5"/>
      <c r="D2" s="5"/>
    </row>
    <row r="3" spans="1:23" s="16" customFormat="1" ht="33.9" customHeight="1" x14ac:dyDescent="0.3">
      <c r="B3" s="344" t="str">
        <f>+'Project Layout'!$B$2</f>
        <v>Antonio Bellet</v>
      </c>
      <c r="C3" s="20"/>
      <c r="D3" s="20"/>
      <c r="E3" s="20"/>
      <c r="F3" s="21"/>
      <c r="G3" s="21"/>
      <c r="H3" s="22"/>
      <c r="I3" s="22"/>
      <c r="J3" s="22"/>
      <c r="K3" s="22"/>
      <c r="L3" s="22"/>
      <c r="M3" s="22"/>
      <c r="N3" s="22"/>
      <c r="O3" s="22"/>
      <c r="P3" s="22"/>
      <c r="Q3" s="22"/>
      <c r="R3" s="22"/>
      <c r="S3" s="22"/>
      <c r="T3" s="22"/>
      <c r="U3" s="22"/>
      <c r="V3" s="22"/>
      <c r="W3" s="22"/>
    </row>
    <row r="4" spans="1:23" s="16" customFormat="1" ht="23.1" customHeight="1" x14ac:dyDescent="0.3">
      <c r="B4" s="345" t="s">
        <v>139</v>
      </c>
      <c r="C4" s="20"/>
      <c r="D4" s="20"/>
      <c r="E4" s="20"/>
      <c r="F4" s="21"/>
      <c r="G4" s="21"/>
      <c r="H4" s="22"/>
      <c r="I4" s="22"/>
      <c r="J4" s="22"/>
      <c r="K4" s="22"/>
      <c r="L4" s="22"/>
      <c r="M4" s="22"/>
      <c r="N4" s="22"/>
      <c r="O4" s="22"/>
      <c r="P4" s="22"/>
      <c r="Q4" s="22"/>
      <c r="R4" s="22"/>
      <c r="S4" s="22"/>
      <c r="T4" s="22"/>
      <c r="U4" s="22"/>
      <c r="V4" s="22"/>
      <c r="W4" s="22"/>
    </row>
    <row r="5" spans="1:23" s="27" customFormat="1" ht="5.25" customHeight="1" x14ac:dyDescent="0.3">
      <c r="A5" s="23"/>
      <c r="B5" s="24"/>
      <c r="C5" s="25"/>
      <c r="D5" s="25"/>
      <c r="E5" s="25"/>
      <c r="F5" s="25"/>
      <c r="G5" s="25"/>
      <c r="H5" s="25"/>
      <c r="I5" s="25"/>
      <c r="J5" s="25"/>
      <c r="K5" s="25"/>
      <c r="L5" s="25"/>
      <c r="M5" s="25"/>
      <c r="N5" s="25"/>
      <c r="O5" s="25"/>
      <c r="P5" s="25"/>
      <c r="Q5" s="25"/>
      <c r="R5" s="25"/>
      <c r="S5" s="25"/>
      <c r="T5" s="25"/>
      <c r="U5" s="25"/>
      <c r="V5" s="25"/>
      <c r="W5" s="25"/>
    </row>
    <row r="6" spans="1:23" ht="11.7" customHeight="1" x14ac:dyDescent="0.3">
      <c r="B6" s="5"/>
      <c r="C6" s="5"/>
      <c r="D6" s="5"/>
    </row>
    <row r="7" spans="1:23" ht="11.7" customHeight="1" x14ac:dyDescent="0.3">
      <c r="B7" s="5"/>
      <c r="C7" s="5"/>
      <c r="D7" s="5"/>
    </row>
    <row r="8" spans="1:23" ht="11.7" customHeight="1" x14ac:dyDescent="0.3">
      <c r="B8" s="238" t="s">
        <v>211</v>
      </c>
      <c r="C8" s="239"/>
      <c r="D8" s="239"/>
      <c r="E8" s="239"/>
      <c r="F8" s="239"/>
      <c r="G8" s="240"/>
      <c r="I8" s="262" t="s">
        <v>439</v>
      </c>
      <c r="J8" s="263"/>
      <c r="K8" s="263"/>
      <c r="L8" s="264"/>
      <c r="N8" s="262" t="s">
        <v>449</v>
      </c>
      <c r="O8" s="263"/>
      <c r="P8" s="263"/>
      <c r="Q8" s="1198"/>
      <c r="R8" s="1198"/>
      <c r="S8" s="1198"/>
      <c r="T8" s="1198"/>
      <c r="U8" s="1198"/>
      <c r="V8" s="1199"/>
    </row>
    <row r="9" spans="1:23" ht="11.7" customHeight="1" x14ac:dyDescent="0.3">
      <c r="B9" s="243"/>
      <c r="C9" s="244"/>
      <c r="D9" s="244"/>
      <c r="E9" s="244"/>
      <c r="F9" s="244"/>
      <c r="G9" s="245"/>
      <c r="I9" s="243"/>
      <c r="J9" s="244"/>
      <c r="K9" s="244"/>
      <c r="L9" s="869"/>
      <c r="N9" s="352"/>
      <c r="O9" s="13"/>
      <c r="P9" s="13"/>
      <c r="Q9" s="1200" t="s">
        <v>62</v>
      </c>
      <c r="R9" s="1200"/>
      <c r="S9" s="1200"/>
      <c r="T9" s="1200" t="s">
        <v>70</v>
      </c>
      <c r="U9" s="1200"/>
      <c r="V9" s="1201"/>
    </row>
    <row r="10" spans="1:23" ht="11.7" customHeight="1" x14ac:dyDescent="0.3">
      <c r="B10" s="237"/>
      <c r="C10" s="246" t="s">
        <v>52</v>
      </c>
      <c r="D10" s="246" t="s">
        <v>16</v>
      </c>
      <c r="E10" s="246" t="s">
        <v>56</v>
      </c>
      <c r="F10" s="246" t="s">
        <v>55</v>
      </c>
      <c r="G10" s="247" t="s">
        <v>7</v>
      </c>
      <c r="I10" s="355" t="s">
        <v>723</v>
      </c>
      <c r="K10" s="318" t="s">
        <v>2</v>
      </c>
      <c r="L10" s="319" t="s">
        <v>436</v>
      </c>
      <c r="N10" s="101"/>
      <c r="P10" s="685"/>
      <c r="Q10" s="690" t="s">
        <v>450</v>
      </c>
      <c r="R10" s="690" t="s">
        <v>451</v>
      </c>
      <c r="S10" s="690" t="s">
        <v>452</v>
      </c>
      <c r="T10" s="690" t="s">
        <v>450</v>
      </c>
      <c r="U10" s="690" t="s">
        <v>451</v>
      </c>
      <c r="V10" s="691" t="s">
        <v>582</v>
      </c>
    </row>
    <row r="11" spans="1:23" ht="11.7" customHeight="1" x14ac:dyDescent="0.3">
      <c r="B11" s="444" t="s">
        <v>141</v>
      </c>
      <c r="C11" s="1083">
        <v>1626</v>
      </c>
      <c r="D11" s="536">
        <f>+C11</f>
        <v>1626</v>
      </c>
      <c r="E11" s="320">
        <f>C11*$L$131</f>
        <v>17502.1014</v>
      </c>
      <c r="F11" s="320">
        <f>D11*$L$131</f>
        <v>17502.1014</v>
      </c>
      <c r="G11" s="251"/>
      <c r="I11" s="254" t="s">
        <v>3</v>
      </c>
      <c r="K11" s="649">
        <f ca="1">+'Monthly UF Model'!H426</f>
        <v>8.3803448081016557E-2</v>
      </c>
      <c r="L11" s="669">
        <f ca="1">+'Monthly UF Model'!H448</f>
        <v>0.12530249953269956</v>
      </c>
      <c r="N11" s="355" t="s">
        <v>44</v>
      </c>
      <c r="O11" s="5"/>
      <c r="P11" s="675"/>
      <c r="R11" s="655"/>
      <c r="U11" s="655"/>
      <c r="V11" s="236"/>
    </row>
    <row r="12" spans="1:23" ht="11.7" customHeight="1" x14ac:dyDescent="0.3">
      <c r="B12" s="237"/>
      <c r="C12" s="249"/>
      <c r="D12" s="256"/>
      <c r="E12" s="250"/>
      <c r="F12" s="250"/>
      <c r="G12" s="251"/>
      <c r="I12" s="254" t="s">
        <v>4</v>
      </c>
      <c r="K12" s="221">
        <f ca="1">+'Monthly UF Model'!H427</f>
        <v>1.4244248927150702</v>
      </c>
      <c r="L12" s="670">
        <f ca="1">+'Monthly UF Model'!H449</f>
        <v>1.9206875951818447</v>
      </c>
      <c r="N12" s="254" t="s">
        <v>763</v>
      </c>
      <c r="P12" s="676"/>
      <c r="Q12" s="692">
        <f>+G62*G24*G23*12</f>
        <v>31642.97739367756</v>
      </c>
      <c r="R12" s="692">
        <f t="shared" ref="R12:R21" si="0">+IFERROR(Q12/$G$23,0)</f>
        <v>236.14162234087732</v>
      </c>
      <c r="S12" s="696">
        <f>+IFERROR(Q12/$D$14/12,0)</f>
        <v>0.45303999883282392</v>
      </c>
      <c r="T12" s="692">
        <f t="shared" ref="T12:U18" si="1">+Q12*$L$120</f>
        <v>1292615.497678753</v>
      </c>
      <c r="U12" s="692">
        <f t="shared" si="1"/>
        <v>9646.3843110354701</v>
      </c>
      <c r="V12" s="942">
        <f>+T12/$F$14/12</f>
        <v>1.7193286919705963</v>
      </c>
    </row>
    <row r="13" spans="1:23" ht="11.7" customHeight="1" x14ac:dyDescent="0.3">
      <c r="B13" s="444" t="s">
        <v>142</v>
      </c>
      <c r="C13" s="249"/>
      <c r="D13" s="253"/>
      <c r="E13" s="250"/>
      <c r="F13" s="253"/>
      <c r="G13" s="251"/>
      <c r="I13" s="254" t="s">
        <v>5</v>
      </c>
      <c r="K13" s="222">
        <f ca="1">+'Monthly UF Model'!H428</f>
        <v>242272.88765521182</v>
      </c>
      <c r="L13" s="671">
        <f ca="1">+'Monthly UF Model'!H450</f>
        <v>193557.65227011411</v>
      </c>
      <c r="N13" s="254" t="s">
        <v>453</v>
      </c>
      <c r="P13" s="676"/>
      <c r="Q13" s="695">
        <f>+'OpEx Budget'!$G$22</f>
        <v>5697.5694856736291</v>
      </c>
      <c r="R13" s="692">
        <f t="shared" si="0"/>
        <v>42.519175266221112</v>
      </c>
      <c r="S13" s="696">
        <f t="shared" ref="S13:S18" si="2">+IFERROR(Q13/$D$14/12,0)</f>
        <v>8.1573451228241792E-2</v>
      </c>
      <c r="T13" s="692">
        <f t="shared" si="1"/>
        <v>232745.69028876579</v>
      </c>
      <c r="U13" s="692">
        <f t="shared" si="1"/>
        <v>1736.9081364833269</v>
      </c>
      <c r="V13" s="942">
        <f t="shared" ref="V13:V18" si="3">+T13/$F$14/12</f>
        <v>0.30957879119087311</v>
      </c>
    </row>
    <row r="14" spans="1:23" ht="11.7" customHeight="1" x14ac:dyDescent="0.3">
      <c r="B14" s="255" t="s">
        <v>44</v>
      </c>
      <c r="C14" s="654">
        <f>+'Project Layout'!R52</f>
        <v>8631.5300000000007</v>
      </c>
      <c r="D14" s="654">
        <f>+'Project Layout'!S52</f>
        <v>5820.4900000000007</v>
      </c>
      <c r="E14" s="320">
        <f t="shared" ref="E14:F16" si="4">C14*$L$131</f>
        <v>92908.925767000008</v>
      </c>
      <c r="F14" s="320">
        <f t="shared" si="4"/>
        <v>62651.172311000002</v>
      </c>
      <c r="G14" s="102">
        <f>D14/$D$19</f>
        <v>0.85687303005722304</v>
      </c>
      <c r="I14" s="254" t="s">
        <v>6</v>
      </c>
      <c r="K14" s="222">
        <f ca="1">+'Monthly UF Model'!H429</f>
        <v>570826.29179777461</v>
      </c>
      <c r="L14" s="671">
        <f ca="1">+'Monthly UF Model'!H451</f>
        <v>210231.62827765109</v>
      </c>
      <c r="N14" s="254" t="s">
        <v>764</v>
      </c>
      <c r="P14" s="676"/>
      <c r="Q14" s="692">
        <f>+F183*12</f>
        <v>3570</v>
      </c>
      <c r="R14" s="692">
        <f t="shared" si="0"/>
        <v>26.64179104477612</v>
      </c>
      <c r="S14" s="696">
        <f t="shared" si="2"/>
        <v>5.1112535198926549E-2</v>
      </c>
      <c r="T14" s="692">
        <f t="shared" si="1"/>
        <v>145834.48546264734</v>
      </c>
      <c r="U14" s="692">
        <f t="shared" si="1"/>
        <v>1088.3170556913981</v>
      </c>
      <c r="V14" s="942">
        <f t="shared" si="3"/>
        <v>0.19397679788379951</v>
      </c>
    </row>
    <row r="15" spans="1:23" ht="11.7" customHeight="1" x14ac:dyDescent="0.3">
      <c r="B15" s="255" t="s">
        <v>13</v>
      </c>
      <c r="C15" s="654">
        <f>+'Project Layout'!R45</f>
        <v>972.22</v>
      </c>
      <c r="D15" s="654">
        <f>+'Project Layout'!S45</f>
        <v>972.22</v>
      </c>
      <c r="E15" s="320">
        <f t="shared" si="4"/>
        <v>10464.878858</v>
      </c>
      <c r="F15" s="320">
        <f t="shared" si="4"/>
        <v>10464.878858</v>
      </c>
      <c r="G15" s="102">
        <f>D15/$D$19</f>
        <v>0.14312696994277688</v>
      </c>
      <c r="I15" s="254" t="s">
        <v>89</v>
      </c>
      <c r="K15" s="1093">
        <f ca="1">+$Q$59</f>
        <v>6.8806389001100449E-2</v>
      </c>
      <c r="L15" s="672">
        <f ca="1">+Q60</f>
        <v>6.7591502898544237E-2</v>
      </c>
      <c r="N15" s="254" t="s">
        <v>765</v>
      </c>
      <c r="P15" s="677"/>
      <c r="Q15" s="692">
        <f>+F70*12</f>
        <v>839.51999999999975</v>
      </c>
      <c r="R15" s="692">
        <f t="shared" si="0"/>
        <v>6.2650746268656698</v>
      </c>
      <c r="S15" s="696">
        <f t="shared" si="2"/>
        <v>1.2019606596695461E-2</v>
      </c>
      <c r="T15" s="692">
        <f t="shared" si="1"/>
        <v>34294.388581401021</v>
      </c>
      <c r="U15" s="692">
        <f t="shared" si="1"/>
        <v>255.92827299553002</v>
      </c>
      <c r="V15" s="942">
        <f t="shared" si="3"/>
        <v>4.5615518588069275E-2</v>
      </c>
    </row>
    <row r="16" spans="1:23" ht="11.7" customHeight="1" x14ac:dyDescent="0.3">
      <c r="B16" s="255" t="s">
        <v>102</v>
      </c>
      <c r="C16" s="654">
        <f>+'Project Layout'!R46</f>
        <v>0</v>
      </c>
      <c r="D16" s="654">
        <f>+'Project Layout'!S46</f>
        <v>0</v>
      </c>
      <c r="E16" s="320">
        <f t="shared" si="4"/>
        <v>0</v>
      </c>
      <c r="F16" s="321">
        <f t="shared" si="4"/>
        <v>0</v>
      </c>
      <c r="G16" s="102">
        <f>D16/$D$19</f>
        <v>0</v>
      </c>
      <c r="I16" s="355" t="s">
        <v>663</v>
      </c>
      <c r="K16" s="1093"/>
      <c r="L16" s="672"/>
      <c r="N16" s="254" t="s">
        <v>766</v>
      </c>
      <c r="P16" s="677"/>
      <c r="Q16" s="692">
        <f>+(F94/(1+L126))*12</f>
        <v>2016.8067226890757</v>
      </c>
      <c r="R16" s="692">
        <f t="shared" si="0"/>
        <v>15.050796437978176</v>
      </c>
      <c r="S16" s="696">
        <f t="shared" si="2"/>
        <v>2.8875099328536994E-2</v>
      </c>
      <c r="T16" s="692">
        <f t="shared" si="1"/>
        <v>82386.546409235132</v>
      </c>
      <c r="U16" s="692">
        <f t="shared" si="1"/>
        <v>614.82497320324717</v>
      </c>
      <c r="V16" s="942">
        <f t="shared" si="3"/>
        <v>0.1095836722738787</v>
      </c>
    </row>
    <row r="17" spans="2:22" ht="11.7" customHeight="1" x14ac:dyDescent="0.3">
      <c r="B17" s="241" t="s">
        <v>1</v>
      </c>
      <c r="C17" s="341">
        <f>+SUM(C14:C16)</f>
        <v>9603.75</v>
      </c>
      <c r="D17" s="341">
        <f>+SUM(D14:D16)</f>
        <v>6792.7100000000009</v>
      </c>
      <c r="E17" s="341">
        <f>+SUM(E14:E16)</f>
        <v>103373.804625</v>
      </c>
      <c r="F17" s="342">
        <f>+SUM(F14:F16)</f>
        <v>73116.051168999998</v>
      </c>
      <c r="G17" s="242"/>
      <c r="I17" s="254" t="s">
        <v>664</v>
      </c>
      <c r="K17" s="1093"/>
      <c r="L17" s="669">
        <f ca="1">+'Monthly UF Model'!H535</f>
        <v>0.10487653613090517</v>
      </c>
      <c r="N17" s="254" t="s">
        <v>767</v>
      </c>
      <c r="P17" s="678"/>
      <c r="Q17" s="692">
        <f>-SUM(Q12,Q14,Q15,Q16)*$G$100</f>
        <v>-951.73260290916596</v>
      </c>
      <c r="R17" s="692">
        <f t="shared" si="0"/>
        <v>-7.1024821112624323</v>
      </c>
      <c r="S17" s="696">
        <f t="shared" si="2"/>
        <v>-1.3626180998924571E-2</v>
      </c>
      <c r="T17" s="692">
        <f t="shared" si="1"/>
        <v>-38878.272953300911</v>
      </c>
      <c r="U17" s="692">
        <f t="shared" si="1"/>
        <v>-290.13636532314115</v>
      </c>
      <c r="V17" s="942">
        <f t="shared" si="3"/>
        <v>-5.1712617017908601E-2</v>
      </c>
    </row>
    <row r="18" spans="2:22" ht="11.7" customHeight="1" x14ac:dyDescent="0.3">
      <c r="B18" s="255" t="s">
        <v>61</v>
      </c>
      <c r="C18" s="654">
        <f>+'Project Layout'!$R$55</f>
        <v>4806.07</v>
      </c>
      <c r="D18" s="654">
        <f>+'Project Layout'!S47</f>
        <v>0</v>
      </c>
      <c r="E18" s="321">
        <f>C18*$L$131</f>
        <v>51732.056872999994</v>
      </c>
      <c r="F18" s="321">
        <f>D18*$L$131</f>
        <v>0</v>
      </c>
      <c r="G18" s="102"/>
      <c r="I18" s="254" t="s">
        <v>665</v>
      </c>
      <c r="J18" s="1142"/>
      <c r="K18" s="1093"/>
      <c r="L18" s="669">
        <f ca="1">+'Monthly UF Model'!H553</f>
        <v>0.10487653613090517</v>
      </c>
      <c r="N18" s="254" t="s">
        <v>560</v>
      </c>
      <c r="P18" s="678"/>
      <c r="Q18" s="692">
        <f>-Q13*$G$100</f>
        <v>-142.43923714184072</v>
      </c>
      <c r="R18" s="692">
        <f t="shared" si="0"/>
        <v>-1.0629793816555277</v>
      </c>
      <c r="S18" s="696">
        <f t="shared" si="2"/>
        <v>-2.0393362807060444E-3</v>
      </c>
      <c r="T18" s="692">
        <f t="shared" si="1"/>
        <v>-5818.642257219145</v>
      </c>
      <c r="U18" s="692">
        <f t="shared" si="1"/>
        <v>-43.422703412083166</v>
      </c>
      <c r="V18" s="942">
        <f t="shared" si="3"/>
        <v>-7.7394697797718293E-3</v>
      </c>
    </row>
    <row r="19" spans="2:22" ht="11.7" customHeight="1" x14ac:dyDescent="0.3">
      <c r="B19" s="241" t="s">
        <v>1</v>
      </c>
      <c r="C19" s="341">
        <f>+SUM(C17,C18)</f>
        <v>14409.82</v>
      </c>
      <c r="D19" s="341">
        <f>+SUM(D17,D18)</f>
        <v>6792.7100000000009</v>
      </c>
      <c r="E19" s="342">
        <f>+SUM(E17,E18)</f>
        <v>155105.86149799998</v>
      </c>
      <c r="F19" s="342">
        <f>+SUM(F17,F18)</f>
        <v>73116.051168999998</v>
      </c>
      <c r="G19" s="242"/>
      <c r="I19" s="254" t="s">
        <v>666</v>
      </c>
      <c r="K19" s="1093"/>
      <c r="L19" s="669">
        <f ca="1">+'Monthly UF Model'!H536</f>
        <v>9.7084969282150269E-2</v>
      </c>
      <c r="N19" s="254" t="s">
        <v>768</v>
      </c>
      <c r="P19" s="678"/>
      <c r="Q19" s="692">
        <f>-G56*G24*G97*12</f>
        <v>0</v>
      </c>
      <c r="R19" s="692">
        <f t="shared" si="0"/>
        <v>0</v>
      </c>
      <c r="S19" s="696">
        <f t="shared" ref="S19:S20" si="5">+IFERROR(Q19/$D$14/12,0)</f>
        <v>0</v>
      </c>
      <c r="T19" s="692">
        <f t="shared" ref="T19:T20" si="6">+Q19*$L$120</f>
        <v>0</v>
      </c>
      <c r="U19" s="692">
        <f t="shared" ref="U19:U20" si="7">+R19*$L$120</f>
        <v>0</v>
      </c>
      <c r="V19" s="942">
        <f t="shared" ref="V19:V20" si="8">+T19/$F$14/12</f>
        <v>0</v>
      </c>
    </row>
    <row r="20" spans="2:22" ht="11.7" customHeight="1" x14ac:dyDescent="0.3">
      <c r="B20" s="254" t="s">
        <v>140</v>
      </c>
      <c r="C20" s="84"/>
      <c r="D20" s="84"/>
      <c r="E20" s="248"/>
      <c r="F20" s="84"/>
      <c r="G20" s="961">
        <f>+'Project Layout'!L37</f>
        <v>0.76061625911491704</v>
      </c>
      <c r="I20" s="254" t="s">
        <v>667</v>
      </c>
      <c r="K20" s="1093"/>
      <c r="L20" s="669">
        <f ca="1">+'Monthly UF Model'!H554</f>
        <v>9.8348802328109775E-2</v>
      </c>
      <c r="N20" s="254" t="s">
        <v>769</v>
      </c>
      <c r="P20" s="678"/>
      <c r="Q20" s="693">
        <f>-SUM(Q12:Q19)*G98</f>
        <v>-42.672701761989259</v>
      </c>
      <c r="R20" s="693">
        <f t="shared" si="0"/>
        <v>-0.31845299822380047</v>
      </c>
      <c r="S20" s="697">
        <f t="shared" si="5"/>
        <v>-6.1095517390559408E-4</v>
      </c>
      <c r="T20" s="693">
        <f t="shared" si="6"/>
        <v>-1743.1796932102823</v>
      </c>
      <c r="U20" s="693">
        <f t="shared" si="7"/>
        <v>-13.008803680673749</v>
      </c>
      <c r="V20" s="943">
        <f t="shared" si="8"/>
        <v>-2.3186313851095365E-3</v>
      </c>
    </row>
    <row r="21" spans="2:22" ht="11.7" customHeight="1" x14ac:dyDescent="0.3">
      <c r="B21" s="254"/>
      <c r="C21" s="84"/>
      <c r="D21" s="84"/>
      <c r="E21" s="248"/>
      <c r="F21" s="11"/>
      <c r="G21" s="981"/>
      <c r="H21" s="162"/>
      <c r="I21" s="101"/>
      <c r="K21" s="224"/>
      <c r="L21" s="672"/>
      <c r="M21" s="162"/>
      <c r="N21" s="902" t="str">
        <f>+'Monthly UF Model'!B129</f>
        <v>Total Revenue</v>
      </c>
      <c r="O21" s="445"/>
      <c r="P21" s="684"/>
      <c r="Q21" s="694">
        <f>+SUM(Q12:Q20)</f>
        <v>42630.029060227265</v>
      </c>
      <c r="R21" s="694">
        <f t="shared" si="0"/>
        <v>318.13454522557663</v>
      </c>
      <c r="S21" s="698">
        <f t="shared" ref="S21" si="9">+IFERROR(Q21/$D$14/12,0)</f>
        <v>0.61034421873168843</v>
      </c>
      <c r="T21" s="694">
        <f t="shared" ref="T21" si="10">+Q21*$L$120</f>
        <v>1741436.5135170717</v>
      </c>
      <c r="U21" s="694">
        <f t="shared" ref="U21" si="11">+R21*$L$120</f>
        <v>12995.794876993074</v>
      </c>
      <c r="V21" s="944">
        <f t="shared" ref="V21" si="12">+T21/$F$14/12</f>
        <v>2.3163127537244268</v>
      </c>
    </row>
    <row r="22" spans="2:22" ht="11.7" customHeight="1" x14ac:dyDescent="0.3">
      <c r="B22" s="298" t="s">
        <v>213</v>
      </c>
      <c r="C22" s="84"/>
      <c r="D22" s="84"/>
      <c r="E22" s="248"/>
      <c r="F22" s="84"/>
      <c r="G22" s="337"/>
      <c r="I22" s="355" t="s">
        <v>68</v>
      </c>
      <c r="K22" s="318" t="s">
        <v>2</v>
      </c>
      <c r="L22" s="319" t="s">
        <v>436</v>
      </c>
      <c r="N22" s="686"/>
      <c r="O22" s="109"/>
      <c r="P22" s="687"/>
      <c r="Q22" s="688"/>
      <c r="R22" s="688"/>
      <c r="S22" s="950"/>
      <c r="T22" s="688"/>
      <c r="U22" s="688"/>
      <c r="V22" s="945"/>
    </row>
    <row r="23" spans="2:22" ht="11.7" customHeight="1" x14ac:dyDescent="0.3">
      <c r="B23" s="254" t="s">
        <v>188</v>
      </c>
      <c r="C23" s="225"/>
      <c r="D23" s="226"/>
      <c r="E23" s="227"/>
      <c r="G23" s="1023">
        <f>+'Project Layout'!$S$37</f>
        <v>134</v>
      </c>
      <c r="I23" s="254" t="s">
        <v>3</v>
      </c>
      <c r="K23" s="649">
        <f ca="1">+'Monthly USD Model'!G37</f>
        <v>0.11614701151847839</v>
      </c>
      <c r="L23" s="669">
        <f ca="1">+'Monthly USD Model'!G58</f>
        <v>0.14288951754570012</v>
      </c>
      <c r="N23" s="254" t="s">
        <v>453</v>
      </c>
      <c r="P23" s="679"/>
      <c r="Q23" s="695">
        <f>-'OpEx Budget'!$G$22</f>
        <v>-5697.5694856736291</v>
      </c>
      <c r="R23" s="692">
        <f>+IFERROR(Q23/$G$23,0)</f>
        <v>-42.519175266221112</v>
      </c>
      <c r="S23" s="696">
        <f>+IFERROR(Q23/$D$14/12,0)</f>
        <v>-8.1573451228241792E-2</v>
      </c>
      <c r="T23" s="692">
        <f t="shared" ref="T23:U26" si="13">+Q23*$L$120</f>
        <v>-232745.69028876579</v>
      </c>
      <c r="U23" s="692">
        <f t="shared" si="13"/>
        <v>-1736.9081364833269</v>
      </c>
      <c r="V23" s="942">
        <f t="shared" ref="V23:V27" si="14">+T23/$F$14/12</f>
        <v>-0.30957879119087311</v>
      </c>
    </row>
    <row r="24" spans="2:22" ht="11.7" customHeight="1" x14ac:dyDescent="0.3">
      <c r="B24" s="254" t="s">
        <v>189</v>
      </c>
      <c r="C24" s="225"/>
      <c r="D24" s="226"/>
      <c r="E24" s="227"/>
      <c r="G24" s="1024">
        <f>+D14/G23</f>
        <v>43.436492537313441</v>
      </c>
      <c r="I24" s="254" t="s">
        <v>4</v>
      </c>
      <c r="K24" s="221">
        <f ca="1">+'Monthly USD Model'!G38</f>
        <v>1.6037835033228354</v>
      </c>
      <c r="L24" s="670">
        <f ca="1">+'Monthly USD Model'!G59</f>
        <v>1.7921052728475095</v>
      </c>
      <c r="N24" s="254" t="s">
        <v>256</v>
      </c>
      <c r="P24" s="680"/>
      <c r="Q24" s="692">
        <f>-SUM(Q21,-Q20,-Q13,-Q18)*$G$105</f>
        <v>-1855.8785756728737</v>
      </c>
      <c r="R24" s="692">
        <f>+IFERROR(Q24/$G$23,0)</f>
        <v>-13.849840116961744</v>
      </c>
      <c r="S24" s="696">
        <f>+IFERROR(Q24/$D$14/12,0)</f>
        <v>-2.6571052947902917E-2</v>
      </c>
      <c r="T24" s="692">
        <f t="shared" si="13"/>
        <v>-75812.632258936792</v>
      </c>
      <c r="U24" s="692">
        <f t="shared" si="13"/>
        <v>-565.76591238012531</v>
      </c>
      <c r="V24" s="942">
        <f t="shared" si="14"/>
        <v>-0.10083960318492179</v>
      </c>
    </row>
    <row r="25" spans="2:22" ht="11.7" customHeight="1" x14ac:dyDescent="0.3">
      <c r="B25" s="254" t="s">
        <v>190</v>
      </c>
      <c r="C25" s="225"/>
      <c r="D25" s="226"/>
      <c r="E25" s="227"/>
      <c r="G25" s="1023">
        <f>+'Project Layout'!$G$38</f>
        <v>103</v>
      </c>
      <c r="I25" s="254" t="s">
        <v>5</v>
      </c>
      <c r="K25" s="222">
        <f ca="1">+'Monthly USD Model'!G39</f>
        <v>14273739.682332814</v>
      </c>
      <c r="L25" s="671">
        <f ca="1">+'Monthly USD Model'!G60</f>
        <v>9403676.9437094145</v>
      </c>
      <c r="N25" s="254" t="s">
        <v>98</v>
      </c>
      <c r="P25" s="680"/>
      <c r="Q25" s="695">
        <f>-'OpEx Budget'!G26</f>
        <v>-4003.3239520639122</v>
      </c>
      <c r="R25" s="692">
        <f>+IFERROR(Q25/$G$23,0)</f>
        <v>-29.875551881073971</v>
      </c>
      <c r="S25" s="696">
        <f>+IFERROR(Q25/$D$14/12,0)</f>
        <v>-5.731653681024438E-2</v>
      </c>
      <c r="T25" s="692">
        <f t="shared" si="13"/>
        <v>-163535.76713992507</v>
      </c>
      <c r="U25" s="692">
        <f t="shared" si="13"/>
        <v>-1220.4161726860079</v>
      </c>
      <c r="V25" s="942">
        <f t="shared" si="14"/>
        <v>-0.21752155773469892</v>
      </c>
    </row>
    <row r="26" spans="2:22" ht="11.7" customHeight="1" x14ac:dyDescent="0.3">
      <c r="B26" s="254" t="s">
        <v>170</v>
      </c>
      <c r="D26" s="229"/>
      <c r="E26" s="252"/>
      <c r="G26" s="1023">
        <f>+COUNTIF('Project Layout'!C13:C30,"&gt;0")</f>
        <v>17</v>
      </c>
      <c r="I26" s="254" t="s">
        <v>6</v>
      </c>
      <c r="K26" s="222">
        <f ca="1">+'Monthly USD Model'!G40</f>
        <v>23640492.997538604</v>
      </c>
      <c r="L26" s="671">
        <f ca="1">+'Monthly USD Model'!G61</f>
        <v>11871751.478063628</v>
      </c>
      <c r="N26" s="254" t="s">
        <v>770</v>
      </c>
      <c r="P26" s="680"/>
      <c r="Q26" s="695">
        <f>-'OpEx Budget'!F27</f>
        <v>-565.78650510511477</v>
      </c>
      <c r="R26" s="692">
        <f>+IFERROR(Q26/$G$23,0)</f>
        <v>-4.2222873515307073</v>
      </c>
      <c r="S26" s="696">
        <f>+IFERROR(Q26/$D$14/12,0)</f>
        <v>-8.1004993437710955E-3</v>
      </c>
      <c r="T26" s="692">
        <f t="shared" si="13"/>
        <v>-23112.376429611737</v>
      </c>
      <c r="U26" s="692">
        <f t="shared" si="13"/>
        <v>-172.48042111650551</v>
      </c>
      <c r="V26" s="942">
        <f t="shared" si="14"/>
        <v>-3.0742144130575952E-2</v>
      </c>
    </row>
    <row r="27" spans="2:22" ht="11.7" customHeight="1" x14ac:dyDescent="0.3">
      <c r="B27" s="254" t="s">
        <v>143</v>
      </c>
      <c r="D27" s="229"/>
      <c r="E27" s="252"/>
      <c r="G27" s="1023">
        <f>+COUNTIF('Project Layout'!$C$31:$C$34,"&gt;0")</f>
        <v>4</v>
      </c>
      <c r="I27" s="269" t="s">
        <v>89</v>
      </c>
      <c r="J27" s="63"/>
      <c r="K27" s="1115">
        <f ca="1">+T59</f>
        <v>6.8806389001100463E-2</v>
      </c>
      <c r="L27" s="1116">
        <f ca="1">+T60</f>
        <v>6.7591502898544251E-2</v>
      </c>
      <c r="N27" s="902" t="s">
        <v>428</v>
      </c>
      <c r="O27" s="445"/>
      <c r="P27" s="684"/>
      <c r="Q27" s="694">
        <f>+SUM(Q23:Q26)</f>
        <v>-12122.558518515529</v>
      </c>
      <c r="R27" s="694">
        <f>+SUM(R23:R26)</f>
        <v>-90.46685461578754</v>
      </c>
      <c r="S27" s="698">
        <f>+SUM(S23:S26)</f>
        <v>-0.17356154033016019</v>
      </c>
      <c r="T27" s="694">
        <f>+SUM(T23:T26)</f>
        <v>-495206.46611723938</v>
      </c>
      <c r="U27" s="694">
        <f>+SUM(U23:U26)</f>
        <v>-3695.5706426659658</v>
      </c>
      <c r="V27" s="944">
        <f t="shared" si="14"/>
        <v>-0.65868209624106977</v>
      </c>
    </row>
    <row r="28" spans="2:22" ht="11.7" customHeight="1" x14ac:dyDescent="0.3">
      <c r="B28" s="254" t="s">
        <v>73</v>
      </c>
      <c r="D28" s="84"/>
      <c r="E28" s="252"/>
      <c r="G28" s="1025">
        <f>+SUM('Project Layout'!D13:D30)</f>
        <v>42.199999999999996</v>
      </c>
      <c r="N28" s="686"/>
      <c r="O28" s="109"/>
      <c r="P28" s="109"/>
      <c r="Q28" s="688"/>
      <c r="R28" s="688"/>
      <c r="S28" s="951"/>
      <c r="T28" s="688"/>
      <c r="U28" s="688"/>
      <c r="V28" s="946"/>
    </row>
    <row r="29" spans="2:22" ht="11.7" customHeight="1" x14ac:dyDescent="0.3">
      <c r="B29" s="254" t="s">
        <v>741</v>
      </c>
      <c r="D29" s="84"/>
      <c r="E29" s="252"/>
      <c r="G29" s="1153">
        <f>+'CapEx Budget'!G46/'CapEx Budget'!D46-1</f>
        <v>-1.6140586633106691E-2</v>
      </c>
      <c r="I29" s="262" t="s">
        <v>440</v>
      </c>
      <c r="J29" s="263"/>
      <c r="K29" s="263"/>
      <c r="L29" s="264"/>
      <c r="N29" s="902" t="s">
        <v>12</v>
      </c>
      <c r="O29" s="445"/>
      <c r="P29" s="684"/>
      <c r="Q29" s="694">
        <f>+SUM(Q21,Q27)</f>
        <v>30507.470541711737</v>
      </c>
      <c r="R29" s="694">
        <f>+SUM(R21,R27)</f>
        <v>227.66769060978908</v>
      </c>
      <c r="S29" s="698">
        <f>+SUM(S21,S27)</f>
        <v>0.43678267840152823</v>
      </c>
      <c r="T29" s="694">
        <f>+SUM(T21,T27)</f>
        <v>1246230.0473998324</v>
      </c>
      <c r="U29" s="694">
        <f>+SUM(U21,U27)</f>
        <v>9300.2242343271082</v>
      </c>
      <c r="V29" s="944">
        <f>+T29/$F$14/12</f>
        <v>1.657630657483357</v>
      </c>
    </row>
    <row r="30" spans="2:22" ht="11.7" customHeight="1" x14ac:dyDescent="0.3">
      <c r="B30" s="254" t="s">
        <v>635</v>
      </c>
      <c r="D30" s="84"/>
      <c r="E30" s="252"/>
      <c r="G30" s="1153">
        <f>+'CapEx Budget'!G65/'CapEx Budget'!D65-1</f>
        <v>0.1065534939483197</v>
      </c>
      <c r="I30" s="243"/>
      <c r="J30" s="244"/>
      <c r="K30" s="244"/>
      <c r="L30" s="245"/>
      <c r="N30" s="689" t="s">
        <v>444</v>
      </c>
      <c r="O30" s="5"/>
      <c r="P30" s="231"/>
      <c r="Q30" s="767">
        <f>+IFERROR(Q29/Q21,0)</f>
        <v>0.71563335081501112</v>
      </c>
      <c r="R30" s="815"/>
      <c r="S30" s="952"/>
      <c r="T30" s="767"/>
      <c r="U30" s="767"/>
      <c r="V30" s="947"/>
    </row>
    <row r="31" spans="2:22" ht="11.7" customHeight="1" x14ac:dyDescent="0.3">
      <c r="B31" s="254" t="s">
        <v>501</v>
      </c>
      <c r="C31" s="862"/>
      <c r="F31" s="915"/>
      <c r="G31" s="1153">
        <f>+'CapEx Budget'!G54/'CapEx Budget'!D54-1</f>
        <v>6.0053292284263149E-2</v>
      </c>
      <c r="I31" s="641" t="s">
        <v>549</v>
      </c>
      <c r="J31" s="13"/>
      <c r="K31" s="13"/>
      <c r="L31" s="268"/>
      <c r="N31" s="689" t="s">
        <v>586</v>
      </c>
      <c r="Q31" s="766">
        <f>+Q29/Q54</f>
        <v>0.80088758659944281</v>
      </c>
      <c r="R31" s="955"/>
      <c r="S31" s="956"/>
      <c r="T31" s="766"/>
      <c r="U31" s="766"/>
      <c r="V31" s="957"/>
    </row>
    <row r="32" spans="2:22" ht="11.7" customHeight="1" x14ac:dyDescent="0.3">
      <c r="B32" s="254" t="s">
        <v>742</v>
      </c>
      <c r="C32" s="862"/>
      <c r="F32" s="915"/>
      <c r="G32" s="1153">
        <f>+SUM('CapEx Budget'!G46,'CapEx Budget'!G54,'CapEx Budget'!G65,'CapEx Budget'!G68)/SUM('CapEx Budget'!D46,'CapEx Budget'!D54,'CapEx Budget'!D65,'CapEx Budget'!D68)-1</f>
        <v>5.8589947347336802E-2</v>
      </c>
      <c r="I32" s="254" t="s">
        <v>534</v>
      </c>
      <c r="J32" s="862"/>
      <c r="L32" s="1082">
        <f>+'CapEx Budget'!F33</f>
        <v>91.599999999999682</v>
      </c>
      <c r="N32" s="101"/>
      <c r="S32" s="163"/>
      <c r="V32" s="659"/>
    </row>
    <row r="33" spans="2:22" ht="11.7" customHeight="1" x14ac:dyDescent="0.3">
      <c r="B33" s="828" t="s">
        <v>97</v>
      </c>
      <c r="C33" s="862"/>
      <c r="F33" s="915"/>
      <c r="G33" s="1022"/>
      <c r="I33" s="254"/>
      <c r="J33" s="862"/>
      <c r="K33" s="862"/>
      <c r="L33" s="453"/>
      <c r="N33" s="355" t="s">
        <v>462</v>
      </c>
      <c r="O33" s="5"/>
      <c r="S33" s="163"/>
      <c r="V33" s="659"/>
    </row>
    <row r="34" spans="2:22" ht="11.7" customHeight="1" x14ac:dyDescent="0.3">
      <c r="B34" s="255" t="s">
        <v>212</v>
      </c>
      <c r="C34" s="225"/>
      <c r="D34" s="226"/>
      <c r="E34" s="227"/>
      <c r="F34" s="228"/>
      <c r="G34" s="1155">
        <v>0</v>
      </c>
      <c r="I34" s="352"/>
      <c r="J34" s="13"/>
      <c r="K34" s="13"/>
      <c r="L34" s="268"/>
      <c r="N34" s="255" t="s">
        <v>772</v>
      </c>
      <c r="P34" s="682"/>
      <c r="Q34" s="692">
        <f>+F136*(D15+D16)*12</f>
        <v>7605.7800000000007</v>
      </c>
      <c r="R34" s="692"/>
      <c r="S34" s="696">
        <f t="shared" ref="S34:S40" si="15">+IFERROR(Q34/($D$15+$D$16)/12,0)</f>
        <v>0.65192549011540601</v>
      </c>
      <c r="T34" s="692">
        <f>+Q34*$L$120</f>
        <v>310696.08202859771</v>
      </c>
      <c r="U34" s="692"/>
      <c r="V34" s="942">
        <f t="shared" ref="V34:V40" si="16">+T34/$F$14/12</f>
        <v>0.41326186269149717</v>
      </c>
    </row>
    <row r="35" spans="2:22" ht="11.7" customHeight="1" x14ac:dyDescent="0.3">
      <c r="B35" s="255" t="s">
        <v>622</v>
      </c>
      <c r="C35" s="225"/>
      <c r="D35" s="226"/>
      <c r="E35" s="227"/>
      <c r="F35" s="228"/>
      <c r="G35" s="1155">
        <v>0</v>
      </c>
      <c r="I35" s="641" t="s">
        <v>110</v>
      </c>
      <c r="J35" s="318" t="s">
        <v>62</v>
      </c>
      <c r="K35" s="318" t="s">
        <v>7</v>
      </c>
      <c r="L35" s="319" t="s">
        <v>441</v>
      </c>
      <c r="N35" s="255" t="s">
        <v>402</v>
      </c>
      <c r="P35" s="682"/>
      <c r="Q35" s="695">
        <f>'OpEx Budget'!$I$22</f>
        <v>641.75076786637067</v>
      </c>
      <c r="R35" s="692"/>
      <c r="S35" s="696">
        <f t="shared" si="15"/>
        <v>5.5007334405310408E-2</v>
      </c>
      <c r="T35" s="692">
        <f>+Q35*$L$120</f>
        <v>26215.516254075908</v>
      </c>
      <c r="U35" s="692"/>
      <c r="V35" s="942">
        <f t="shared" si="16"/>
        <v>3.4869680389408436E-2</v>
      </c>
    </row>
    <row r="36" spans="2:22" ht="11.7" customHeight="1" x14ac:dyDescent="0.3">
      <c r="B36" s="255" t="s">
        <v>623</v>
      </c>
      <c r="C36" s="225"/>
      <c r="D36" s="226"/>
      <c r="E36" s="227"/>
      <c r="F36" s="228"/>
      <c r="G36" s="1155">
        <v>0</v>
      </c>
      <c r="I36" s="254" t="s">
        <v>305</v>
      </c>
      <c r="J36" s="222">
        <f>-'Monthly UF Model'!G20</f>
        <v>148941.6</v>
      </c>
      <c r="K36" s="664">
        <f t="shared" ref="K36:K45" si="17">+J36/$J$45</f>
        <v>0.26735390757573818</v>
      </c>
      <c r="L36" s="878">
        <f t="shared" ref="L36:L40" si="18">+J36/$D$19</f>
        <v>21.926683164745732</v>
      </c>
      <c r="N36" s="255" t="s">
        <v>773</v>
      </c>
      <c r="P36" s="682"/>
      <c r="Q36" s="700">
        <f>+F189*12</f>
        <v>756</v>
      </c>
      <c r="R36" s="692"/>
      <c r="S36" s="696">
        <f t="shared" ref="S36:S39" si="19">+IFERROR(Q36/($D$15+$D$16)/12,0)</f>
        <v>6.4800148114624256E-2</v>
      </c>
      <c r="T36" s="692">
        <f t="shared" ref="T36:T39" si="20">+Q36*$L$120</f>
        <v>30882.596921501787</v>
      </c>
      <c r="U36" s="692"/>
      <c r="V36" s="942">
        <f t="shared" ref="V36:V39" si="21">+T36/$F$14/12</f>
        <v>4.107743955186343E-2</v>
      </c>
    </row>
    <row r="37" spans="2:22" ht="11.7" customHeight="1" x14ac:dyDescent="0.3">
      <c r="B37" s="255" t="s">
        <v>624</v>
      </c>
      <c r="C37" s="225"/>
      <c r="D37" s="226"/>
      <c r="E37" s="227"/>
      <c r="F37" s="228"/>
      <c r="G37" s="1155">
        <v>0</v>
      </c>
      <c r="I37" s="254" t="s">
        <v>43</v>
      </c>
      <c r="J37" s="222">
        <f>-SUMIF('Monthly UF Model'!$I$13:$DY$13,1,'Monthly UF Model'!$I$33:$DY$33)+SUMIF('Monthly UF Model'!$I$13:$DY$13,1,'Monthly UF Model'!$I$20:$DY$20)</f>
        <v>6769.6850815755915</v>
      </c>
      <c r="K37" s="664">
        <f t="shared" si="17"/>
        <v>1.215175451060291E-2</v>
      </c>
      <c r="L37" s="878">
        <f t="shared" si="18"/>
        <v>0.9966103486790383</v>
      </c>
      <c r="N37" s="255" t="s">
        <v>767</v>
      </c>
      <c r="P37" s="682"/>
      <c r="Q37" s="700">
        <f>-SUM(Q34,Q36)*$G$100</f>
        <v>-209.04450000000003</v>
      </c>
      <c r="R37" s="692"/>
      <c r="S37" s="696">
        <f t="shared" si="19"/>
        <v>-1.7918140955750759E-2</v>
      </c>
      <c r="T37" s="692">
        <f t="shared" si="20"/>
        <v>-8539.4669737524891</v>
      </c>
      <c r="U37" s="692"/>
      <c r="V37" s="942">
        <f t="shared" si="21"/>
        <v>-1.1358482556084015E-2</v>
      </c>
    </row>
    <row r="38" spans="2:22" ht="11.7" customHeight="1" x14ac:dyDescent="0.3">
      <c r="B38" s="759" t="s">
        <v>743</v>
      </c>
      <c r="C38" s="383"/>
      <c r="D38" s="384"/>
      <c r="E38" s="385"/>
      <c r="F38" s="386"/>
      <c r="G38" s="1156">
        <v>0</v>
      </c>
      <c r="I38" s="254" t="s">
        <v>35</v>
      </c>
      <c r="J38" s="222">
        <f>-SUMIF('Monthly UF Model'!$I$13:$DY$13,1,'Monthly UF Model'!$I$42:$DY$42)</f>
        <v>294821.57170838577</v>
      </c>
      <c r="K38" s="664">
        <f t="shared" si="17"/>
        <v>0.52921211557991621</v>
      </c>
      <c r="L38" s="878">
        <f>+J38/$D$19</f>
        <v>43.402643673642146</v>
      </c>
      <c r="N38" s="255" t="s">
        <v>560</v>
      </c>
      <c r="P38" s="682"/>
      <c r="Q38" s="700">
        <f>-Q35*$G$100</f>
        <v>-16.043769196659266</v>
      </c>
      <c r="R38" s="692"/>
      <c r="S38" s="696">
        <f t="shared" si="19"/>
        <v>-1.3751833601327601E-3</v>
      </c>
      <c r="T38" s="692">
        <f t="shared" si="20"/>
        <v>-655.38790635189764</v>
      </c>
      <c r="U38" s="692"/>
      <c r="V38" s="942">
        <f t="shared" si="21"/>
        <v>-8.717420097352109E-4</v>
      </c>
    </row>
    <row r="39" spans="2:22" ht="11.7" customHeight="1" x14ac:dyDescent="0.3">
      <c r="B39" s="230"/>
      <c r="C39" s="230"/>
      <c r="D39" s="230"/>
      <c r="I39" s="254" t="s">
        <v>40</v>
      </c>
      <c r="J39" s="222">
        <f>-SUMIF('Monthly UF Model'!$I$13:$DY$13,1,'Monthly UF Model'!$I$54:$DY$54)</f>
        <v>68534.997213632407</v>
      </c>
      <c r="K39" s="664">
        <f t="shared" si="17"/>
        <v>0.12302203891160665</v>
      </c>
      <c r="L39" s="878">
        <f>+J39/$D$19</f>
        <v>10.089492590384751</v>
      </c>
      <c r="N39" s="255" t="s">
        <v>769</v>
      </c>
      <c r="P39" s="14"/>
      <c r="Q39" s="692">
        <f>-SUM(Q34:Q38)*$G$159</f>
        <v>-43.892212493348559</v>
      </c>
      <c r="R39" s="692"/>
      <c r="S39" s="696">
        <f t="shared" si="19"/>
        <v>-3.7621982415972856E-3</v>
      </c>
      <c r="T39" s="692">
        <f t="shared" si="20"/>
        <v>-1792.9967016203552</v>
      </c>
      <c r="U39" s="692"/>
      <c r="V39" s="942">
        <f t="shared" si="21"/>
        <v>-2.3848937903347489E-3</v>
      </c>
    </row>
    <row r="40" spans="2:22" ht="11.7" customHeight="1" x14ac:dyDescent="0.3">
      <c r="B40" s="262" t="s">
        <v>191</v>
      </c>
      <c r="C40" s="263"/>
      <c r="D40" s="263"/>
      <c r="E40" s="263"/>
      <c r="F40" s="263"/>
      <c r="G40" s="264"/>
      <c r="I40" s="254" t="s">
        <v>580</v>
      </c>
      <c r="J40" s="222">
        <f>-SUMIF('Monthly UF Model'!$I$13:$DY$13,1,'Monthly UF Model'!$I$59:$DY$59)</f>
        <v>7591.257822857172</v>
      </c>
      <c r="K40" s="664">
        <f t="shared" si="17"/>
        <v>1.362649818691189E-2</v>
      </c>
      <c r="L40" s="878">
        <f t="shared" si="18"/>
        <v>1.1175595340971676</v>
      </c>
      <c r="N40" s="683" t="s">
        <v>15</v>
      </c>
      <c r="O40" s="445"/>
      <c r="P40" s="684"/>
      <c r="Q40" s="694">
        <f>+SUM(Q34:Q39)</f>
        <v>8734.5502861763634</v>
      </c>
      <c r="R40" s="694"/>
      <c r="S40" s="698">
        <f t="shared" si="15"/>
        <v>0.7486774500778598</v>
      </c>
      <c r="T40" s="694">
        <f>+Q40*$L$120</f>
        <v>356806.34362245066</v>
      </c>
      <c r="U40" s="694"/>
      <c r="V40" s="944">
        <f t="shared" si="16"/>
        <v>0.47459386427661499</v>
      </c>
    </row>
    <row r="41" spans="2:22" ht="11.7" customHeight="1" x14ac:dyDescent="0.3">
      <c r="B41" s="243"/>
      <c r="C41" s="244"/>
      <c r="D41" s="244"/>
      <c r="E41" s="244"/>
      <c r="F41" s="244"/>
      <c r="G41" s="245"/>
      <c r="I41" s="254" t="s">
        <v>181</v>
      </c>
      <c r="J41" s="222">
        <f>++SUMIF('Monthly UF Model'!$I$13:$DY$13,1,'Monthly UF Model'!$I$340:$DY$340)+SUMIF('Monthly UF Model'!$I$13:$DY$13,1,'Monthly UF Model'!$I$345:$DY$345)</f>
        <v>11372.583724693948</v>
      </c>
      <c r="K41" s="664">
        <f t="shared" si="17"/>
        <v>2.0414073019419492E-2</v>
      </c>
      <c r="L41" s="878">
        <f t="shared" ref="L41:L42" si="22">+J41/$D$19</f>
        <v>1.6742336600110923</v>
      </c>
      <c r="N41" s="255"/>
      <c r="P41" s="162"/>
      <c r="Q41" s="162"/>
      <c r="S41" s="954"/>
      <c r="T41" s="162"/>
      <c r="V41" s="949"/>
    </row>
    <row r="42" spans="2:22" ht="11.7" customHeight="1" x14ac:dyDescent="0.3">
      <c r="B42" s="442" t="s">
        <v>221</v>
      </c>
      <c r="C42" s="13"/>
      <c r="D42" s="13"/>
      <c r="E42" s="13"/>
      <c r="F42" s="13"/>
      <c r="G42" s="268"/>
      <c r="I42" s="254" t="s">
        <v>548</v>
      </c>
      <c r="J42" s="151">
        <f>+J50-SUM(J36:J41,J44)</f>
        <v>9112.9829774280079</v>
      </c>
      <c r="K42" s="664">
        <f t="shared" si="17"/>
        <v>1.6358033005463637E-2</v>
      </c>
      <c r="L42" s="661">
        <f t="shared" si="22"/>
        <v>1.3415828111943549</v>
      </c>
      <c r="N42" s="255" t="s">
        <v>453</v>
      </c>
      <c r="P42" s="223"/>
      <c r="Q42" s="695">
        <f>-'OpEx Budget'!$I$22</f>
        <v>-641.75076786637067</v>
      </c>
      <c r="R42" s="692"/>
      <c r="S42" s="696">
        <f>+IFERROR(Q42/($D$15+$D$16)/12,0)</f>
        <v>-5.5007334405310408E-2</v>
      </c>
      <c r="T42" s="692">
        <f>+Q42*$L$120</f>
        <v>-26215.516254075908</v>
      </c>
      <c r="U42" s="692"/>
      <c r="V42" s="942">
        <f t="shared" ref="V42:V45" si="23">+T42/$F$14/12</f>
        <v>-3.4869680389408436E-2</v>
      </c>
    </row>
    <row r="43" spans="2:22" ht="11.7" customHeight="1" x14ac:dyDescent="0.3">
      <c r="B43" s="352" t="s">
        <v>217</v>
      </c>
      <c r="C43" s="13"/>
      <c r="D43" s="13"/>
      <c r="E43" s="13"/>
      <c r="F43" s="13"/>
      <c r="G43" s="268"/>
      <c r="I43" s="902" t="s">
        <v>474</v>
      </c>
      <c r="J43" s="662">
        <f>+SUM(J36:J42)</f>
        <v>547144.6785285729</v>
      </c>
      <c r="K43" s="663">
        <f t="shared" si="17"/>
        <v>0.98213842078965896</v>
      </c>
      <c r="L43" s="879">
        <f>+J43/$D$19</f>
        <v>80.548805782754286</v>
      </c>
      <c r="N43" s="255" t="s">
        <v>98</v>
      </c>
      <c r="P43" s="223"/>
      <c r="Q43" s="695">
        <f>-'OpEx Budget'!I26</f>
        <v>-450.91792679577929</v>
      </c>
      <c r="R43" s="692"/>
      <c r="S43" s="696">
        <f t="shared" ref="S43:S44" si="24">+IFERROR(Q43/($D$15+$D$16)/12,0)</f>
        <v>-3.8650196354372744E-2</v>
      </c>
      <c r="T43" s="692">
        <f>+Q43*$L$120</f>
        <v>-18419.995473430292</v>
      </c>
      <c r="U43" s="692"/>
      <c r="V43" s="942">
        <f t="shared" si="23"/>
        <v>-2.4500732646567727E-2</v>
      </c>
    </row>
    <row r="44" spans="2:22" ht="11.7" customHeight="1" x14ac:dyDescent="0.3">
      <c r="B44" s="854" t="s">
        <v>23</v>
      </c>
      <c r="C44" s="13"/>
      <c r="D44" s="13"/>
      <c r="E44" s="13"/>
      <c r="F44" s="13"/>
      <c r="G44" s="393"/>
      <c r="I44" s="254" t="s">
        <v>8</v>
      </c>
      <c r="J44" s="222">
        <f>-'Monthly UF Model'!G70</f>
        <v>9950.6014714271696</v>
      </c>
      <c r="K44" s="664">
        <f t="shared" si="17"/>
        <v>1.7861579210341125E-2</v>
      </c>
      <c r="L44" s="661">
        <f>+J44/$D$19</f>
        <v>1.4648941985492048</v>
      </c>
      <c r="N44" s="759" t="s">
        <v>291</v>
      </c>
      <c r="O44" s="63"/>
      <c r="P44" s="760"/>
      <c r="Q44" s="699">
        <f>-'OpEx Budget'!I27</f>
        <v>-57.276475959213293</v>
      </c>
      <c r="R44" s="693"/>
      <c r="S44" s="697">
        <f t="shared" si="24"/>
        <v>-4.9094234466147317E-3</v>
      </c>
      <c r="T44" s="693">
        <f>+Q44*$L$120</f>
        <v>-2339.7438096990363</v>
      </c>
      <c r="U44" s="693"/>
      <c r="V44" s="943">
        <f t="shared" si="23"/>
        <v>-3.1121309245480725E-3</v>
      </c>
    </row>
    <row r="45" spans="2:22" ht="11.7" customHeight="1" x14ac:dyDescent="0.3">
      <c r="B45" s="255" t="s">
        <v>25</v>
      </c>
      <c r="F45" s="13"/>
      <c r="G45" s="1157">
        <f ca="1">+'Monthly UF Model'!H79</f>
        <v>0</v>
      </c>
      <c r="I45" s="902" t="s">
        <v>475</v>
      </c>
      <c r="J45" s="662">
        <f>+SUM(J43:J44)</f>
        <v>557095.28</v>
      </c>
      <c r="K45" s="663">
        <f t="shared" si="17"/>
        <v>1</v>
      </c>
      <c r="L45" s="879">
        <f>+J45/$D$19</f>
        <v>82.013699981303475</v>
      </c>
      <c r="N45" s="761" t="s">
        <v>11</v>
      </c>
      <c r="O45" s="762"/>
      <c r="P45" s="764"/>
      <c r="Q45" s="958">
        <f>+SUM(Q42:Q44)</f>
        <v>-1149.9451706213631</v>
      </c>
      <c r="R45" s="958"/>
      <c r="S45" s="959">
        <f>+IFERROR(Q45/($D$15+$D$16)/12,0)</f>
        <v>-9.8566954206297866E-2</v>
      </c>
      <c r="T45" s="958">
        <f>+Q45*$L$120</f>
        <v>-46975.25553720523</v>
      </c>
      <c r="U45" s="958"/>
      <c r="V45" s="960">
        <f t="shared" si="23"/>
        <v>-6.2482543960524224E-2</v>
      </c>
    </row>
    <row r="46" spans="2:22" ht="11.7" customHeight="1" x14ac:dyDescent="0.3">
      <c r="B46" s="255" t="s">
        <v>14</v>
      </c>
      <c r="G46" s="397">
        <v>10</v>
      </c>
      <c r="I46" s="101"/>
      <c r="L46" s="236"/>
      <c r="N46" s="255"/>
      <c r="Q46" s="655"/>
      <c r="S46" s="330"/>
      <c r="T46" s="151"/>
      <c r="U46" s="162"/>
      <c r="V46" s="878"/>
    </row>
    <row r="47" spans="2:22" ht="11.7" customHeight="1" x14ac:dyDescent="0.3">
      <c r="B47" s="255" t="s">
        <v>226</v>
      </c>
      <c r="G47" s="1158">
        <f ca="1">+IFERROR(DATEDIF(L76,G48,"m"),0)</f>
        <v>20</v>
      </c>
      <c r="I47" s="96"/>
      <c r="J47" s="655"/>
      <c r="K47" s="656"/>
      <c r="L47" s="659"/>
      <c r="N47" s="683" t="s">
        <v>12</v>
      </c>
      <c r="O47" s="445"/>
      <c r="P47" s="684"/>
      <c r="Q47" s="694">
        <f>+SUM(Q40,Q45)</f>
        <v>7584.6051155550003</v>
      </c>
      <c r="R47" s="694"/>
      <c r="S47" s="698">
        <f>+IFERROR(Q47/($D$15+$D$16)/12,0)</f>
        <v>0.650110495871562</v>
      </c>
      <c r="T47" s="694">
        <f>+Q47*$L$120</f>
        <v>309831.08808524546</v>
      </c>
      <c r="U47" s="694"/>
      <c r="V47" s="944">
        <f>+T47/$F$14/12</f>
        <v>0.41211132031609082</v>
      </c>
    </row>
    <row r="48" spans="2:22" ht="11.7" customHeight="1" x14ac:dyDescent="0.3">
      <c r="B48" s="255" t="s">
        <v>224</v>
      </c>
      <c r="G48" s="1159">
        <f ca="1">+SUMIF('Monthly UF Model'!$I$9:$DY$9,MATCH(G23,'Monthly UF Model'!$I$81:$DY$81,0),'Monthly UF Model'!$I$7:$DY$7)</f>
        <v>45169</v>
      </c>
      <c r="I48" s="254" t="s">
        <v>437</v>
      </c>
      <c r="J48" s="1094">
        <v>158798</v>
      </c>
      <c r="K48" s="664">
        <f>+J48/$J$50</f>
        <v>0.28504639278221849</v>
      </c>
      <c r="L48" s="661">
        <f>+J48/$D$19</f>
        <v>23.377709338393657</v>
      </c>
      <c r="N48" s="689" t="s">
        <v>444</v>
      </c>
      <c r="O48" s="5"/>
      <c r="P48" s="231"/>
      <c r="Q48" s="767">
        <f>+IFERROR(Q47/Q40,0)</f>
        <v>0.8683452343915965</v>
      </c>
      <c r="R48" s="767"/>
      <c r="S48" s="952"/>
      <c r="T48" s="767"/>
      <c r="U48" s="767"/>
      <c r="V48" s="947"/>
    </row>
    <row r="49" spans="2:22" ht="11.7" customHeight="1" x14ac:dyDescent="0.3">
      <c r="B49" s="854" t="s">
        <v>738</v>
      </c>
      <c r="C49" s="13"/>
      <c r="D49" s="13"/>
      <c r="E49" s="13"/>
      <c r="F49" s="13"/>
      <c r="G49" s="845"/>
      <c r="I49" s="254" t="s">
        <v>438</v>
      </c>
      <c r="J49" s="356">
        <f>+'Monthly UF Model'!H399</f>
        <v>398297.28</v>
      </c>
      <c r="K49" s="665">
        <f>+J49/$J$50</f>
        <v>0.71495360721778145</v>
      </c>
      <c r="L49" s="666">
        <f>+J49/$D$19</f>
        <v>58.635990642909825</v>
      </c>
      <c r="N49" s="689" t="s">
        <v>586</v>
      </c>
      <c r="Q49" s="766">
        <f>+Q47/Q54</f>
        <v>0.19911241340055735</v>
      </c>
      <c r="S49" s="163"/>
      <c r="V49" s="659"/>
    </row>
    <row r="50" spans="2:22" ht="11.7" customHeight="1" x14ac:dyDescent="0.3">
      <c r="B50" s="841" t="s">
        <v>198</v>
      </c>
      <c r="C50" s="13"/>
      <c r="D50" s="13"/>
      <c r="E50" s="13"/>
      <c r="F50" s="1161">
        <f>+UnitMix!O22</f>
        <v>520871.38830000005</v>
      </c>
      <c r="G50" s="1160">
        <v>14.835000000000001</v>
      </c>
      <c r="I50" s="902" t="s">
        <v>442</v>
      </c>
      <c r="J50" s="711">
        <f>+SUM(J48:J49)</f>
        <v>557095.28</v>
      </c>
      <c r="K50" s="668">
        <f>+J50/$J$50</f>
        <v>1</v>
      </c>
      <c r="L50" s="712">
        <f>+J50/$D$19</f>
        <v>82.013699981303475</v>
      </c>
      <c r="N50" s="96"/>
      <c r="O50" s="5"/>
      <c r="P50" s="231"/>
      <c r="Q50" s="231"/>
      <c r="R50" s="167"/>
      <c r="S50" s="953"/>
      <c r="T50" s="231"/>
      <c r="U50" s="167"/>
      <c r="V50" s="948"/>
    </row>
    <row r="51" spans="2:22" ht="11.7" customHeight="1" x14ac:dyDescent="0.3">
      <c r="B51" s="841" t="s">
        <v>24</v>
      </c>
      <c r="C51" s="13"/>
      <c r="D51" s="13"/>
      <c r="E51" s="13"/>
      <c r="F51" s="1161">
        <f>+UnitMix!O23</f>
        <v>658559.09637000004</v>
      </c>
      <c r="G51" s="1160">
        <v>18.756499999999999</v>
      </c>
      <c r="I51" s="254" t="s">
        <v>519</v>
      </c>
      <c r="J51" s="222">
        <f ca="1">-('Monthly UF Model'!H529+'Monthly UF Model'!H547)</f>
        <v>221965.43843815092</v>
      </c>
      <c r="K51" s="898"/>
      <c r="L51" s="899"/>
      <c r="N51" s="355" t="s">
        <v>1</v>
      </c>
      <c r="O51" s="5"/>
      <c r="S51" s="163"/>
      <c r="V51" s="659"/>
    </row>
    <row r="52" spans="2:22" ht="11.7" customHeight="1" x14ac:dyDescent="0.3">
      <c r="B52" s="841" t="s">
        <v>86</v>
      </c>
      <c r="C52" s="13"/>
      <c r="D52" s="13"/>
      <c r="E52" s="13"/>
      <c r="F52" s="1161">
        <f>+UnitMix!O24</f>
        <v>850352.82462000009</v>
      </c>
      <c r="G52" s="1160">
        <v>24.219000000000001</v>
      </c>
      <c r="I52" s="286"/>
      <c r="J52" s="657"/>
      <c r="K52" s="658"/>
      <c r="L52" s="660"/>
      <c r="N52" s="255" t="s">
        <v>15</v>
      </c>
      <c r="P52" s="162"/>
      <c r="Q52" s="692">
        <f>+SUM(Q21,Q40)</f>
        <v>51364.579346403625</v>
      </c>
      <c r="R52" s="692">
        <f>+IFERROR(Q52/$G$23,0)</f>
        <v>383.31775631644496</v>
      </c>
      <c r="S52" s="696">
        <f>+IFERROR(Q52/$D$14/12,0)</f>
        <v>0.73539884308714587</v>
      </c>
      <c r="T52" s="692">
        <f t="shared" ref="T52:T53" si="25">+Q52*$L$120</f>
        <v>2098242.8571395222</v>
      </c>
      <c r="U52" s="692"/>
      <c r="V52" s="942">
        <f t="shared" ref="V52:V53" si="26">+T52/$F$14/12</f>
        <v>2.7909066180010416</v>
      </c>
    </row>
    <row r="53" spans="2:22" ht="11.7" customHeight="1" x14ac:dyDescent="0.3">
      <c r="B53" s="841" t="s">
        <v>199</v>
      </c>
      <c r="C53" s="13"/>
      <c r="D53" s="13"/>
      <c r="E53" s="13"/>
      <c r="F53" s="1161">
        <f>+UnitMix!O25</f>
        <v>0</v>
      </c>
      <c r="G53" s="1160"/>
      <c r="I53" s="641" t="s">
        <v>110</v>
      </c>
      <c r="J53" s="318" t="s">
        <v>70</v>
      </c>
      <c r="K53" s="318" t="s">
        <v>7</v>
      </c>
      <c r="L53" s="319" t="s">
        <v>581</v>
      </c>
      <c r="N53" s="255" t="s">
        <v>11</v>
      </c>
      <c r="P53" s="162"/>
      <c r="Q53" s="692">
        <f>+SUM(Q27,Q45)</f>
        <v>-13272.503689136891</v>
      </c>
      <c r="R53" s="692">
        <f>+IFERROR(Q53/$G$23,0)</f>
        <v>-99.048534993558889</v>
      </c>
      <c r="S53" s="696">
        <f>+IFERROR(Q53/$D$14/12,0)</f>
        <v>-0.19002557758792485</v>
      </c>
      <c r="T53" s="692">
        <f t="shared" si="25"/>
        <v>-542181.72165444447</v>
      </c>
      <c r="U53" s="692"/>
      <c r="V53" s="942">
        <f t="shared" si="26"/>
        <v>-0.72116464020159377</v>
      </c>
    </row>
    <row r="54" spans="2:22" ht="11.7" customHeight="1" x14ac:dyDescent="0.3">
      <c r="B54" s="854" t="s">
        <v>737</v>
      </c>
      <c r="C54" s="13"/>
      <c r="D54" s="13"/>
      <c r="E54" s="13"/>
      <c r="G54" s="236"/>
      <c r="I54" s="254" t="str">
        <f>+I36</f>
        <v>Land</v>
      </c>
      <c r="J54" s="151">
        <f>+J36*$L$120</f>
        <v>6084263.7534967605</v>
      </c>
      <c r="K54" s="664">
        <f t="shared" ref="K54:K63" si="27">+J54/$J$63</f>
        <v>0.26735390757573824</v>
      </c>
      <c r="L54" s="661">
        <f>+J54/$F$19</f>
        <v>83.213790354099274</v>
      </c>
      <c r="N54" s="683" t="s">
        <v>454</v>
      </c>
      <c r="O54" s="445"/>
      <c r="P54" s="684"/>
      <c r="Q54" s="694">
        <f>+SUM(Q52:Q53)</f>
        <v>38092.075657266731</v>
      </c>
      <c r="R54" s="694"/>
      <c r="S54" s="698"/>
      <c r="T54" s="694">
        <f>+SUM(T52:T53)</f>
        <v>1556061.1354850777</v>
      </c>
      <c r="U54" s="694"/>
      <c r="V54" s="944"/>
    </row>
    <row r="55" spans="2:22" ht="11.7" customHeight="1" x14ac:dyDescent="0.3">
      <c r="B55" s="841" t="s">
        <v>406</v>
      </c>
      <c r="C55" s="13"/>
      <c r="D55" s="13"/>
      <c r="F55" s="1149"/>
      <c r="G55" s="1150">
        <f>+UnitMix!$L$33</f>
        <v>0.42401988492377779</v>
      </c>
      <c r="I55" s="254" t="str">
        <f t="shared" ref="I55:I63" si="28">+I37</f>
        <v>Acquisition Costs</v>
      </c>
      <c r="J55" s="151">
        <f t="shared" ref="J55:J63" si="29">+J37*$L$120</f>
        <v>276541.60801561235</v>
      </c>
      <c r="K55" s="664">
        <f t="shared" si="27"/>
        <v>1.2151754510602911E-2</v>
      </c>
      <c r="L55" s="661">
        <f t="shared" ref="L55:L63" si="30">+J55/$F$19</f>
        <v>3.7822284381361864</v>
      </c>
      <c r="N55" s="689" t="s">
        <v>444</v>
      </c>
      <c r="O55" s="5"/>
      <c r="P55" s="231"/>
      <c r="Q55" s="767">
        <f>+Q54/Q52</f>
        <v>0.74160201722617258</v>
      </c>
      <c r="R55" s="767"/>
      <c r="S55" s="952"/>
      <c r="T55" s="767">
        <f>+T54/T52</f>
        <v>0.74160201722617269</v>
      </c>
      <c r="U55" s="767"/>
      <c r="V55" s="947"/>
    </row>
    <row r="56" spans="2:22" ht="11.7" customHeight="1" x14ac:dyDescent="0.3">
      <c r="B56" s="841" t="s">
        <v>225</v>
      </c>
      <c r="D56" s="395"/>
      <c r="E56" s="396"/>
      <c r="F56" s="1151">
        <f>1-G56/G55</f>
        <v>0.19000000000000006</v>
      </c>
      <c r="G56" s="1152">
        <f>(G55-(G55*L126))</f>
        <v>0.34345610678826</v>
      </c>
      <c r="I56" s="254" t="str">
        <f t="shared" si="28"/>
        <v>Hard Cost</v>
      </c>
      <c r="J56" s="151">
        <f t="shared" si="29"/>
        <v>12043460.003748298</v>
      </c>
      <c r="K56" s="664">
        <f t="shared" si="27"/>
        <v>0.52921211557991621</v>
      </c>
      <c r="L56" s="661">
        <f t="shared" si="30"/>
        <v>164.71704654715444</v>
      </c>
      <c r="N56" s="255"/>
      <c r="S56" s="163"/>
      <c r="T56" s="655"/>
      <c r="V56" s="659"/>
    </row>
    <row r="57" spans="2:22" ht="11.7" customHeight="1" x14ac:dyDescent="0.3">
      <c r="B57" s="854" t="s">
        <v>739</v>
      </c>
      <c r="D57" s="395"/>
      <c r="E57" s="396"/>
      <c r="F57" s="1151"/>
      <c r="G57" s="1152"/>
      <c r="I57" s="254" t="str">
        <f t="shared" si="28"/>
        <v>Soft Costs</v>
      </c>
      <c r="J57" s="151">
        <f t="shared" si="29"/>
        <v>2799654.3570963726</v>
      </c>
      <c r="K57" s="664">
        <f t="shared" si="27"/>
        <v>0.12302203891160667</v>
      </c>
      <c r="L57" s="661">
        <f t="shared" si="30"/>
        <v>38.2905574403255</v>
      </c>
      <c r="N57" s="255" t="s">
        <v>447</v>
      </c>
      <c r="P57" s="162"/>
      <c r="Q57" s="695">
        <f ca="1">+'CapEx Budget'!M110-SUM('CapEx Budget'!M109)</f>
        <v>553612.48003666499</v>
      </c>
      <c r="R57" s="692">
        <f ca="1">+IFERROR(Q57/$G$23,0)</f>
        <v>4131.4364181840674</v>
      </c>
      <c r="S57" s="696">
        <f ca="1">+IFERROR(Q57/$D$14/12,0)</f>
        <v>7.9262009446607999</v>
      </c>
      <c r="T57" s="692">
        <f t="shared" ref="T57:T58" ca="1" si="31">+Q57*$L$120</f>
        <v>22615067.555139259</v>
      </c>
      <c r="U57" s="692"/>
      <c r="V57" s="942">
        <f t="shared" ref="V57:V58" ca="1" si="32">+T57/$F$14/12</f>
        <v>30.080665587120773</v>
      </c>
    </row>
    <row r="58" spans="2:22" ht="11.7" customHeight="1" x14ac:dyDescent="0.3">
      <c r="B58" s="841" t="s">
        <v>406</v>
      </c>
      <c r="C58" s="13"/>
      <c r="D58" s="13"/>
      <c r="E58" s="396"/>
      <c r="F58" s="1151"/>
      <c r="G58" s="1152">
        <f>+G59/(1-$L$126)</f>
        <v>0.48103979181781481</v>
      </c>
      <c r="I58" s="254" t="str">
        <f t="shared" si="28"/>
        <v>Op. Shortfall and CEEC</v>
      </c>
      <c r="J58" s="151">
        <f t="shared" si="29"/>
        <v>310102.85115144873</v>
      </c>
      <c r="K58" s="664">
        <f t="shared" si="27"/>
        <v>1.362649818691189E-2</v>
      </c>
      <c r="L58" s="661">
        <f t="shared" si="30"/>
        <v>4.241241781981345</v>
      </c>
      <c r="N58" s="255" t="s">
        <v>448</v>
      </c>
      <c r="P58" s="162"/>
      <c r="Q58" s="695">
        <f ca="1">+'CapEx Budget'!M113-SUM('CapEx Budget'!M109)</f>
        <v>563563.08150809212</v>
      </c>
      <c r="R58" s="692">
        <f ca="1">+IFERROR(Q58/$G$23,0)</f>
        <v>4205.6946381200905</v>
      </c>
      <c r="S58" s="696">
        <f ca="1">+IFERROR(Q58/$D$14/12,0)</f>
        <v>8.0686660617360975</v>
      </c>
      <c r="T58" s="692">
        <f t="shared" ca="1" si="31"/>
        <v>23021549.584727336</v>
      </c>
      <c r="U58" s="692"/>
      <c r="V58" s="942">
        <f t="shared" ca="1" si="32"/>
        <v>30.621333881363142</v>
      </c>
    </row>
    <row r="59" spans="2:22" ht="11.7" customHeight="1" x14ac:dyDescent="0.3">
      <c r="B59" s="841" t="s">
        <v>225</v>
      </c>
      <c r="D59" s="395"/>
      <c r="E59" s="396"/>
      <c r="F59" s="1151">
        <f>1-G59/G58</f>
        <v>0.18999999999999995</v>
      </c>
      <c r="G59" s="1150">
        <f>+'Monthly UF Model'!D92</f>
        <v>0.38964223137243004</v>
      </c>
      <c r="I59" s="254" t="str">
        <f t="shared" si="28"/>
        <v>VAT</v>
      </c>
      <c r="J59" s="151">
        <f t="shared" si="29"/>
        <v>464569.99884359079</v>
      </c>
      <c r="K59" s="664">
        <f t="shared" si="27"/>
        <v>2.0414073019419492E-2</v>
      </c>
      <c r="L59" s="661">
        <f t="shared" si="30"/>
        <v>6.353871570139729</v>
      </c>
      <c r="N59" s="781" t="s">
        <v>445</v>
      </c>
      <c r="O59" s="782"/>
      <c r="P59" s="783"/>
      <c r="Q59" s="800">
        <f ca="1">+IFERROR(Q54/Q57,0)</f>
        <v>6.8806389001100449E-2</v>
      </c>
      <c r="R59" s="784"/>
      <c r="S59" s="785"/>
      <c r="T59" s="800">
        <f ca="1">+IFERROR(T54/T57,0)</f>
        <v>6.8806389001100463E-2</v>
      </c>
      <c r="U59" s="784"/>
      <c r="V59" s="786"/>
    </row>
    <row r="60" spans="2:22" ht="11.7" customHeight="1" x14ac:dyDescent="0.3">
      <c r="B60" s="854" t="s">
        <v>740</v>
      </c>
      <c r="D60" s="395"/>
      <c r="E60" s="396"/>
      <c r="F60" s="1151"/>
      <c r="G60" s="1152"/>
      <c r="I60" s="254" t="str">
        <f t="shared" si="28"/>
        <v>Operating Working Capital</v>
      </c>
      <c r="J60" s="151">
        <f t="shared" si="29"/>
        <v>372265.3175190693</v>
      </c>
      <c r="K60" s="664">
        <f t="shared" si="27"/>
        <v>1.6358033005463641E-2</v>
      </c>
      <c r="L60" s="661">
        <f t="shared" si="30"/>
        <v>5.0914308358723792</v>
      </c>
      <c r="N60" s="761" t="s">
        <v>446</v>
      </c>
      <c r="O60" s="762"/>
      <c r="P60" s="763"/>
      <c r="Q60" s="801">
        <f ca="1">+IFERROR(Q54/Q58,0)</f>
        <v>6.7591502898544237E-2</v>
      </c>
      <c r="R60" s="764"/>
      <c r="S60" s="765"/>
      <c r="T60" s="801">
        <f ca="1">+IFERROR(T54/T58,0)</f>
        <v>6.7591502898544251E-2</v>
      </c>
      <c r="U60" s="764"/>
      <c r="V60" s="787"/>
    </row>
    <row r="61" spans="2:22" ht="11.7" customHeight="1" x14ac:dyDescent="0.3">
      <c r="B61" s="841" t="s">
        <v>406</v>
      </c>
      <c r="C61" s="13"/>
      <c r="D61" s="13"/>
      <c r="E61" s="396"/>
      <c r="F61" s="1149"/>
      <c r="G61" s="1152">
        <f>+G58</f>
        <v>0.48103979181781481</v>
      </c>
      <c r="I61" s="902" t="str">
        <f t="shared" si="28"/>
        <v>Total Unlevered Development Cost</v>
      </c>
      <c r="J61" s="662">
        <f t="shared" si="29"/>
        <v>22350857.88987115</v>
      </c>
      <c r="K61" s="663">
        <f t="shared" si="27"/>
        <v>0.98213842078965896</v>
      </c>
      <c r="L61" s="667">
        <f t="shared" si="30"/>
        <v>305.69016696770882</v>
      </c>
    </row>
    <row r="62" spans="2:22" ht="11.7" customHeight="1" x14ac:dyDescent="0.3">
      <c r="B62" s="841" t="s">
        <v>225</v>
      </c>
      <c r="D62" s="395"/>
      <c r="E62" s="396"/>
      <c r="F62" s="1151">
        <f>1-G62/G61</f>
        <v>5.8206812536613084E-2</v>
      </c>
      <c r="G62" s="1152">
        <f>+(G61-'OpEx Budget'!$K$165)-(G61-'OpEx Budget'!$K$165)*$L$126+'OpEx Budget'!$K$165</f>
        <v>0.45303999883282386</v>
      </c>
      <c r="I62" s="254" t="str">
        <f t="shared" si="28"/>
        <v>Financing Costs</v>
      </c>
      <c r="J62" s="151">
        <f t="shared" si="29"/>
        <v>406482.0295880792</v>
      </c>
      <c r="K62" s="664">
        <f t="shared" si="27"/>
        <v>1.7861579210341129E-2</v>
      </c>
      <c r="L62" s="661">
        <f t="shared" si="30"/>
        <v>5.5594089545199736</v>
      </c>
      <c r="N62" s="262" t="s">
        <v>583</v>
      </c>
      <c r="O62" s="263"/>
      <c r="P62" s="263"/>
      <c r="Q62" s="1198"/>
      <c r="R62" s="1198"/>
      <c r="S62" s="1198"/>
      <c r="T62" s="1198"/>
      <c r="U62" s="1198"/>
      <c r="V62" s="1199"/>
    </row>
    <row r="63" spans="2:22" ht="11.7" customHeight="1" x14ac:dyDescent="0.3">
      <c r="B63" s="101"/>
      <c r="D63" s="395"/>
      <c r="E63" s="396"/>
      <c r="F63" s="1057"/>
      <c r="G63" s="1148"/>
      <c r="I63" s="902" t="str">
        <f t="shared" si="28"/>
        <v>Total Development Cost</v>
      </c>
      <c r="J63" s="662">
        <f t="shared" si="29"/>
        <v>22757339.919459227</v>
      </c>
      <c r="K63" s="663">
        <f t="shared" si="27"/>
        <v>1</v>
      </c>
      <c r="L63" s="667">
        <f t="shared" si="30"/>
        <v>311.24957592222876</v>
      </c>
      <c r="N63" s="352"/>
      <c r="O63" s="13"/>
      <c r="P63" s="13"/>
      <c r="Q63" s="827"/>
      <c r="R63" s="827"/>
      <c r="S63" s="827"/>
      <c r="T63" s="827"/>
      <c r="U63" s="829"/>
      <c r="V63" s="830"/>
    </row>
    <row r="64" spans="2:22" ht="11.7" customHeight="1" x14ac:dyDescent="0.3">
      <c r="B64" s="357" t="s">
        <v>227</v>
      </c>
      <c r="G64" s="236"/>
      <c r="I64" s="809"/>
      <c r="J64" s="655"/>
      <c r="K64" s="656"/>
      <c r="L64" s="659"/>
      <c r="N64" s="442" t="s">
        <v>490</v>
      </c>
      <c r="O64" s="13"/>
      <c r="P64" s="13"/>
      <c r="Q64" s="827"/>
      <c r="R64" s="827"/>
      <c r="S64" s="827"/>
      <c r="T64" s="827"/>
      <c r="U64" s="829"/>
      <c r="V64" s="830"/>
    </row>
    <row r="65" spans="2:22" ht="11.7" customHeight="1" x14ac:dyDescent="0.3">
      <c r="B65" s="254" t="s">
        <v>229</v>
      </c>
      <c r="G65" s="331">
        <v>0.3</v>
      </c>
      <c r="I65" s="809"/>
      <c r="J65" s="655"/>
      <c r="K65" s="656"/>
      <c r="L65" s="659"/>
      <c r="N65" s="352" t="s">
        <v>44</v>
      </c>
      <c r="O65" s="13"/>
      <c r="P65" s="13"/>
      <c r="S65" s="810"/>
      <c r="T65" s="810"/>
      <c r="U65" s="805" t="s">
        <v>62</v>
      </c>
      <c r="V65" s="806" t="s">
        <v>70</v>
      </c>
    </row>
    <row r="66" spans="2:22" ht="11.7" customHeight="1" x14ac:dyDescent="0.3">
      <c r="B66" s="254" t="s">
        <v>228</v>
      </c>
      <c r="G66" s="440">
        <v>3</v>
      </c>
      <c r="I66" s="254" t="str">
        <f>+I48</f>
        <v>Equity</v>
      </c>
      <c r="J66" s="151">
        <f>+J48*$L$120</f>
        <v>6486897.653360636</v>
      </c>
      <c r="K66" s="664">
        <f>+J66/$J$68</f>
        <v>0.28504639278221849</v>
      </c>
      <c r="L66" s="661">
        <f>+J66/$F$19</f>
        <v>88.720568871626554</v>
      </c>
      <c r="N66" s="254" t="s">
        <v>477</v>
      </c>
      <c r="P66" s="685"/>
      <c r="Q66" s="690"/>
      <c r="R66" s="690"/>
      <c r="S66" s="690"/>
      <c r="T66" s="811">
        <f>+$K$81</f>
        <v>45291</v>
      </c>
      <c r="U66" s="695">
        <f ca="1">+SUMIF('Monthly UF Model'!$I$7:$DY$7,Inputs!$T$66,'Monthly UF Model'!$I$248:$DY$248)</f>
        <v>31750.844429740635</v>
      </c>
      <c r="V66" s="723">
        <f ca="1">+U66*$L$120</f>
        <v>1297021.8656626856</v>
      </c>
    </row>
    <row r="67" spans="2:22" ht="11.7" customHeight="1" x14ac:dyDescent="0.3">
      <c r="B67" s="254" t="s">
        <v>601</v>
      </c>
      <c r="G67" s="439">
        <v>1</v>
      </c>
      <c r="I67" s="269" t="str">
        <f t="shared" ref="I67:I68" si="33">+I49</f>
        <v>Debt</v>
      </c>
      <c r="J67" s="148">
        <f>+J49*$L$120</f>
        <v>16270442.266098592</v>
      </c>
      <c r="K67" s="665">
        <f>+J67/$J$68</f>
        <v>0.71495360721778156</v>
      </c>
      <c r="L67" s="666">
        <f>+J67/$F$19</f>
        <v>222.52900705060222</v>
      </c>
      <c r="N67" s="254" t="s">
        <v>481</v>
      </c>
      <c r="O67" s="5"/>
      <c r="P67" s="675"/>
      <c r="R67" s="655"/>
      <c r="T67" s="811">
        <f>+$K$81</f>
        <v>45291</v>
      </c>
      <c r="U67" s="695">
        <f ca="1">+SUMIF('Monthly UF Model'!$I$7:$DY$7,Inputs!$T$67,'Monthly UF Model'!$I$355:$DY$355)</f>
        <v>635016.88859481271</v>
      </c>
      <c r="V67" s="723">
        <f ca="1">+U67*$L$120</f>
        <v>25940437.313253712</v>
      </c>
    </row>
    <row r="68" spans="2:22" ht="11.7" customHeight="1" x14ac:dyDescent="0.3">
      <c r="B68" s="254" t="s">
        <v>247</v>
      </c>
      <c r="F68" s="289">
        <f>+IF('Project Layout'!$H$39&gt;0,'Project Layout'!$H$39,G23*G67*G66)</f>
        <v>233.19999999999996</v>
      </c>
      <c r="G68" s="443"/>
      <c r="I68" s="903" t="str">
        <f t="shared" si="33"/>
        <v>Total Sources</v>
      </c>
      <c r="J68" s="711">
        <f>+SUM(J66:J67)</f>
        <v>22757339.919459227</v>
      </c>
      <c r="K68" s="668">
        <f>+J68/$J$68</f>
        <v>1</v>
      </c>
      <c r="L68" s="712">
        <f>+J68/$F$19</f>
        <v>311.24957592222876</v>
      </c>
      <c r="N68" s="254" t="s">
        <v>478</v>
      </c>
      <c r="P68" s="676"/>
      <c r="Q68" s="692"/>
      <c r="R68" s="692"/>
      <c r="S68" s="696"/>
      <c r="T68" s="692"/>
      <c r="U68" s="692">
        <f>Q29/L100</f>
        <v>610149.41083423467</v>
      </c>
      <c r="V68" s="723">
        <f>+U68*$L$120</f>
        <v>24924600.947996646</v>
      </c>
    </row>
    <row r="69" spans="2:22" ht="11.7" customHeight="1" x14ac:dyDescent="0.3">
      <c r="B69" s="254" t="s">
        <v>248</v>
      </c>
      <c r="G69" s="994">
        <f>+G67</f>
        <v>1</v>
      </c>
      <c r="N69" s="254" t="s">
        <v>479</v>
      </c>
      <c r="P69" s="676"/>
      <c r="Q69" s="695"/>
      <c r="R69" s="692"/>
      <c r="S69" s="696"/>
      <c r="T69" s="692"/>
      <c r="U69" s="812">
        <v>300</v>
      </c>
      <c r="V69" s="723">
        <f>+U69*$L$120</f>
        <v>12254.998778373725</v>
      </c>
    </row>
    <row r="70" spans="2:22" ht="11.7" customHeight="1" x14ac:dyDescent="0.3">
      <c r="B70" s="254" t="s">
        <v>249</v>
      </c>
      <c r="F70" s="450">
        <f>+G65*F68*G69</f>
        <v>69.95999999999998</v>
      </c>
      <c r="G70" s="453"/>
      <c r="I70" s="262" t="s">
        <v>145</v>
      </c>
      <c r="J70" s="263"/>
      <c r="K70" s="263"/>
      <c r="L70" s="264"/>
      <c r="N70" s="254" t="s">
        <v>480</v>
      </c>
      <c r="P70" s="676"/>
      <c r="Q70" s="692"/>
      <c r="R70" s="692"/>
      <c r="S70" s="696"/>
      <c r="T70" s="692"/>
      <c r="U70" s="812">
        <v>30</v>
      </c>
      <c r="V70" s="723">
        <f>+U70*$L$120</f>
        <v>1225.4998778373724</v>
      </c>
    </row>
    <row r="71" spans="2:22" ht="11.7" customHeight="1" x14ac:dyDescent="0.3">
      <c r="B71" s="254"/>
      <c r="F71" s="437"/>
      <c r="G71" s="901"/>
      <c r="I71" s="273"/>
      <c r="J71" s="109"/>
      <c r="K71" s="109"/>
      <c r="L71" s="274"/>
      <c r="N71" s="809" t="s">
        <v>482</v>
      </c>
      <c r="P71" s="677"/>
      <c r="Q71" s="692"/>
      <c r="R71" s="692"/>
      <c r="S71" s="696"/>
      <c r="T71" s="692"/>
      <c r="U71" s="692"/>
      <c r="V71" s="807"/>
    </row>
    <row r="72" spans="2:22" ht="11.7" customHeight="1" x14ac:dyDescent="0.3">
      <c r="B72" s="357" t="s">
        <v>230</v>
      </c>
      <c r="D72" s="259"/>
      <c r="F72" s="1089" t="s">
        <v>59</v>
      </c>
      <c r="G72" s="1090" t="s">
        <v>54</v>
      </c>
      <c r="I72" s="267" t="s">
        <v>159</v>
      </c>
      <c r="J72" s="13"/>
      <c r="K72" s="318"/>
      <c r="L72" s="319" t="s">
        <v>59</v>
      </c>
      <c r="N72" s="255" t="s">
        <v>483</v>
      </c>
      <c r="P72" s="677"/>
      <c r="Q72" s="692"/>
      <c r="R72" s="692"/>
      <c r="S72" s="696"/>
      <c r="T72" s="692"/>
      <c r="U72" s="692">
        <f ca="1">+(U67-$U$69*$E$176-$U$70*$F$68/$G$66)/$G$23</f>
        <v>4531.2305119015873</v>
      </c>
      <c r="V72" s="723">
        <f ca="1">+U72*$L$120</f>
        <v>185100.74795961234</v>
      </c>
    </row>
    <row r="73" spans="2:22" ht="11.7" customHeight="1" x14ac:dyDescent="0.3">
      <c r="B73" s="734">
        <f>+YEAR($L$73)+1</f>
        <v>2018</v>
      </c>
      <c r="C73" s="364"/>
      <c r="F73" s="291">
        <f>+DATE(YEAR($L$73)+1,MONTH($L$73),1)</f>
        <v>43344</v>
      </c>
      <c r="G73" s="1186">
        <f>+$G$80</f>
        <v>6.40489929678556E-3</v>
      </c>
      <c r="I73" s="254" t="s">
        <v>144</v>
      </c>
      <c r="L73" s="1170">
        <v>43008</v>
      </c>
      <c r="N73" s="255" t="s">
        <v>491</v>
      </c>
      <c r="P73" s="678"/>
      <c r="Q73" s="692"/>
      <c r="R73" s="692"/>
      <c r="S73" s="696"/>
      <c r="T73" s="692">
        <f ca="1">+U73*(1+($L$126*(1-'CapEx Budget'!$G$33/'CapEx Budget'!$G$75)))</f>
        <v>119.45163129760313</v>
      </c>
      <c r="U73" s="692">
        <f ca="1">+U72/$G$24</f>
        <v>104.3185176153232</v>
      </c>
      <c r="V73" s="723"/>
    </row>
    <row r="74" spans="2:22" ht="11.7" customHeight="1" x14ac:dyDescent="0.3">
      <c r="B74" s="734">
        <f>+B73+1</f>
        <v>2019</v>
      </c>
      <c r="C74" s="365"/>
      <c r="F74" s="291">
        <f>+EOMONTH(F73,3)+1</f>
        <v>43466</v>
      </c>
      <c r="G74" s="1186">
        <f t="shared" ref="G74:G76" si="34">+$G$80</f>
        <v>6.40489929678556E-3</v>
      </c>
      <c r="H74" s="162"/>
      <c r="I74" s="254" t="s">
        <v>60</v>
      </c>
      <c r="L74" s="1171">
        <f>+'CapEx Budget'!M15</f>
        <v>50</v>
      </c>
      <c r="M74" s="162"/>
      <c r="N74" s="809" t="s">
        <v>484</v>
      </c>
      <c r="P74" s="678"/>
      <c r="Q74" s="692"/>
      <c r="R74" s="692"/>
      <c r="S74" s="696"/>
      <c r="T74" s="692"/>
      <c r="U74" s="692"/>
      <c r="V74" s="807"/>
    </row>
    <row r="75" spans="2:22" ht="11.7" customHeight="1" x14ac:dyDescent="0.3">
      <c r="B75" s="734">
        <f t="shared" ref="B75:B79" si="35">+B74+1</f>
        <v>2020</v>
      </c>
      <c r="F75" s="291">
        <f t="shared" ref="F75:F78" si="36">+EOMONTH(F74,11)+1</f>
        <v>43831</v>
      </c>
      <c r="G75" s="1186">
        <f t="shared" si="34"/>
        <v>6.40489929678556E-3</v>
      </c>
      <c r="H75" s="11"/>
      <c r="I75" s="254" t="s">
        <v>148</v>
      </c>
      <c r="J75" s="259"/>
      <c r="L75" s="1170">
        <v>44561</v>
      </c>
      <c r="N75" s="255" t="s">
        <v>483</v>
      </c>
      <c r="P75" s="677"/>
      <c r="Q75" s="692"/>
      <c r="R75" s="692"/>
      <c r="S75" s="696"/>
      <c r="T75" s="692"/>
      <c r="U75" s="692">
        <f>+(U68-$U$69*$E$176-$U$70*$F$68/$G$66)/$G$23</f>
        <v>4345.6523196584676</v>
      </c>
      <c r="V75" s="723">
        <f>+U75*$L$120</f>
        <v>177519.87956217155</v>
      </c>
    </row>
    <row r="76" spans="2:22" ht="11.7" customHeight="1" x14ac:dyDescent="0.3">
      <c r="B76" s="734">
        <f t="shared" si="35"/>
        <v>2021</v>
      </c>
      <c r="F76" s="291">
        <f t="shared" si="36"/>
        <v>44197</v>
      </c>
      <c r="G76" s="1186">
        <f t="shared" si="34"/>
        <v>6.40489929678556E-3</v>
      </c>
      <c r="I76" s="254" t="s">
        <v>157</v>
      </c>
      <c r="L76" s="1170">
        <v>44531</v>
      </c>
      <c r="N76" s="255" t="s">
        <v>491</v>
      </c>
      <c r="P76" s="678"/>
      <c r="Q76" s="692"/>
      <c r="R76" s="692"/>
      <c r="S76" s="696"/>
      <c r="T76" s="692">
        <f>+U76*(1+($L$126*(1-'CapEx Budget'!$G$33/'CapEx Budget'!$G$75)))</f>
        <v>114.55944632964</v>
      </c>
      <c r="U76" s="692">
        <f>+U75/$G$24</f>
        <v>100.0461148175213</v>
      </c>
      <c r="V76" s="723"/>
    </row>
    <row r="77" spans="2:22" ht="11.7" customHeight="1" x14ac:dyDescent="0.3">
      <c r="B77" s="734">
        <f t="shared" si="35"/>
        <v>2022</v>
      </c>
      <c r="F77" s="291">
        <f t="shared" si="36"/>
        <v>44562</v>
      </c>
      <c r="G77" s="1186">
        <f>+$G$80</f>
        <v>6.40489929678556E-3</v>
      </c>
      <c r="I77" s="254"/>
      <c r="K77" s="299"/>
      <c r="L77" s="266"/>
      <c r="N77" s="255"/>
      <c r="P77" s="678"/>
      <c r="Q77" s="692"/>
      <c r="R77" s="692"/>
      <c r="S77" s="696"/>
      <c r="T77" s="692"/>
      <c r="U77" s="692"/>
      <c r="V77" s="723"/>
    </row>
    <row r="78" spans="2:22" ht="11.7" customHeight="1" x14ac:dyDescent="0.3">
      <c r="B78" s="734">
        <f t="shared" si="35"/>
        <v>2023</v>
      </c>
      <c r="F78" s="291">
        <f t="shared" si="36"/>
        <v>44927</v>
      </c>
      <c r="G78" s="1186">
        <f>+$G$80</f>
        <v>6.40489929678556E-3</v>
      </c>
      <c r="I78" s="267" t="s">
        <v>160</v>
      </c>
      <c r="K78" s="299"/>
      <c r="L78" s="266"/>
      <c r="N78" s="352" t="s">
        <v>13</v>
      </c>
      <c r="O78" s="13"/>
      <c r="P78" s="13"/>
      <c r="S78" s="810"/>
      <c r="T78" s="810"/>
      <c r="U78" s="805" t="s">
        <v>62</v>
      </c>
      <c r="V78" s="806" t="s">
        <v>70</v>
      </c>
    </row>
    <row r="79" spans="2:22" ht="11.7" customHeight="1" x14ac:dyDescent="0.3">
      <c r="B79" s="734">
        <f t="shared" si="35"/>
        <v>2024</v>
      </c>
      <c r="F79" s="1182">
        <v>45292</v>
      </c>
      <c r="G79" s="1183">
        <v>0.02</v>
      </c>
      <c r="I79" s="254" t="s">
        <v>177</v>
      </c>
      <c r="K79" s="257">
        <f>+L97</f>
        <v>75</v>
      </c>
      <c r="L79" s="236"/>
      <c r="N79" s="254" t="s">
        <v>477</v>
      </c>
      <c r="P79" s="685"/>
      <c r="Q79" s="690"/>
      <c r="R79" s="690"/>
      <c r="S79" s="690"/>
      <c r="T79" s="811">
        <f>+$K$81</f>
        <v>45291</v>
      </c>
      <c r="U79" s="695">
        <f>+SUMIF('Monthly UF Model'!$I$7:$DY$7,Inputs!$T$79,'Monthly UF Model'!$I$331:$DY$331)</f>
        <v>7641.881591514215</v>
      </c>
      <c r="V79" s="723">
        <f>+U79*$L$120</f>
        <v>312170.83189494454</v>
      </c>
    </row>
    <row r="80" spans="2:22" ht="11.7" customHeight="1" x14ac:dyDescent="0.3">
      <c r="B80" s="734" t="s">
        <v>787</v>
      </c>
      <c r="F80" s="291"/>
      <c r="G80" s="1184">
        <f>+SUMIF('Monthly UF Model'!$I$7:$DY$7,Inputs!$G$81,'Monthly UF Model'!$I$96:$DY$96)^(1/((G81-L73)/30/12))-1</f>
        <v>6.40489929678556E-3</v>
      </c>
      <c r="I80" s="254" t="s">
        <v>178</v>
      </c>
      <c r="J80" s="233"/>
      <c r="K80" s="257">
        <f>+DATEDIF($L$76,$K$81,"m")</f>
        <v>24</v>
      </c>
      <c r="L80" s="1117"/>
      <c r="N80" s="254" t="s">
        <v>481</v>
      </c>
      <c r="O80" s="5"/>
      <c r="P80" s="675"/>
      <c r="R80" s="655"/>
      <c r="T80" s="811">
        <f>+$K$81</f>
        <v>45291</v>
      </c>
      <c r="U80" s="695">
        <f>+SUMIF('Monthly UF Model'!$I$7:$DY$7,Inputs!$T$80,'Monthly UF Model'!$I$360:$DY$360)</f>
        <v>138943.30166389482</v>
      </c>
      <c r="V80" s="723">
        <f>+U80*$L$120</f>
        <v>5675833.3071808098</v>
      </c>
    </row>
    <row r="81" spans="2:22" ht="11.7" customHeight="1" x14ac:dyDescent="0.3">
      <c r="B81" s="855" t="s">
        <v>59</v>
      </c>
      <c r="D81" s="395"/>
      <c r="E81" s="396"/>
      <c r="F81" s="1151"/>
      <c r="G81" s="1191">
        <v>44926</v>
      </c>
      <c r="I81" s="254" t="s">
        <v>389</v>
      </c>
      <c r="J81" s="259"/>
      <c r="K81" s="441">
        <f>+EOMONTH($L$73,$K$79)</f>
        <v>45291</v>
      </c>
      <c r="L81" s="236"/>
      <c r="N81" s="254" t="s">
        <v>478</v>
      </c>
      <c r="P81" s="676"/>
      <c r="Q81" s="692"/>
      <c r="R81" s="692"/>
      <c r="S81" s="696"/>
      <c r="T81" s="692"/>
      <c r="U81" s="692">
        <f>+Q47/L101</f>
        <v>137901.91119190911</v>
      </c>
      <c r="V81" s="723">
        <f>+U81*$L$120</f>
        <v>5633292.510640827</v>
      </c>
    </row>
    <row r="82" spans="2:22" ht="11.7" customHeight="1" x14ac:dyDescent="0.3">
      <c r="B82" s="254"/>
      <c r="F82" s="437"/>
      <c r="G82" s="398"/>
      <c r="I82" s="260"/>
      <c r="K82" s="234"/>
      <c r="L82" s="261"/>
      <c r="N82" s="254" t="s">
        <v>479</v>
      </c>
      <c r="P82" s="676"/>
      <c r="Q82" s="695"/>
      <c r="R82" s="692"/>
      <c r="S82" s="696"/>
      <c r="T82" s="692"/>
      <c r="U82" s="812">
        <v>300</v>
      </c>
      <c r="V82" s="723">
        <f>+U82*$L$120</f>
        <v>12254.998778373725</v>
      </c>
    </row>
    <row r="83" spans="2:22" ht="11.7" customHeight="1" x14ac:dyDescent="0.3">
      <c r="B83" s="357" t="s">
        <v>97</v>
      </c>
      <c r="F83" s="437"/>
      <c r="G83" s="398"/>
      <c r="I83" s="267" t="s">
        <v>151</v>
      </c>
      <c r="K83" s="234"/>
      <c r="L83" s="859"/>
      <c r="N83" s="809" t="s">
        <v>482</v>
      </c>
      <c r="P83" s="677"/>
      <c r="Q83" s="692"/>
      <c r="R83" s="692"/>
      <c r="S83" s="696"/>
      <c r="T83" s="692"/>
      <c r="U83" s="692"/>
      <c r="V83" s="807"/>
    </row>
    <row r="84" spans="2:22" ht="11.7" customHeight="1" x14ac:dyDescent="0.3">
      <c r="B84" s="828" t="s">
        <v>231</v>
      </c>
      <c r="F84" s="437"/>
      <c r="G84" s="818"/>
      <c r="I84" s="254" t="s">
        <v>147</v>
      </c>
      <c r="K84" s="441">
        <f>EOMONTH($L$73,$L$84)</f>
        <v>43312</v>
      </c>
      <c r="L84" s="1030">
        <v>10</v>
      </c>
      <c r="N84" s="255" t="s">
        <v>491</v>
      </c>
      <c r="P84" s="678"/>
      <c r="Q84" s="692"/>
      <c r="R84" s="692"/>
      <c r="S84" s="696"/>
      <c r="T84" s="692">
        <f>+U84*(1+($L$126*(1-'CapEx Budget'!$G$33/'CapEx Budget'!$G$75)))</f>
        <v>157.28533673976682</v>
      </c>
      <c r="U84" s="692">
        <f>+IFERROR((U80-$U$82*$E$177)/SUM($D$15:$D$16),0)</f>
        <v>137.35913853232273</v>
      </c>
      <c r="V84" s="723"/>
    </row>
    <row r="85" spans="2:22" ht="11.7" customHeight="1" x14ac:dyDescent="0.3">
      <c r="B85" s="255" t="s">
        <v>251</v>
      </c>
      <c r="G85" s="366">
        <v>0</v>
      </c>
      <c r="I85" s="254" t="s">
        <v>57</v>
      </c>
      <c r="K85" s="441">
        <f>EOMONTH($L$73,$L$84+$L$85)</f>
        <v>43404</v>
      </c>
      <c r="L85" s="1030">
        <v>3</v>
      </c>
      <c r="N85" s="809" t="s">
        <v>484</v>
      </c>
      <c r="P85" s="678"/>
      <c r="Q85" s="692"/>
      <c r="R85" s="692"/>
      <c r="S85" s="696"/>
      <c r="T85" s="692"/>
      <c r="U85" s="692"/>
      <c r="V85" s="807"/>
    </row>
    <row r="86" spans="2:22" ht="11.7" customHeight="1" x14ac:dyDescent="0.3">
      <c r="B86" s="255" t="s">
        <v>471</v>
      </c>
      <c r="G86" s="451">
        <v>1</v>
      </c>
      <c r="I86" s="254" t="s">
        <v>94</v>
      </c>
      <c r="K86" s="441">
        <f>EOMONTH($L$73,$L$84+$L$85+$L$86)</f>
        <v>43646</v>
      </c>
      <c r="L86" s="1030">
        <v>8</v>
      </c>
      <c r="N86" s="759" t="s">
        <v>491</v>
      </c>
      <c r="O86" s="63"/>
      <c r="P86" s="813"/>
      <c r="Q86" s="693"/>
      <c r="R86" s="693"/>
      <c r="S86" s="697"/>
      <c r="T86" s="693">
        <f>+U86*(1+($L$126*(1-'CapEx Budget'!$G$33/'CapEx Budget'!$G$75)))</f>
        <v>156.05880235711317</v>
      </c>
      <c r="U86" s="693">
        <f>+IFERROR((U81-$U$82*$E$177)/SUM($D$15:$D$16),0)</f>
        <v>136.28799159851587</v>
      </c>
      <c r="V86" s="814"/>
    </row>
    <row r="87" spans="2:22" ht="11.7" customHeight="1" x14ac:dyDescent="0.3">
      <c r="B87" s="255" t="s">
        <v>250</v>
      </c>
      <c r="F87" s="798">
        <f>+G86*4</f>
        <v>4</v>
      </c>
      <c r="G87" s="443"/>
      <c r="I87" s="254" t="s">
        <v>92</v>
      </c>
      <c r="L87" s="1032">
        <f>+SUM(L88:L90)</f>
        <v>27</v>
      </c>
      <c r="N87" s="792"/>
      <c r="O87" s="5"/>
      <c r="P87" s="167"/>
      <c r="Q87" s="789"/>
      <c r="R87" s="789"/>
      <c r="S87" s="790"/>
      <c r="T87" s="789"/>
      <c r="U87" s="789"/>
      <c r="V87" s="790"/>
    </row>
    <row r="88" spans="2:22" ht="11.7" customHeight="1" x14ac:dyDescent="0.3">
      <c r="B88" s="255" t="s">
        <v>252</v>
      </c>
      <c r="E88" s="326"/>
      <c r="F88" s="326"/>
      <c r="G88" s="451">
        <v>1</v>
      </c>
      <c r="I88" s="255" t="s">
        <v>605</v>
      </c>
      <c r="K88" s="441">
        <f>EOMONTH($L$73,$L$84+$L$85+$L$86+$L$88)</f>
        <v>43769</v>
      </c>
      <c r="L88" s="1030">
        <v>4</v>
      </c>
      <c r="N88" s="720"/>
      <c r="O88" s="5"/>
      <c r="P88" s="231"/>
      <c r="Q88" s="766"/>
      <c r="R88" s="766"/>
      <c r="S88" s="766"/>
      <c r="T88" s="766"/>
      <c r="U88" s="766"/>
      <c r="V88" s="766"/>
    </row>
    <row r="89" spans="2:22" ht="11.7" customHeight="1" x14ac:dyDescent="0.3">
      <c r="B89" s="255" t="s">
        <v>253</v>
      </c>
      <c r="E89" s="326"/>
      <c r="F89" s="450">
        <f>+G88*G86*F87*G23*G85</f>
        <v>0</v>
      </c>
      <c r="G89" s="438"/>
      <c r="I89" s="255" t="s">
        <v>606</v>
      </c>
      <c r="K89" s="441">
        <f>EOMONTH($L$73,$L$84+$L$85+$L$86+$L$88+$L$89)</f>
        <v>44165</v>
      </c>
      <c r="L89" s="1030">
        <v>13</v>
      </c>
      <c r="V89" s="791"/>
    </row>
    <row r="90" spans="2:22" ht="11.7" customHeight="1" x14ac:dyDescent="0.3">
      <c r="B90" s="828" t="s">
        <v>361</v>
      </c>
      <c r="E90" s="326"/>
      <c r="F90" s="993"/>
      <c r="G90" s="236"/>
      <c r="I90" s="255" t="s">
        <v>607</v>
      </c>
      <c r="K90" s="441">
        <f>EOMONTH($L$73,$L$84+$L$85+$L$86+$L$88+$L$89+$L$90)</f>
        <v>44469</v>
      </c>
      <c r="L90" s="1030">
        <v>10</v>
      </c>
      <c r="N90" s="149"/>
      <c r="P90" s="162"/>
      <c r="Q90" s="695"/>
      <c r="R90" s="692"/>
      <c r="S90" s="696"/>
      <c r="T90" s="692"/>
      <c r="U90" s="692"/>
      <c r="V90" s="696"/>
    </row>
    <row r="91" spans="2:22" ht="11.7" customHeight="1" x14ac:dyDescent="0.3">
      <c r="B91" s="255" t="s">
        <v>550</v>
      </c>
      <c r="E91" s="326"/>
      <c r="F91" s="1088"/>
      <c r="G91" s="451">
        <v>1</v>
      </c>
      <c r="I91" s="254" t="s">
        <v>760</v>
      </c>
      <c r="K91" s="441">
        <f>EOMONTH(L73,L84+L85+L86+L87+L91)</f>
        <v>44530</v>
      </c>
      <c r="L91" s="1030">
        <v>2</v>
      </c>
      <c r="N91" s="149"/>
      <c r="P91" s="162"/>
      <c r="Q91" s="695"/>
      <c r="R91" s="692"/>
      <c r="S91" s="696"/>
      <c r="T91" s="692"/>
      <c r="U91" s="692"/>
      <c r="V91" s="696"/>
    </row>
    <row r="92" spans="2:22" ht="11.7" customHeight="1" x14ac:dyDescent="0.3">
      <c r="B92" s="255" t="s">
        <v>747</v>
      </c>
      <c r="E92" s="326"/>
      <c r="F92" s="1088"/>
      <c r="G92" s="367">
        <v>200</v>
      </c>
      <c r="I92" s="828" t="s">
        <v>97</v>
      </c>
      <c r="L92" s="848"/>
      <c r="N92" s="329"/>
      <c r="O92" s="5"/>
      <c r="P92" s="231"/>
      <c r="Q92" s="808"/>
      <c r="R92" s="167"/>
      <c r="S92" s="681"/>
      <c r="T92" s="808"/>
      <c r="U92" s="167"/>
      <c r="V92" s="788"/>
    </row>
    <row r="93" spans="2:22" ht="11.7" customHeight="1" x14ac:dyDescent="0.3">
      <c r="B93" s="255" t="s">
        <v>551</v>
      </c>
      <c r="E93" s="326"/>
      <c r="F93" s="450">
        <f>+G92*G91</f>
        <v>200</v>
      </c>
      <c r="G93" s="978"/>
      <c r="I93" s="255" t="s">
        <v>156</v>
      </c>
      <c r="K93" s="291"/>
      <c r="L93" s="1031">
        <v>11</v>
      </c>
      <c r="N93" s="329"/>
      <c r="O93" s="5"/>
      <c r="P93" s="231"/>
      <c r="Q93" s="808"/>
      <c r="R93" s="167"/>
      <c r="S93" s="681"/>
      <c r="T93" s="808"/>
      <c r="U93" s="167"/>
      <c r="V93" s="788"/>
    </row>
    <row r="94" spans="2:22" ht="11.7" customHeight="1" x14ac:dyDescent="0.3">
      <c r="B94" s="828" t="s">
        <v>587</v>
      </c>
      <c r="E94" s="326"/>
      <c r="F94" s="450">
        <f>+F89+F93</f>
        <v>200</v>
      </c>
      <c r="G94" s="978"/>
      <c r="I94" s="255" t="s">
        <v>158</v>
      </c>
      <c r="J94" s="233"/>
      <c r="K94" s="441">
        <f>EOMONTH(L73,L84+L85+L86+L87+L91+L94)</f>
        <v>44834</v>
      </c>
      <c r="L94" s="793">
        <v>10</v>
      </c>
      <c r="N94" s="5"/>
      <c r="O94" s="5"/>
      <c r="P94" s="231"/>
      <c r="Q94" s="231"/>
      <c r="R94" s="167"/>
      <c r="S94" s="681"/>
      <c r="T94" s="231"/>
      <c r="U94" s="167"/>
      <c r="V94" s="788"/>
    </row>
    <row r="95" spans="2:22" ht="11.7" customHeight="1" x14ac:dyDescent="0.3">
      <c r="B95" s="254"/>
      <c r="F95" s="437"/>
      <c r="G95" s="818"/>
      <c r="I95" s="254"/>
      <c r="J95" s="862"/>
      <c r="L95" s="848"/>
    </row>
    <row r="96" spans="2:22" ht="11.7" customHeight="1" x14ac:dyDescent="0.3">
      <c r="B96" s="357" t="s">
        <v>232</v>
      </c>
      <c r="F96" s="437"/>
      <c r="G96" s="398"/>
      <c r="I96" s="267" t="s">
        <v>146</v>
      </c>
      <c r="L96" s="848"/>
    </row>
    <row r="97" spans="2:22" ht="11.7" customHeight="1" x14ac:dyDescent="0.3">
      <c r="B97" s="392" t="s">
        <v>258</v>
      </c>
      <c r="G97" s="451">
        <v>0</v>
      </c>
      <c r="I97" s="254" t="s">
        <v>762</v>
      </c>
      <c r="J97" s="4"/>
      <c r="K97" s="441">
        <f>+EOMONTH($L$73,L97)</f>
        <v>45291</v>
      </c>
      <c r="L97" s="793">
        <v>75</v>
      </c>
    </row>
    <row r="98" spans="2:22" ht="11.7" customHeight="1" x14ac:dyDescent="0.3">
      <c r="B98" s="392" t="s">
        <v>789</v>
      </c>
      <c r="G98" s="454">
        <v>1E-3</v>
      </c>
      <c r="I98" s="260"/>
      <c r="K98" s="234"/>
      <c r="L98" s="864"/>
    </row>
    <row r="99" spans="2:22" ht="11.7" customHeight="1" x14ac:dyDescent="0.3">
      <c r="B99" s="392" t="s">
        <v>790</v>
      </c>
      <c r="G99" s="1187">
        <f>+'Monthly UF Model'!E107</f>
        <v>1.776495765816628E-2</v>
      </c>
      <c r="I99" s="267" t="s">
        <v>500</v>
      </c>
      <c r="K99" s="234"/>
      <c r="L99" s="863"/>
    </row>
    <row r="100" spans="2:22" ht="11.7" customHeight="1" x14ac:dyDescent="0.3">
      <c r="B100" s="392" t="s">
        <v>260</v>
      </c>
      <c r="F100" s="334"/>
      <c r="G100" s="454">
        <v>2.5000000000000001E-2</v>
      </c>
      <c r="I100" s="254" t="s">
        <v>390</v>
      </c>
      <c r="L100" s="965">
        <v>0.05</v>
      </c>
    </row>
    <row r="101" spans="2:22" ht="11.7" customHeight="1" x14ac:dyDescent="0.3">
      <c r="B101" s="392"/>
      <c r="C101" s="13"/>
      <c r="D101" s="13"/>
      <c r="E101" s="13"/>
      <c r="F101" s="13"/>
      <c r="G101" s="393"/>
      <c r="I101" s="254" t="s">
        <v>472</v>
      </c>
      <c r="K101" s="126"/>
      <c r="L101" s="965">
        <v>5.5E-2</v>
      </c>
    </row>
    <row r="102" spans="2:22" ht="11.7" customHeight="1" x14ac:dyDescent="0.3">
      <c r="B102" s="357" t="s">
        <v>233</v>
      </c>
      <c r="F102" s="399"/>
      <c r="G102" s="398"/>
      <c r="I102" s="269" t="s">
        <v>9</v>
      </c>
      <c r="J102" s="63"/>
      <c r="K102" s="63"/>
      <c r="L102" s="965">
        <v>0</v>
      </c>
      <c r="Q102" s="5"/>
      <c r="R102" s="5"/>
      <c r="S102" s="5"/>
      <c r="T102" s="5"/>
      <c r="U102" s="5"/>
      <c r="V102" s="5"/>
    </row>
    <row r="103" spans="2:22" ht="11.7" customHeight="1" x14ac:dyDescent="0.3">
      <c r="B103" s="392" t="s">
        <v>401</v>
      </c>
      <c r="C103" s="13"/>
      <c r="D103" s="13"/>
      <c r="E103" s="13"/>
      <c r="F103" s="593">
        <f>+IFERROR(F104/$G$56,0)</f>
        <v>0.21862623890991065</v>
      </c>
      <c r="G103" s="338"/>
      <c r="I103" s="108"/>
      <c r="J103" s="108"/>
      <c r="K103" s="108"/>
      <c r="L103" s="63"/>
    </row>
    <row r="104" spans="2:22" ht="11.7" customHeight="1" x14ac:dyDescent="0.3">
      <c r="B104" s="392" t="s">
        <v>400</v>
      </c>
      <c r="C104" s="13"/>
      <c r="D104" s="13"/>
      <c r="E104" s="13"/>
      <c r="F104" s="592">
        <f>+IFERROR('OpEx Budget'!$G$22/'Project Layout'!$S$44/12,0)</f>
        <v>7.5088516857757914E-2</v>
      </c>
      <c r="G104" s="436"/>
      <c r="I104" s="238" t="s">
        <v>179</v>
      </c>
      <c r="J104" s="239"/>
      <c r="K104" s="239"/>
      <c r="L104" s="240"/>
    </row>
    <row r="105" spans="2:22" ht="11.7" customHeight="1" x14ac:dyDescent="0.3">
      <c r="B105" s="392" t="s">
        <v>256</v>
      </c>
      <c r="F105" s="399"/>
      <c r="G105" s="454">
        <v>0.05</v>
      </c>
      <c r="I105" s="243"/>
      <c r="J105" s="244"/>
      <c r="K105" s="244"/>
      <c r="L105" s="245"/>
    </row>
    <row r="106" spans="2:22" ht="11.7" customHeight="1" x14ac:dyDescent="0.3">
      <c r="B106" s="392" t="s">
        <v>257</v>
      </c>
      <c r="F106" s="399"/>
      <c r="G106" s="454">
        <v>2.5000000000000001E-2</v>
      </c>
      <c r="I106" s="357" t="s">
        <v>95</v>
      </c>
      <c r="L106" s="236"/>
    </row>
    <row r="107" spans="2:22" ht="11.7" customHeight="1" x14ac:dyDescent="0.3">
      <c r="B107" s="392"/>
      <c r="F107" s="399"/>
      <c r="G107" s="236"/>
      <c r="I107" s="828" t="s">
        <v>425</v>
      </c>
      <c r="L107" s="353"/>
      <c r="Q107" s="706"/>
    </row>
    <row r="108" spans="2:22" ht="11.7" customHeight="1" x14ac:dyDescent="0.3">
      <c r="B108" s="357" t="s">
        <v>645</v>
      </c>
      <c r="F108" s="399"/>
      <c r="G108" s="978"/>
      <c r="I108" s="255" t="s">
        <v>588</v>
      </c>
      <c r="L108" s="1066">
        <f>+'Monthly UF Model'!$D$370</f>
        <v>0.6840864566017868</v>
      </c>
      <c r="Q108" s="992"/>
    </row>
    <row r="109" spans="2:22" ht="11.7" customHeight="1" x14ac:dyDescent="0.3">
      <c r="B109" s="854" t="s">
        <v>469</v>
      </c>
      <c r="F109" s="399"/>
      <c r="G109" s="1164">
        <f>+'CapEx Budget'!F68</f>
        <v>1966.8000000000002</v>
      </c>
      <c r="I109" s="1067" t="s">
        <v>632</v>
      </c>
      <c r="L109" s="353"/>
    </row>
    <row r="110" spans="2:22" ht="11.7" customHeight="1" x14ac:dyDescent="0.3">
      <c r="B110" s="841" t="s">
        <v>410</v>
      </c>
      <c r="F110" s="623">
        <f>+'OpEx Budget'!$K$36</f>
        <v>0.89876662761941961</v>
      </c>
      <c r="G110" s="236"/>
      <c r="I110" s="1068" t="s">
        <v>416</v>
      </c>
      <c r="L110" s="1069">
        <f>+'Monthly UF Model'!$D$371</f>
        <v>422001</v>
      </c>
    </row>
    <row r="111" spans="2:22" ht="11.7" customHeight="1" x14ac:dyDescent="0.3">
      <c r="B111" s="841" t="s">
        <v>411</v>
      </c>
      <c r="F111" s="450">
        <f>+G109*F110</f>
        <v>1767.6942032018746</v>
      </c>
      <c r="G111" s="236"/>
      <c r="I111" s="1176" t="s">
        <v>99</v>
      </c>
      <c r="J111" s="63"/>
      <c r="K111" s="63"/>
      <c r="L111" s="1177">
        <f>(-'Monthly UF Model'!H406/COUNTIF('Monthly UF Model'!$I$406:$DY$406,"&lt;0")*12)/L110</f>
        <v>4.1350831745100777E-2</v>
      </c>
    </row>
    <row r="112" spans="2:22" ht="11.7" customHeight="1" x14ac:dyDescent="0.3">
      <c r="B112" s="237"/>
      <c r="F112" s="399"/>
      <c r="G112" s="818"/>
    </row>
    <row r="113" spans="2:19" ht="11.7" customHeight="1" x14ac:dyDescent="0.3">
      <c r="B113" s="357" t="s">
        <v>399</v>
      </c>
      <c r="F113" s="399"/>
      <c r="G113" s="818"/>
      <c r="I113" s="125"/>
      <c r="L113" s="726"/>
    </row>
    <row r="114" spans="2:19" ht="11.7" customHeight="1" x14ac:dyDescent="0.3">
      <c r="B114" s="392" t="s">
        <v>625</v>
      </c>
      <c r="C114" s="13"/>
      <c r="D114" s="13"/>
      <c r="E114" s="13"/>
      <c r="F114" s="13"/>
      <c r="G114" s="1165">
        <f>+'CapEx Budget'!G53/Inputs!G23/Inputs!G24</f>
        <v>1.7567249492740298</v>
      </c>
      <c r="I114" s="262" t="s">
        <v>423</v>
      </c>
      <c r="J114" s="263"/>
      <c r="K114" s="263"/>
      <c r="L114" s="264"/>
      <c r="N114" s="125"/>
      <c r="Q114" s="291"/>
      <c r="R114" s="652"/>
      <c r="S114" s="735"/>
    </row>
    <row r="115" spans="2:19" ht="11.7" customHeight="1" x14ac:dyDescent="0.3">
      <c r="B115" s="455" t="s">
        <v>610</v>
      </c>
      <c r="C115" s="996"/>
      <c r="D115" s="996"/>
      <c r="E115" s="996"/>
      <c r="F115" s="1026"/>
      <c r="G115" s="1166">
        <f>+'CapEx Budget'!F53</f>
        <v>76.305970149253724</v>
      </c>
      <c r="I115" s="352"/>
      <c r="J115" s="13"/>
      <c r="K115" s="13"/>
      <c r="L115" s="245"/>
      <c r="N115" s="125"/>
      <c r="Q115" s="291"/>
      <c r="R115" s="652"/>
      <c r="S115" s="735"/>
    </row>
    <row r="116" spans="2:19" ht="11.7" customHeight="1" x14ac:dyDescent="0.3">
      <c r="I116" s="352" t="s">
        <v>418</v>
      </c>
      <c r="J116" s="13"/>
      <c r="K116" s="13"/>
      <c r="L116" s="268"/>
      <c r="N116" s="125"/>
      <c r="Q116" s="291"/>
      <c r="R116" s="652"/>
      <c r="S116" s="735"/>
    </row>
    <row r="117" spans="2:19" ht="11.7" customHeight="1" x14ac:dyDescent="0.3">
      <c r="B117" s="238" t="s">
        <v>397</v>
      </c>
      <c r="C117" s="601"/>
      <c r="D117" s="601"/>
      <c r="E117" s="601"/>
      <c r="F117" s="601"/>
      <c r="G117" s="602"/>
      <c r="I117" s="1084" t="s">
        <v>636</v>
      </c>
      <c r="J117" s="13"/>
      <c r="K117" s="13"/>
      <c r="L117" s="268"/>
      <c r="N117" s="125"/>
      <c r="Q117" s="291"/>
      <c r="R117" s="652"/>
      <c r="S117" s="735"/>
    </row>
    <row r="118" spans="2:19" ht="11.7" customHeight="1" x14ac:dyDescent="0.3">
      <c r="B118" s="243"/>
      <c r="C118" s="603"/>
      <c r="D118" s="603"/>
      <c r="E118" s="603"/>
      <c r="F118" s="603"/>
      <c r="G118" s="604"/>
      <c r="I118" s="255" t="s">
        <v>420</v>
      </c>
      <c r="J118" s="13"/>
      <c r="K118" s="13"/>
      <c r="L118" s="1069">
        <f>+SUMIF('Monthly USD Model'!$H$7:$DX$7,Inputs!$G$81,'Monthly USD Model'!$H$21:$DX$21)</f>
        <v>859.51</v>
      </c>
      <c r="N118" s="125"/>
      <c r="Q118" s="291"/>
      <c r="R118" s="652"/>
      <c r="S118" s="735"/>
    </row>
    <row r="119" spans="2:19" ht="11.7" customHeight="1" x14ac:dyDescent="0.3">
      <c r="B119" s="352" t="s">
        <v>217</v>
      </c>
      <c r="C119" s="605"/>
      <c r="D119" s="605"/>
      <c r="E119" s="605"/>
      <c r="F119" s="605"/>
      <c r="G119" s="606"/>
      <c r="I119" s="255" t="s">
        <v>421</v>
      </c>
      <c r="J119" s="13"/>
      <c r="K119" s="13"/>
      <c r="L119" s="1069">
        <f>+SUMIF('Monthly USD Model'!$H$7:$DX$7,Inputs!$G$81,'Monthly USD Model'!$H$20:$DX$20)</f>
        <v>35110.980000000003</v>
      </c>
      <c r="N119" s="125"/>
      <c r="Q119" s="291"/>
      <c r="R119" s="652"/>
      <c r="S119" s="735"/>
    </row>
    <row r="120" spans="2:19" ht="11.7" customHeight="1" x14ac:dyDescent="0.3">
      <c r="B120" s="854" t="s">
        <v>23</v>
      </c>
      <c r="C120" s="13"/>
      <c r="D120" s="13"/>
      <c r="E120" s="13"/>
      <c r="F120" s="13"/>
      <c r="G120" s="393"/>
      <c r="I120" s="255" t="s">
        <v>419</v>
      </c>
      <c r="L120" s="1172">
        <f>+L119/L118</f>
        <v>40.849995927912417</v>
      </c>
      <c r="N120" s="125"/>
      <c r="Q120" s="291"/>
      <c r="R120" s="652"/>
      <c r="S120" s="735"/>
    </row>
    <row r="121" spans="2:19" ht="11.7" customHeight="1" x14ac:dyDescent="0.3">
      <c r="B121" s="255" t="s">
        <v>751</v>
      </c>
      <c r="F121" s="1167">
        <v>45108</v>
      </c>
      <c r="G121" s="1168">
        <v>0</v>
      </c>
      <c r="I121" s="255" t="s">
        <v>577</v>
      </c>
      <c r="J121" s="13"/>
      <c r="K121" s="13"/>
      <c r="L121" s="1173">
        <v>608088</v>
      </c>
      <c r="N121" s="125"/>
      <c r="Q121" s="291"/>
      <c r="R121" s="652"/>
      <c r="S121" s="735"/>
    </row>
    <row r="122" spans="2:19" ht="11.7" customHeight="1" x14ac:dyDescent="0.3">
      <c r="B122" s="255" t="s">
        <v>752</v>
      </c>
      <c r="F122" s="1167">
        <v>45108</v>
      </c>
      <c r="G122" s="1168">
        <v>0</v>
      </c>
      <c r="I122" s="1084" t="s">
        <v>637</v>
      </c>
      <c r="J122" s="13"/>
      <c r="K122" s="13"/>
      <c r="L122" s="268"/>
      <c r="N122" s="125"/>
      <c r="Q122" s="291"/>
      <c r="R122" s="652"/>
      <c r="S122" s="735"/>
    </row>
    <row r="123" spans="2:19" ht="11.7" customHeight="1" x14ac:dyDescent="0.3">
      <c r="B123" s="255" t="s">
        <v>753</v>
      </c>
      <c r="F123" s="1167">
        <v>45108</v>
      </c>
      <c r="G123" s="1168">
        <v>0</v>
      </c>
      <c r="I123" s="255" t="s">
        <v>638</v>
      </c>
      <c r="L123" s="1174">
        <v>0.03</v>
      </c>
      <c r="N123" s="125"/>
      <c r="Q123" s="291"/>
      <c r="R123" s="652"/>
      <c r="S123" s="735"/>
    </row>
    <row r="124" spans="2:19" ht="11.7" customHeight="1" x14ac:dyDescent="0.3">
      <c r="B124" s="255" t="s">
        <v>754</v>
      </c>
      <c r="F124" s="1167">
        <v>45108</v>
      </c>
      <c r="G124" s="1168">
        <v>0</v>
      </c>
      <c r="I124" s="255" t="s">
        <v>639</v>
      </c>
      <c r="L124" s="1174">
        <v>0.02</v>
      </c>
    </row>
    <row r="125" spans="2:19" ht="11.7" customHeight="1" x14ac:dyDescent="0.3">
      <c r="B125" s="255" t="s">
        <v>755</v>
      </c>
      <c r="F125" s="1167">
        <v>45108</v>
      </c>
      <c r="G125" s="1168">
        <v>0</v>
      </c>
      <c r="I125" s="1084" t="s">
        <v>97</v>
      </c>
      <c r="L125" s="268"/>
    </row>
    <row r="126" spans="2:19" ht="11.7" customHeight="1" x14ac:dyDescent="0.3">
      <c r="B126" s="255" t="s">
        <v>756</v>
      </c>
      <c r="F126" s="590"/>
      <c r="G126" s="1169">
        <f>+(F121-$L$76)/30</f>
        <v>19.233333333333334</v>
      </c>
      <c r="I126" s="255" t="s">
        <v>181</v>
      </c>
      <c r="L126" s="1174">
        <v>0.19</v>
      </c>
    </row>
    <row r="127" spans="2:19" ht="11.7" customHeight="1" x14ac:dyDescent="0.3">
      <c r="B127" s="255" t="s">
        <v>531</v>
      </c>
      <c r="F127" s="590"/>
      <c r="G127" s="607">
        <v>6</v>
      </c>
      <c r="I127" s="255" t="s">
        <v>640</v>
      </c>
      <c r="L127" s="1155">
        <f>+'CapEx Budget'!F69</f>
        <v>0.11963422500087727</v>
      </c>
    </row>
    <row r="128" spans="2:19" ht="11.7" customHeight="1" x14ac:dyDescent="0.3">
      <c r="B128" s="255" t="s">
        <v>757</v>
      </c>
      <c r="F128" s="590"/>
      <c r="G128" s="1169">
        <f>+(F122-$L$76)/30</f>
        <v>19.233333333333334</v>
      </c>
      <c r="I128" s="255" t="s">
        <v>459</v>
      </c>
      <c r="L128" s="453">
        <v>0.27</v>
      </c>
    </row>
    <row r="129" spans="2:18" ht="11.7" customHeight="1" x14ac:dyDescent="0.3">
      <c r="B129" s="255" t="s">
        <v>537</v>
      </c>
      <c r="F129" s="590"/>
      <c r="G129" s="607">
        <v>6</v>
      </c>
      <c r="I129" s="254"/>
      <c r="L129" s="1155"/>
    </row>
    <row r="130" spans="2:18" ht="11.7" customHeight="1" x14ac:dyDescent="0.3">
      <c r="B130" s="255" t="s">
        <v>758</v>
      </c>
      <c r="F130" s="590"/>
      <c r="G130" s="1169">
        <f>+(F123-$L$76)/30</f>
        <v>19.233333333333334</v>
      </c>
      <c r="I130" s="352" t="s">
        <v>422</v>
      </c>
      <c r="L130" s="1155"/>
    </row>
    <row r="131" spans="2:18" ht="11.7" customHeight="1" x14ac:dyDescent="0.3">
      <c r="B131" s="255" t="s">
        <v>533</v>
      </c>
      <c r="F131" s="590"/>
      <c r="G131" s="607">
        <v>6</v>
      </c>
      <c r="I131" s="269" t="s">
        <v>424</v>
      </c>
      <c r="J131" s="63"/>
      <c r="K131" s="63"/>
      <c r="L131" s="1175">
        <v>10.7639</v>
      </c>
    </row>
    <row r="132" spans="2:18" ht="11.7" customHeight="1" x14ac:dyDescent="0.3">
      <c r="B132" s="255" t="s">
        <v>759</v>
      </c>
      <c r="F132" s="590"/>
      <c r="G132" s="1169">
        <f>+(F124-$L$76)/30</f>
        <v>19.233333333333334</v>
      </c>
    </row>
    <row r="133" spans="2:18" ht="11.7" customHeight="1" x14ac:dyDescent="0.3">
      <c r="B133" s="255" t="s">
        <v>532</v>
      </c>
      <c r="F133" s="590"/>
      <c r="G133" s="607">
        <v>6</v>
      </c>
    </row>
    <row r="134" spans="2:18" ht="11.7" customHeight="1" x14ac:dyDescent="0.3">
      <c r="B134" s="254"/>
      <c r="F134" s="437"/>
      <c r="G134" s="236"/>
    </row>
    <row r="135" spans="2:18" ht="11.7" customHeight="1" x14ac:dyDescent="0.3">
      <c r="B135" s="298" t="s">
        <v>492</v>
      </c>
      <c r="C135" s="13"/>
      <c r="D135" s="13"/>
      <c r="E135" s="13"/>
      <c r="F135" s="13"/>
      <c r="G135" s="268"/>
    </row>
    <row r="136" spans="2:18" ht="11.7" customHeight="1" x14ac:dyDescent="0.3">
      <c r="B136" s="854" t="s">
        <v>246</v>
      </c>
      <c r="C136" s="605"/>
      <c r="D136" s="605"/>
      <c r="E136" s="605"/>
      <c r="F136" s="592">
        <f>+UnitMix!$L$44</f>
        <v>0.65192549011540601</v>
      </c>
      <c r="G136" s="268"/>
      <c r="Q136" s="881"/>
      <c r="R136" s="882"/>
    </row>
    <row r="137" spans="2:18" ht="11.7" customHeight="1" x14ac:dyDescent="0.3">
      <c r="B137" s="1027" t="s">
        <v>460</v>
      </c>
      <c r="C137" s="13"/>
      <c r="D137" s="13"/>
      <c r="E137" s="13"/>
      <c r="F137" s="13"/>
      <c r="G137" s="846"/>
      <c r="P137" s="5"/>
    </row>
    <row r="138" spans="2:18" ht="11.7" customHeight="1" x14ac:dyDescent="0.3">
      <c r="B138" s="855" t="s">
        <v>493</v>
      </c>
      <c r="C138" s="13"/>
      <c r="D138" s="13"/>
      <c r="E138" s="13"/>
      <c r="F138" s="13"/>
      <c r="G138" s="610"/>
    </row>
    <row r="139" spans="2:18" ht="11.7" customHeight="1" x14ac:dyDescent="0.3">
      <c r="B139" s="1028" t="s">
        <v>59</v>
      </c>
      <c r="C139" s="13"/>
      <c r="D139" s="13"/>
      <c r="E139" s="13"/>
      <c r="F139" s="435">
        <f>+MIN(EOMONTH($F$121,12-1),$K$97)</f>
        <v>45291</v>
      </c>
      <c r="G139" s="842"/>
      <c r="H139" s="7"/>
      <c r="M139" s="7"/>
    </row>
    <row r="140" spans="2:18" ht="11.7" customHeight="1" x14ac:dyDescent="0.3">
      <c r="B140" s="855" t="s">
        <v>761</v>
      </c>
      <c r="C140" s="13"/>
      <c r="D140" s="13"/>
      <c r="E140" s="13"/>
      <c r="F140" s="13"/>
      <c r="G140" s="610"/>
    </row>
    <row r="141" spans="2:18" ht="11.7" customHeight="1" x14ac:dyDescent="0.3">
      <c r="B141" s="1027" t="s">
        <v>535</v>
      </c>
      <c r="C141" s="13"/>
      <c r="D141" s="13"/>
      <c r="E141" s="13"/>
      <c r="F141" s="13"/>
      <c r="G141" s="846"/>
    </row>
    <row r="142" spans="2:18" ht="11.7" customHeight="1" x14ac:dyDescent="0.3">
      <c r="B142" s="855" t="s">
        <v>493</v>
      </c>
      <c r="C142" s="13"/>
      <c r="D142" s="13"/>
      <c r="E142" s="13"/>
      <c r="F142" s="13"/>
      <c r="G142" s="610">
        <v>0.5</v>
      </c>
    </row>
    <row r="143" spans="2:18" ht="11.7" customHeight="1" x14ac:dyDescent="0.3">
      <c r="B143" s="1028" t="s">
        <v>59</v>
      </c>
      <c r="C143" s="13"/>
      <c r="D143" s="13"/>
      <c r="E143" s="13"/>
      <c r="F143" s="435">
        <f>+MIN(EOMONTH($F$122,12-1),$K$97)</f>
        <v>45291</v>
      </c>
      <c r="G143" s="842"/>
    </row>
    <row r="144" spans="2:18" ht="11.7" customHeight="1" x14ac:dyDescent="0.3">
      <c r="B144" s="855" t="s">
        <v>761</v>
      </c>
      <c r="C144" s="13"/>
      <c r="D144" s="13"/>
      <c r="E144" s="13"/>
      <c r="F144" s="13"/>
      <c r="G144" s="610">
        <v>0.5</v>
      </c>
    </row>
    <row r="145" spans="2:13" ht="11.7" customHeight="1" x14ac:dyDescent="0.3">
      <c r="B145" s="1027" t="s">
        <v>398</v>
      </c>
      <c r="C145" s="13"/>
      <c r="D145" s="13"/>
      <c r="E145" s="13"/>
      <c r="F145" s="13"/>
      <c r="G145" s="846"/>
      <c r="H145" s="162"/>
      <c r="M145" s="162"/>
    </row>
    <row r="146" spans="2:13" ht="11.7" customHeight="1" x14ac:dyDescent="0.3">
      <c r="B146" s="855" t="s">
        <v>493</v>
      </c>
      <c r="C146" s="13"/>
      <c r="D146" s="13"/>
      <c r="E146" s="13"/>
      <c r="F146" s="13"/>
      <c r="G146" s="610">
        <v>0.75</v>
      </c>
    </row>
    <row r="147" spans="2:13" ht="11.7" customHeight="1" x14ac:dyDescent="0.3">
      <c r="B147" s="1028" t="s">
        <v>59</v>
      </c>
      <c r="C147" s="13"/>
      <c r="D147" s="13"/>
      <c r="E147" s="13"/>
      <c r="F147" s="435">
        <f>+MIN(EOMONTH($F$123,12-1),$K$97)</f>
        <v>45291</v>
      </c>
      <c r="G147" s="842"/>
    </row>
    <row r="148" spans="2:13" ht="11.7" customHeight="1" x14ac:dyDescent="0.3">
      <c r="B148" s="855" t="s">
        <v>761</v>
      </c>
      <c r="C148" s="13"/>
      <c r="D148" s="13"/>
      <c r="E148" s="13"/>
      <c r="F148" s="13"/>
      <c r="G148" s="610">
        <v>0.75</v>
      </c>
    </row>
    <row r="149" spans="2:13" ht="11.7" customHeight="1" x14ac:dyDescent="0.3">
      <c r="B149" s="1027" t="s">
        <v>523</v>
      </c>
      <c r="C149" s="13"/>
      <c r="D149" s="13"/>
      <c r="E149" s="13"/>
      <c r="F149" s="13"/>
      <c r="G149" s="846"/>
    </row>
    <row r="150" spans="2:13" ht="11.7" customHeight="1" x14ac:dyDescent="0.3">
      <c r="B150" s="855" t="s">
        <v>493</v>
      </c>
      <c r="C150" s="13"/>
      <c r="D150" s="13"/>
      <c r="E150" s="13"/>
      <c r="F150" s="13"/>
      <c r="G150" s="610"/>
      <c r="H150" s="7"/>
      <c r="M150" s="7"/>
    </row>
    <row r="151" spans="2:13" ht="11.7" customHeight="1" x14ac:dyDescent="0.3">
      <c r="B151" s="1028" t="s">
        <v>59</v>
      </c>
      <c r="C151" s="13"/>
      <c r="D151" s="13"/>
      <c r="E151" s="13"/>
      <c r="F151" s="435">
        <f>+MIN(EOMONTH($F$124,12-1),$K$97)</f>
        <v>45291</v>
      </c>
      <c r="G151" s="842"/>
    </row>
    <row r="152" spans="2:13" ht="11.7" customHeight="1" x14ac:dyDescent="0.3">
      <c r="B152" s="855" t="s">
        <v>761</v>
      </c>
      <c r="C152" s="13"/>
      <c r="D152" s="13"/>
      <c r="E152" s="13"/>
      <c r="F152" s="13"/>
      <c r="G152" s="610"/>
      <c r="H152" s="235"/>
      <c r="M152" s="235"/>
    </row>
    <row r="153" spans="2:13" ht="11.7" customHeight="1" x14ac:dyDescent="0.3">
      <c r="B153" s="1027" t="s">
        <v>552</v>
      </c>
      <c r="C153" s="13"/>
      <c r="D153" s="13"/>
      <c r="E153" s="13"/>
      <c r="F153" s="13"/>
      <c r="G153" s="846"/>
    </row>
    <row r="154" spans="2:13" ht="11.7" customHeight="1" x14ac:dyDescent="0.3">
      <c r="B154" s="855" t="s">
        <v>493</v>
      </c>
      <c r="C154" s="13"/>
      <c r="D154" s="13"/>
      <c r="E154" s="13"/>
      <c r="F154" s="13"/>
      <c r="G154" s="610"/>
    </row>
    <row r="155" spans="2:13" ht="11.7" customHeight="1" x14ac:dyDescent="0.3">
      <c r="B155" s="1028" t="s">
        <v>59</v>
      </c>
      <c r="C155" s="13"/>
      <c r="D155" s="13"/>
      <c r="E155" s="13"/>
      <c r="F155" s="435">
        <f>+MIN(EOMONTH($F$125,12-1),$K$97)</f>
        <v>45291</v>
      </c>
      <c r="G155" s="842"/>
    </row>
    <row r="156" spans="2:13" ht="11.7" customHeight="1" x14ac:dyDescent="0.3">
      <c r="B156" s="855" t="s">
        <v>761</v>
      </c>
      <c r="C156" s="13"/>
      <c r="D156" s="13"/>
      <c r="E156" s="13"/>
      <c r="F156" s="13"/>
      <c r="G156" s="610"/>
    </row>
    <row r="157" spans="2:13" ht="11.7" customHeight="1" x14ac:dyDescent="0.3">
      <c r="B157" s="101"/>
      <c r="G157" s="733"/>
      <c r="H157" s="7"/>
      <c r="M157" s="7"/>
    </row>
    <row r="158" spans="2:13" ht="11.7" customHeight="1" x14ac:dyDescent="0.3">
      <c r="B158" s="357" t="s">
        <v>232</v>
      </c>
      <c r="C158" s="595"/>
      <c r="D158" s="612"/>
      <c r="E158" s="613"/>
      <c r="F158" s="596"/>
      <c r="G158" s="614"/>
    </row>
    <row r="159" spans="2:13" ht="11.7" customHeight="1" x14ac:dyDescent="0.3">
      <c r="B159" s="254" t="s">
        <v>259</v>
      </c>
      <c r="C159" s="615"/>
      <c r="D159" s="612"/>
      <c r="E159" s="616"/>
      <c r="F159" s="596"/>
      <c r="G159" s="454">
        <v>5.0000000000000001E-3</v>
      </c>
    </row>
    <row r="160" spans="2:13" ht="11.7" customHeight="1" x14ac:dyDescent="0.3">
      <c r="B160" s="254" t="s">
        <v>260</v>
      </c>
      <c r="C160" s="595"/>
      <c r="D160" s="595"/>
      <c r="E160" s="597"/>
      <c r="F160" s="598"/>
      <c r="G160" s="454">
        <v>0.05</v>
      </c>
    </row>
    <row r="161" spans="2:23" ht="11.7" customHeight="1" x14ac:dyDescent="0.3">
      <c r="B161" s="599"/>
      <c r="C161" s="595"/>
      <c r="D161" s="595"/>
      <c r="E161" s="595"/>
      <c r="F161" s="595"/>
      <c r="G161" s="600"/>
    </row>
    <row r="162" spans="2:23" ht="11.7" customHeight="1" x14ac:dyDescent="0.3">
      <c r="B162" s="357" t="s">
        <v>233</v>
      </c>
      <c r="C162" s="595"/>
      <c r="D162" s="595"/>
      <c r="E162" s="595"/>
      <c r="F162" s="595"/>
      <c r="G162" s="618"/>
    </row>
    <row r="163" spans="2:23" ht="11.7" customHeight="1" x14ac:dyDescent="0.3">
      <c r="B163" s="392" t="s">
        <v>395</v>
      </c>
      <c r="C163" s="595"/>
      <c r="D163" s="595"/>
      <c r="E163" s="595"/>
      <c r="F163" s="593">
        <f>+IFERROR(F164/F136,0)</f>
        <v>8.4376719792890478E-2</v>
      </c>
      <c r="G163" s="620"/>
    </row>
    <row r="164" spans="2:23" ht="11.7" customHeight="1" x14ac:dyDescent="0.3">
      <c r="B164" s="392" t="s">
        <v>396</v>
      </c>
      <c r="C164" s="595"/>
      <c r="D164" s="595"/>
      <c r="E164" s="595"/>
      <c r="F164" s="592">
        <f>+IFERROR('OpEx Budget'!$I$22/SUM('Project Layout'!$R$45:$R$46)/12,0)</f>
        <v>5.5007334405310408E-2</v>
      </c>
      <c r="G164" s="620"/>
    </row>
    <row r="165" spans="2:23" ht="11.7" customHeight="1" x14ac:dyDescent="0.3">
      <c r="B165" s="392" t="s">
        <v>256</v>
      </c>
      <c r="C165" s="595"/>
      <c r="D165" s="595"/>
      <c r="E165" s="595"/>
      <c r="F165" s="595"/>
      <c r="G165" s="454">
        <v>0.05</v>
      </c>
    </row>
    <row r="166" spans="2:23" ht="11.7" customHeight="1" x14ac:dyDescent="0.3">
      <c r="B166" s="392" t="s">
        <v>257</v>
      </c>
      <c r="C166" s="595"/>
      <c r="D166" s="595"/>
      <c r="E166" s="595"/>
      <c r="F166" s="595"/>
      <c r="G166" s="454">
        <v>0.02</v>
      </c>
    </row>
    <row r="167" spans="2:23" ht="11.7" customHeight="1" x14ac:dyDescent="0.3">
      <c r="B167" s="841"/>
      <c r="C167" s="595"/>
      <c r="D167" s="595"/>
      <c r="E167" s="595"/>
      <c r="F167" s="595"/>
      <c r="G167" s="236"/>
      <c r="N167" s="130"/>
      <c r="O167" s="130"/>
      <c r="P167" s="130"/>
      <c r="Q167" s="130"/>
      <c r="R167" s="130"/>
      <c r="S167" s="130"/>
      <c r="T167" s="130"/>
      <c r="U167" s="130"/>
      <c r="V167" s="130"/>
    </row>
    <row r="168" spans="2:23" ht="11.7" customHeight="1" x14ac:dyDescent="0.3">
      <c r="B168" s="357" t="s">
        <v>645</v>
      </c>
      <c r="C168" s="595"/>
      <c r="D168" s="595"/>
      <c r="E168" s="595"/>
      <c r="F168" s="595"/>
      <c r="G168" s="236"/>
    </row>
    <row r="169" spans="2:23" ht="11.7" customHeight="1" x14ac:dyDescent="0.3">
      <c r="B169" s="854" t="s">
        <v>469</v>
      </c>
      <c r="C169" s="595"/>
      <c r="D169" s="595"/>
      <c r="E169" s="595"/>
      <c r="G169" s="1164">
        <f>+G109</f>
        <v>1966.8000000000002</v>
      </c>
    </row>
    <row r="170" spans="2:23" ht="11.7" customHeight="1" x14ac:dyDescent="0.3">
      <c r="B170" s="841" t="s">
        <v>646</v>
      </c>
      <c r="F170" s="623">
        <f>+'OpEx Budget'!$K$37</f>
        <v>0.1012333723805805</v>
      </c>
      <c r="G170" s="236"/>
    </row>
    <row r="171" spans="2:23" ht="11.7" customHeight="1" x14ac:dyDescent="0.3">
      <c r="B171" s="1029" t="s">
        <v>464</v>
      </c>
      <c r="C171" s="63"/>
      <c r="D171" s="63"/>
      <c r="E171" s="63"/>
      <c r="F171" s="450">
        <f>+G169*F170</f>
        <v>199.10579679812574</v>
      </c>
      <c r="G171" s="91"/>
    </row>
    <row r="172" spans="2:23" ht="11.7" customHeight="1" x14ac:dyDescent="0.3">
      <c r="B172" s="617"/>
      <c r="C172" s="595"/>
      <c r="D172" s="595"/>
      <c r="E172" s="595"/>
      <c r="F172" s="595"/>
      <c r="G172" s="619"/>
    </row>
    <row r="173" spans="2:23" ht="11.7" customHeight="1" x14ac:dyDescent="0.3">
      <c r="B173" s="262" t="s">
        <v>234</v>
      </c>
      <c r="C173" s="263"/>
      <c r="D173" s="263"/>
      <c r="E173" s="263"/>
      <c r="F173" s="263"/>
      <c r="G173" s="264"/>
    </row>
    <row r="174" spans="2:23" ht="11.7" customHeight="1" x14ac:dyDescent="0.3">
      <c r="B174" s="243"/>
      <c r="C174" s="244"/>
      <c r="D174" s="244"/>
      <c r="E174" s="244"/>
      <c r="F174" s="244"/>
      <c r="G174" s="245"/>
    </row>
    <row r="175" spans="2:23" s="130" customFormat="1" ht="11.7" customHeight="1" x14ac:dyDescent="0.3">
      <c r="B175" s="444" t="s">
        <v>142</v>
      </c>
      <c r="C175" s="13"/>
      <c r="D175" s="3"/>
      <c r="E175" s="246" t="s">
        <v>240</v>
      </c>
      <c r="F175" s="246" t="s">
        <v>241</v>
      </c>
      <c r="G175" s="247" t="s">
        <v>7</v>
      </c>
      <c r="I175" s="3"/>
      <c r="J175" s="3"/>
      <c r="K175" s="3"/>
      <c r="L175" s="3"/>
      <c r="N175" s="3"/>
      <c r="O175" s="3"/>
      <c r="P175" s="3"/>
      <c r="Q175" s="3"/>
      <c r="R175" s="3"/>
      <c r="S175" s="3"/>
      <c r="T175" s="3"/>
      <c r="U175" s="3"/>
      <c r="V175" s="3"/>
      <c r="W175" s="3"/>
    </row>
    <row r="176" spans="2:23" ht="11.7" customHeight="1" x14ac:dyDescent="0.3">
      <c r="B176" s="255" t="s">
        <v>238</v>
      </c>
      <c r="E176" s="367">
        <v>85</v>
      </c>
      <c r="F176" s="448">
        <f>+IFERROR(E176/$G$23,0)</f>
        <v>0.63432835820895528</v>
      </c>
      <c r="G176" s="102">
        <f>+IFERROR(E176/$E$178,0)</f>
        <v>0.82524271844660191</v>
      </c>
      <c r="W176" s="130"/>
    </row>
    <row r="177" spans="2:7" ht="11.7" customHeight="1" x14ac:dyDescent="0.3">
      <c r="B177" s="255" t="s">
        <v>239</v>
      </c>
      <c r="E177" s="11">
        <f>+E178-E176</f>
        <v>18</v>
      </c>
      <c r="F177" s="995">
        <f>+SUM(D15:D16)/E177</f>
        <v>54.012222222222221</v>
      </c>
      <c r="G177" s="102">
        <f>+IFERROR(E177/$E$178,0)</f>
        <v>0.17475728155339806</v>
      </c>
    </row>
    <row r="178" spans="2:7" ht="11.7" customHeight="1" x14ac:dyDescent="0.3">
      <c r="B178" s="241" t="s">
        <v>237</v>
      </c>
      <c r="C178" s="445"/>
      <c r="D178" s="445"/>
      <c r="E178" s="447">
        <f>+SUM('Project Layout'!G37:G38)</f>
        <v>103</v>
      </c>
      <c r="F178" s="445"/>
      <c r="G178" s="446"/>
    </row>
    <row r="179" spans="2:7" ht="11.7" customHeight="1" x14ac:dyDescent="0.3">
      <c r="B179" s="101"/>
      <c r="G179" s="236"/>
    </row>
    <row r="180" spans="2:7" ht="11.7" customHeight="1" x14ac:dyDescent="0.3">
      <c r="B180" s="96" t="s">
        <v>44</v>
      </c>
      <c r="G180" s="236"/>
    </row>
    <row r="181" spans="2:7" ht="11.7" customHeight="1" x14ac:dyDescent="0.3">
      <c r="B181" s="254" t="s">
        <v>242</v>
      </c>
      <c r="G181" s="451">
        <v>3.5</v>
      </c>
    </row>
    <row r="182" spans="2:7" ht="11.7" customHeight="1" x14ac:dyDescent="0.3">
      <c r="B182" s="254" t="s">
        <v>235</v>
      </c>
      <c r="G182" s="394">
        <v>1</v>
      </c>
    </row>
    <row r="183" spans="2:7" ht="11.7" customHeight="1" x14ac:dyDescent="0.3">
      <c r="B183" s="254" t="s">
        <v>236</v>
      </c>
      <c r="F183" s="450">
        <f>+G181*E176*G182</f>
        <v>297.5</v>
      </c>
      <c r="G183" s="847"/>
    </row>
    <row r="184" spans="2:7" ht="11.7" customHeight="1" x14ac:dyDescent="0.3">
      <c r="B184" s="254" t="s">
        <v>243</v>
      </c>
      <c r="F184" s="449">
        <f>+IFERROR(F183/$E$176,0)</f>
        <v>3.5</v>
      </c>
      <c r="G184" s="236"/>
    </row>
    <row r="185" spans="2:7" ht="11.7" customHeight="1" x14ac:dyDescent="0.3">
      <c r="B185" s="101"/>
      <c r="G185" s="236"/>
    </row>
    <row r="186" spans="2:7" ht="11.7" customHeight="1" x14ac:dyDescent="0.3">
      <c r="B186" s="96" t="s">
        <v>462</v>
      </c>
      <c r="G186" s="236"/>
    </row>
    <row r="187" spans="2:7" ht="11.7" customHeight="1" x14ac:dyDescent="0.3">
      <c r="B187" s="254" t="s">
        <v>242</v>
      </c>
      <c r="G187" s="451">
        <v>3.5</v>
      </c>
    </row>
    <row r="188" spans="2:7" ht="11.7" customHeight="1" x14ac:dyDescent="0.3">
      <c r="B188" s="254" t="s">
        <v>235</v>
      </c>
      <c r="G188" s="394">
        <v>1</v>
      </c>
    </row>
    <row r="189" spans="2:7" ht="11.7" customHeight="1" x14ac:dyDescent="0.3">
      <c r="B189" s="254" t="s">
        <v>245</v>
      </c>
      <c r="F189" s="450">
        <f>+G187*E177*G188</f>
        <v>63</v>
      </c>
      <c r="G189" s="236"/>
    </row>
    <row r="190" spans="2:7" ht="11.7" customHeight="1" x14ac:dyDescent="0.3">
      <c r="B190" s="269" t="s">
        <v>244</v>
      </c>
      <c r="C190" s="63"/>
      <c r="D190" s="63"/>
      <c r="E190" s="63"/>
      <c r="F190" s="449">
        <f>+IFERROR(F189/$E$177,0)</f>
        <v>3.5</v>
      </c>
      <c r="G190" s="91"/>
    </row>
    <row r="191" spans="2:7" ht="11.7" customHeight="1" x14ac:dyDescent="0.3"/>
    <row r="192" spans="2:7" ht="11.7" customHeight="1" x14ac:dyDescent="0.3"/>
    <row r="193" spans="9:10" ht="11.7" customHeight="1" x14ac:dyDescent="0.3"/>
    <row r="194" spans="9:10" ht="11.7" customHeight="1" x14ac:dyDescent="0.3"/>
    <row r="195" spans="9:10" ht="11.7" customHeight="1" x14ac:dyDescent="0.3"/>
    <row r="196" spans="9:10" ht="11.7" customHeight="1" x14ac:dyDescent="0.3"/>
    <row r="197" spans="9:10" ht="11.7" customHeight="1" x14ac:dyDescent="0.3"/>
    <row r="198" spans="9:10" ht="11.7" customHeight="1" x14ac:dyDescent="0.3"/>
    <row r="199" spans="9:10" ht="11.7" customHeight="1" x14ac:dyDescent="0.3"/>
    <row r="200" spans="9:10" ht="11.7" customHeight="1" x14ac:dyDescent="0.3"/>
    <row r="201" spans="9:10" ht="11.7" customHeight="1" x14ac:dyDescent="0.3"/>
    <row r="202" spans="9:10" ht="11.7" customHeight="1" x14ac:dyDescent="0.3"/>
    <row r="203" spans="9:10" ht="11.7" customHeight="1" x14ac:dyDescent="0.3"/>
    <row r="204" spans="9:10" ht="11.7" customHeight="1" x14ac:dyDescent="0.3"/>
    <row r="205" spans="9:10" ht="11.7" customHeight="1" x14ac:dyDescent="0.3"/>
    <row r="206" spans="9:10" ht="11.7" customHeight="1" x14ac:dyDescent="0.3"/>
    <row r="207" spans="9:10" ht="11.7" customHeight="1" x14ac:dyDescent="0.3">
      <c r="I207" s="130"/>
    </row>
    <row r="208" spans="9:10" ht="11.7" customHeight="1" x14ac:dyDescent="0.3">
      <c r="J208" s="130"/>
    </row>
    <row r="209" spans="11:12" ht="11.7" customHeight="1" x14ac:dyDescent="0.3">
      <c r="K209" s="130"/>
      <c r="L209" s="130"/>
    </row>
    <row r="210" spans="11:12" ht="11.7" customHeight="1" x14ac:dyDescent="0.3"/>
    <row r="211" spans="11:12" ht="11.7" customHeight="1" x14ac:dyDescent="0.3"/>
    <row r="212" spans="11:12" ht="11.7" customHeight="1" x14ac:dyDescent="0.3"/>
    <row r="213" spans="11:12" ht="11.7" customHeight="1" x14ac:dyDescent="0.3"/>
    <row r="214" spans="11:12" ht="11.7" customHeight="1" x14ac:dyDescent="0.3"/>
    <row r="215" spans="11:12" ht="11.7" customHeight="1" x14ac:dyDescent="0.3"/>
    <row r="216" spans="11:12" ht="11.7" customHeight="1" x14ac:dyDescent="0.3"/>
    <row r="217" spans="11:12" ht="11.7" customHeight="1" x14ac:dyDescent="0.3"/>
    <row r="218" spans="11:12" ht="11.7" customHeight="1" x14ac:dyDescent="0.3"/>
    <row r="219" spans="11:12" ht="11.7" customHeight="1" x14ac:dyDescent="0.3"/>
    <row r="220" spans="11:12" ht="11.7" customHeight="1" x14ac:dyDescent="0.3"/>
    <row r="221" spans="11:12" ht="11.7" customHeight="1" x14ac:dyDescent="0.3"/>
    <row r="222" spans="11:12" ht="11.7" customHeight="1" x14ac:dyDescent="0.3"/>
    <row r="223" spans="11:12" ht="11.7" customHeight="1" x14ac:dyDescent="0.3"/>
    <row r="224" spans="11:12" ht="11.7" customHeight="1" x14ac:dyDescent="0.3"/>
    <row r="225" ht="11.7" customHeight="1" x14ac:dyDescent="0.3"/>
    <row r="226" ht="11.7" customHeight="1" x14ac:dyDescent="0.3"/>
    <row r="227" ht="11.7" customHeight="1" x14ac:dyDescent="0.3"/>
    <row r="228" ht="11.7" customHeight="1" x14ac:dyDescent="0.3"/>
    <row r="229" ht="11.7" customHeight="1" x14ac:dyDescent="0.3"/>
    <row r="230" ht="11.7" customHeight="1" x14ac:dyDescent="0.3"/>
    <row r="231" ht="11.7" customHeight="1" x14ac:dyDescent="0.3"/>
    <row r="232" ht="11.7" customHeight="1" x14ac:dyDescent="0.3"/>
    <row r="233" ht="11.7" customHeight="1" x14ac:dyDescent="0.3"/>
    <row r="234" ht="11.7" customHeight="1" x14ac:dyDescent="0.3"/>
    <row r="235" ht="11.7" customHeight="1" x14ac:dyDescent="0.3"/>
    <row r="236" ht="11.7" customHeight="1" x14ac:dyDescent="0.3"/>
    <row r="237" ht="11.7" customHeight="1" x14ac:dyDescent="0.3"/>
    <row r="238" ht="11.7" customHeight="1" x14ac:dyDescent="0.3"/>
    <row r="239" ht="11.7" customHeight="1" x14ac:dyDescent="0.3"/>
    <row r="240" ht="11.7" customHeight="1" x14ac:dyDescent="0.3"/>
    <row r="241" ht="11.7" customHeight="1" x14ac:dyDescent="0.3"/>
    <row r="242" ht="11.7" customHeight="1" x14ac:dyDescent="0.3"/>
    <row r="243" ht="11.7" customHeight="1" x14ac:dyDescent="0.3"/>
    <row r="244" ht="11.7" customHeight="1" x14ac:dyDescent="0.3"/>
    <row r="245" ht="11.7" customHeight="1" x14ac:dyDescent="0.3"/>
    <row r="246" ht="11.7" customHeight="1" x14ac:dyDescent="0.3"/>
    <row r="247" ht="11.7" customHeight="1" x14ac:dyDescent="0.3"/>
    <row r="275" spans="2:7" ht="12.75" customHeight="1" x14ac:dyDescent="0.3">
      <c r="B275" s="130"/>
      <c r="C275" s="130"/>
      <c r="D275" s="130"/>
      <c r="E275" s="130"/>
      <c r="F275" s="130"/>
      <c r="G275" s="130"/>
    </row>
  </sheetData>
  <mergeCells count="6">
    <mergeCell ref="Q8:S8"/>
    <mergeCell ref="T8:V8"/>
    <mergeCell ref="Q9:S9"/>
    <mergeCell ref="T9:V9"/>
    <mergeCell ref="Q62:S62"/>
    <mergeCell ref="T62:V62"/>
  </mergeCells>
  <conditionalFormatting sqref="D13 F13">
    <cfRule type="cellIs" dxfId="43" priority="7" operator="greaterThan">
      <formula>0</formula>
    </cfRule>
  </conditionalFormatting>
  <dataValidations disablePrompts="1" count="1">
    <dataValidation type="list" allowBlank="1" showInputMessage="1" showErrorMessage="1" sqref="M73" xr:uid="{00000000-0002-0000-0100-000000000000}">
      <formula1>"1,2,3"</formula1>
    </dataValidation>
  </dataValidations>
  <pageMargins left="0.25" right="0.25" top="0.5" bottom="0.5" header="0.3" footer="0.3"/>
  <pageSetup scale="21"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39997558519241921"/>
  </sheetPr>
  <dimension ref="A1:RT227"/>
  <sheetViews>
    <sheetView showGridLines="0" zoomScale="80" zoomScaleNormal="80" zoomScalePageLayoutView="85" workbookViewId="0">
      <pane xSplit="7" ySplit="14" topLeftCell="BQ15" activePane="bottomRight" state="frozen"/>
      <selection pane="topRight" activeCell="K1" sqref="K1"/>
      <selection pane="bottomLeft" activeCell="A10" sqref="A10"/>
      <selection pane="bottomRight" activeCell="BX24" sqref="BX24"/>
    </sheetView>
  </sheetViews>
  <sheetFormatPr baseColWidth="10" defaultColWidth="0" defaultRowHeight="12.75" customHeight="1" outlineLevelRow="1" x14ac:dyDescent="0.3"/>
  <cols>
    <col min="1" max="1" width="4" style="3" bestFit="1" customWidth="1"/>
    <col min="2" max="2" width="56.33203125" style="16" customWidth="1"/>
    <col min="3" max="5" width="10.6640625" style="16" customWidth="1"/>
    <col min="6" max="7" width="10.6640625" style="18" customWidth="1"/>
    <col min="8" max="128" width="11.6640625" style="19" customWidth="1"/>
    <col min="129" max="129" width="11.6640625" style="16" customWidth="1"/>
    <col min="130" max="488" width="0" style="16" hidden="1" customWidth="1"/>
    <col min="489" max="16384" width="11.6640625" style="16" hidden="1"/>
  </cols>
  <sheetData>
    <row r="1" spans="1:128" ht="12.75" customHeight="1" x14ac:dyDescent="0.3">
      <c r="B1" s="17"/>
    </row>
    <row r="2" spans="1:128" ht="33.9" customHeight="1" x14ac:dyDescent="0.3">
      <c r="A2" s="16"/>
      <c r="B2" s="344" t="str">
        <f>+'Project Layout'!$B$2</f>
        <v>Antonio Bellet</v>
      </c>
      <c r="C2" s="20"/>
      <c r="D2" s="20"/>
      <c r="E2" s="20"/>
      <c r="F2" s="21"/>
      <c r="G2" s="21"/>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c r="CA2" s="22"/>
      <c r="CB2" s="22"/>
      <c r="CC2" s="22"/>
      <c r="CD2" s="22"/>
      <c r="CE2" s="22"/>
      <c r="CF2" s="22"/>
      <c r="CG2" s="22"/>
      <c r="CH2" s="22"/>
      <c r="CI2" s="22"/>
      <c r="CJ2" s="22"/>
      <c r="CK2" s="22"/>
      <c r="CL2" s="22"/>
      <c r="CM2" s="22"/>
      <c r="CN2" s="22"/>
      <c r="CO2" s="22"/>
      <c r="CP2" s="22"/>
      <c r="CQ2" s="22"/>
      <c r="CR2" s="22"/>
      <c r="CS2" s="22"/>
      <c r="CT2" s="22"/>
      <c r="CU2" s="22"/>
      <c r="CV2" s="22"/>
      <c r="CW2" s="22"/>
      <c r="CX2" s="22"/>
      <c r="CY2" s="22"/>
      <c r="CZ2" s="22"/>
      <c r="DA2" s="22"/>
      <c r="DB2" s="22"/>
      <c r="DC2" s="22"/>
      <c r="DD2" s="22"/>
      <c r="DE2" s="22"/>
      <c r="DF2" s="22"/>
      <c r="DG2" s="22"/>
      <c r="DH2" s="22"/>
      <c r="DI2" s="22"/>
      <c r="DJ2" s="22"/>
      <c r="DK2" s="22"/>
      <c r="DL2" s="22"/>
      <c r="DM2" s="22"/>
      <c r="DN2" s="22"/>
      <c r="DO2" s="22"/>
      <c r="DP2" s="22"/>
      <c r="DQ2" s="22"/>
      <c r="DR2" s="22"/>
      <c r="DS2" s="22"/>
      <c r="DT2" s="22"/>
      <c r="DU2" s="22"/>
      <c r="DV2" s="22"/>
      <c r="DW2" s="22"/>
      <c r="DX2" s="22"/>
    </row>
    <row r="3" spans="1:128" ht="23.1" customHeight="1" x14ac:dyDescent="0.3">
      <c r="A3" s="16"/>
      <c r="B3" s="345" t="s">
        <v>431</v>
      </c>
      <c r="C3" s="20"/>
      <c r="D3" s="20"/>
      <c r="E3" s="20"/>
      <c r="F3" s="21"/>
      <c r="G3" s="21"/>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row>
    <row r="4" spans="1:128" s="27" customFormat="1" ht="5.25" customHeight="1" x14ac:dyDescent="0.3">
      <c r="A4" s="23"/>
      <c r="B4" s="24"/>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row>
    <row r="5" spans="1:128" ht="12.75" customHeight="1" x14ac:dyDescent="0.3">
      <c r="B5" s="17"/>
    </row>
    <row r="6" spans="1:128" s="3" customFormat="1" ht="12.75" customHeight="1" x14ac:dyDescent="0.3">
      <c r="B6" s="673"/>
      <c r="C6" s="191"/>
      <c r="D6" s="191"/>
      <c r="E6" s="191"/>
      <c r="F6" s="205"/>
      <c r="G6" s="205"/>
      <c r="H6" s="714">
        <f>+DATE(YEAR(H7),MONTH(H7),1)</f>
        <v>42979</v>
      </c>
      <c r="I6" s="714">
        <f>+H7+1</f>
        <v>43009</v>
      </c>
      <c r="J6" s="714">
        <f t="shared" ref="J6:BU6" si="0">+I7+1</f>
        <v>43040</v>
      </c>
      <c r="K6" s="714">
        <f t="shared" si="0"/>
        <v>43070</v>
      </c>
      <c r="L6" s="714">
        <f t="shared" si="0"/>
        <v>43101</v>
      </c>
      <c r="M6" s="714">
        <f t="shared" si="0"/>
        <v>43132</v>
      </c>
      <c r="N6" s="714">
        <f t="shared" si="0"/>
        <v>43160</v>
      </c>
      <c r="O6" s="714">
        <f t="shared" si="0"/>
        <v>43191</v>
      </c>
      <c r="P6" s="714">
        <f t="shared" si="0"/>
        <v>43221</v>
      </c>
      <c r="Q6" s="714">
        <f t="shared" si="0"/>
        <v>43252</v>
      </c>
      <c r="R6" s="714">
        <f t="shared" si="0"/>
        <v>43282</v>
      </c>
      <c r="S6" s="714">
        <f t="shared" si="0"/>
        <v>43313</v>
      </c>
      <c r="T6" s="714">
        <f t="shared" si="0"/>
        <v>43344</v>
      </c>
      <c r="U6" s="714">
        <f t="shared" si="0"/>
        <v>43374</v>
      </c>
      <c r="V6" s="714">
        <f t="shared" si="0"/>
        <v>43405</v>
      </c>
      <c r="W6" s="714">
        <f t="shared" si="0"/>
        <v>43435</v>
      </c>
      <c r="X6" s="714">
        <f t="shared" si="0"/>
        <v>43466</v>
      </c>
      <c r="Y6" s="714">
        <f t="shared" si="0"/>
        <v>43497</v>
      </c>
      <c r="Z6" s="714">
        <f t="shared" si="0"/>
        <v>43525</v>
      </c>
      <c r="AA6" s="714">
        <f t="shared" si="0"/>
        <v>43556</v>
      </c>
      <c r="AB6" s="714">
        <f t="shared" si="0"/>
        <v>43586</v>
      </c>
      <c r="AC6" s="714">
        <f t="shared" si="0"/>
        <v>43617</v>
      </c>
      <c r="AD6" s="714">
        <f t="shared" si="0"/>
        <v>43647</v>
      </c>
      <c r="AE6" s="714">
        <f t="shared" si="0"/>
        <v>43678</v>
      </c>
      <c r="AF6" s="714">
        <f t="shared" si="0"/>
        <v>43709</v>
      </c>
      <c r="AG6" s="714">
        <f t="shared" si="0"/>
        <v>43739</v>
      </c>
      <c r="AH6" s="714">
        <f t="shared" si="0"/>
        <v>43770</v>
      </c>
      <c r="AI6" s="714">
        <f t="shared" si="0"/>
        <v>43800</v>
      </c>
      <c r="AJ6" s="714">
        <f t="shared" si="0"/>
        <v>43831</v>
      </c>
      <c r="AK6" s="714">
        <f t="shared" si="0"/>
        <v>43862</v>
      </c>
      <c r="AL6" s="714">
        <f t="shared" si="0"/>
        <v>43891</v>
      </c>
      <c r="AM6" s="714">
        <f t="shared" si="0"/>
        <v>43922</v>
      </c>
      <c r="AN6" s="714">
        <f t="shared" si="0"/>
        <v>43952</v>
      </c>
      <c r="AO6" s="714">
        <f t="shared" si="0"/>
        <v>43983</v>
      </c>
      <c r="AP6" s="714">
        <f t="shared" si="0"/>
        <v>44013</v>
      </c>
      <c r="AQ6" s="714">
        <f t="shared" si="0"/>
        <v>44044</v>
      </c>
      <c r="AR6" s="714">
        <f t="shared" si="0"/>
        <v>44075</v>
      </c>
      <c r="AS6" s="714">
        <f t="shared" si="0"/>
        <v>44105</v>
      </c>
      <c r="AT6" s="714">
        <f t="shared" si="0"/>
        <v>44136</v>
      </c>
      <c r="AU6" s="714">
        <f t="shared" si="0"/>
        <v>44166</v>
      </c>
      <c r="AV6" s="714">
        <f t="shared" si="0"/>
        <v>44197</v>
      </c>
      <c r="AW6" s="714">
        <f t="shared" si="0"/>
        <v>44228</v>
      </c>
      <c r="AX6" s="714">
        <f t="shared" si="0"/>
        <v>44256</v>
      </c>
      <c r="AY6" s="714">
        <f t="shared" si="0"/>
        <v>44287</v>
      </c>
      <c r="AZ6" s="714">
        <f t="shared" si="0"/>
        <v>44317</v>
      </c>
      <c r="BA6" s="714">
        <f t="shared" si="0"/>
        <v>44348</v>
      </c>
      <c r="BB6" s="714">
        <f t="shared" si="0"/>
        <v>44378</v>
      </c>
      <c r="BC6" s="714">
        <f t="shared" si="0"/>
        <v>44409</v>
      </c>
      <c r="BD6" s="714">
        <f t="shared" si="0"/>
        <v>44440</v>
      </c>
      <c r="BE6" s="714">
        <f t="shared" si="0"/>
        <v>44470</v>
      </c>
      <c r="BF6" s="714">
        <f t="shared" si="0"/>
        <v>44501</v>
      </c>
      <c r="BG6" s="714">
        <f t="shared" si="0"/>
        <v>44531</v>
      </c>
      <c r="BH6" s="714">
        <f t="shared" si="0"/>
        <v>44562</v>
      </c>
      <c r="BI6" s="714">
        <f t="shared" si="0"/>
        <v>44593</v>
      </c>
      <c r="BJ6" s="714">
        <f t="shared" si="0"/>
        <v>44621</v>
      </c>
      <c r="BK6" s="714">
        <f t="shared" si="0"/>
        <v>44652</v>
      </c>
      <c r="BL6" s="714">
        <f t="shared" si="0"/>
        <v>44682</v>
      </c>
      <c r="BM6" s="714">
        <f t="shared" si="0"/>
        <v>44713</v>
      </c>
      <c r="BN6" s="714">
        <f t="shared" si="0"/>
        <v>44743</v>
      </c>
      <c r="BO6" s="714">
        <f t="shared" si="0"/>
        <v>44774</v>
      </c>
      <c r="BP6" s="714">
        <f t="shared" si="0"/>
        <v>44805</v>
      </c>
      <c r="BQ6" s="714">
        <f t="shared" si="0"/>
        <v>44835</v>
      </c>
      <c r="BR6" s="714">
        <f t="shared" si="0"/>
        <v>44866</v>
      </c>
      <c r="BS6" s="714">
        <f t="shared" si="0"/>
        <v>44896</v>
      </c>
      <c r="BT6" s="714">
        <f t="shared" si="0"/>
        <v>44927</v>
      </c>
      <c r="BU6" s="714">
        <f t="shared" si="0"/>
        <v>44958</v>
      </c>
      <c r="BV6" s="714">
        <f t="shared" ref="BV6:DX6" si="1">+BU7+1</f>
        <v>44986</v>
      </c>
      <c r="BW6" s="714">
        <f t="shared" si="1"/>
        <v>45017</v>
      </c>
      <c r="BX6" s="714">
        <f t="shared" si="1"/>
        <v>45047</v>
      </c>
      <c r="BY6" s="714">
        <f t="shared" si="1"/>
        <v>45078</v>
      </c>
      <c r="BZ6" s="714">
        <f t="shared" si="1"/>
        <v>45108</v>
      </c>
      <c r="CA6" s="714">
        <f t="shared" si="1"/>
        <v>45139</v>
      </c>
      <c r="CB6" s="714">
        <f t="shared" si="1"/>
        <v>45170</v>
      </c>
      <c r="CC6" s="714">
        <f t="shared" si="1"/>
        <v>45200</v>
      </c>
      <c r="CD6" s="714">
        <f t="shared" si="1"/>
        <v>45231</v>
      </c>
      <c r="CE6" s="714">
        <f t="shared" si="1"/>
        <v>45261</v>
      </c>
      <c r="CF6" s="714">
        <f t="shared" si="1"/>
        <v>45292</v>
      </c>
      <c r="CG6" s="714">
        <f t="shared" si="1"/>
        <v>45323</v>
      </c>
      <c r="CH6" s="714">
        <f t="shared" si="1"/>
        <v>45352</v>
      </c>
      <c r="CI6" s="714">
        <f t="shared" si="1"/>
        <v>45383</v>
      </c>
      <c r="CJ6" s="714">
        <f t="shared" si="1"/>
        <v>45413</v>
      </c>
      <c r="CK6" s="714">
        <f t="shared" si="1"/>
        <v>45444</v>
      </c>
      <c r="CL6" s="714">
        <f t="shared" si="1"/>
        <v>45474</v>
      </c>
      <c r="CM6" s="714">
        <f t="shared" si="1"/>
        <v>45505</v>
      </c>
      <c r="CN6" s="714">
        <f t="shared" si="1"/>
        <v>45536</v>
      </c>
      <c r="CO6" s="714">
        <f t="shared" si="1"/>
        <v>45566</v>
      </c>
      <c r="CP6" s="714">
        <f t="shared" si="1"/>
        <v>45597</v>
      </c>
      <c r="CQ6" s="714">
        <f t="shared" si="1"/>
        <v>45627</v>
      </c>
      <c r="CR6" s="714">
        <f t="shared" si="1"/>
        <v>45658</v>
      </c>
      <c r="CS6" s="714">
        <f t="shared" si="1"/>
        <v>45689</v>
      </c>
      <c r="CT6" s="714">
        <f t="shared" si="1"/>
        <v>45717</v>
      </c>
      <c r="CU6" s="714">
        <f t="shared" si="1"/>
        <v>45748</v>
      </c>
      <c r="CV6" s="714">
        <f t="shared" si="1"/>
        <v>45778</v>
      </c>
      <c r="CW6" s="714">
        <f t="shared" si="1"/>
        <v>45809</v>
      </c>
      <c r="CX6" s="714">
        <f t="shared" si="1"/>
        <v>45839</v>
      </c>
      <c r="CY6" s="714">
        <f t="shared" si="1"/>
        <v>45870</v>
      </c>
      <c r="CZ6" s="714">
        <f t="shared" si="1"/>
        <v>45901</v>
      </c>
      <c r="DA6" s="714">
        <f t="shared" si="1"/>
        <v>45931</v>
      </c>
      <c r="DB6" s="714">
        <f t="shared" si="1"/>
        <v>45962</v>
      </c>
      <c r="DC6" s="714">
        <f t="shared" si="1"/>
        <v>45992</v>
      </c>
      <c r="DD6" s="714">
        <f t="shared" si="1"/>
        <v>46023</v>
      </c>
      <c r="DE6" s="714">
        <f t="shared" si="1"/>
        <v>46054</v>
      </c>
      <c r="DF6" s="714">
        <f t="shared" si="1"/>
        <v>46082</v>
      </c>
      <c r="DG6" s="714">
        <f t="shared" si="1"/>
        <v>46113</v>
      </c>
      <c r="DH6" s="714">
        <f t="shared" si="1"/>
        <v>46143</v>
      </c>
      <c r="DI6" s="714">
        <f t="shared" si="1"/>
        <v>46174</v>
      </c>
      <c r="DJ6" s="714">
        <f t="shared" si="1"/>
        <v>46204</v>
      </c>
      <c r="DK6" s="714">
        <f t="shared" si="1"/>
        <v>46235</v>
      </c>
      <c r="DL6" s="714">
        <f t="shared" si="1"/>
        <v>46266</v>
      </c>
      <c r="DM6" s="714">
        <f t="shared" si="1"/>
        <v>46296</v>
      </c>
      <c r="DN6" s="714">
        <f t="shared" si="1"/>
        <v>46327</v>
      </c>
      <c r="DO6" s="714">
        <f t="shared" si="1"/>
        <v>46357</v>
      </c>
      <c r="DP6" s="714">
        <f t="shared" si="1"/>
        <v>46388</v>
      </c>
      <c r="DQ6" s="714">
        <f t="shared" si="1"/>
        <v>46419</v>
      </c>
      <c r="DR6" s="714">
        <f t="shared" si="1"/>
        <v>46447</v>
      </c>
      <c r="DS6" s="714">
        <f t="shared" si="1"/>
        <v>46478</v>
      </c>
      <c r="DT6" s="714">
        <f t="shared" si="1"/>
        <v>46508</v>
      </c>
      <c r="DU6" s="714">
        <f t="shared" si="1"/>
        <v>46539</v>
      </c>
      <c r="DV6" s="714">
        <f t="shared" si="1"/>
        <v>46569</v>
      </c>
      <c r="DW6" s="714">
        <f t="shared" si="1"/>
        <v>46600</v>
      </c>
      <c r="DX6" s="714">
        <f t="shared" si="1"/>
        <v>46631</v>
      </c>
    </row>
    <row r="7" spans="1:128" s="3" customFormat="1" ht="12.75" customHeight="1" x14ac:dyDescent="0.3">
      <c r="B7" s="674"/>
      <c r="C7" s="191"/>
      <c r="D7" s="191"/>
      <c r="E7" s="191"/>
      <c r="F7" s="205"/>
      <c r="G7" s="205"/>
      <c r="H7" s="715">
        <f>+'Monthly UF Model'!I7</f>
        <v>43008</v>
      </c>
      <c r="I7" s="714">
        <f t="shared" ref="I7:BT7" si="2">+EOMONTH(H7,1)</f>
        <v>43039</v>
      </c>
      <c r="J7" s="714">
        <f t="shared" si="2"/>
        <v>43069</v>
      </c>
      <c r="K7" s="714">
        <f t="shared" si="2"/>
        <v>43100</v>
      </c>
      <c r="L7" s="714">
        <f t="shared" si="2"/>
        <v>43131</v>
      </c>
      <c r="M7" s="714">
        <f t="shared" si="2"/>
        <v>43159</v>
      </c>
      <c r="N7" s="714">
        <f t="shared" si="2"/>
        <v>43190</v>
      </c>
      <c r="O7" s="714">
        <f t="shared" si="2"/>
        <v>43220</v>
      </c>
      <c r="P7" s="714">
        <f t="shared" si="2"/>
        <v>43251</v>
      </c>
      <c r="Q7" s="714">
        <f t="shared" si="2"/>
        <v>43281</v>
      </c>
      <c r="R7" s="714">
        <f t="shared" si="2"/>
        <v>43312</v>
      </c>
      <c r="S7" s="714">
        <f t="shared" si="2"/>
        <v>43343</v>
      </c>
      <c r="T7" s="714">
        <f t="shared" si="2"/>
        <v>43373</v>
      </c>
      <c r="U7" s="714">
        <f t="shared" si="2"/>
        <v>43404</v>
      </c>
      <c r="V7" s="714">
        <f t="shared" si="2"/>
        <v>43434</v>
      </c>
      <c r="W7" s="714">
        <f t="shared" si="2"/>
        <v>43465</v>
      </c>
      <c r="X7" s="714">
        <f t="shared" si="2"/>
        <v>43496</v>
      </c>
      <c r="Y7" s="714">
        <f t="shared" si="2"/>
        <v>43524</v>
      </c>
      <c r="Z7" s="714">
        <f t="shared" si="2"/>
        <v>43555</v>
      </c>
      <c r="AA7" s="714">
        <f t="shared" si="2"/>
        <v>43585</v>
      </c>
      <c r="AB7" s="714">
        <f t="shared" si="2"/>
        <v>43616</v>
      </c>
      <c r="AC7" s="714">
        <f t="shared" si="2"/>
        <v>43646</v>
      </c>
      <c r="AD7" s="714">
        <f t="shared" si="2"/>
        <v>43677</v>
      </c>
      <c r="AE7" s="714">
        <f t="shared" si="2"/>
        <v>43708</v>
      </c>
      <c r="AF7" s="714">
        <f t="shared" si="2"/>
        <v>43738</v>
      </c>
      <c r="AG7" s="714">
        <f t="shared" si="2"/>
        <v>43769</v>
      </c>
      <c r="AH7" s="714">
        <f t="shared" si="2"/>
        <v>43799</v>
      </c>
      <c r="AI7" s="714">
        <f t="shared" si="2"/>
        <v>43830</v>
      </c>
      <c r="AJ7" s="714">
        <f t="shared" si="2"/>
        <v>43861</v>
      </c>
      <c r="AK7" s="714">
        <f t="shared" si="2"/>
        <v>43890</v>
      </c>
      <c r="AL7" s="714">
        <f t="shared" si="2"/>
        <v>43921</v>
      </c>
      <c r="AM7" s="714">
        <f t="shared" si="2"/>
        <v>43951</v>
      </c>
      <c r="AN7" s="714">
        <f t="shared" si="2"/>
        <v>43982</v>
      </c>
      <c r="AO7" s="714">
        <f t="shared" si="2"/>
        <v>44012</v>
      </c>
      <c r="AP7" s="714">
        <f t="shared" si="2"/>
        <v>44043</v>
      </c>
      <c r="AQ7" s="714">
        <f t="shared" si="2"/>
        <v>44074</v>
      </c>
      <c r="AR7" s="714">
        <f t="shared" si="2"/>
        <v>44104</v>
      </c>
      <c r="AS7" s="714">
        <f t="shared" si="2"/>
        <v>44135</v>
      </c>
      <c r="AT7" s="714">
        <f t="shared" si="2"/>
        <v>44165</v>
      </c>
      <c r="AU7" s="714">
        <f t="shared" si="2"/>
        <v>44196</v>
      </c>
      <c r="AV7" s="714">
        <f t="shared" si="2"/>
        <v>44227</v>
      </c>
      <c r="AW7" s="714">
        <f t="shared" si="2"/>
        <v>44255</v>
      </c>
      <c r="AX7" s="714">
        <f t="shared" si="2"/>
        <v>44286</v>
      </c>
      <c r="AY7" s="714">
        <f t="shared" si="2"/>
        <v>44316</v>
      </c>
      <c r="AZ7" s="714">
        <f t="shared" si="2"/>
        <v>44347</v>
      </c>
      <c r="BA7" s="714">
        <f t="shared" si="2"/>
        <v>44377</v>
      </c>
      <c r="BB7" s="714">
        <f t="shared" si="2"/>
        <v>44408</v>
      </c>
      <c r="BC7" s="714">
        <f t="shared" si="2"/>
        <v>44439</v>
      </c>
      <c r="BD7" s="714">
        <f t="shared" si="2"/>
        <v>44469</v>
      </c>
      <c r="BE7" s="714">
        <f t="shared" si="2"/>
        <v>44500</v>
      </c>
      <c r="BF7" s="714">
        <f t="shared" si="2"/>
        <v>44530</v>
      </c>
      <c r="BG7" s="714">
        <f t="shared" si="2"/>
        <v>44561</v>
      </c>
      <c r="BH7" s="714">
        <f t="shared" si="2"/>
        <v>44592</v>
      </c>
      <c r="BI7" s="714">
        <f t="shared" si="2"/>
        <v>44620</v>
      </c>
      <c r="BJ7" s="714">
        <f t="shared" si="2"/>
        <v>44651</v>
      </c>
      <c r="BK7" s="714">
        <f t="shared" si="2"/>
        <v>44681</v>
      </c>
      <c r="BL7" s="714">
        <f t="shared" si="2"/>
        <v>44712</v>
      </c>
      <c r="BM7" s="714">
        <f t="shared" si="2"/>
        <v>44742</v>
      </c>
      <c r="BN7" s="714">
        <f t="shared" si="2"/>
        <v>44773</v>
      </c>
      <c r="BO7" s="714">
        <f t="shared" si="2"/>
        <v>44804</v>
      </c>
      <c r="BP7" s="714">
        <f t="shared" si="2"/>
        <v>44834</v>
      </c>
      <c r="BQ7" s="714">
        <f t="shared" si="2"/>
        <v>44865</v>
      </c>
      <c r="BR7" s="714">
        <f t="shared" si="2"/>
        <v>44895</v>
      </c>
      <c r="BS7" s="714">
        <f t="shared" si="2"/>
        <v>44926</v>
      </c>
      <c r="BT7" s="714">
        <f t="shared" si="2"/>
        <v>44957</v>
      </c>
      <c r="BU7" s="714">
        <f t="shared" ref="BU7:DX7" si="3">+EOMONTH(BT7,1)</f>
        <v>44985</v>
      </c>
      <c r="BV7" s="714">
        <f t="shared" si="3"/>
        <v>45016</v>
      </c>
      <c r="BW7" s="714">
        <f t="shared" si="3"/>
        <v>45046</v>
      </c>
      <c r="BX7" s="714">
        <f t="shared" si="3"/>
        <v>45077</v>
      </c>
      <c r="BY7" s="714">
        <f t="shared" si="3"/>
        <v>45107</v>
      </c>
      <c r="BZ7" s="714">
        <f t="shared" si="3"/>
        <v>45138</v>
      </c>
      <c r="CA7" s="714">
        <f t="shared" si="3"/>
        <v>45169</v>
      </c>
      <c r="CB7" s="714">
        <f t="shared" si="3"/>
        <v>45199</v>
      </c>
      <c r="CC7" s="714">
        <f t="shared" si="3"/>
        <v>45230</v>
      </c>
      <c r="CD7" s="714">
        <f t="shared" si="3"/>
        <v>45260</v>
      </c>
      <c r="CE7" s="714">
        <f t="shared" si="3"/>
        <v>45291</v>
      </c>
      <c r="CF7" s="714">
        <f t="shared" si="3"/>
        <v>45322</v>
      </c>
      <c r="CG7" s="714">
        <f t="shared" si="3"/>
        <v>45351</v>
      </c>
      <c r="CH7" s="714">
        <f t="shared" si="3"/>
        <v>45382</v>
      </c>
      <c r="CI7" s="714">
        <f t="shared" si="3"/>
        <v>45412</v>
      </c>
      <c r="CJ7" s="714">
        <f t="shared" si="3"/>
        <v>45443</v>
      </c>
      <c r="CK7" s="714">
        <f t="shared" si="3"/>
        <v>45473</v>
      </c>
      <c r="CL7" s="714">
        <f t="shared" si="3"/>
        <v>45504</v>
      </c>
      <c r="CM7" s="714">
        <f t="shared" si="3"/>
        <v>45535</v>
      </c>
      <c r="CN7" s="714">
        <f t="shared" si="3"/>
        <v>45565</v>
      </c>
      <c r="CO7" s="714">
        <f t="shared" si="3"/>
        <v>45596</v>
      </c>
      <c r="CP7" s="714">
        <f t="shared" si="3"/>
        <v>45626</v>
      </c>
      <c r="CQ7" s="714">
        <f t="shared" si="3"/>
        <v>45657</v>
      </c>
      <c r="CR7" s="714">
        <f t="shared" si="3"/>
        <v>45688</v>
      </c>
      <c r="CS7" s="714">
        <f t="shared" si="3"/>
        <v>45716</v>
      </c>
      <c r="CT7" s="714">
        <f t="shared" si="3"/>
        <v>45747</v>
      </c>
      <c r="CU7" s="714">
        <f t="shared" si="3"/>
        <v>45777</v>
      </c>
      <c r="CV7" s="714">
        <f t="shared" si="3"/>
        <v>45808</v>
      </c>
      <c r="CW7" s="714">
        <f t="shared" si="3"/>
        <v>45838</v>
      </c>
      <c r="CX7" s="714">
        <f t="shared" si="3"/>
        <v>45869</v>
      </c>
      <c r="CY7" s="714">
        <f t="shared" si="3"/>
        <v>45900</v>
      </c>
      <c r="CZ7" s="714">
        <f t="shared" si="3"/>
        <v>45930</v>
      </c>
      <c r="DA7" s="714">
        <f t="shared" si="3"/>
        <v>45961</v>
      </c>
      <c r="DB7" s="714">
        <f t="shared" si="3"/>
        <v>45991</v>
      </c>
      <c r="DC7" s="714">
        <f t="shared" si="3"/>
        <v>46022</v>
      </c>
      <c r="DD7" s="714">
        <f t="shared" si="3"/>
        <v>46053</v>
      </c>
      <c r="DE7" s="714">
        <f t="shared" si="3"/>
        <v>46081</v>
      </c>
      <c r="DF7" s="714">
        <f t="shared" si="3"/>
        <v>46112</v>
      </c>
      <c r="DG7" s="714">
        <f t="shared" si="3"/>
        <v>46142</v>
      </c>
      <c r="DH7" s="714">
        <f t="shared" si="3"/>
        <v>46173</v>
      </c>
      <c r="DI7" s="714">
        <f t="shared" si="3"/>
        <v>46203</v>
      </c>
      <c r="DJ7" s="714">
        <f t="shared" si="3"/>
        <v>46234</v>
      </c>
      <c r="DK7" s="714">
        <f t="shared" si="3"/>
        <v>46265</v>
      </c>
      <c r="DL7" s="714">
        <f t="shared" si="3"/>
        <v>46295</v>
      </c>
      <c r="DM7" s="714">
        <f t="shared" si="3"/>
        <v>46326</v>
      </c>
      <c r="DN7" s="714">
        <f t="shared" si="3"/>
        <v>46356</v>
      </c>
      <c r="DO7" s="714">
        <f t="shared" si="3"/>
        <v>46387</v>
      </c>
      <c r="DP7" s="714">
        <f t="shared" si="3"/>
        <v>46418</v>
      </c>
      <c r="DQ7" s="714">
        <f t="shared" si="3"/>
        <v>46446</v>
      </c>
      <c r="DR7" s="714">
        <f t="shared" si="3"/>
        <v>46477</v>
      </c>
      <c r="DS7" s="714">
        <f t="shared" si="3"/>
        <v>46507</v>
      </c>
      <c r="DT7" s="714">
        <f t="shared" si="3"/>
        <v>46538</v>
      </c>
      <c r="DU7" s="714">
        <f t="shared" si="3"/>
        <v>46568</v>
      </c>
      <c r="DV7" s="714">
        <f t="shared" si="3"/>
        <v>46599</v>
      </c>
      <c r="DW7" s="714">
        <f t="shared" si="3"/>
        <v>46630</v>
      </c>
      <c r="DX7" s="714">
        <f t="shared" si="3"/>
        <v>46660</v>
      </c>
    </row>
    <row r="8" spans="1:128" s="3" customFormat="1" ht="12.75" customHeight="1" x14ac:dyDescent="0.3">
      <c r="B8" s="674"/>
      <c r="C8" s="191"/>
      <c r="D8" s="191"/>
      <c r="E8" s="191"/>
      <c r="F8" s="205"/>
      <c r="G8" s="205"/>
      <c r="H8" s="716">
        <f>+YEAR(H7)</f>
        <v>2017</v>
      </c>
      <c r="I8" s="716">
        <f t="shared" ref="I8:BT8" si="4">+YEAR(I7)</f>
        <v>2017</v>
      </c>
      <c r="J8" s="716">
        <f t="shared" si="4"/>
        <v>2017</v>
      </c>
      <c r="K8" s="716">
        <f t="shared" si="4"/>
        <v>2017</v>
      </c>
      <c r="L8" s="716">
        <f t="shared" si="4"/>
        <v>2018</v>
      </c>
      <c r="M8" s="716">
        <f t="shared" si="4"/>
        <v>2018</v>
      </c>
      <c r="N8" s="716">
        <f t="shared" si="4"/>
        <v>2018</v>
      </c>
      <c r="O8" s="716">
        <f t="shared" si="4"/>
        <v>2018</v>
      </c>
      <c r="P8" s="716">
        <f t="shared" si="4"/>
        <v>2018</v>
      </c>
      <c r="Q8" s="716">
        <f t="shared" si="4"/>
        <v>2018</v>
      </c>
      <c r="R8" s="716">
        <f t="shared" si="4"/>
        <v>2018</v>
      </c>
      <c r="S8" s="716">
        <f t="shared" si="4"/>
        <v>2018</v>
      </c>
      <c r="T8" s="716">
        <f t="shared" si="4"/>
        <v>2018</v>
      </c>
      <c r="U8" s="716">
        <f t="shared" si="4"/>
        <v>2018</v>
      </c>
      <c r="V8" s="716">
        <f t="shared" si="4"/>
        <v>2018</v>
      </c>
      <c r="W8" s="716">
        <f t="shared" si="4"/>
        <v>2018</v>
      </c>
      <c r="X8" s="716">
        <f t="shared" si="4"/>
        <v>2019</v>
      </c>
      <c r="Y8" s="716">
        <f t="shared" si="4"/>
        <v>2019</v>
      </c>
      <c r="Z8" s="716">
        <f t="shared" si="4"/>
        <v>2019</v>
      </c>
      <c r="AA8" s="716">
        <f t="shared" si="4"/>
        <v>2019</v>
      </c>
      <c r="AB8" s="716">
        <f t="shared" si="4"/>
        <v>2019</v>
      </c>
      <c r="AC8" s="716">
        <f t="shared" si="4"/>
        <v>2019</v>
      </c>
      <c r="AD8" s="716">
        <f t="shared" si="4"/>
        <v>2019</v>
      </c>
      <c r="AE8" s="716">
        <f t="shared" si="4"/>
        <v>2019</v>
      </c>
      <c r="AF8" s="716">
        <f t="shared" si="4"/>
        <v>2019</v>
      </c>
      <c r="AG8" s="716">
        <f t="shared" si="4"/>
        <v>2019</v>
      </c>
      <c r="AH8" s="716">
        <f t="shared" si="4"/>
        <v>2019</v>
      </c>
      <c r="AI8" s="716">
        <f t="shared" si="4"/>
        <v>2019</v>
      </c>
      <c r="AJ8" s="716">
        <f t="shared" si="4"/>
        <v>2020</v>
      </c>
      <c r="AK8" s="716">
        <f t="shared" si="4"/>
        <v>2020</v>
      </c>
      <c r="AL8" s="716">
        <f t="shared" si="4"/>
        <v>2020</v>
      </c>
      <c r="AM8" s="716">
        <f t="shared" si="4"/>
        <v>2020</v>
      </c>
      <c r="AN8" s="716">
        <f t="shared" si="4"/>
        <v>2020</v>
      </c>
      <c r="AO8" s="716">
        <f t="shared" si="4"/>
        <v>2020</v>
      </c>
      <c r="AP8" s="716">
        <f t="shared" si="4"/>
        <v>2020</v>
      </c>
      <c r="AQ8" s="716">
        <f t="shared" si="4"/>
        <v>2020</v>
      </c>
      <c r="AR8" s="716">
        <f t="shared" si="4"/>
        <v>2020</v>
      </c>
      <c r="AS8" s="716">
        <f t="shared" si="4"/>
        <v>2020</v>
      </c>
      <c r="AT8" s="716">
        <f t="shared" si="4"/>
        <v>2020</v>
      </c>
      <c r="AU8" s="716">
        <f t="shared" si="4"/>
        <v>2020</v>
      </c>
      <c r="AV8" s="716">
        <f t="shared" si="4"/>
        <v>2021</v>
      </c>
      <c r="AW8" s="716">
        <f t="shared" si="4"/>
        <v>2021</v>
      </c>
      <c r="AX8" s="716">
        <f t="shared" si="4"/>
        <v>2021</v>
      </c>
      <c r="AY8" s="716">
        <f t="shared" si="4"/>
        <v>2021</v>
      </c>
      <c r="AZ8" s="716">
        <f t="shared" si="4"/>
        <v>2021</v>
      </c>
      <c r="BA8" s="716">
        <f t="shared" si="4"/>
        <v>2021</v>
      </c>
      <c r="BB8" s="716">
        <f t="shared" si="4"/>
        <v>2021</v>
      </c>
      <c r="BC8" s="716">
        <f t="shared" si="4"/>
        <v>2021</v>
      </c>
      <c r="BD8" s="716">
        <f t="shared" si="4"/>
        <v>2021</v>
      </c>
      <c r="BE8" s="716">
        <f t="shared" si="4"/>
        <v>2021</v>
      </c>
      <c r="BF8" s="716">
        <f t="shared" si="4"/>
        <v>2021</v>
      </c>
      <c r="BG8" s="716">
        <f t="shared" si="4"/>
        <v>2021</v>
      </c>
      <c r="BH8" s="716">
        <f t="shared" si="4"/>
        <v>2022</v>
      </c>
      <c r="BI8" s="716">
        <f t="shared" si="4"/>
        <v>2022</v>
      </c>
      <c r="BJ8" s="716">
        <f t="shared" si="4"/>
        <v>2022</v>
      </c>
      <c r="BK8" s="716">
        <f t="shared" si="4"/>
        <v>2022</v>
      </c>
      <c r="BL8" s="716">
        <f t="shared" si="4"/>
        <v>2022</v>
      </c>
      <c r="BM8" s="716">
        <f t="shared" si="4"/>
        <v>2022</v>
      </c>
      <c r="BN8" s="716">
        <f t="shared" si="4"/>
        <v>2022</v>
      </c>
      <c r="BO8" s="716">
        <f t="shared" si="4"/>
        <v>2022</v>
      </c>
      <c r="BP8" s="716">
        <f t="shared" si="4"/>
        <v>2022</v>
      </c>
      <c r="BQ8" s="716">
        <f t="shared" si="4"/>
        <v>2022</v>
      </c>
      <c r="BR8" s="716">
        <f t="shared" si="4"/>
        <v>2022</v>
      </c>
      <c r="BS8" s="716">
        <f t="shared" si="4"/>
        <v>2022</v>
      </c>
      <c r="BT8" s="716">
        <f t="shared" si="4"/>
        <v>2023</v>
      </c>
      <c r="BU8" s="716">
        <f t="shared" ref="BU8:DX8" si="5">+YEAR(BU7)</f>
        <v>2023</v>
      </c>
      <c r="BV8" s="716">
        <f t="shared" si="5"/>
        <v>2023</v>
      </c>
      <c r="BW8" s="716">
        <f t="shared" si="5"/>
        <v>2023</v>
      </c>
      <c r="BX8" s="716">
        <f t="shared" si="5"/>
        <v>2023</v>
      </c>
      <c r="BY8" s="716">
        <f t="shared" si="5"/>
        <v>2023</v>
      </c>
      <c r="BZ8" s="716">
        <f t="shared" si="5"/>
        <v>2023</v>
      </c>
      <c r="CA8" s="716">
        <f t="shared" si="5"/>
        <v>2023</v>
      </c>
      <c r="CB8" s="716">
        <f t="shared" si="5"/>
        <v>2023</v>
      </c>
      <c r="CC8" s="716">
        <f t="shared" si="5"/>
        <v>2023</v>
      </c>
      <c r="CD8" s="716">
        <f t="shared" si="5"/>
        <v>2023</v>
      </c>
      <c r="CE8" s="716">
        <f t="shared" si="5"/>
        <v>2023</v>
      </c>
      <c r="CF8" s="716">
        <f t="shared" si="5"/>
        <v>2024</v>
      </c>
      <c r="CG8" s="716">
        <f t="shared" si="5"/>
        <v>2024</v>
      </c>
      <c r="CH8" s="716">
        <f t="shared" si="5"/>
        <v>2024</v>
      </c>
      <c r="CI8" s="716">
        <f t="shared" si="5"/>
        <v>2024</v>
      </c>
      <c r="CJ8" s="716">
        <f t="shared" si="5"/>
        <v>2024</v>
      </c>
      <c r="CK8" s="716">
        <f t="shared" si="5"/>
        <v>2024</v>
      </c>
      <c r="CL8" s="716">
        <f t="shared" si="5"/>
        <v>2024</v>
      </c>
      <c r="CM8" s="716">
        <f t="shared" si="5"/>
        <v>2024</v>
      </c>
      <c r="CN8" s="716">
        <f t="shared" si="5"/>
        <v>2024</v>
      </c>
      <c r="CO8" s="716">
        <f t="shared" si="5"/>
        <v>2024</v>
      </c>
      <c r="CP8" s="716">
        <f t="shared" si="5"/>
        <v>2024</v>
      </c>
      <c r="CQ8" s="716">
        <f t="shared" si="5"/>
        <v>2024</v>
      </c>
      <c r="CR8" s="716">
        <f t="shared" si="5"/>
        <v>2025</v>
      </c>
      <c r="CS8" s="716">
        <f t="shared" si="5"/>
        <v>2025</v>
      </c>
      <c r="CT8" s="716">
        <f t="shared" si="5"/>
        <v>2025</v>
      </c>
      <c r="CU8" s="716">
        <f t="shared" si="5"/>
        <v>2025</v>
      </c>
      <c r="CV8" s="716">
        <f t="shared" si="5"/>
        <v>2025</v>
      </c>
      <c r="CW8" s="716">
        <f t="shared" si="5"/>
        <v>2025</v>
      </c>
      <c r="CX8" s="716">
        <f t="shared" si="5"/>
        <v>2025</v>
      </c>
      <c r="CY8" s="716">
        <f t="shared" si="5"/>
        <v>2025</v>
      </c>
      <c r="CZ8" s="716">
        <f t="shared" si="5"/>
        <v>2025</v>
      </c>
      <c r="DA8" s="716">
        <f t="shared" si="5"/>
        <v>2025</v>
      </c>
      <c r="DB8" s="716">
        <f t="shared" si="5"/>
        <v>2025</v>
      </c>
      <c r="DC8" s="716">
        <f t="shared" si="5"/>
        <v>2025</v>
      </c>
      <c r="DD8" s="716">
        <f t="shared" si="5"/>
        <v>2026</v>
      </c>
      <c r="DE8" s="716">
        <f t="shared" si="5"/>
        <v>2026</v>
      </c>
      <c r="DF8" s="716">
        <f t="shared" si="5"/>
        <v>2026</v>
      </c>
      <c r="DG8" s="716">
        <f t="shared" si="5"/>
        <v>2026</v>
      </c>
      <c r="DH8" s="716">
        <f t="shared" si="5"/>
        <v>2026</v>
      </c>
      <c r="DI8" s="716">
        <f t="shared" si="5"/>
        <v>2026</v>
      </c>
      <c r="DJ8" s="716">
        <f t="shared" si="5"/>
        <v>2026</v>
      </c>
      <c r="DK8" s="716">
        <f t="shared" si="5"/>
        <v>2026</v>
      </c>
      <c r="DL8" s="716">
        <f t="shared" si="5"/>
        <v>2026</v>
      </c>
      <c r="DM8" s="716">
        <f t="shared" si="5"/>
        <v>2026</v>
      </c>
      <c r="DN8" s="716">
        <f t="shared" si="5"/>
        <v>2026</v>
      </c>
      <c r="DO8" s="716">
        <f t="shared" si="5"/>
        <v>2026</v>
      </c>
      <c r="DP8" s="716">
        <f t="shared" si="5"/>
        <v>2027</v>
      </c>
      <c r="DQ8" s="716">
        <f t="shared" si="5"/>
        <v>2027</v>
      </c>
      <c r="DR8" s="716">
        <f t="shared" si="5"/>
        <v>2027</v>
      </c>
      <c r="DS8" s="716">
        <f t="shared" si="5"/>
        <v>2027</v>
      </c>
      <c r="DT8" s="716">
        <f t="shared" si="5"/>
        <v>2027</v>
      </c>
      <c r="DU8" s="716">
        <f t="shared" si="5"/>
        <v>2027</v>
      </c>
      <c r="DV8" s="716">
        <f t="shared" si="5"/>
        <v>2027</v>
      </c>
      <c r="DW8" s="716">
        <f t="shared" si="5"/>
        <v>2027</v>
      </c>
      <c r="DX8" s="716">
        <f t="shared" si="5"/>
        <v>2027</v>
      </c>
    </row>
    <row r="9" spans="1:128" s="3" customFormat="1" ht="12.75" customHeight="1" x14ac:dyDescent="0.3">
      <c r="B9" s="674"/>
      <c r="C9" s="191"/>
      <c r="D9" s="191"/>
      <c r="E9" s="191"/>
      <c r="F9" s="205"/>
      <c r="G9" s="205"/>
      <c r="H9" s="849">
        <f>+'Monthly UF Model'!I9</f>
        <v>0</v>
      </c>
      <c r="I9" s="717">
        <f t="shared" ref="I9:BT9" si="6">+H9+1</f>
        <v>1</v>
      </c>
      <c r="J9" s="717">
        <f t="shared" si="6"/>
        <v>2</v>
      </c>
      <c r="K9" s="717">
        <f t="shared" si="6"/>
        <v>3</v>
      </c>
      <c r="L9" s="717">
        <f t="shared" si="6"/>
        <v>4</v>
      </c>
      <c r="M9" s="717">
        <f t="shared" si="6"/>
        <v>5</v>
      </c>
      <c r="N9" s="717">
        <f t="shared" si="6"/>
        <v>6</v>
      </c>
      <c r="O9" s="717">
        <f t="shared" si="6"/>
        <v>7</v>
      </c>
      <c r="P9" s="717">
        <f t="shared" si="6"/>
        <v>8</v>
      </c>
      <c r="Q9" s="717">
        <f t="shared" si="6"/>
        <v>9</v>
      </c>
      <c r="R9" s="717">
        <f t="shared" si="6"/>
        <v>10</v>
      </c>
      <c r="S9" s="717">
        <f t="shared" si="6"/>
        <v>11</v>
      </c>
      <c r="T9" s="717">
        <f t="shared" si="6"/>
        <v>12</v>
      </c>
      <c r="U9" s="717">
        <f t="shared" si="6"/>
        <v>13</v>
      </c>
      <c r="V9" s="717">
        <f t="shared" si="6"/>
        <v>14</v>
      </c>
      <c r="W9" s="717">
        <f t="shared" si="6"/>
        <v>15</v>
      </c>
      <c r="X9" s="717">
        <f t="shared" si="6"/>
        <v>16</v>
      </c>
      <c r="Y9" s="717">
        <f t="shared" si="6"/>
        <v>17</v>
      </c>
      <c r="Z9" s="717">
        <f t="shared" si="6"/>
        <v>18</v>
      </c>
      <c r="AA9" s="717">
        <f t="shared" si="6"/>
        <v>19</v>
      </c>
      <c r="AB9" s="717">
        <f t="shared" si="6"/>
        <v>20</v>
      </c>
      <c r="AC9" s="717">
        <f t="shared" si="6"/>
        <v>21</v>
      </c>
      <c r="AD9" s="717">
        <f t="shared" si="6"/>
        <v>22</v>
      </c>
      <c r="AE9" s="717">
        <f t="shared" si="6"/>
        <v>23</v>
      </c>
      <c r="AF9" s="717">
        <f t="shared" si="6"/>
        <v>24</v>
      </c>
      <c r="AG9" s="717">
        <f t="shared" si="6"/>
        <v>25</v>
      </c>
      <c r="AH9" s="717">
        <f t="shared" si="6"/>
        <v>26</v>
      </c>
      <c r="AI9" s="717">
        <f t="shared" si="6"/>
        <v>27</v>
      </c>
      <c r="AJ9" s="717">
        <f t="shared" si="6"/>
        <v>28</v>
      </c>
      <c r="AK9" s="717">
        <f t="shared" si="6"/>
        <v>29</v>
      </c>
      <c r="AL9" s="717">
        <f t="shared" si="6"/>
        <v>30</v>
      </c>
      <c r="AM9" s="717">
        <f t="shared" si="6"/>
        <v>31</v>
      </c>
      <c r="AN9" s="717">
        <f t="shared" si="6"/>
        <v>32</v>
      </c>
      <c r="AO9" s="717">
        <f t="shared" si="6"/>
        <v>33</v>
      </c>
      <c r="AP9" s="717">
        <f t="shared" si="6"/>
        <v>34</v>
      </c>
      <c r="AQ9" s="717">
        <f t="shared" si="6"/>
        <v>35</v>
      </c>
      <c r="AR9" s="717">
        <f t="shared" si="6"/>
        <v>36</v>
      </c>
      <c r="AS9" s="717">
        <f t="shared" si="6"/>
        <v>37</v>
      </c>
      <c r="AT9" s="717">
        <f t="shared" si="6"/>
        <v>38</v>
      </c>
      <c r="AU9" s="717">
        <f t="shared" si="6"/>
        <v>39</v>
      </c>
      <c r="AV9" s="717">
        <f t="shared" si="6"/>
        <v>40</v>
      </c>
      <c r="AW9" s="717">
        <f t="shared" si="6"/>
        <v>41</v>
      </c>
      <c r="AX9" s="717">
        <f t="shared" si="6"/>
        <v>42</v>
      </c>
      <c r="AY9" s="717">
        <f t="shared" si="6"/>
        <v>43</v>
      </c>
      <c r="AZ9" s="717">
        <f t="shared" si="6"/>
        <v>44</v>
      </c>
      <c r="BA9" s="717">
        <f t="shared" si="6"/>
        <v>45</v>
      </c>
      <c r="BB9" s="717">
        <f t="shared" si="6"/>
        <v>46</v>
      </c>
      <c r="BC9" s="717">
        <f t="shared" si="6"/>
        <v>47</v>
      </c>
      <c r="BD9" s="717">
        <f t="shared" si="6"/>
        <v>48</v>
      </c>
      <c r="BE9" s="717">
        <f t="shared" si="6"/>
        <v>49</v>
      </c>
      <c r="BF9" s="717">
        <f t="shared" si="6"/>
        <v>50</v>
      </c>
      <c r="BG9" s="717">
        <f t="shared" si="6"/>
        <v>51</v>
      </c>
      <c r="BH9" s="717">
        <f t="shared" si="6"/>
        <v>52</v>
      </c>
      <c r="BI9" s="717">
        <f t="shared" si="6"/>
        <v>53</v>
      </c>
      <c r="BJ9" s="717">
        <f t="shared" si="6"/>
        <v>54</v>
      </c>
      <c r="BK9" s="717">
        <f t="shared" si="6"/>
        <v>55</v>
      </c>
      <c r="BL9" s="717">
        <f t="shared" si="6"/>
        <v>56</v>
      </c>
      <c r="BM9" s="717">
        <f t="shared" si="6"/>
        <v>57</v>
      </c>
      <c r="BN9" s="717">
        <f t="shared" si="6"/>
        <v>58</v>
      </c>
      <c r="BO9" s="717">
        <f t="shared" si="6"/>
        <v>59</v>
      </c>
      <c r="BP9" s="717">
        <f t="shared" si="6"/>
        <v>60</v>
      </c>
      <c r="BQ9" s="717">
        <f t="shared" si="6"/>
        <v>61</v>
      </c>
      <c r="BR9" s="717">
        <f t="shared" si="6"/>
        <v>62</v>
      </c>
      <c r="BS9" s="717">
        <f t="shared" si="6"/>
        <v>63</v>
      </c>
      <c r="BT9" s="717">
        <f t="shared" si="6"/>
        <v>64</v>
      </c>
      <c r="BU9" s="717">
        <f t="shared" ref="BU9:DX9" si="7">+BT9+1</f>
        <v>65</v>
      </c>
      <c r="BV9" s="717">
        <f t="shared" si="7"/>
        <v>66</v>
      </c>
      <c r="BW9" s="717">
        <f t="shared" si="7"/>
        <v>67</v>
      </c>
      <c r="BX9" s="717">
        <f t="shared" si="7"/>
        <v>68</v>
      </c>
      <c r="BY9" s="717">
        <f t="shared" si="7"/>
        <v>69</v>
      </c>
      <c r="BZ9" s="717">
        <f t="shared" si="7"/>
        <v>70</v>
      </c>
      <c r="CA9" s="717">
        <f t="shared" si="7"/>
        <v>71</v>
      </c>
      <c r="CB9" s="717">
        <f t="shared" si="7"/>
        <v>72</v>
      </c>
      <c r="CC9" s="717">
        <f t="shared" si="7"/>
        <v>73</v>
      </c>
      <c r="CD9" s="717">
        <f t="shared" si="7"/>
        <v>74</v>
      </c>
      <c r="CE9" s="717">
        <f t="shared" si="7"/>
        <v>75</v>
      </c>
      <c r="CF9" s="717">
        <f t="shared" si="7"/>
        <v>76</v>
      </c>
      <c r="CG9" s="717">
        <f t="shared" si="7"/>
        <v>77</v>
      </c>
      <c r="CH9" s="717">
        <f t="shared" si="7"/>
        <v>78</v>
      </c>
      <c r="CI9" s="717">
        <f t="shared" si="7"/>
        <v>79</v>
      </c>
      <c r="CJ9" s="717">
        <f t="shared" si="7"/>
        <v>80</v>
      </c>
      <c r="CK9" s="717">
        <f t="shared" si="7"/>
        <v>81</v>
      </c>
      <c r="CL9" s="717">
        <f t="shared" si="7"/>
        <v>82</v>
      </c>
      <c r="CM9" s="717">
        <f t="shared" si="7"/>
        <v>83</v>
      </c>
      <c r="CN9" s="717">
        <f t="shared" si="7"/>
        <v>84</v>
      </c>
      <c r="CO9" s="717">
        <f t="shared" si="7"/>
        <v>85</v>
      </c>
      <c r="CP9" s="717">
        <f t="shared" si="7"/>
        <v>86</v>
      </c>
      <c r="CQ9" s="717">
        <f t="shared" si="7"/>
        <v>87</v>
      </c>
      <c r="CR9" s="717">
        <f t="shared" si="7"/>
        <v>88</v>
      </c>
      <c r="CS9" s="717">
        <f t="shared" si="7"/>
        <v>89</v>
      </c>
      <c r="CT9" s="717">
        <f t="shared" si="7"/>
        <v>90</v>
      </c>
      <c r="CU9" s="717">
        <f t="shared" si="7"/>
        <v>91</v>
      </c>
      <c r="CV9" s="717">
        <f t="shared" si="7"/>
        <v>92</v>
      </c>
      <c r="CW9" s="717">
        <f t="shared" si="7"/>
        <v>93</v>
      </c>
      <c r="CX9" s="717">
        <f t="shared" si="7"/>
        <v>94</v>
      </c>
      <c r="CY9" s="717">
        <f t="shared" si="7"/>
        <v>95</v>
      </c>
      <c r="CZ9" s="717">
        <f t="shared" si="7"/>
        <v>96</v>
      </c>
      <c r="DA9" s="717">
        <f t="shared" si="7"/>
        <v>97</v>
      </c>
      <c r="DB9" s="717">
        <f t="shared" si="7"/>
        <v>98</v>
      </c>
      <c r="DC9" s="717">
        <f t="shared" si="7"/>
        <v>99</v>
      </c>
      <c r="DD9" s="717">
        <f t="shared" si="7"/>
        <v>100</v>
      </c>
      <c r="DE9" s="717">
        <f t="shared" si="7"/>
        <v>101</v>
      </c>
      <c r="DF9" s="717">
        <f t="shared" si="7"/>
        <v>102</v>
      </c>
      <c r="DG9" s="717">
        <f t="shared" si="7"/>
        <v>103</v>
      </c>
      <c r="DH9" s="717">
        <f t="shared" si="7"/>
        <v>104</v>
      </c>
      <c r="DI9" s="717">
        <f t="shared" si="7"/>
        <v>105</v>
      </c>
      <c r="DJ9" s="717">
        <f t="shared" si="7"/>
        <v>106</v>
      </c>
      <c r="DK9" s="717">
        <f t="shared" si="7"/>
        <v>107</v>
      </c>
      <c r="DL9" s="717">
        <f t="shared" si="7"/>
        <v>108</v>
      </c>
      <c r="DM9" s="717">
        <f t="shared" si="7"/>
        <v>109</v>
      </c>
      <c r="DN9" s="717">
        <f t="shared" si="7"/>
        <v>110</v>
      </c>
      <c r="DO9" s="717">
        <f t="shared" si="7"/>
        <v>111</v>
      </c>
      <c r="DP9" s="717">
        <f t="shared" si="7"/>
        <v>112</v>
      </c>
      <c r="DQ9" s="717">
        <f t="shared" si="7"/>
        <v>113</v>
      </c>
      <c r="DR9" s="717">
        <f t="shared" si="7"/>
        <v>114</v>
      </c>
      <c r="DS9" s="717">
        <f t="shared" si="7"/>
        <v>115</v>
      </c>
      <c r="DT9" s="717">
        <f t="shared" si="7"/>
        <v>116</v>
      </c>
      <c r="DU9" s="717">
        <f t="shared" si="7"/>
        <v>117</v>
      </c>
      <c r="DV9" s="717">
        <f t="shared" si="7"/>
        <v>118</v>
      </c>
      <c r="DW9" s="717">
        <f t="shared" si="7"/>
        <v>119</v>
      </c>
      <c r="DX9" s="717">
        <f t="shared" si="7"/>
        <v>120</v>
      </c>
    </row>
    <row r="10" spans="1:128" s="3" customFormat="1" ht="12.75" customHeight="1" x14ac:dyDescent="0.3">
      <c r="B10" s="193"/>
      <c r="C10" s="191"/>
      <c r="D10" s="191"/>
      <c r="E10" s="191"/>
      <c r="F10" s="205"/>
      <c r="G10" s="205"/>
      <c r="H10" s="718"/>
      <c r="I10" s="718">
        <f t="shared" ref="I10:BT10" si="8">+ROUNDUP(I9/12,0)</f>
        <v>1</v>
      </c>
      <c r="J10" s="718">
        <f t="shared" si="8"/>
        <v>1</v>
      </c>
      <c r="K10" s="718">
        <f t="shared" si="8"/>
        <v>1</v>
      </c>
      <c r="L10" s="718">
        <f t="shared" si="8"/>
        <v>1</v>
      </c>
      <c r="M10" s="718">
        <f t="shared" si="8"/>
        <v>1</v>
      </c>
      <c r="N10" s="718">
        <f t="shared" si="8"/>
        <v>1</v>
      </c>
      <c r="O10" s="718">
        <f t="shared" si="8"/>
        <v>1</v>
      </c>
      <c r="P10" s="718">
        <f t="shared" si="8"/>
        <v>1</v>
      </c>
      <c r="Q10" s="718">
        <f t="shared" si="8"/>
        <v>1</v>
      </c>
      <c r="R10" s="718">
        <f t="shared" si="8"/>
        <v>1</v>
      </c>
      <c r="S10" s="718">
        <f t="shared" si="8"/>
        <v>1</v>
      </c>
      <c r="T10" s="718">
        <f t="shared" si="8"/>
        <v>1</v>
      </c>
      <c r="U10" s="718">
        <f t="shared" si="8"/>
        <v>2</v>
      </c>
      <c r="V10" s="718">
        <f t="shared" si="8"/>
        <v>2</v>
      </c>
      <c r="W10" s="718">
        <f t="shared" si="8"/>
        <v>2</v>
      </c>
      <c r="X10" s="718">
        <f t="shared" si="8"/>
        <v>2</v>
      </c>
      <c r="Y10" s="718">
        <f t="shared" si="8"/>
        <v>2</v>
      </c>
      <c r="Z10" s="718">
        <f t="shared" si="8"/>
        <v>2</v>
      </c>
      <c r="AA10" s="718">
        <f t="shared" si="8"/>
        <v>2</v>
      </c>
      <c r="AB10" s="718">
        <f t="shared" si="8"/>
        <v>2</v>
      </c>
      <c r="AC10" s="718">
        <f t="shared" si="8"/>
        <v>2</v>
      </c>
      <c r="AD10" s="718">
        <f t="shared" si="8"/>
        <v>2</v>
      </c>
      <c r="AE10" s="718">
        <f t="shared" si="8"/>
        <v>2</v>
      </c>
      <c r="AF10" s="718">
        <f t="shared" si="8"/>
        <v>2</v>
      </c>
      <c r="AG10" s="718">
        <f t="shared" si="8"/>
        <v>3</v>
      </c>
      <c r="AH10" s="718">
        <f t="shared" si="8"/>
        <v>3</v>
      </c>
      <c r="AI10" s="718">
        <f t="shared" si="8"/>
        <v>3</v>
      </c>
      <c r="AJ10" s="718">
        <f t="shared" si="8"/>
        <v>3</v>
      </c>
      <c r="AK10" s="718">
        <f t="shared" si="8"/>
        <v>3</v>
      </c>
      <c r="AL10" s="718">
        <f t="shared" si="8"/>
        <v>3</v>
      </c>
      <c r="AM10" s="718">
        <f t="shared" si="8"/>
        <v>3</v>
      </c>
      <c r="AN10" s="718">
        <f t="shared" si="8"/>
        <v>3</v>
      </c>
      <c r="AO10" s="718">
        <f t="shared" si="8"/>
        <v>3</v>
      </c>
      <c r="AP10" s="718">
        <f t="shared" si="8"/>
        <v>3</v>
      </c>
      <c r="AQ10" s="718">
        <f t="shared" si="8"/>
        <v>3</v>
      </c>
      <c r="AR10" s="718">
        <f t="shared" si="8"/>
        <v>3</v>
      </c>
      <c r="AS10" s="718">
        <f t="shared" si="8"/>
        <v>4</v>
      </c>
      <c r="AT10" s="718">
        <f t="shared" si="8"/>
        <v>4</v>
      </c>
      <c r="AU10" s="718">
        <f t="shared" si="8"/>
        <v>4</v>
      </c>
      <c r="AV10" s="718">
        <f t="shared" si="8"/>
        <v>4</v>
      </c>
      <c r="AW10" s="718">
        <f t="shared" si="8"/>
        <v>4</v>
      </c>
      <c r="AX10" s="718">
        <f t="shared" si="8"/>
        <v>4</v>
      </c>
      <c r="AY10" s="718">
        <f t="shared" si="8"/>
        <v>4</v>
      </c>
      <c r="AZ10" s="718">
        <f t="shared" si="8"/>
        <v>4</v>
      </c>
      <c r="BA10" s="718">
        <f t="shared" si="8"/>
        <v>4</v>
      </c>
      <c r="BB10" s="718">
        <f t="shared" si="8"/>
        <v>4</v>
      </c>
      <c r="BC10" s="718">
        <f t="shared" si="8"/>
        <v>4</v>
      </c>
      <c r="BD10" s="718">
        <f t="shared" si="8"/>
        <v>4</v>
      </c>
      <c r="BE10" s="718">
        <f t="shared" si="8"/>
        <v>5</v>
      </c>
      <c r="BF10" s="718">
        <f t="shared" si="8"/>
        <v>5</v>
      </c>
      <c r="BG10" s="718">
        <f t="shared" si="8"/>
        <v>5</v>
      </c>
      <c r="BH10" s="718">
        <f t="shared" si="8"/>
        <v>5</v>
      </c>
      <c r="BI10" s="718">
        <f t="shared" si="8"/>
        <v>5</v>
      </c>
      <c r="BJ10" s="718">
        <f t="shared" si="8"/>
        <v>5</v>
      </c>
      <c r="BK10" s="718">
        <f t="shared" si="8"/>
        <v>5</v>
      </c>
      <c r="BL10" s="718">
        <f t="shared" si="8"/>
        <v>5</v>
      </c>
      <c r="BM10" s="718">
        <f t="shared" si="8"/>
        <v>5</v>
      </c>
      <c r="BN10" s="718">
        <f t="shared" si="8"/>
        <v>5</v>
      </c>
      <c r="BO10" s="718">
        <f t="shared" si="8"/>
        <v>5</v>
      </c>
      <c r="BP10" s="718">
        <f t="shared" si="8"/>
        <v>5</v>
      </c>
      <c r="BQ10" s="718">
        <f t="shared" si="8"/>
        <v>6</v>
      </c>
      <c r="BR10" s="718">
        <f t="shared" si="8"/>
        <v>6</v>
      </c>
      <c r="BS10" s="718">
        <f t="shared" si="8"/>
        <v>6</v>
      </c>
      <c r="BT10" s="718">
        <f t="shared" si="8"/>
        <v>6</v>
      </c>
      <c r="BU10" s="718">
        <f t="shared" ref="BU10:CZ10" si="9">+ROUNDUP(BU9/12,0)</f>
        <v>6</v>
      </c>
      <c r="BV10" s="718">
        <f t="shared" si="9"/>
        <v>6</v>
      </c>
      <c r="BW10" s="718">
        <f t="shared" si="9"/>
        <v>6</v>
      </c>
      <c r="BX10" s="718">
        <f t="shared" si="9"/>
        <v>6</v>
      </c>
      <c r="BY10" s="718">
        <f t="shared" si="9"/>
        <v>6</v>
      </c>
      <c r="BZ10" s="718">
        <f t="shared" si="9"/>
        <v>6</v>
      </c>
      <c r="CA10" s="718">
        <f t="shared" si="9"/>
        <v>6</v>
      </c>
      <c r="CB10" s="718">
        <f t="shared" si="9"/>
        <v>6</v>
      </c>
      <c r="CC10" s="718">
        <f t="shared" si="9"/>
        <v>7</v>
      </c>
      <c r="CD10" s="718">
        <f t="shared" si="9"/>
        <v>7</v>
      </c>
      <c r="CE10" s="718">
        <f t="shared" si="9"/>
        <v>7</v>
      </c>
      <c r="CF10" s="718">
        <f t="shared" si="9"/>
        <v>7</v>
      </c>
      <c r="CG10" s="718">
        <f t="shared" si="9"/>
        <v>7</v>
      </c>
      <c r="CH10" s="718">
        <f t="shared" si="9"/>
        <v>7</v>
      </c>
      <c r="CI10" s="718">
        <f t="shared" si="9"/>
        <v>7</v>
      </c>
      <c r="CJ10" s="718">
        <f t="shared" si="9"/>
        <v>7</v>
      </c>
      <c r="CK10" s="718">
        <f t="shared" si="9"/>
        <v>7</v>
      </c>
      <c r="CL10" s="718">
        <f t="shared" si="9"/>
        <v>7</v>
      </c>
      <c r="CM10" s="718">
        <f t="shared" si="9"/>
        <v>7</v>
      </c>
      <c r="CN10" s="718">
        <f t="shared" si="9"/>
        <v>7</v>
      </c>
      <c r="CO10" s="718">
        <f t="shared" si="9"/>
        <v>8</v>
      </c>
      <c r="CP10" s="718">
        <f t="shared" si="9"/>
        <v>8</v>
      </c>
      <c r="CQ10" s="718">
        <f t="shared" si="9"/>
        <v>8</v>
      </c>
      <c r="CR10" s="718">
        <f t="shared" si="9"/>
        <v>8</v>
      </c>
      <c r="CS10" s="718">
        <f t="shared" si="9"/>
        <v>8</v>
      </c>
      <c r="CT10" s="718">
        <f t="shared" si="9"/>
        <v>8</v>
      </c>
      <c r="CU10" s="718">
        <f t="shared" si="9"/>
        <v>8</v>
      </c>
      <c r="CV10" s="718">
        <f t="shared" si="9"/>
        <v>8</v>
      </c>
      <c r="CW10" s="718">
        <f t="shared" si="9"/>
        <v>8</v>
      </c>
      <c r="CX10" s="718">
        <f t="shared" si="9"/>
        <v>8</v>
      </c>
      <c r="CY10" s="718">
        <f t="shared" si="9"/>
        <v>8</v>
      </c>
      <c r="CZ10" s="718">
        <f t="shared" si="9"/>
        <v>8</v>
      </c>
      <c r="DA10" s="718">
        <f t="shared" ref="DA10:DU10" si="10">+ROUNDUP(DA9/12,0)</f>
        <v>9</v>
      </c>
      <c r="DB10" s="718">
        <f t="shared" si="10"/>
        <v>9</v>
      </c>
      <c r="DC10" s="718">
        <f t="shared" si="10"/>
        <v>9</v>
      </c>
      <c r="DD10" s="718">
        <f t="shared" si="10"/>
        <v>9</v>
      </c>
      <c r="DE10" s="718">
        <f t="shared" si="10"/>
        <v>9</v>
      </c>
      <c r="DF10" s="718">
        <f t="shared" si="10"/>
        <v>9</v>
      </c>
      <c r="DG10" s="718">
        <f t="shared" si="10"/>
        <v>9</v>
      </c>
      <c r="DH10" s="718">
        <f t="shared" si="10"/>
        <v>9</v>
      </c>
      <c r="DI10" s="718">
        <f t="shared" si="10"/>
        <v>9</v>
      </c>
      <c r="DJ10" s="718">
        <f t="shared" si="10"/>
        <v>9</v>
      </c>
      <c r="DK10" s="718">
        <f t="shared" si="10"/>
        <v>9</v>
      </c>
      <c r="DL10" s="718">
        <f t="shared" si="10"/>
        <v>9</v>
      </c>
      <c r="DM10" s="718">
        <f t="shared" si="10"/>
        <v>10</v>
      </c>
      <c r="DN10" s="718">
        <f t="shared" si="10"/>
        <v>10</v>
      </c>
      <c r="DO10" s="718">
        <f t="shared" si="10"/>
        <v>10</v>
      </c>
      <c r="DP10" s="718">
        <f t="shared" si="10"/>
        <v>10</v>
      </c>
      <c r="DQ10" s="718">
        <f t="shared" si="10"/>
        <v>10</v>
      </c>
      <c r="DR10" s="718">
        <f t="shared" si="10"/>
        <v>10</v>
      </c>
      <c r="DS10" s="718">
        <f t="shared" si="10"/>
        <v>10</v>
      </c>
      <c r="DT10" s="718">
        <f t="shared" si="10"/>
        <v>10</v>
      </c>
      <c r="DU10" s="718">
        <f t="shared" si="10"/>
        <v>10</v>
      </c>
      <c r="DV10" s="718">
        <f t="shared" ref="DV10:DX10" si="11">+ROUNDUP(DV9/12,0)</f>
        <v>10</v>
      </c>
      <c r="DW10" s="718">
        <f t="shared" si="11"/>
        <v>10</v>
      </c>
      <c r="DX10" s="718">
        <f t="shared" si="11"/>
        <v>10</v>
      </c>
    </row>
    <row r="11" spans="1:128" s="3" customFormat="1" ht="12.75" customHeight="1" x14ac:dyDescent="0.3">
      <c r="B11" s="5"/>
      <c r="F11" s="66"/>
      <c r="G11" s="66"/>
      <c r="H11" s="276"/>
      <c r="I11" s="276"/>
      <c r="J11" s="276"/>
      <c r="K11" s="276"/>
      <c r="L11" s="276"/>
      <c r="M11" s="276"/>
      <c r="N11" s="276"/>
      <c r="O11" s="276"/>
      <c r="P11" s="276"/>
      <c r="Q11" s="276"/>
      <c r="R11" s="276"/>
      <c r="S11" s="276"/>
      <c r="T11" s="276"/>
      <c r="U11" s="276"/>
      <c r="V11" s="276"/>
      <c r="W11" s="276"/>
      <c r="X11" s="276"/>
      <c r="Y11" s="276"/>
      <c r="Z11" s="276"/>
      <c r="AA11" s="276"/>
      <c r="AB11" s="276"/>
      <c r="AC11" s="276"/>
      <c r="AD11" s="276"/>
      <c r="AE11" s="276"/>
      <c r="AF11" s="276"/>
      <c r="AG11" s="276"/>
      <c r="AH11" s="276"/>
      <c r="AI11" s="276"/>
      <c r="AJ11" s="276"/>
      <c r="AK11" s="276"/>
      <c r="AL11" s="276"/>
      <c r="AM11" s="276"/>
      <c r="AN11" s="276"/>
      <c r="AO11" s="276"/>
      <c r="AP11" s="276"/>
      <c r="AQ11" s="276"/>
      <c r="AR11" s="276"/>
      <c r="AS11" s="276"/>
      <c r="AT11" s="276"/>
      <c r="AU11" s="276"/>
      <c r="AV11" s="276"/>
      <c r="AW11" s="276"/>
      <c r="AX11" s="276"/>
      <c r="AY11" s="276"/>
      <c r="AZ11" s="276"/>
      <c r="BA11" s="276"/>
      <c r="BB11" s="276"/>
      <c r="BC11" s="276"/>
      <c r="BD11" s="276"/>
      <c r="BE11" s="276"/>
      <c r="BF11" s="276"/>
      <c r="BG11" s="276"/>
      <c r="BH11" s="276"/>
      <c r="BI11" s="276"/>
      <c r="BJ11" s="276"/>
      <c r="BK11" s="276"/>
      <c r="BL11" s="276"/>
      <c r="BM11" s="276"/>
      <c r="BN11" s="276"/>
      <c r="BO11" s="276"/>
      <c r="BP11" s="276"/>
      <c r="BQ11" s="276"/>
      <c r="BR11" s="276"/>
      <c r="BS11" s="276"/>
      <c r="BT11" s="276"/>
      <c r="BU11" s="276"/>
      <c r="BV11" s="276"/>
      <c r="BW11" s="276"/>
      <c r="BX11" s="276"/>
      <c r="BY11" s="276"/>
      <c r="BZ11" s="276"/>
      <c r="CA11" s="276"/>
      <c r="CB11" s="276"/>
      <c r="CC11" s="276"/>
      <c r="CD11" s="276"/>
      <c r="CE11" s="276"/>
      <c r="CF11" s="276"/>
      <c r="CG11" s="276"/>
      <c r="CH11" s="276"/>
      <c r="CI11" s="276"/>
      <c r="CJ11" s="276"/>
      <c r="CK11" s="276"/>
      <c r="CL11" s="276"/>
      <c r="CM11" s="276"/>
      <c r="CN11" s="276"/>
      <c r="CO11" s="276"/>
      <c r="CP11" s="276"/>
      <c r="CQ11" s="276"/>
      <c r="CR11" s="276"/>
      <c r="CS11" s="276"/>
      <c r="CT11" s="276"/>
      <c r="CU11" s="276"/>
      <c r="CV11" s="276"/>
      <c r="CW11" s="276"/>
      <c r="CX11" s="276"/>
      <c r="CY11" s="276"/>
      <c r="CZ11" s="276"/>
      <c r="DA11" s="276"/>
      <c r="DB11" s="276"/>
      <c r="DC11" s="276"/>
      <c r="DD11" s="276"/>
      <c r="DE11" s="276"/>
      <c r="DF11" s="276"/>
      <c r="DG11" s="276"/>
      <c r="DH11" s="276"/>
      <c r="DI11" s="276"/>
      <c r="DJ11" s="276"/>
      <c r="DK11" s="276"/>
      <c r="DL11" s="276"/>
      <c r="DM11" s="276"/>
      <c r="DN11" s="276"/>
      <c r="DO11" s="276"/>
      <c r="DP11" s="276"/>
      <c r="DQ11" s="276"/>
      <c r="DR11" s="276"/>
      <c r="DS11" s="276"/>
      <c r="DT11" s="276"/>
      <c r="DU11" s="276"/>
      <c r="DV11" s="276"/>
      <c r="DW11" s="276"/>
      <c r="DX11" s="276"/>
    </row>
    <row r="12" spans="1:128" s="3" customFormat="1" ht="12.75" customHeight="1" x14ac:dyDescent="0.3">
      <c r="B12" s="194" t="s">
        <v>152</v>
      </c>
      <c r="C12" s="191"/>
      <c r="D12" s="191"/>
      <c r="E12" s="191"/>
      <c r="F12" s="205"/>
      <c r="G12" s="205"/>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c r="AG12" s="110"/>
      <c r="AH12" s="110"/>
      <c r="AI12" s="110"/>
      <c r="AJ12" s="110"/>
      <c r="AK12" s="110"/>
      <c r="AL12" s="110"/>
      <c r="AM12" s="110"/>
      <c r="AN12" s="110"/>
      <c r="AO12" s="110"/>
      <c r="AP12" s="110"/>
      <c r="AQ12" s="110"/>
      <c r="AR12" s="110"/>
      <c r="AS12" s="110"/>
      <c r="AT12" s="110"/>
      <c r="AU12" s="110"/>
      <c r="AV12" s="110"/>
      <c r="AW12" s="110"/>
      <c r="AX12" s="110"/>
      <c r="AY12" s="110"/>
      <c r="AZ12" s="110"/>
      <c r="BA12" s="110"/>
      <c r="BB12" s="110"/>
      <c r="BC12" s="110"/>
      <c r="BD12" s="110"/>
      <c r="BE12" s="110"/>
      <c r="BF12" s="110"/>
      <c r="BG12" s="110"/>
      <c r="BH12" s="110"/>
      <c r="BI12" s="110"/>
      <c r="BJ12" s="110"/>
      <c r="BK12" s="110"/>
      <c r="BL12" s="110"/>
      <c r="BM12" s="110"/>
      <c r="BN12" s="110"/>
      <c r="BO12" s="110"/>
      <c r="BP12" s="110"/>
      <c r="BQ12" s="110"/>
      <c r="BR12" s="110"/>
      <c r="BS12" s="110"/>
      <c r="BT12" s="110"/>
      <c r="BU12" s="110"/>
      <c r="BV12" s="110"/>
      <c r="BW12" s="110"/>
      <c r="BX12" s="110"/>
      <c r="BY12" s="110"/>
      <c r="BZ12" s="110"/>
      <c r="CA12" s="110"/>
      <c r="CB12" s="110"/>
      <c r="CC12" s="110"/>
      <c r="CD12" s="110"/>
      <c r="CE12" s="110"/>
      <c r="CF12" s="110"/>
      <c r="CG12" s="110"/>
      <c r="CH12" s="110"/>
      <c r="CI12" s="110"/>
      <c r="CJ12" s="110"/>
      <c r="CK12" s="110"/>
      <c r="CL12" s="110"/>
      <c r="CM12" s="110"/>
      <c r="CN12" s="110"/>
      <c r="CO12" s="110"/>
      <c r="CP12" s="110"/>
      <c r="CQ12" s="110"/>
      <c r="CR12" s="110"/>
      <c r="CS12" s="110"/>
      <c r="CT12" s="110"/>
      <c r="CU12" s="110"/>
      <c r="CV12" s="110"/>
      <c r="CW12" s="110"/>
      <c r="CX12" s="110"/>
      <c r="CY12" s="110"/>
      <c r="CZ12" s="110"/>
      <c r="DA12" s="110"/>
      <c r="DB12" s="110"/>
      <c r="DC12" s="110"/>
      <c r="DD12" s="110"/>
      <c r="DE12" s="110"/>
      <c r="DF12" s="110"/>
      <c r="DG12" s="110"/>
      <c r="DH12" s="110"/>
      <c r="DI12" s="110"/>
      <c r="DJ12" s="110"/>
      <c r="DK12" s="110"/>
      <c r="DL12" s="110"/>
      <c r="DM12" s="110"/>
      <c r="DN12" s="110"/>
      <c r="DO12" s="110"/>
      <c r="DP12" s="110"/>
      <c r="DQ12" s="110"/>
      <c r="DR12" s="110"/>
      <c r="DS12" s="110"/>
      <c r="DT12" s="110"/>
      <c r="DU12" s="110"/>
      <c r="DV12" s="110"/>
      <c r="DW12" s="110"/>
      <c r="DX12" s="110"/>
    </row>
    <row r="13" spans="1:128" s="3" customFormat="1" ht="12.75" customHeight="1" x14ac:dyDescent="0.25">
      <c r="B13" s="125" t="s">
        <v>161</v>
      </c>
      <c r="G13" s="322">
        <f>+SUM(H13:DX13)</f>
        <v>50</v>
      </c>
      <c r="H13" s="293">
        <f>1*(AND(H$7&gt;'CapEx Budget'!$M$7,H7&lt;='CapEx Budget'!$M$16))</f>
        <v>0</v>
      </c>
      <c r="I13" s="293">
        <f>1*(AND(I$7&gt;'CapEx Budget'!$M$7,I7&lt;='CapEx Budget'!$M$16))</f>
        <v>1</v>
      </c>
      <c r="J13" s="293">
        <f>1*(AND(J$7&gt;'CapEx Budget'!$M$7,J7&lt;='CapEx Budget'!$M$16))</f>
        <v>1</v>
      </c>
      <c r="K13" s="293">
        <f>1*(AND(K$7&gt;'CapEx Budget'!$M$7,K7&lt;='CapEx Budget'!$M$16))</f>
        <v>1</v>
      </c>
      <c r="L13" s="293">
        <f>1*(AND(L$7&gt;'CapEx Budget'!$M$7,L7&lt;='CapEx Budget'!$M$16))</f>
        <v>1</v>
      </c>
      <c r="M13" s="293">
        <f>1*(AND(M$7&gt;'CapEx Budget'!$M$7,M7&lt;='CapEx Budget'!$M$16))</f>
        <v>1</v>
      </c>
      <c r="N13" s="293">
        <f>1*(AND(N$7&gt;'CapEx Budget'!$M$7,N7&lt;='CapEx Budget'!$M$16))</f>
        <v>1</v>
      </c>
      <c r="O13" s="293">
        <f>1*(AND(O$7&gt;'CapEx Budget'!$M$7,O7&lt;='CapEx Budget'!$M$16))</f>
        <v>1</v>
      </c>
      <c r="P13" s="293">
        <f>1*(AND(P$7&gt;'CapEx Budget'!$M$7,P7&lt;='CapEx Budget'!$M$16))</f>
        <v>1</v>
      </c>
      <c r="Q13" s="293">
        <f>1*(AND(Q$7&gt;'CapEx Budget'!$M$7,Q7&lt;='CapEx Budget'!$M$16))</f>
        <v>1</v>
      </c>
      <c r="R13" s="293">
        <f>1*(AND(R$7&gt;'CapEx Budget'!$M$7,R7&lt;='CapEx Budget'!$M$16))</f>
        <v>1</v>
      </c>
      <c r="S13" s="293">
        <f>1*(AND(S$7&gt;'CapEx Budget'!$M$7,S7&lt;='CapEx Budget'!$M$16))</f>
        <v>1</v>
      </c>
      <c r="T13" s="293">
        <f>1*(AND(T$7&gt;'CapEx Budget'!$M$7,T7&lt;='CapEx Budget'!$M$16))</f>
        <v>1</v>
      </c>
      <c r="U13" s="293">
        <f>1*(AND(U$7&gt;'CapEx Budget'!$M$7,U7&lt;='CapEx Budget'!$M$16))</f>
        <v>1</v>
      </c>
      <c r="V13" s="293">
        <f>1*(AND(V$7&gt;'CapEx Budget'!$M$7,V7&lt;='CapEx Budget'!$M$16))</f>
        <v>1</v>
      </c>
      <c r="W13" s="293">
        <f>1*(AND(W$7&gt;'CapEx Budget'!$M$7,W7&lt;='CapEx Budget'!$M$16))</f>
        <v>1</v>
      </c>
      <c r="X13" s="293">
        <f>1*(AND(X$7&gt;'CapEx Budget'!$M$7,X7&lt;='CapEx Budget'!$M$16))</f>
        <v>1</v>
      </c>
      <c r="Y13" s="293">
        <f>1*(AND(Y$7&gt;'CapEx Budget'!$M$7,Y7&lt;='CapEx Budget'!$M$16))</f>
        <v>1</v>
      </c>
      <c r="Z13" s="293">
        <f>1*(AND(Z$7&gt;'CapEx Budget'!$M$7,Z7&lt;='CapEx Budget'!$M$16))</f>
        <v>1</v>
      </c>
      <c r="AA13" s="293">
        <f>1*(AND(AA$7&gt;'CapEx Budget'!$M$7,AA7&lt;='CapEx Budget'!$M$16))</f>
        <v>1</v>
      </c>
      <c r="AB13" s="293">
        <f>1*(AND(AB$7&gt;'CapEx Budget'!$M$7,AB7&lt;='CapEx Budget'!$M$16))</f>
        <v>1</v>
      </c>
      <c r="AC13" s="293">
        <f>1*(AND(AC$7&gt;'CapEx Budget'!$M$7,AC7&lt;='CapEx Budget'!$M$16))</f>
        <v>1</v>
      </c>
      <c r="AD13" s="293">
        <f>1*(AND(AD$7&gt;'CapEx Budget'!$M$7,AD7&lt;='CapEx Budget'!$M$16))</f>
        <v>1</v>
      </c>
      <c r="AE13" s="293">
        <f>1*(AND(AE$7&gt;'CapEx Budget'!$M$7,AE7&lt;='CapEx Budget'!$M$16))</f>
        <v>1</v>
      </c>
      <c r="AF13" s="293">
        <f>1*(AND(AF$7&gt;'CapEx Budget'!$M$7,AF7&lt;='CapEx Budget'!$M$16))</f>
        <v>1</v>
      </c>
      <c r="AG13" s="293">
        <f>1*(AND(AG$7&gt;'CapEx Budget'!$M$7,AG7&lt;='CapEx Budget'!$M$16))</f>
        <v>1</v>
      </c>
      <c r="AH13" s="293">
        <f>1*(AND(AH$7&gt;'CapEx Budget'!$M$7,AH7&lt;='CapEx Budget'!$M$16))</f>
        <v>1</v>
      </c>
      <c r="AI13" s="293">
        <f>1*(AND(AI$7&gt;'CapEx Budget'!$M$7,AI7&lt;='CapEx Budget'!$M$16))</f>
        <v>1</v>
      </c>
      <c r="AJ13" s="293">
        <f>1*(AND(AJ$7&gt;'CapEx Budget'!$M$7,AJ7&lt;='CapEx Budget'!$M$16))</f>
        <v>1</v>
      </c>
      <c r="AK13" s="293">
        <f>1*(AND(AK$7&gt;'CapEx Budget'!$M$7,AK7&lt;='CapEx Budget'!$M$16))</f>
        <v>1</v>
      </c>
      <c r="AL13" s="293">
        <f>1*(AND(AL$7&gt;'CapEx Budget'!$M$7,AL7&lt;='CapEx Budget'!$M$16))</f>
        <v>1</v>
      </c>
      <c r="AM13" s="293">
        <f>1*(AND(AM$7&gt;'CapEx Budget'!$M$7,AM7&lt;='CapEx Budget'!$M$16))</f>
        <v>1</v>
      </c>
      <c r="AN13" s="293">
        <f>1*(AND(AN$7&gt;'CapEx Budget'!$M$7,AN7&lt;='CapEx Budget'!$M$16))</f>
        <v>1</v>
      </c>
      <c r="AO13" s="293">
        <f>1*(AND(AO$7&gt;'CapEx Budget'!$M$7,AO7&lt;='CapEx Budget'!$M$16))</f>
        <v>1</v>
      </c>
      <c r="AP13" s="293">
        <f>1*(AND(AP$7&gt;'CapEx Budget'!$M$7,AP7&lt;='CapEx Budget'!$M$16))</f>
        <v>1</v>
      </c>
      <c r="AQ13" s="293">
        <f>1*(AND(AQ$7&gt;'CapEx Budget'!$M$7,AQ7&lt;='CapEx Budget'!$M$16))</f>
        <v>1</v>
      </c>
      <c r="AR13" s="293">
        <f>1*(AND(AR$7&gt;'CapEx Budget'!$M$7,AR7&lt;='CapEx Budget'!$M$16))</f>
        <v>1</v>
      </c>
      <c r="AS13" s="293">
        <f>1*(AND(AS$7&gt;'CapEx Budget'!$M$7,AS7&lt;='CapEx Budget'!$M$16))</f>
        <v>1</v>
      </c>
      <c r="AT13" s="293">
        <f>1*(AND(AT$7&gt;'CapEx Budget'!$M$7,AT7&lt;='CapEx Budget'!$M$16))</f>
        <v>1</v>
      </c>
      <c r="AU13" s="293">
        <f>1*(AND(AU$7&gt;'CapEx Budget'!$M$7,AU7&lt;='CapEx Budget'!$M$16))</f>
        <v>1</v>
      </c>
      <c r="AV13" s="293">
        <f>1*(AND(AV$7&gt;'CapEx Budget'!$M$7,AV7&lt;='CapEx Budget'!$M$16))</f>
        <v>1</v>
      </c>
      <c r="AW13" s="293">
        <f>1*(AND(AW$7&gt;'CapEx Budget'!$M$7,AW7&lt;='CapEx Budget'!$M$16))</f>
        <v>1</v>
      </c>
      <c r="AX13" s="293">
        <f>1*(AND(AX$7&gt;'CapEx Budget'!$M$7,AX7&lt;='CapEx Budget'!$M$16))</f>
        <v>1</v>
      </c>
      <c r="AY13" s="293">
        <f>1*(AND(AY$7&gt;'CapEx Budget'!$M$7,AY7&lt;='CapEx Budget'!$M$16))</f>
        <v>1</v>
      </c>
      <c r="AZ13" s="293">
        <f>1*(AND(AZ$7&gt;'CapEx Budget'!$M$7,AZ7&lt;='CapEx Budget'!$M$16))</f>
        <v>1</v>
      </c>
      <c r="BA13" s="293">
        <f>1*(AND(BA$7&gt;'CapEx Budget'!$M$7,BA7&lt;='CapEx Budget'!$M$16))</f>
        <v>1</v>
      </c>
      <c r="BB13" s="293">
        <f>1*(AND(BB$7&gt;'CapEx Budget'!$M$7,BB7&lt;='CapEx Budget'!$M$16))</f>
        <v>1</v>
      </c>
      <c r="BC13" s="293">
        <f>1*(AND(BC$7&gt;'CapEx Budget'!$M$7,BC7&lt;='CapEx Budget'!$M$16))</f>
        <v>1</v>
      </c>
      <c r="BD13" s="293">
        <f>1*(AND(BD$7&gt;'CapEx Budget'!$M$7,BD7&lt;='CapEx Budget'!$M$16))</f>
        <v>1</v>
      </c>
      <c r="BE13" s="293">
        <f>1*(AND(BE$7&gt;'CapEx Budget'!$M$7,BE7&lt;='CapEx Budget'!$M$16))</f>
        <v>1</v>
      </c>
      <c r="BF13" s="293">
        <f>1*(AND(BF$7&gt;'CapEx Budget'!$M$7,BF7&lt;='CapEx Budget'!$M$16))</f>
        <v>1</v>
      </c>
      <c r="BG13" s="293">
        <f>1*(AND(BG$7&gt;'CapEx Budget'!$M$7,BG7&lt;='CapEx Budget'!$M$16))</f>
        <v>0</v>
      </c>
      <c r="BH13" s="293">
        <f>1*(AND(BH$7&gt;'CapEx Budget'!$M$7,BH7&lt;='CapEx Budget'!$M$16))</f>
        <v>0</v>
      </c>
      <c r="BI13" s="293">
        <f>1*(AND(BI$7&gt;'CapEx Budget'!$M$7,BI7&lt;='CapEx Budget'!$M$16))</f>
        <v>0</v>
      </c>
      <c r="BJ13" s="293">
        <f>1*(AND(BJ$7&gt;'CapEx Budget'!$M$7,BJ7&lt;='CapEx Budget'!$M$16))</f>
        <v>0</v>
      </c>
      <c r="BK13" s="293">
        <f>1*(AND(BK$7&gt;'CapEx Budget'!$M$7,BK7&lt;='CapEx Budget'!$M$16))</f>
        <v>0</v>
      </c>
      <c r="BL13" s="293">
        <f>1*(AND(BL$7&gt;'CapEx Budget'!$M$7,BL7&lt;='CapEx Budget'!$M$16))</f>
        <v>0</v>
      </c>
      <c r="BM13" s="293">
        <f>1*(AND(BM$7&gt;'CapEx Budget'!$M$7,BM7&lt;='CapEx Budget'!$M$16))</f>
        <v>0</v>
      </c>
      <c r="BN13" s="293">
        <f>1*(AND(BN$7&gt;'CapEx Budget'!$M$7,BN7&lt;='CapEx Budget'!$M$16))</f>
        <v>0</v>
      </c>
      <c r="BO13" s="293">
        <f>1*(AND(BO$7&gt;'CapEx Budget'!$M$7,BO7&lt;='CapEx Budget'!$M$16))</f>
        <v>0</v>
      </c>
      <c r="BP13" s="293">
        <f>1*(AND(BP$7&gt;'CapEx Budget'!$M$7,BP7&lt;='CapEx Budget'!$M$16))</f>
        <v>0</v>
      </c>
      <c r="BQ13" s="293">
        <f>1*(AND(BQ$7&gt;'CapEx Budget'!$M$7,BQ7&lt;='CapEx Budget'!$M$16))</f>
        <v>0</v>
      </c>
      <c r="BR13" s="293">
        <f>1*(AND(BR$7&gt;'CapEx Budget'!$M$7,BR7&lt;='CapEx Budget'!$M$16))</f>
        <v>0</v>
      </c>
      <c r="BS13" s="293">
        <f>1*(AND(BS$7&gt;'CapEx Budget'!$M$7,BS7&lt;='CapEx Budget'!$M$16))</f>
        <v>0</v>
      </c>
      <c r="BT13" s="293">
        <f>1*(AND(BT$7&gt;'CapEx Budget'!$M$7,BT7&lt;='CapEx Budget'!$M$16))</f>
        <v>0</v>
      </c>
      <c r="BU13" s="293">
        <f>1*(AND(BU$7&gt;'CapEx Budget'!$M$7,BU7&lt;='CapEx Budget'!$M$16))</f>
        <v>0</v>
      </c>
      <c r="BV13" s="293">
        <f>1*(AND(BV$7&gt;'CapEx Budget'!$M$7,BV7&lt;='CapEx Budget'!$M$16))</f>
        <v>0</v>
      </c>
      <c r="BW13" s="293">
        <f>1*(AND(BW$7&gt;'CapEx Budget'!$M$7,BW7&lt;='CapEx Budget'!$M$16))</f>
        <v>0</v>
      </c>
      <c r="BX13" s="293">
        <f>1*(AND(BX$7&gt;'CapEx Budget'!$M$7,BX7&lt;='CapEx Budget'!$M$16))</f>
        <v>0</v>
      </c>
      <c r="BY13" s="293">
        <f>1*(AND(BY$7&gt;'CapEx Budget'!$M$7,BY7&lt;='CapEx Budget'!$M$16))</f>
        <v>0</v>
      </c>
      <c r="BZ13" s="293">
        <f>1*(AND(BZ$7&gt;'CapEx Budget'!$M$7,BZ7&lt;='CapEx Budget'!$M$16))</f>
        <v>0</v>
      </c>
      <c r="CA13" s="293">
        <f>1*(AND(CA$7&gt;'CapEx Budget'!$M$7,CA7&lt;='CapEx Budget'!$M$16))</f>
        <v>0</v>
      </c>
      <c r="CB13" s="293">
        <f>1*(AND(CB$7&gt;'CapEx Budget'!$M$7,CB7&lt;='CapEx Budget'!$M$16))</f>
        <v>0</v>
      </c>
      <c r="CC13" s="293">
        <f>1*(AND(CC$7&gt;'CapEx Budget'!$M$7,CC7&lt;='CapEx Budget'!$M$16))</f>
        <v>0</v>
      </c>
      <c r="CD13" s="293">
        <f>1*(AND(CD$7&gt;'CapEx Budget'!$M$7,CD7&lt;='CapEx Budget'!$M$16))</f>
        <v>0</v>
      </c>
      <c r="CE13" s="293">
        <f>1*(AND(CE$7&gt;'CapEx Budget'!$M$7,CE7&lt;='CapEx Budget'!$M$16))</f>
        <v>0</v>
      </c>
      <c r="CF13" s="293">
        <f>1*(AND(CF$7&gt;'CapEx Budget'!$M$7,CF7&lt;='CapEx Budget'!$M$16))</f>
        <v>0</v>
      </c>
      <c r="CG13" s="293">
        <f>1*(AND(CG$7&gt;'CapEx Budget'!$M$7,CG7&lt;='CapEx Budget'!$M$16))</f>
        <v>0</v>
      </c>
      <c r="CH13" s="293">
        <f>1*(AND(CH$7&gt;'CapEx Budget'!$M$7,CH7&lt;='CapEx Budget'!$M$16))</f>
        <v>0</v>
      </c>
      <c r="CI13" s="293">
        <f>1*(AND(CI$7&gt;'CapEx Budget'!$M$7,CI7&lt;='CapEx Budget'!$M$16))</f>
        <v>0</v>
      </c>
      <c r="CJ13" s="293">
        <f>1*(AND(CJ$7&gt;'CapEx Budget'!$M$7,CJ7&lt;='CapEx Budget'!$M$16))</f>
        <v>0</v>
      </c>
      <c r="CK13" s="293">
        <f>1*(AND(CK$7&gt;'CapEx Budget'!$M$7,CK7&lt;='CapEx Budget'!$M$16))</f>
        <v>0</v>
      </c>
      <c r="CL13" s="293">
        <f>1*(AND(CL$7&gt;'CapEx Budget'!$M$7,CL7&lt;='CapEx Budget'!$M$16))</f>
        <v>0</v>
      </c>
      <c r="CM13" s="293">
        <f>1*(AND(CM$7&gt;'CapEx Budget'!$M$7,CM7&lt;='CapEx Budget'!$M$16))</f>
        <v>0</v>
      </c>
      <c r="CN13" s="293">
        <f>1*(AND(CN$7&gt;'CapEx Budget'!$M$7,CN7&lt;='CapEx Budget'!$M$16))</f>
        <v>0</v>
      </c>
      <c r="CO13" s="293">
        <f>1*(AND(CO$7&gt;'CapEx Budget'!$M$7,CO7&lt;='CapEx Budget'!$M$16))</f>
        <v>0</v>
      </c>
      <c r="CP13" s="293">
        <f>1*(AND(CP$7&gt;'CapEx Budget'!$M$7,CP7&lt;='CapEx Budget'!$M$16))</f>
        <v>0</v>
      </c>
      <c r="CQ13" s="293">
        <f>1*(AND(CQ$7&gt;'CapEx Budget'!$M$7,CQ7&lt;='CapEx Budget'!$M$16))</f>
        <v>0</v>
      </c>
      <c r="CR13" s="293">
        <f>1*(AND(CR$7&gt;'CapEx Budget'!$M$7,CR7&lt;='CapEx Budget'!$M$16))</f>
        <v>0</v>
      </c>
      <c r="CS13" s="293">
        <f>1*(AND(CS$7&gt;'CapEx Budget'!$M$7,CS7&lt;='CapEx Budget'!$M$16))</f>
        <v>0</v>
      </c>
      <c r="CT13" s="293">
        <f>1*(AND(CT$7&gt;'CapEx Budget'!$M$7,CT7&lt;='CapEx Budget'!$M$16))</f>
        <v>0</v>
      </c>
      <c r="CU13" s="293">
        <f>1*(AND(CU$7&gt;'CapEx Budget'!$M$7,CU7&lt;='CapEx Budget'!$M$16))</f>
        <v>0</v>
      </c>
      <c r="CV13" s="293">
        <f>1*(AND(CV$7&gt;'CapEx Budget'!$M$7,CV7&lt;='CapEx Budget'!$M$16))</f>
        <v>0</v>
      </c>
      <c r="CW13" s="293">
        <f>1*(AND(CW$7&gt;'CapEx Budget'!$M$7,CW7&lt;='CapEx Budget'!$M$16))</f>
        <v>0</v>
      </c>
      <c r="CX13" s="293">
        <f>1*(AND(CX$7&gt;'CapEx Budget'!$M$7,CX7&lt;='CapEx Budget'!$M$16))</f>
        <v>0</v>
      </c>
      <c r="CY13" s="293">
        <f>1*(AND(CY$7&gt;'CapEx Budget'!$M$7,CY7&lt;='CapEx Budget'!$M$16))</f>
        <v>0</v>
      </c>
      <c r="CZ13" s="293">
        <f>1*(AND(CZ$7&gt;'CapEx Budget'!$M$7,CZ7&lt;='CapEx Budget'!$M$16))</f>
        <v>0</v>
      </c>
      <c r="DA13" s="293">
        <f>1*(AND(DA$7&gt;'CapEx Budget'!$M$7,DA7&lt;='CapEx Budget'!$M$16))</f>
        <v>0</v>
      </c>
      <c r="DB13" s="293">
        <f>1*(AND(DB$7&gt;'CapEx Budget'!$M$7,DB7&lt;='CapEx Budget'!$M$16))</f>
        <v>0</v>
      </c>
      <c r="DC13" s="293">
        <f>1*(AND(DC$7&gt;'CapEx Budget'!$M$7,DC7&lt;='CapEx Budget'!$M$16))</f>
        <v>0</v>
      </c>
      <c r="DD13" s="293">
        <f>1*(AND(DD$7&gt;'CapEx Budget'!$M$7,DD7&lt;='CapEx Budget'!$M$16))</f>
        <v>0</v>
      </c>
      <c r="DE13" s="293">
        <f>1*(AND(DE$7&gt;'CapEx Budget'!$M$7,DE7&lt;='CapEx Budget'!$M$16))</f>
        <v>0</v>
      </c>
      <c r="DF13" s="293">
        <f>1*(AND(DF$7&gt;'CapEx Budget'!$M$7,DF7&lt;='CapEx Budget'!$M$16))</f>
        <v>0</v>
      </c>
      <c r="DG13" s="293">
        <f>1*(AND(DG$7&gt;'CapEx Budget'!$M$7,DG7&lt;='CapEx Budget'!$M$16))</f>
        <v>0</v>
      </c>
      <c r="DH13" s="293">
        <f>1*(AND(DH$7&gt;'CapEx Budget'!$M$7,DH7&lt;='CapEx Budget'!$M$16))</f>
        <v>0</v>
      </c>
      <c r="DI13" s="293">
        <f>1*(AND(DI$7&gt;'CapEx Budget'!$M$7,DI7&lt;='CapEx Budget'!$M$16))</f>
        <v>0</v>
      </c>
      <c r="DJ13" s="293">
        <f>1*(AND(DJ$7&gt;'CapEx Budget'!$M$7,DJ7&lt;='CapEx Budget'!$M$16))</f>
        <v>0</v>
      </c>
      <c r="DK13" s="293">
        <f>1*(AND(DK$7&gt;'CapEx Budget'!$M$7,DK7&lt;='CapEx Budget'!$M$16))</f>
        <v>0</v>
      </c>
      <c r="DL13" s="293">
        <f>1*(AND(DL$7&gt;'CapEx Budget'!$M$7,DL7&lt;='CapEx Budget'!$M$16))</f>
        <v>0</v>
      </c>
      <c r="DM13" s="293">
        <f>1*(AND(DM$7&gt;'CapEx Budget'!$M$7,DM7&lt;='CapEx Budget'!$M$16))</f>
        <v>0</v>
      </c>
      <c r="DN13" s="293">
        <f>1*(AND(DN$7&gt;'CapEx Budget'!$M$7,DN7&lt;='CapEx Budget'!$M$16))</f>
        <v>0</v>
      </c>
      <c r="DO13" s="293">
        <f>1*(AND(DO$7&gt;'CapEx Budget'!$M$7,DO7&lt;='CapEx Budget'!$M$16))</f>
        <v>0</v>
      </c>
      <c r="DP13" s="293">
        <f>1*(AND(DP$7&gt;'CapEx Budget'!$M$7,DP7&lt;='CapEx Budget'!$M$16))</f>
        <v>0</v>
      </c>
      <c r="DQ13" s="293">
        <f>1*(AND(DQ$7&gt;'CapEx Budget'!$M$7,DQ7&lt;='CapEx Budget'!$M$16))</f>
        <v>0</v>
      </c>
      <c r="DR13" s="293">
        <f>1*(AND(DR$7&gt;'CapEx Budget'!$M$7,DR7&lt;='CapEx Budget'!$M$16))</f>
        <v>0</v>
      </c>
      <c r="DS13" s="293">
        <f>1*(AND(DS$7&gt;'CapEx Budget'!$M$7,DS7&lt;='CapEx Budget'!$M$16))</f>
        <v>0</v>
      </c>
      <c r="DT13" s="293">
        <f>1*(AND(DT$7&gt;'CapEx Budget'!$M$7,DT7&lt;='CapEx Budget'!$M$16))</f>
        <v>0</v>
      </c>
      <c r="DU13" s="293">
        <f>1*(AND(DU$7&gt;'CapEx Budget'!$M$7,DU7&lt;='CapEx Budget'!$M$16))</f>
        <v>0</v>
      </c>
      <c r="DV13" s="293">
        <f>1*(AND(DV$7&gt;'CapEx Budget'!$M$7,DV7&lt;='CapEx Budget'!$M$16))</f>
        <v>0</v>
      </c>
      <c r="DW13" s="293">
        <f>1*(AND(DW$7&gt;'CapEx Budget'!$M$7,DW7&lt;='CapEx Budget'!$M$16))</f>
        <v>0</v>
      </c>
      <c r="DX13" s="293">
        <f>1*(AND(DX$7&gt;'CapEx Budget'!$M$7,DX7&lt;='CapEx Budget'!$M$16))</f>
        <v>0</v>
      </c>
    </row>
    <row r="14" spans="1:128" s="3" customFormat="1" ht="12.75" customHeight="1" x14ac:dyDescent="0.25">
      <c r="B14" s="125" t="s">
        <v>167</v>
      </c>
      <c r="G14" s="322">
        <f>+SUM(H14:DX14)</f>
        <v>25</v>
      </c>
      <c r="H14" s="293">
        <f>1*(AND(H$7&gt;'CapEx Budget'!$M$16,H$7&lt;=Inputs!$K$81))</f>
        <v>0</v>
      </c>
      <c r="I14" s="293">
        <f>1*(AND(I$7&gt;'CapEx Budget'!$M$16,I$7&lt;=Inputs!$K$81))</f>
        <v>0</v>
      </c>
      <c r="J14" s="293">
        <f>1*(AND(J$7&gt;'CapEx Budget'!$M$16,J$7&lt;=Inputs!$K$81))</f>
        <v>0</v>
      </c>
      <c r="K14" s="293">
        <f>1*(AND(K$7&gt;'CapEx Budget'!$M$16,K$7&lt;=Inputs!$K$81))</f>
        <v>0</v>
      </c>
      <c r="L14" s="293">
        <f>1*(AND(L$7&gt;'CapEx Budget'!$M$16,L$7&lt;=Inputs!$K$81))</f>
        <v>0</v>
      </c>
      <c r="M14" s="293">
        <f>1*(AND(M$7&gt;'CapEx Budget'!$M$16,M$7&lt;=Inputs!$K$81))</f>
        <v>0</v>
      </c>
      <c r="N14" s="293">
        <f>1*(AND(N$7&gt;'CapEx Budget'!$M$16,N$7&lt;=Inputs!$K$81))</f>
        <v>0</v>
      </c>
      <c r="O14" s="293">
        <f>1*(AND(O$7&gt;'CapEx Budget'!$M$16,O$7&lt;=Inputs!$K$81))</f>
        <v>0</v>
      </c>
      <c r="P14" s="293">
        <f>1*(AND(P$7&gt;'CapEx Budget'!$M$16,P$7&lt;=Inputs!$K$81))</f>
        <v>0</v>
      </c>
      <c r="Q14" s="293">
        <f>1*(AND(Q$7&gt;'CapEx Budget'!$M$16,Q$7&lt;=Inputs!$K$81))</f>
        <v>0</v>
      </c>
      <c r="R14" s="293">
        <f>1*(AND(R$7&gt;'CapEx Budget'!$M$16,R$7&lt;=Inputs!$K$81))</f>
        <v>0</v>
      </c>
      <c r="S14" s="293">
        <f>1*(AND(S$7&gt;'CapEx Budget'!$M$16,S$7&lt;=Inputs!$K$81))</f>
        <v>0</v>
      </c>
      <c r="T14" s="293">
        <f>1*(AND(T$7&gt;'CapEx Budget'!$M$16,T$7&lt;=Inputs!$K$81))</f>
        <v>0</v>
      </c>
      <c r="U14" s="293">
        <f>1*(AND(U$7&gt;'CapEx Budget'!$M$16,U$7&lt;=Inputs!$K$81))</f>
        <v>0</v>
      </c>
      <c r="V14" s="293">
        <f>1*(AND(V$7&gt;'CapEx Budget'!$M$16,V$7&lt;=Inputs!$K$81))</f>
        <v>0</v>
      </c>
      <c r="W14" s="293">
        <f>1*(AND(W$7&gt;'CapEx Budget'!$M$16,W$7&lt;=Inputs!$K$81))</f>
        <v>0</v>
      </c>
      <c r="X14" s="293">
        <f>1*(AND(X$7&gt;'CapEx Budget'!$M$16,X$7&lt;=Inputs!$K$81))</f>
        <v>0</v>
      </c>
      <c r="Y14" s="293">
        <f>1*(AND(Y$7&gt;'CapEx Budget'!$M$16,Y$7&lt;=Inputs!$K$81))</f>
        <v>0</v>
      </c>
      <c r="Z14" s="293">
        <f>1*(AND(Z$7&gt;'CapEx Budget'!$M$16,Z$7&lt;=Inputs!$K$81))</f>
        <v>0</v>
      </c>
      <c r="AA14" s="293">
        <f>1*(AND(AA$7&gt;'CapEx Budget'!$M$16,AA$7&lt;=Inputs!$K$81))</f>
        <v>0</v>
      </c>
      <c r="AB14" s="293">
        <f>1*(AND(AB$7&gt;'CapEx Budget'!$M$16,AB$7&lt;=Inputs!$K$81))</f>
        <v>0</v>
      </c>
      <c r="AC14" s="293">
        <f>1*(AND(AC$7&gt;'CapEx Budget'!$M$16,AC$7&lt;=Inputs!$K$81))</f>
        <v>0</v>
      </c>
      <c r="AD14" s="293">
        <f>1*(AND(AD$7&gt;'CapEx Budget'!$M$16,AD$7&lt;=Inputs!$K$81))</f>
        <v>0</v>
      </c>
      <c r="AE14" s="293">
        <f>1*(AND(AE$7&gt;'CapEx Budget'!$M$16,AE$7&lt;=Inputs!$K$81))</f>
        <v>0</v>
      </c>
      <c r="AF14" s="293">
        <f>1*(AND(AF$7&gt;'CapEx Budget'!$M$16,AF$7&lt;=Inputs!$K$81))</f>
        <v>0</v>
      </c>
      <c r="AG14" s="293">
        <f>1*(AND(AG$7&gt;'CapEx Budget'!$M$16,AG$7&lt;=Inputs!$K$81))</f>
        <v>0</v>
      </c>
      <c r="AH14" s="293">
        <f>1*(AND(AH$7&gt;'CapEx Budget'!$M$16,AH$7&lt;=Inputs!$K$81))</f>
        <v>0</v>
      </c>
      <c r="AI14" s="293">
        <f>1*(AND(AI$7&gt;'CapEx Budget'!$M$16,AI$7&lt;=Inputs!$K$81))</f>
        <v>0</v>
      </c>
      <c r="AJ14" s="293">
        <f>1*(AND(AJ$7&gt;'CapEx Budget'!$M$16,AJ$7&lt;=Inputs!$K$81))</f>
        <v>0</v>
      </c>
      <c r="AK14" s="293">
        <f>1*(AND(AK$7&gt;'CapEx Budget'!$M$16,AK$7&lt;=Inputs!$K$81))</f>
        <v>0</v>
      </c>
      <c r="AL14" s="293">
        <f>1*(AND(AL$7&gt;'CapEx Budget'!$M$16,AL$7&lt;=Inputs!$K$81))</f>
        <v>0</v>
      </c>
      <c r="AM14" s="293">
        <f>1*(AND(AM$7&gt;'CapEx Budget'!$M$16,AM$7&lt;=Inputs!$K$81))</f>
        <v>0</v>
      </c>
      <c r="AN14" s="293">
        <f>1*(AND(AN$7&gt;'CapEx Budget'!$M$16,AN$7&lt;=Inputs!$K$81))</f>
        <v>0</v>
      </c>
      <c r="AO14" s="293">
        <f>1*(AND(AO$7&gt;'CapEx Budget'!$M$16,AO$7&lt;=Inputs!$K$81))</f>
        <v>0</v>
      </c>
      <c r="AP14" s="293">
        <f>1*(AND(AP$7&gt;'CapEx Budget'!$M$16,AP$7&lt;=Inputs!$K$81))</f>
        <v>0</v>
      </c>
      <c r="AQ14" s="293">
        <f>1*(AND(AQ$7&gt;'CapEx Budget'!$M$16,AQ$7&lt;=Inputs!$K$81))</f>
        <v>0</v>
      </c>
      <c r="AR14" s="293">
        <f>1*(AND(AR$7&gt;'CapEx Budget'!$M$16,AR$7&lt;=Inputs!$K$81))</f>
        <v>0</v>
      </c>
      <c r="AS14" s="293">
        <f>1*(AND(AS$7&gt;'CapEx Budget'!$M$16,AS$7&lt;=Inputs!$K$81))</f>
        <v>0</v>
      </c>
      <c r="AT14" s="293">
        <f>1*(AND(AT$7&gt;'CapEx Budget'!$M$16,AT$7&lt;=Inputs!$K$81))</f>
        <v>0</v>
      </c>
      <c r="AU14" s="293">
        <f>1*(AND(AU$7&gt;'CapEx Budget'!$M$16,AU$7&lt;=Inputs!$K$81))</f>
        <v>0</v>
      </c>
      <c r="AV14" s="293">
        <f>1*(AND(AV$7&gt;'CapEx Budget'!$M$16,AV$7&lt;=Inputs!$K$81))</f>
        <v>0</v>
      </c>
      <c r="AW14" s="293">
        <f>1*(AND(AW$7&gt;'CapEx Budget'!$M$16,AW$7&lt;=Inputs!$K$81))</f>
        <v>0</v>
      </c>
      <c r="AX14" s="293">
        <f>1*(AND(AX$7&gt;'CapEx Budget'!$M$16,AX$7&lt;=Inputs!$K$81))</f>
        <v>0</v>
      </c>
      <c r="AY14" s="293">
        <f>1*(AND(AY$7&gt;'CapEx Budget'!$M$16,AY$7&lt;=Inputs!$K$81))</f>
        <v>0</v>
      </c>
      <c r="AZ14" s="293">
        <f>1*(AND(AZ$7&gt;'CapEx Budget'!$M$16,AZ$7&lt;=Inputs!$K$81))</f>
        <v>0</v>
      </c>
      <c r="BA14" s="293">
        <f>1*(AND(BA$7&gt;'CapEx Budget'!$M$16,BA$7&lt;=Inputs!$K$81))</f>
        <v>0</v>
      </c>
      <c r="BB14" s="293">
        <f>1*(AND(BB$7&gt;'CapEx Budget'!$M$16,BB$7&lt;=Inputs!$K$81))</f>
        <v>0</v>
      </c>
      <c r="BC14" s="293">
        <f>1*(AND(BC$7&gt;'CapEx Budget'!$M$16,BC$7&lt;=Inputs!$K$81))</f>
        <v>0</v>
      </c>
      <c r="BD14" s="293">
        <f>1*(AND(BD$7&gt;'CapEx Budget'!$M$16,BD$7&lt;=Inputs!$K$81))</f>
        <v>0</v>
      </c>
      <c r="BE14" s="293">
        <f>1*(AND(BE$7&gt;'CapEx Budget'!$M$16,BE$7&lt;=Inputs!$K$81))</f>
        <v>0</v>
      </c>
      <c r="BF14" s="293">
        <f>1*(AND(BF$7&gt;'CapEx Budget'!$M$16,BF$7&lt;=Inputs!$K$81))</f>
        <v>0</v>
      </c>
      <c r="BG14" s="293">
        <f>1*(AND(BG$7&gt;'CapEx Budget'!$M$16,BG$7&lt;=Inputs!$K$81))</f>
        <v>1</v>
      </c>
      <c r="BH14" s="293">
        <f>1*(AND(BH$7&gt;'CapEx Budget'!$M$16,BH$7&lt;=Inputs!$K$81))</f>
        <v>1</v>
      </c>
      <c r="BI14" s="293">
        <f>1*(AND(BI$7&gt;'CapEx Budget'!$M$16,BI$7&lt;=Inputs!$K$81))</f>
        <v>1</v>
      </c>
      <c r="BJ14" s="293">
        <f>1*(AND(BJ$7&gt;'CapEx Budget'!$M$16,BJ$7&lt;=Inputs!$K$81))</f>
        <v>1</v>
      </c>
      <c r="BK14" s="293">
        <f>1*(AND(BK$7&gt;'CapEx Budget'!$M$16,BK$7&lt;=Inputs!$K$81))</f>
        <v>1</v>
      </c>
      <c r="BL14" s="293">
        <f>1*(AND(BL$7&gt;'CapEx Budget'!$M$16,BL$7&lt;=Inputs!$K$81))</f>
        <v>1</v>
      </c>
      <c r="BM14" s="293">
        <f>1*(AND(BM$7&gt;'CapEx Budget'!$M$16,BM$7&lt;=Inputs!$K$81))</f>
        <v>1</v>
      </c>
      <c r="BN14" s="293">
        <f>1*(AND(BN$7&gt;'CapEx Budget'!$M$16,BN$7&lt;=Inputs!$K$81))</f>
        <v>1</v>
      </c>
      <c r="BO14" s="293">
        <f>1*(AND(BO$7&gt;'CapEx Budget'!$M$16,BO$7&lt;=Inputs!$K$81))</f>
        <v>1</v>
      </c>
      <c r="BP14" s="293">
        <f>1*(AND(BP$7&gt;'CapEx Budget'!$M$16,BP$7&lt;=Inputs!$K$81))</f>
        <v>1</v>
      </c>
      <c r="BQ14" s="293">
        <f>1*(AND(BQ$7&gt;'CapEx Budget'!$M$16,BQ$7&lt;=Inputs!$K$81))</f>
        <v>1</v>
      </c>
      <c r="BR14" s="293">
        <f>1*(AND(BR$7&gt;'CapEx Budget'!$M$16,BR$7&lt;=Inputs!$K$81))</f>
        <v>1</v>
      </c>
      <c r="BS14" s="293">
        <f>1*(AND(BS$7&gt;'CapEx Budget'!$M$16,BS$7&lt;=Inputs!$K$81))</f>
        <v>1</v>
      </c>
      <c r="BT14" s="293">
        <f>1*(AND(BT$7&gt;'CapEx Budget'!$M$16,BT$7&lt;=Inputs!$K$81))</f>
        <v>1</v>
      </c>
      <c r="BU14" s="293">
        <f>1*(AND(BU$7&gt;'CapEx Budget'!$M$16,BU$7&lt;=Inputs!$K$81))</f>
        <v>1</v>
      </c>
      <c r="BV14" s="293">
        <f>1*(AND(BV$7&gt;'CapEx Budget'!$M$16,BV$7&lt;=Inputs!$K$81))</f>
        <v>1</v>
      </c>
      <c r="BW14" s="293">
        <f>1*(AND(BW$7&gt;'CapEx Budget'!$M$16,BW$7&lt;=Inputs!$K$81))</f>
        <v>1</v>
      </c>
      <c r="BX14" s="293">
        <f>1*(AND(BX$7&gt;'CapEx Budget'!$M$16,BX$7&lt;=Inputs!$K$81))</f>
        <v>1</v>
      </c>
      <c r="BY14" s="293">
        <f>1*(AND(BY$7&gt;'CapEx Budget'!$M$16,BY$7&lt;=Inputs!$K$81))</f>
        <v>1</v>
      </c>
      <c r="BZ14" s="293">
        <f>1*(AND(BZ$7&gt;'CapEx Budget'!$M$16,BZ$7&lt;=Inputs!$K$81))</f>
        <v>1</v>
      </c>
      <c r="CA14" s="293">
        <f>1*(AND(CA$7&gt;'CapEx Budget'!$M$16,CA$7&lt;=Inputs!$K$81))</f>
        <v>1</v>
      </c>
      <c r="CB14" s="293">
        <f>1*(AND(CB$7&gt;'CapEx Budget'!$M$16,CB$7&lt;=Inputs!$K$81))</f>
        <v>1</v>
      </c>
      <c r="CC14" s="293">
        <f>1*(AND(CC$7&gt;'CapEx Budget'!$M$16,CC$7&lt;=Inputs!$K$81))</f>
        <v>1</v>
      </c>
      <c r="CD14" s="293">
        <f>1*(AND(CD$7&gt;'CapEx Budget'!$M$16,CD$7&lt;=Inputs!$K$81))</f>
        <v>1</v>
      </c>
      <c r="CE14" s="293">
        <f>1*(AND(CE$7&gt;'CapEx Budget'!$M$16,CE$7&lt;=Inputs!$K$81))</f>
        <v>1</v>
      </c>
      <c r="CF14" s="293">
        <f>1*(AND(CF$7&gt;'CapEx Budget'!$M$16,CF$7&lt;=Inputs!$K$81))</f>
        <v>0</v>
      </c>
      <c r="CG14" s="293">
        <f>1*(AND(CG$7&gt;'CapEx Budget'!$M$16,CG$7&lt;=Inputs!$K$81))</f>
        <v>0</v>
      </c>
      <c r="CH14" s="293">
        <f>1*(AND(CH$7&gt;'CapEx Budget'!$M$16,CH$7&lt;=Inputs!$K$81))</f>
        <v>0</v>
      </c>
      <c r="CI14" s="293">
        <f>1*(AND(CI$7&gt;'CapEx Budget'!$M$16,CI$7&lt;=Inputs!$K$81))</f>
        <v>0</v>
      </c>
      <c r="CJ14" s="293">
        <f>1*(AND(CJ$7&gt;'CapEx Budget'!$M$16,CJ$7&lt;=Inputs!$K$81))</f>
        <v>0</v>
      </c>
      <c r="CK14" s="293">
        <f>1*(AND(CK$7&gt;'CapEx Budget'!$M$16,CK$7&lt;=Inputs!$K$81))</f>
        <v>0</v>
      </c>
      <c r="CL14" s="293">
        <f>1*(AND(CL$7&gt;'CapEx Budget'!$M$16,CL$7&lt;=Inputs!$K$81))</f>
        <v>0</v>
      </c>
      <c r="CM14" s="293">
        <f>1*(AND(CM$7&gt;'CapEx Budget'!$M$16,CM$7&lt;=Inputs!$K$81))</f>
        <v>0</v>
      </c>
      <c r="CN14" s="293">
        <f>1*(AND(CN$7&gt;'CapEx Budget'!$M$16,CN$7&lt;=Inputs!$K$81))</f>
        <v>0</v>
      </c>
      <c r="CO14" s="293">
        <f>1*(AND(CO$7&gt;'CapEx Budget'!$M$16,CO$7&lt;=Inputs!$K$81))</f>
        <v>0</v>
      </c>
      <c r="CP14" s="293">
        <f>1*(AND(CP$7&gt;'CapEx Budget'!$M$16,CP$7&lt;=Inputs!$K$81))</f>
        <v>0</v>
      </c>
      <c r="CQ14" s="293">
        <f>1*(AND(CQ$7&gt;'CapEx Budget'!$M$16,CQ$7&lt;=Inputs!$K$81))</f>
        <v>0</v>
      </c>
      <c r="CR14" s="293">
        <f>1*(AND(CR$7&gt;'CapEx Budget'!$M$16,CR$7&lt;=Inputs!$K$81))</f>
        <v>0</v>
      </c>
      <c r="CS14" s="293">
        <f>1*(AND(CS$7&gt;'CapEx Budget'!$M$16,CS$7&lt;=Inputs!$K$81))</f>
        <v>0</v>
      </c>
      <c r="CT14" s="293">
        <f>1*(AND(CT$7&gt;'CapEx Budget'!$M$16,CT$7&lt;=Inputs!$K$81))</f>
        <v>0</v>
      </c>
      <c r="CU14" s="293">
        <f>1*(AND(CU$7&gt;'CapEx Budget'!$M$16,CU$7&lt;=Inputs!$K$81))</f>
        <v>0</v>
      </c>
      <c r="CV14" s="293">
        <f>1*(AND(CV$7&gt;'CapEx Budget'!$M$16,CV$7&lt;=Inputs!$K$81))</f>
        <v>0</v>
      </c>
      <c r="CW14" s="293">
        <f>1*(AND(CW$7&gt;'CapEx Budget'!$M$16,CW$7&lt;=Inputs!$K$81))</f>
        <v>0</v>
      </c>
      <c r="CX14" s="293">
        <f>1*(AND(CX$7&gt;'CapEx Budget'!$M$16,CX$7&lt;=Inputs!$K$81))</f>
        <v>0</v>
      </c>
      <c r="CY14" s="293">
        <f>1*(AND(CY$7&gt;'CapEx Budget'!$M$16,CY$7&lt;=Inputs!$K$81))</f>
        <v>0</v>
      </c>
      <c r="CZ14" s="293">
        <f>1*(AND(CZ$7&gt;'CapEx Budget'!$M$16,CZ$7&lt;=Inputs!$K$81))</f>
        <v>0</v>
      </c>
      <c r="DA14" s="293">
        <f>1*(AND(DA$7&gt;'CapEx Budget'!$M$16,DA$7&lt;=Inputs!$K$81))</f>
        <v>0</v>
      </c>
      <c r="DB14" s="293">
        <f>1*(AND(DB$7&gt;'CapEx Budget'!$M$16,DB$7&lt;=Inputs!$K$81))</f>
        <v>0</v>
      </c>
      <c r="DC14" s="293">
        <f>1*(AND(DC$7&gt;'CapEx Budget'!$M$16,DC$7&lt;=Inputs!$K$81))</f>
        <v>0</v>
      </c>
      <c r="DD14" s="293">
        <f>1*(AND(DD$7&gt;'CapEx Budget'!$M$16,DD$7&lt;=Inputs!$K$81))</f>
        <v>0</v>
      </c>
      <c r="DE14" s="293">
        <f>1*(AND(DE$7&gt;'CapEx Budget'!$M$16,DE$7&lt;=Inputs!$K$81))</f>
        <v>0</v>
      </c>
      <c r="DF14" s="293">
        <f>1*(AND(DF$7&gt;'CapEx Budget'!$M$16,DF$7&lt;=Inputs!$K$81))</f>
        <v>0</v>
      </c>
      <c r="DG14" s="293">
        <f>1*(AND(DG$7&gt;'CapEx Budget'!$M$16,DG$7&lt;=Inputs!$K$81))</f>
        <v>0</v>
      </c>
      <c r="DH14" s="293">
        <f>1*(AND(DH$7&gt;'CapEx Budget'!$M$16,DH$7&lt;=Inputs!$K$81))</f>
        <v>0</v>
      </c>
      <c r="DI14" s="293">
        <f>1*(AND(DI$7&gt;'CapEx Budget'!$M$16,DI$7&lt;=Inputs!$K$81))</f>
        <v>0</v>
      </c>
      <c r="DJ14" s="293">
        <f>1*(AND(DJ$7&gt;'CapEx Budget'!$M$16,DJ$7&lt;=Inputs!$K$81))</f>
        <v>0</v>
      </c>
      <c r="DK14" s="293">
        <f>1*(AND(DK$7&gt;'CapEx Budget'!$M$16,DK$7&lt;=Inputs!$K$81))</f>
        <v>0</v>
      </c>
      <c r="DL14" s="293">
        <f>1*(AND(DL$7&gt;'CapEx Budget'!$M$16,DL$7&lt;=Inputs!$K$81))</f>
        <v>0</v>
      </c>
      <c r="DM14" s="293">
        <f>1*(AND(DM$7&gt;'CapEx Budget'!$M$16,DM$7&lt;=Inputs!$K$81))</f>
        <v>0</v>
      </c>
      <c r="DN14" s="293">
        <f>1*(AND(DN$7&gt;'CapEx Budget'!$M$16,DN$7&lt;=Inputs!$K$81))</f>
        <v>0</v>
      </c>
      <c r="DO14" s="293">
        <f>1*(AND(DO$7&gt;'CapEx Budget'!$M$16,DO$7&lt;=Inputs!$K$81))</f>
        <v>0</v>
      </c>
      <c r="DP14" s="293">
        <f>1*(AND(DP$7&gt;'CapEx Budget'!$M$16,DP$7&lt;=Inputs!$K$81))</f>
        <v>0</v>
      </c>
      <c r="DQ14" s="293">
        <f>1*(AND(DQ$7&gt;'CapEx Budget'!$M$16,DQ$7&lt;=Inputs!$K$81))</f>
        <v>0</v>
      </c>
      <c r="DR14" s="293">
        <f>1*(AND(DR$7&gt;'CapEx Budget'!$M$16,DR$7&lt;=Inputs!$K$81))</f>
        <v>0</v>
      </c>
      <c r="DS14" s="293">
        <f>1*(AND(DS$7&gt;'CapEx Budget'!$M$16,DS$7&lt;=Inputs!$K$81))</f>
        <v>0</v>
      </c>
      <c r="DT14" s="293">
        <f>1*(AND(DT$7&gt;'CapEx Budget'!$M$16,DT$7&lt;=Inputs!$K$81))</f>
        <v>0</v>
      </c>
      <c r="DU14" s="293">
        <f>1*(AND(DU$7&gt;'CapEx Budget'!$M$16,DU$7&lt;=Inputs!$K$81))</f>
        <v>0</v>
      </c>
      <c r="DV14" s="293">
        <f>1*(AND(DV$7&gt;'CapEx Budget'!$M$16,DV$7&lt;=Inputs!$K$81))</f>
        <v>0</v>
      </c>
      <c r="DW14" s="293">
        <f>1*(AND(DW$7&gt;'CapEx Budget'!$M$16,DW$7&lt;=Inputs!$K$81))</f>
        <v>0</v>
      </c>
      <c r="DX14" s="293">
        <f>1*(AND(DX$7&gt;'CapEx Budget'!$M$16,DX$7&lt;=Inputs!$K$81))</f>
        <v>0</v>
      </c>
    </row>
    <row r="15" spans="1:128" s="3" customFormat="1" ht="12.75" customHeight="1" x14ac:dyDescent="0.3">
      <c r="B15" s="5"/>
      <c r="F15" s="66"/>
      <c r="G15" s="66"/>
      <c r="H15" s="111"/>
      <c r="I15" s="111"/>
      <c r="J15" s="111"/>
      <c r="K15" s="111"/>
      <c r="L15" s="111"/>
      <c r="M15" s="111"/>
      <c r="N15" s="111"/>
      <c r="O15" s="111"/>
      <c r="P15" s="111"/>
      <c r="Q15" s="111"/>
      <c r="R15" s="111"/>
      <c r="S15" s="111"/>
      <c r="T15" s="111"/>
      <c r="U15" s="111"/>
      <c r="V15" s="111"/>
      <c r="W15" s="111"/>
      <c r="X15" s="111"/>
      <c r="Y15" s="111"/>
      <c r="Z15" s="111"/>
      <c r="AA15" s="111"/>
      <c r="AB15" s="111"/>
      <c r="AC15" s="111"/>
      <c r="AD15" s="111"/>
      <c r="AE15" s="111"/>
      <c r="AF15" s="111"/>
      <c r="AG15" s="111"/>
      <c r="AH15" s="111"/>
      <c r="AI15" s="111"/>
      <c r="AJ15" s="111"/>
      <c r="AK15" s="111"/>
      <c r="AL15" s="111"/>
      <c r="AM15" s="111"/>
      <c r="AN15" s="111"/>
      <c r="AO15" s="111"/>
      <c r="AP15" s="111"/>
      <c r="AQ15" s="111"/>
      <c r="AR15" s="111"/>
      <c r="AS15" s="111"/>
      <c r="AT15" s="111"/>
      <c r="AU15" s="111"/>
      <c r="AV15" s="111"/>
      <c r="AW15" s="111"/>
      <c r="AX15" s="111"/>
      <c r="AY15" s="111"/>
      <c r="AZ15" s="111"/>
      <c r="BA15" s="111"/>
      <c r="BB15" s="111"/>
      <c r="BC15" s="111"/>
      <c r="BD15" s="111"/>
      <c r="BE15" s="111"/>
      <c r="BF15" s="111"/>
      <c r="BG15" s="111"/>
      <c r="BH15" s="111"/>
      <c r="BI15" s="111"/>
      <c r="BJ15" s="111"/>
      <c r="BK15" s="111"/>
      <c r="BL15" s="111"/>
      <c r="BM15" s="111"/>
      <c r="BN15" s="111"/>
      <c r="BO15" s="111"/>
      <c r="BP15" s="111"/>
      <c r="BQ15" s="111"/>
      <c r="BR15" s="111"/>
      <c r="BS15" s="111"/>
      <c r="BT15" s="111"/>
      <c r="BU15" s="111"/>
      <c r="BV15" s="111"/>
      <c r="BW15" s="111"/>
      <c r="BX15" s="111"/>
      <c r="BY15" s="111"/>
      <c r="BZ15" s="111"/>
      <c r="CA15" s="111"/>
      <c r="CB15" s="111"/>
      <c r="CC15" s="111"/>
      <c r="CD15" s="111"/>
      <c r="CE15" s="111"/>
      <c r="CF15" s="111"/>
      <c r="CG15" s="111"/>
      <c r="CH15" s="111"/>
      <c r="CI15" s="111"/>
      <c r="CJ15" s="111"/>
      <c r="CK15" s="111"/>
      <c r="CL15" s="111"/>
      <c r="CM15" s="111"/>
      <c r="CN15" s="111"/>
      <c r="CO15" s="111"/>
      <c r="CP15" s="111"/>
      <c r="CQ15" s="111"/>
      <c r="CR15" s="111"/>
      <c r="CS15" s="111"/>
      <c r="CT15" s="111"/>
      <c r="CU15" s="111"/>
      <c r="CV15" s="111"/>
      <c r="CW15" s="111"/>
      <c r="CX15" s="111"/>
      <c r="CY15" s="111"/>
      <c r="CZ15" s="111"/>
      <c r="DA15" s="111"/>
      <c r="DB15" s="111"/>
      <c r="DC15" s="111"/>
      <c r="DD15" s="111"/>
      <c r="DE15" s="111"/>
      <c r="DF15" s="111"/>
      <c r="DG15" s="111"/>
      <c r="DH15" s="111"/>
      <c r="DI15" s="111"/>
      <c r="DJ15" s="111"/>
      <c r="DK15" s="111"/>
      <c r="DL15" s="111"/>
      <c r="DM15" s="111"/>
      <c r="DN15" s="111"/>
      <c r="DO15" s="111"/>
      <c r="DP15" s="111"/>
      <c r="DQ15" s="111"/>
      <c r="DR15" s="111"/>
      <c r="DS15" s="111"/>
      <c r="DT15" s="111"/>
      <c r="DU15" s="111"/>
      <c r="DV15" s="111"/>
      <c r="DW15" s="111"/>
      <c r="DX15" s="111"/>
    </row>
    <row r="16" spans="1:128" s="3" customFormat="1" ht="12.75" customHeight="1" x14ac:dyDescent="0.3">
      <c r="B16" s="313" t="s">
        <v>418</v>
      </c>
      <c r="C16" s="313"/>
      <c r="D16" s="313"/>
      <c r="E16" s="313"/>
      <c r="F16" s="313"/>
      <c r="G16" s="313"/>
      <c r="H16" s="313"/>
      <c r="I16" s="313"/>
      <c r="J16" s="313"/>
      <c r="K16" s="313"/>
      <c r="L16" s="313"/>
      <c r="M16" s="313"/>
      <c r="N16" s="313"/>
      <c r="O16" s="313"/>
      <c r="P16" s="313"/>
      <c r="Q16" s="313"/>
      <c r="R16" s="313"/>
      <c r="S16" s="313"/>
      <c r="T16" s="313"/>
      <c r="U16" s="313"/>
      <c r="V16" s="313"/>
      <c r="W16" s="313"/>
      <c r="X16" s="313"/>
      <c r="Y16" s="313"/>
      <c r="Z16" s="313"/>
      <c r="AA16" s="313"/>
      <c r="AB16" s="313"/>
      <c r="AC16" s="313"/>
      <c r="AD16" s="313"/>
      <c r="AE16" s="313"/>
      <c r="AF16" s="313"/>
      <c r="AG16" s="313"/>
      <c r="AH16" s="313"/>
      <c r="AI16" s="313"/>
      <c r="AJ16" s="313"/>
      <c r="AK16" s="313"/>
      <c r="AL16" s="313"/>
      <c r="AM16" s="313"/>
      <c r="AN16" s="313"/>
      <c r="AO16" s="313"/>
      <c r="AP16" s="313"/>
      <c r="AQ16" s="313"/>
      <c r="AR16" s="313"/>
      <c r="AS16" s="313"/>
      <c r="AT16" s="313"/>
      <c r="AU16" s="313"/>
      <c r="AV16" s="313"/>
      <c r="AW16" s="313"/>
      <c r="AX16" s="313"/>
      <c r="AY16" s="313"/>
      <c r="AZ16" s="313"/>
      <c r="BA16" s="313"/>
      <c r="BB16" s="313"/>
      <c r="BC16" s="313"/>
      <c r="BD16" s="313"/>
      <c r="BE16" s="313"/>
      <c r="BF16" s="313"/>
      <c r="BG16" s="313"/>
      <c r="BH16" s="313"/>
      <c r="BI16" s="313"/>
      <c r="BJ16" s="313"/>
      <c r="BK16" s="313"/>
      <c r="BL16" s="313"/>
      <c r="BM16" s="313"/>
      <c r="BN16" s="313"/>
      <c r="BO16" s="313"/>
      <c r="BP16" s="313"/>
      <c r="BQ16" s="313"/>
      <c r="BR16" s="313"/>
      <c r="BS16" s="313"/>
      <c r="BT16" s="313"/>
      <c r="BU16" s="313"/>
      <c r="BV16" s="313"/>
      <c r="BW16" s="313"/>
      <c r="BX16" s="313"/>
      <c r="BY16" s="313"/>
      <c r="BZ16" s="313"/>
      <c r="CA16" s="313"/>
      <c r="CB16" s="313"/>
      <c r="CC16" s="313"/>
      <c r="CD16" s="313"/>
      <c r="CE16" s="313"/>
      <c r="CF16" s="313"/>
      <c r="CG16" s="313"/>
      <c r="CH16" s="313"/>
      <c r="CI16" s="313"/>
      <c r="CJ16" s="313"/>
      <c r="CK16" s="313"/>
      <c r="CL16" s="313"/>
      <c r="CM16" s="313"/>
      <c r="CN16" s="313"/>
      <c r="CO16" s="313"/>
      <c r="CP16" s="313"/>
      <c r="CQ16" s="313"/>
      <c r="CR16" s="313"/>
      <c r="CS16" s="313"/>
      <c r="CT16" s="313"/>
      <c r="CU16" s="313"/>
      <c r="CV16" s="313"/>
      <c r="CW16" s="313"/>
      <c r="CX16" s="313"/>
      <c r="CY16" s="313"/>
      <c r="CZ16" s="313"/>
      <c r="DA16" s="313"/>
      <c r="DB16" s="313"/>
      <c r="DC16" s="313"/>
      <c r="DD16" s="313"/>
      <c r="DE16" s="313"/>
      <c r="DF16" s="313"/>
      <c r="DG16" s="313"/>
      <c r="DH16" s="313"/>
      <c r="DI16" s="313"/>
      <c r="DJ16" s="313"/>
      <c r="DK16" s="313"/>
      <c r="DL16" s="313"/>
      <c r="DM16" s="313"/>
      <c r="DN16" s="313"/>
      <c r="DO16" s="313"/>
      <c r="DP16" s="313"/>
      <c r="DQ16" s="313"/>
      <c r="DR16" s="313"/>
      <c r="DS16" s="313"/>
      <c r="DT16" s="313"/>
      <c r="DU16" s="313"/>
      <c r="DV16" s="313"/>
      <c r="DW16" s="313"/>
      <c r="DX16" s="313"/>
    </row>
    <row r="17" spans="1:128" s="3" customFormat="1" ht="12.75" customHeight="1" outlineLevel="1" x14ac:dyDescent="0.3">
      <c r="B17" s="146"/>
      <c r="F17" s="66"/>
      <c r="G17" s="66"/>
      <c r="H17" s="111"/>
      <c r="I17" s="111"/>
      <c r="J17" s="111"/>
      <c r="K17" s="111"/>
      <c r="L17" s="111"/>
      <c r="M17" s="111"/>
      <c r="N17" s="111"/>
      <c r="O17" s="111"/>
      <c r="P17" s="111"/>
      <c r="Q17" s="111"/>
      <c r="R17" s="111"/>
      <c r="S17" s="111"/>
      <c r="T17" s="111"/>
      <c r="U17" s="111"/>
      <c r="V17" s="111"/>
      <c r="W17" s="111"/>
      <c r="X17" s="111"/>
      <c r="Y17" s="111"/>
      <c r="Z17" s="111"/>
      <c r="AA17" s="111"/>
      <c r="AB17" s="111"/>
      <c r="AC17" s="111"/>
      <c r="AD17" s="111"/>
      <c r="AE17" s="111"/>
      <c r="AF17" s="111"/>
      <c r="AG17" s="111"/>
      <c r="AH17" s="111"/>
      <c r="AI17" s="111"/>
      <c r="AJ17" s="111"/>
      <c r="AK17" s="111"/>
      <c r="AL17" s="111"/>
      <c r="AM17" s="111"/>
      <c r="AN17" s="111"/>
      <c r="AO17" s="111"/>
      <c r="AP17" s="111"/>
      <c r="AQ17" s="111"/>
      <c r="AR17" s="111"/>
      <c r="AS17" s="111"/>
      <c r="AT17" s="111"/>
      <c r="AU17" s="111"/>
      <c r="AV17" s="111"/>
      <c r="AW17" s="111"/>
      <c r="AX17" s="111"/>
      <c r="AY17" s="111"/>
      <c r="AZ17" s="111"/>
      <c r="BA17" s="111"/>
      <c r="BB17" s="111"/>
      <c r="BC17" s="111"/>
      <c r="BD17" s="111"/>
      <c r="BE17" s="111"/>
      <c r="BF17" s="111"/>
      <c r="BG17" s="111"/>
      <c r="BH17" s="111"/>
      <c r="BI17" s="111"/>
      <c r="BJ17" s="111"/>
      <c r="BK17" s="111"/>
      <c r="BL17" s="111"/>
      <c r="BM17" s="111"/>
      <c r="BN17" s="111"/>
      <c r="BO17" s="111"/>
      <c r="BP17" s="111"/>
      <c r="BQ17" s="111"/>
      <c r="BR17" s="111"/>
      <c r="BS17" s="111"/>
      <c r="BT17" s="111"/>
      <c r="BU17" s="111"/>
      <c r="BV17" s="111"/>
      <c r="BW17" s="111"/>
      <c r="BX17" s="111"/>
      <c r="BY17" s="111"/>
      <c r="BZ17" s="111"/>
      <c r="CA17" s="111"/>
      <c r="CB17" s="111"/>
      <c r="CC17" s="111"/>
      <c r="CD17" s="111"/>
      <c r="CE17" s="111"/>
      <c r="CF17" s="111"/>
      <c r="CG17" s="111"/>
      <c r="CH17" s="111"/>
      <c r="CI17" s="111"/>
      <c r="CJ17" s="111"/>
      <c r="CK17" s="111"/>
      <c r="CL17" s="111"/>
      <c r="CM17" s="111"/>
      <c r="CN17" s="111"/>
      <c r="CO17" s="111"/>
      <c r="CP17" s="111"/>
      <c r="CQ17" s="111"/>
      <c r="CR17" s="111"/>
      <c r="CS17" s="111"/>
      <c r="CT17" s="111"/>
      <c r="CU17" s="111"/>
      <c r="CV17" s="111"/>
      <c r="CW17" s="111"/>
      <c r="CX17" s="111"/>
      <c r="CY17" s="111"/>
      <c r="CZ17" s="111"/>
      <c r="DA17" s="111"/>
      <c r="DB17" s="111"/>
      <c r="DC17" s="111"/>
      <c r="DD17" s="111"/>
      <c r="DE17" s="111"/>
      <c r="DF17" s="111"/>
      <c r="DG17" s="111"/>
      <c r="DH17" s="111"/>
      <c r="DI17" s="111"/>
      <c r="DJ17" s="111"/>
      <c r="DK17" s="111"/>
      <c r="DL17" s="111"/>
      <c r="DM17" s="111"/>
      <c r="DN17" s="111"/>
      <c r="DO17" s="111"/>
      <c r="DP17" s="111"/>
      <c r="DQ17" s="111"/>
      <c r="DR17" s="111"/>
      <c r="DS17" s="111"/>
      <c r="DT17" s="111"/>
      <c r="DU17" s="111"/>
      <c r="DV17" s="111"/>
      <c r="DW17" s="111"/>
      <c r="DX17" s="111"/>
    </row>
    <row r="18" spans="1:128" s="3" customFormat="1" ht="12.75" customHeight="1" outlineLevel="1" x14ac:dyDescent="0.3">
      <c r="B18" s="125" t="s">
        <v>432</v>
      </c>
      <c r="C18" s="346">
        <f>+Inputs!$L$123</f>
        <v>0.03</v>
      </c>
      <c r="D18" s="650">
        <f>+(1+C18)^(1/12)-1</f>
        <v>2.4662697723036864E-3</v>
      </c>
      <c r="F18" s="66"/>
      <c r="G18" s="66"/>
      <c r="H18" s="111"/>
      <c r="I18" s="111"/>
      <c r="J18" s="111"/>
      <c r="K18" s="111"/>
      <c r="L18" s="111"/>
      <c r="M18" s="111"/>
      <c r="N18" s="111"/>
      <c r="O18" s="111"/>
      <c r="P18" s="111"/>
      <c r="Q18" s="111"/>
      <c r="R18" s="111"/>
      <c r="S18" s="111"/>
      <c r="T18" s="111"/>
      <c r="U18" s="111"/>
      <c r="V18" s="111"/>
      <c r="W18" s="111"/>
      <c r="X18" s="111"/>
      <c r="Y18" s="111"/>
      <c r="Z18" s="111"/>
      <c r="AA18" s="111"/>
      <c r="AB18" s="111"/>
      <c r="AC18" s="111"/>
      <c r="AD18" s="111"/>
      <c r="AE18" s="111"/>
      <c r="AF18" s="111"/>
      <c r="AG18" s="111"/>
      <c r="AH18" s="111"/>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111"/>
      <c r="BU18" s="111"/>
      <c r="BV18" s="111"/>
      <c r="BW18" s="111"/>
      <c r="BX18" s="111"/>
      <c r="BY18" s="111"/>
      <c r="BZ18" s="111"/>
      <c r="CA18" s="111"/>
      <c r="CB18" s="111"/>
      <c r="CC18" s="111"/>
      <c r="CD18" s="111"/>
      <c r="CE18" s="111"/>
      <c r="CF18" s="111"/>
      <c r="CG18" s="111"/>
      <c r="CH18" s="111"/>
      <c r="CI18" s="111"/>
      <c r="CJ18" s="111"/>
      <c r="CK18" s="111"/>
      <c r="CL18" s="111"/>
      <c r="CM18" s="111"/>
      <c r="CN18" s="111"/>
      <c r="CO18" s="111"/>
      <c r="CP18" s="111"/>
      <c r="CQ18" s="111"/>
      <c r="CR18" s="111"/>
      <c r="CS18" s="111"/>
      <c r="CT18" s="111"/>
      <c r="CU18" s="111"/>
      <c r="CV18" s="111"/>
      <c r="CW18" s="111"/>
      <c r="CX18" s="111"/>
      <c r="CY18" s="111"/>
      <c r="CZ18" s="111"/>
      <c r="DA18" s="111"/>
      <c r="DB18" s="111"/>
      <c r="DC18" s="111"/>
      <c r="DD18" s="111"/>
      <c r="DE18" s="111"/>
      <c r="DF18" s="111"/>
      <c r="DG18" s="111"/>
      <c r="DH18" s="111"/>
      <c r="DI18" s="111"/>
      <c r="DJ18" s="111"/>
      <c r="DK18" s="111"/>
      <c r="DL18" s="111"/>
      <c r="DM18" s="111"/>
      <c r="DN18" s="111"/>
      <c r="DO18" s="111"/>
      <c r="DP18" s="111"/>
      <c r="DQ18" s="111"/>
      <c r="DR18" s="111"/>
      <c r="DS18" s="111"/>
      <c r="DT18" s="111"/>
      <c r="DU18" s="111"/>
      <c r="DV18" s="111"/>
      <c r="DW18" s="111"/>
      <c r="DX18" s="111"/>
    </row>
    <row r="19" spans="1:128" s="3" customFormat="1" ht="12.75" customHeight="1" outlineLevel="1" x14ac:dyDescent="0.3">
      <c r="B19" s="125" t="s">
        <v>433</v>
      </c>
      <c r="C19" s="346">
        <f>+Inputs!$L$124</f>
        <v>0.02</v>
      </c>
      <c r="D19" s="650">
        <f>+(1+C19)^(1/12)-1</f>
        <v>1.6515813019202241E-3</v>
      </c>
      <c r="F19" s="66"/>
      <c r="G19" s="66"/>
      <c r="H19" s="111"/>
      <c r="I19" s="111"/>
      <c r="J19" s="111"/>
      <c r="K19" s="111"/>
      <c r="L19" s="111"/>
      <c r="M19" s="111"/>
      <c r="N19" s="111"/>
      <c r="O19" s="111"/>
      <c r="P19" s="111"/>
      <c r="Q19" s="111"/>
      <c r="R19" s="111"/>
      <c r="S19" s="111"/>
      <c r="T19" s="111"/>
      <c r="U19" s="111"/>
      <c r="V19" s="111"/>
      <c r="W19" s="111"/>
      <c r="X19" s="111"/>
      <c r="Y19" s="111"/>
      <c r="Z19" s="111"/>
      <c r="AA19" s="111"/>
      <c r="AB19" s="111"/>
      <c r="AC19" s="111"/>
      <c r="AD19" s="111"/>
      <c r="AE19" s="111"/>
      <c r="AF19" s="111"/>
      <c r="AG19" s="111"/>
      <c r="AH19" s="111"/>
      <c r="AI19" s="111"/>
      <c r="AJ19" s="111"/>
      <c r="AK19" s="111"/>
      <c r="AL19" s="111"/>
      <c r="AM19" s="111"/>
      <c r="AN19" s="111"/>
      <c r="AO19" s="111"/>
      <c r="AP19" s="111"/>
      <c r="AQ19" s="111"/>
      <c r="AR19" s="111"/>
      <c r="AS19" s="111"/>
      <c r="AT19" s="111"/>
      <c r="AU19" s="111"/>
      <c r="AV19" s="111"/>
      <c r="AW19" s="111"/>
      <c r="AX19" s="111"/>
      <c r="AY19" s="111"/>
      <c r="AZ19" s="111"/>
      <c r="BA19" s="111"/>
      <c r="BB19" s="111"/>
      <c r="BC19" s="111"/>
      <c r="BD19" s="111"/>
      <c r="BE19" s="111"/>
      <c r="BF19" s="111"/>
      <c r="BG19" s="111"/>
      <c r="BH19" s="111"/>
      <c r="BI19" s="111"/>
      <c r="BJ19" s="111"/>
      <c r="BK19" s="111"/>
      <c r="BL19" s="111"/>
      <c r="BM19" s="1143"/>
      <c r="BN19" s="111"/>
      <c r="BO19" s="111"/>
      <c r="BP19" s="111"/>
      <c r="BQ19" s="111"/>
      <c r="BR19" s="111"/>
      <c r="BS19" s="111"/>
      <c r="BT19" s="111"/>
      <c r="BU19" s="111"/>
      <c r="BV19" s="111"/>
      <c r="BW19" s="111"/>
      <c r="BX19" s="111"/>
      <c r="BY19" s="111"/>
      <c r="BZ19" s="111"/>
      <c r="CA19" s="111"/>
      <c r="CB19" s="111"/>
      <c r="CC19" s="111"/>
      <c r="CD19" s="111"/>
      <c r="CE19" s="111"/>
      <c r="CF19" s="111"/>
      <c r="CG19" s="111"/>
      <c r="CH19" s="111"/>
      <c r="CI19" s="111"/>
      <c r="CJ19" s="111"/>
      <c r="CK19" s="111"/>
      <c r="CL19" s="111"/>
      <c r="CM19" s="111"/>
      <c r="CN19" s="111"/>
      <c r="CO19" s="111"/>
      <c r="CP19" s="111"/>
      <c r="CQ19" s="111"/>
      <c r="CR19" s="111"/>
      <c r="CS19" s="111"/>
      <c r="CT19" s="111"/>
      <c r="CU19" s="111"/>
      <c r="CV19" s="111"/>
      <c r="CW19" s="111"/>
      <c r="CX19" s="111"/>
      <c r="CY19" s="111"/>
      <c r="CZ19" s="111"/>
      <c r="DA19" s="111"/>
      <c r="DB19" s="111"/>
      <c r="DC19" s="111"/>
      <c r="DD19" s="111"/>
      <c r="DE19" s="111"/>
      <c r="DF19" s="111"/>
      <c r="DG19" s="111"/>
      <c r="DH19" s="111"/>
      <c r="DI19" s="111"/>
      <c r="DJ19" s="111"/>
      <c r="DK19" s="111"/>
      <c r="DL19" s="111"/>
      <c r="DM19" s="111"/>
      <c r="DN19" s="111"/>
      <c r="DO19" s="111"/>
      <c r="DP19" s="111"/>
      <c r="DQ19" s="111"/>
      <c r="DR19" s="111"/>
      <c r="DS19" s="111"/>
      <c r="DT19" s="111"/>
      <c r="DU19" s="111"/>
      <c r="DV19" s="111"/>
      <c r="DW19" s="111"/>
      <c r="DX19" s="111"/>
    </row>
    <row r="20" spans="1:128" s="3" customFormat="1" ht="12.75" customHeight="1" outlineLevel="1" x14ac:dyDescent="0.25">
      <c r="B20" s="125" t="s">
        <v>62</v>
      </c>
      <c r="C20" s="651"/>
      <c r="D20" s="652"/>
      <c r="F20" s="66"/>
      <c r="G20" s="66"/>
      <c r="H20" s="1091">
        <v>26656.79</v>
      </c>
      <c r="I20" s="300">
        <v>26634.9</v>
      </c>
      <c r="J20" s="300">
        <v>26731.119999999999</v>
      </c>
      <c r="K20" s="300">
        <v>26798.14</v>
      </c>
      <c r="L20" s="300">
        <v>26824.94</v>
      </c>
      <c r="M20" s="300">
        <v>26923.7</v>
      </c>
      <c r="N20" s="300">
        <v>26966.89</v>
      </c>
      <c r="O20" s="300">
        <v>27004.63</v>
      </c>
      <c r="P20" s="300">
        <v>27078.32</v>
      </c>
      <c r="Q20" s="300">
        <v>27158.77</v>
      </c>
      <c r="R20" s="300">
        <v>27202.48</v>
      </c>
      <c r="S20" s="300">
        <v>27287.57</v>
      </c>
      <c r="T20" s="300">
        <v>27357.45</v>
      </c>
      <c r="U20" s="300">
        <v>27432.1</v>
      </c>
      <c r="V20" s="300">
        <v>27532.799999999999</v>
      </c>
      <c r="W20" s="300">
        <v>27565.79</v>
      </c>
      <c r="X20" s="300">
        <v>27546.22</v>
      </c>
      <c r="Y20" s="300">
        <v>27556.9</v>
      </c>
      <c r="Z20" s="300">
        <v>27565.759999999998</v>
      </c>
      <c r="AA20" s="300">
        <v>27662.17</v>
      </c>
      <c r="AB20" s="300">
        <v>27762.55</v>
      </c>
      <c r="AC20" s="300">
        <v>27903.3</v>
      </c>
      <c r="AD20" s="300">
        <v>27953.42</v>
      </c>
      <c r="AE20" s="300">
        <v>27993.08</v>
      </c>
      <c r="AF20" s="300">
        <v>28048.53</v>
      </c>
      <c r="AG20" s="300">
        <v>28065.35</v>
      </c>
      <c r="AH20" s="300">
        <v>28222.33</v>
      </c>
      <c r="AI20" s="300">
        <v>28309.94</v>
      </c>
      <c r="AJ20" s="300">
        <v>28338.25</v>
      </c>
      <c r="AK20" s="300">
        <v>28463.67</v>
      </c>
      <c r="AL20" s="300">
        <v>28597.46</v>
      </c>
      <c r="AM20" s="300">
        <v>28690.73</v>
      </c>
      <c r="AN20" s="300">
        <v>28716.52</v>
      </c>
      <c r="AO20" s="300">
        <v>28696.42</v>
      </c>
      <c r="AP20" s="300">
        <v>28667.439999999999</v>
      </c>
      <c r="AQ20" s="300">
        <v>28679.45</v>
      </c>
      <c r="AR20" s="300">
        <v>28707.85</v>
      </c>
      <c r="AS20" s="300">
        <v>28838.63</v>
      </c>
      <c r="AT20" s="300">
        <v>29030.17</v>
      </c>
      <c r="AU20" s="300">
        <v>29070.33</v>
      </c>
      <c r="AV20" s="300">
        <v>29123.74</v>
      </c>
      <c r="AW20" s="300">
        <v>29287.38</v>
      </c>
      <c r="AX20" s="300">
        <v>29394.77</v>
      </c>
      <c r="AY20" s="300">
        <v>29494.13</v>
      </c>
      <c r="AZ20" s="300">
        <v>29613.26</v>
      </c>
      <c r="BA20" s="300">
        <v>29709.83</v>
      </c>
      <c r="BB20" s="300">
        <v>29757.64</v>
      </c>
      <c r="BC20" s="300">
        <v>30024.38</v>
      </c>
      <c r="BD20" s="300">
        <v>30088.37</v>
      </c>
      <c r="BE20" s="300">
        <v>30380.53</v>
      </c>
      <c r="BF20" s="300">
        <v>30762.799999999999</v>
      </c>
      <c r="BG20" s="300">
        <v>30991.74</v>
      </c>
      <c r="BH20" s="300">
        <v>31212.65</v>
      </c>
      <c r="BI20" s="300">
        <v>31539.200000000001</v>
      </c>
      <c r="BJ20" s="300">
        <v>31727.74</v>
      </c>
      <c r="BK20" s="300">
        <v>32176.49</v>
      </c>
      <c r="BL20" s="300">
        <v>32679.54</v>
      </c>
      <c r="BM20" s="300">
        <v>33086.83</v>
      </c>
      <c r="BN20" s="300">
        <v>33417.26</v>
      </c>
      <c r="BO20" s="300">
        <v>33836.51</v>
      </c>
      <c r="BP20" s="300">
        <v>34258.230000000003</v>
      </c>
      <c r="BQ20" s="300">
        <v>34600.35</v>
      </c>
      <c r="BR20" s="300">
        <v>34811.800000000003</v>
      </c>
      <c r="BS20" s="300">
        <v>35110.980000000003</v>
      </c>
      <c r="BT20" s="300">
        <v>35110.980000000003</v>
      </c>
      <c r="BU20" s="300">
        <v>35509.68</v>
      </c>
      <c r="BV20" s="300">
        <v>35575.480000000003</v>
      </c>
      <c r="BW20" s="300">
        <v>35838.550000000003</v>
      </c>
      <c r="BX20" s="300">
        <v>36032.89</v>
      </c>
      <c r="BY20" s="293">
        <f t="shared" ref="BY20:DX20" si="12">+BX20*(1+$D$18)</f>
        <v>36121.756827415746</v>
      </c>
      <c r="BZ20" s="293">
        <f t="shared" si="12"/>
        <v>36210.842824401705</v>
      </c>
      <c r="CA20" s="293">
        <f t="shared" si="12"/>
        <v>36300.148531489169</v>
      </c>
      <c r="CB20" s="293">
        <f t="shared" si="12"/>
        <v>36389.674490542515</v>
      </c>
      <c r="CC20" s="293">
        <f t="shared" si="12"/>
        <v>36479.42124476251</v>
      </c>
      <c r="CD20" s="293">
        <f t="shared" si="12"/>
        <v>36569.389338689602</v>
      </c>
      <c r="CE20" s="293">
        <f t="shared" si="12"/>
        <v>36659.579318207216</v>
      </c>
      <c r="CF20" s="293">
        <f t="shared" si="12"/>
        <v>36749.99173054508</v>
      </c>
      <c r="CG20" s="293">
        <f t="shared" si="12"/>
        <v>36840.627124282531</v>
      </c>
      <c r="CH20" s="293">
        <f t="shared" si="12"/>
        <v>36931.486049351857</v>
      </c>
      <c r="CI20" s="293">
        <f t="shared" si="12"/>
        <v>37022.569057041626</v>
      </c>
      <c r="CJ20" s="293">
        <f t="shared" si="12"/>
        <v>37113.876700000037</v>
      </c>
      <c r="CK20" s="293">
        <f t="shared" si="12"/>
        <v>37205.409532238256</v>
      </c>
      <c r="CL20" s="293">
        <f t="shared" si="12"/>
        <v>37297.168109133796</v>
      </c>
      <c r="CM20" s="293">
        <f t="shared" si="12"/>
        <v>37389.152987433881</v>
      </c>
      <c r="CN20" s="293">
        <f t="shared" si="12"/>
        <v>37481.364725258827</v>
      </c>
      <c r="CO20" s="293">
        <f t="shared" si="12"/>
        <v>37573.803882105422</v>
      </c>
      <c r="CP20" s="293">
        <f t="shared" si="12"/>
        <v>37666.471018850323</v>
      </c>
      <c r="CQ20" s="293">
        <f t="shared" si="12"/>
        <v>37759.366697753467</v>
      </c>
      <c r="CR20" s="293">
        <f t="shared" si="12"/>
        <v>37852.491482461468</v>
      </c>
      <c r="CS20" s="293">
        <f t="shared" si="12"/>
        <v>37945.845938011043</v>
      </c>
      <c r="CT20" s="293">
        <f t="shared" si="12"/>
        <v>38039.430630832452</v>
      </c>
      <c r="CU20" s="293">
        <f t="shared" si="12"/>
        <v>38133.246128752915</v>
      </c>
      <c r="CV20" s="293">
        <f t="shared" si="12"/>
        <v>38227.293001000078</v>
      </c>
      <c r="CW20" s="293">
        <f t="shared" si="12"/>
        <v>38321.571818205441</v>
      </c>
      <c r="CX20" s="293">
        <f t="shared" si="12"/>
        <v>38416.083152407846</v>
      </c>
      <c r="CY20" s="293">
        <f t="shared" si="12"/>
        <v>38510.827577056931</v>
      </c>
      <c r="CZ20" s="293">
        <f t="shared" si="12"/>
        <v>38605.805667016626</v>
      </c>
      <c r="DA20" s="293">
        <f t="shared" si="12"/>
        <v>38701.017998568619</v>
      </c>
      <c r="DB20" s="293">
        <f t="shared" si="12"/>
        <v>38796.465149415868</v>
      </c>
      <c r="DC20" s="293">
        <f t="shared" si="12"/>
        <v>38892.147698686109</v>
      </c>
      <c r="DD20" s="293">
        <f t="shared" si="12"/>
        <v>38988.066226935349</v>
      </c>
      <c r="DE20" s="293">
        <f t="shared" si="12"/>
        <v>39084.221316151416</v>
      </c>
      <c r="DF20" s="293">
        <f t="shared" si="12"/>
        <v>39180.613549757465</v>
      </c>
      <c r="DG20" s="293">
        <f t="shared" si="12"/>
        <v>39277.243512615547</v>
      </c>
      <c r="DH20" s="293">
        <f t="shared" si="12"/>
        <v>39374.111791030118</v>
      </c>
      <c r="DI20" s="293">
        <f t="shared" si="12"/>
        <v>39471.218972751645</v>
      </c>
      <c r="DJ20" s="293">
        <f t="shared" si="12"/>
        <v>39568.565646980125</v>
      </c>
      <c r="DK20" s="293">
        <f t="shared" si="12"/>
        <v>39666.152404368688</v>
      </c>
      <c r="DL20" s="293">
        <f t="shared" si="12"/>
        <v>39763.979837027175</v>
      </c>
      <c r="DM20" s="293">
        <f t="shared" si="12"/>
        <v>39862.048538525727</v>
      </c>
      <c r="DN20" s="293">
        <f t="shared" si="12"/>
        <v>39960.359103898394</v>
      </c>
      <c r="DO20" s="293">
        <f t="shared" si="12"/>
        <v>40058.912129646742</v>
      </c>
      <c r="DP20" s="293">
        <f t="shared" si="12"/>
        <v>40157.708213743463</v>
      </c>
      <c r="DQ20" s="293">
        <f t="shared" si="12"/>
        <v>40256.747955636012</v>
      </c>
      <c r="DR20" s="293">
        <f t="shared" si="12"/>
        <v>40356.031956250248</v>
      </c>
      <c r="DS20" s="293">
        <f t="shared" si="12"/>
        <v>40455.560817994068</v>
      </c>
      <c r="DT20" s="293">
        <f t="shared" si="12"/>
        <v>40555.335144761084</v>
      </c>
      <c r="DU20" s="293">
        <f t="shared" si="12"/>
        <v>40655.355541934252</v>
      </c>
      <c r="DV20" s="293">
        <f t="shared" si="12"/>
        <v>40755.622616389584</v>
      </c>
      <c r="DW20" s="293">
        <f t="shared" si="12"/>
        <v>40856.136976499802</v>
      </c>
      <c r="DX20" s="293">
        <f t="shared" si="12"/>
        <v>40956.899232138043</v>
      </c>
    </row>
    <row r="21" spans="1:128" s="3" customFormat="1" ht="12.75" customHeight="1" outlineLevel="1" x14ac:dyDescent="0.25">
      <c r="B21" s="125" t="s">
        <v>434</v>
      </c>
      <c r="C21" s="651"/>
      <c r="D21" s="652"/>
      <c r="F21" s="66"/>
      <c r="G21" s="66"/>
      <c r="H21" s="1091">
        <v>636.85</v>
      </c>
      <c r="I21" s="300">
        <v>636.49</v>
      </c>
      <c r="J21" s="300">
        <v>642.41</v>
      </c>
      <c r="K21" s="300">
        <v>615.22</v>
      </c>
      <c r="L21" s="300">
        <v>604.41999999999996</v>
      </c>
      <c r="M21" s="300">
        <v>589.15</v>
      </c>
      <c r="N21" s="300">
        <v>605.26</v>
      </c>
      <c r="O21" s="300">
        <v>605.74</v>
      </c>
      <c r="P21" s="300">
        <v>628.33000000000004</v>
      </c>
      <c r="Q21" s="300">
        <v>647.95000000000005</v>
      </c>
      <c r="R21" s="300">
        <v>638.79</v>
      </c>
      <c r="S21" s="300">
        <v>675.38</v>
      </c>
      <c r="T21" s="300">
        <v>661.5</v>
      </c>
      <c r="U21" s="300">
        <v>693.31</v>
      </c>
      <c r="V21" s="300">
        <v>669.43</v>
      </c>
      <c r="W21" s="300">
        <v>695.69</v>
      </c>
      <c r="X21" s="300">
        <v>666.76</v>
      </c>
      <c r="Y21" s="300">
        <v>649.91999999999996</v>
      </c>
      <c r="Z21" s="300">
        <v>681.09</v>
      </c>
      <c r="AA21" s="300">
        <v>677.67</v>
      </c>
      <c r="AB21" s="300">
        <v>707.86</v>
      </c>
      <c r="AC21" s="300">
        <v>679.86</v>
      </c>
      <c r="AD21" s="300">
        <v>699.98</v>
      </c>
      <c r="AE21" s="300">
        <v>720.65</v>
      </c>
      <c r="AF21" s="300">
        <v>725.68</v>
      </c>
      <c r="AG21" s="300">
        <v>726.34</v>
      </c>
      <c r="AH21" s="300">
        <v>828.25</v>
      </c>
      <c r="AI21" s="300">
        <v>744.62</v>
      </c>
      <c r="AJ21" s="300">
        <v>797.96</v>
      </c>
      <c r="AK21" s="300">
        <v>816.26</v>
      </c>
      <c r="AL21" s="300">
        <v>846.3</v>
      </c>
      <c r="AM21" s="300">
        <v>836.62</v>
      </c>
      <c r="AN21" s="300">
        <v>812.74</v>
      </c>
      <c r="AO21" s="300">
        <v>816.36</v>
      </c>
      <c r="AP21" s="300">
        <v>754.45</v>
      </c>
      <c r="AQ21" s="300">
        <v>779.92</v>
      </c>
      <c r="AR21" s="300">
        <v>784.46</v>
      </c>
      <c r="AS21" s="300">
        <v>784.46</v>
      </c>
      <c r="AT21" s="300">
        <v>766.69</v>
      </c>
      <c r="AU21" s="300">
        <v>711.24</v>
      </c>
      <c r="AV21" s="300">
        <v>741.4</v>
      </c>
      <c r="AW21" s="300">
        <v>708.04</v>
      </c>
      <c r="AX21" s="300">
        <v>732.11</v>
      </c>
      <c r="AY21" s="300">
        <v>705.09</v>
      </c>
      <c r="AZ21" s="300">
        <v>724.92</v>
      </c>
      <c r="BA21" s="300">
        <v>735.28</v>
      </c>
      <c r="BB21" s="300">
        <v>758.53</v>
      </c>
      <c r="BC21" s="300">
        <v>784.26</v>
      </c>
      <c r="BD21" s="300">
        <v>803.59</v>
      </c>
      <c r="BE21" s="300">
        <v>805.47</v>
      </c>
      <c r="BF21" s="300">
        <v>836.73</v>
      </c>
      <c r="BG21" s="300">
        <v>850.25</v>
      </c>
      <c r="BH21" s="300">
        <v>822.05</v>
      </c>
      <c r="BI21" s="300">
        <v>807.07</v>
      </c>
      <c r="BJ21" s="300">
        <v>787.16</v>
      </c>
      <c r="BK21" s="300">
        <v>856.58</v>
      </c>
      <c r="BL21" s="300">
        <v>826.26</v>
      </c>
      <c r="BM21" s="300">
        <v>919.97</v>
      </c>
      <c r="BN21" s="300">
        <v>911.42</v>
      </c>
      <c r="BO21" s="300">
        <v>882.11</v>
      </c>
      <c r="BP21" s="300">
        <v>966</v>
      </c>
      <c r="BQ21" s="300">
        <v>945.31</v>
      </c>
      <c r="BR21" s="300">
        <v>905.7</v>
      </c>
      <c r="BS21" s="300">
        <v>859.51</v>
      </c>
      <c r="BT21" s="300">
        <v>859.51</v>
      </c>
      <c r="BU21" s="300">
        <v>831.24</v>
      </c>
      <c r="BV21" s="300">
        <v>789.32</v>
      </c>
      <c r="BW21" s="300">
        <v>801.61</v>
      </c>
      <c r="BX21" s="300">
        <v>803.94</v>
      </c>
      <c r="BY21" s="293">
        <f t="shared" ref="BY21:DX21" si="13">+BX21*(1+$D$18)/(1+$D$19)</f>
        <v>804.59388071172293</v>
      </c>
      <c r="BZ21" s="293">
        <f t="shared" si="13"/>
        <v>805.24829325416101</v>
      </c>
      <c r="CA21" s="293">
        <f t="shared" si="13"/>
        <v>805.90323805987623</v>
      </c>
      <c r="CB21" s="293">
        <f t="shared" si="13"/>
        <v>806.55871556178226</v>
      </c>
      <c r="CC21" s="293">
        <f t="shared" si="13"/>
        <v>807.21472619314522</v>
      </c>
      <c r="CD21" s="293">
        <f t="shared" si="13"/>
        <v>807.87127038758308</v>
      </c>
      <c r="CE21" s="293">
        <f t="shared" si="13"/>
        <v>808.52834857906691</v>
      </c>
      <c r="CF21" s="293">
        <f t="shared" si="13"/>
        <v>809.18596120192069</v>
      </c>
      <c r="CG21" s="293">
        <f t="shared" si="13"/>
        <v>809.84410869082137</v>
      </c>
      <c r="CH21" s="293">
        <f t="shared" si="13"/>
        <v>810.50279148079994</v>
      </c>
      <c r="CI21" s="293">
        <f t="shared" si="13"/>
        <v>811.16201000724084</v>
      </c>
      <c r="CJ21" s="293">
        <f t="shared" si="13"/>
        <v>811.82176470588274</v>
      </c>
      <c r="CK21" s="293">
        <f t="shared" si="13"/>
        <v>812.48205601281859</v>
      </c>
      <c r="CL21" s="293">
        <f t="shared" si="13"/>
        <v>813.14288436449635</v>
      </c>
      <c r="CM21" s="293">
        <f t="shared" si="13"/>
        <v>813.8042501977186</v>
      </c>
      <c r="CN21" s="293">
        <f t="shared" si="13"/>
        <v>814.4661539496434</v>
      </c>
      <c r="CO21" s="293">
        <f t="shared" si="13"/>
        <v>815.12859605778442</v>
      </c>
      <c r="CP21" s="293">
        <f t="shared" si="13"/>
        <v>815.79157696001084</v>
      </c>
      <c r="CQ21" s="293">
        <f t="shared" si="13"/>
        <v>816.45509709454848</v>
      </c>
      <c r="CR21" s="293">
        <f t="shared" si="13"/>
        <v>817.1191568999792</v>
      </c>
      <c r="CS21" s="293">
        <f t="shared" si="13"/>
        <v>817.78375681524176</v>
      </c>
      <c r="CT21" s="293">
        <f t="shared" si="13"/>
        <v>818.44889727963186</v>
      </c>
      <c r="CU21" s="293">
        <f t="shared" si="13"/>
        <v>819.11457873280256</v>
      </c>
      <c r="CV21" s="293">
        <f t="shared" si="13"/>
        <v>819.78080161476441</v>
      </c>
      <c r="CW21" s="293">
        <f t="shared" si="13"/>
        <v>820.4475663658859</v>
      </c>
      <c r="CX21" s="293">
        <f t="shared" si="13"/>
        <v>821.11487342689372</v>
      </c>
      <c r="CY21" s="293">
        <f t="shared" si="13"/>
        <v>821.78272323887302</v>
      </c>
      <c r="CZ21" s="293">
        <f t="shared" si="13"/>
        <v>822.45111624326762</v>
      </c>
      <c r="DA21" s="293">
        <f t="shared" si="13"/>
        <v>823.1200528818805</v>
      </c>
      <c r="DB21" s="293">
        <f t="shared" si="13"/>
        <v>823.78953359687398</v>
      </c>
      <c r="DC21" s="293">
        <f t="shared" si="13"/>
        <v>824.45955883076977</v>
      </c>
      <c r="DD21" s="293">
        <f t="shared" si="13"/>
        <v>825.13012902644982</v>
      </c>
      <c r="DE21" s="293">
        <f t="shared" si="13"/>
        <v>825.80124462715605</v>
      </c>
      <c r="DF21" s="293">
        <f t="shared" si="13"/>
        <v>826.47290607649109</v>
      </c>
      <c r="DG21" s="293">
        <f t="shared" si="13"/>
        <v>827.14511381841839</v>
      </c>
      <c r="DH21" s="293">
        <f t="shared" si="13"/>
        <v>827.81786829726218</v>
      </c>
      <c r="DI21" s="293">
        <f t="shared" si="13"/>
        <v>828.49116995770839</v>
      </c>
      <c r="DJ21" s="293">
        <f t="shared" si="13"/>
        <v>829.16501924480451</v>
      </c>
      <c r="DK21" s="293">
        <f t="shared" si="13"/>
        <v>829.8394166039601</v>
      </c>
      <c r="DL21" s="293">
        <f t="shared" si="13"/>
        <v>830.51436248094683</v>
      </c>
      <c r="DM21" s="293">
        <f t="shared" si="13"/>
        <v>831.18985732189901</v>
      </c>
      <c r="DN21" s="293">
        <f t="shared" si="13"/>
        <v>831.86590157331398</v>
      </c>
      <c r="DO21" s="293">
        <f t="shared" si="13"/>
        <v>832.54249568205194</v>
      </c>
      <c r="DP21" s="293">
        <f t="shared" si="13"/>
        <v>833.21964009533667</v>
      </c>
      <c r="DQ21" s="293">
        <f t="shared" si="13"/>
        <v>833.89733526075577</v>
      </c>
      <c r="DR21" s="293">
        <f t="shared" si="13"/>
        <v>834.57558162626083</v>
      </c>
      <c r="DS21" s="293">
        <f t="shared" si="13"/>
        <v>835.25437964016771</v>
      </c>
      <c r="DT21" s="293">
        <f t="shared" si="13"/>
        <v>835.9337297511571</v>
      </c>
      <c r="DU21" s="293">
        <f t="shared" si="13"/>
        <v>836.61363240827438</v>
      </c>
      <c r="DV21" s="293">
        <f t="shared" si="13"/>
        <v>837.29408806093022</v>
      </c>
      <c r="DW21" s="293">
        <f t="shared" si="13"/>
        <v>837.97509715890112</v>
      </c>
      <c r="DX21" s="293">
        <f t="shared" si="13"/>
        <v>838.65666015232887</v>
      </c>
    </row>
    <row r="22" spans="1:128" s="3" customFormat="1" ht="12.75" customHeight="1" outlineLevel="1" x14ac:dyDescent="0.25">
      <c r="B22" s="125" t="s">
        <v>435</v>
      </c>
      <c r="C22" s="651"/>
      <c r="D22" s="652"/>
      <c r="F22" s="66"/>
      <c r="G22" s="66"/>
      <c r="H22" s="719">
        <f>+Inputs!$L$120</f>
        <v>40.849995927912417</v>
      </c>
      <c r="I22" s="293">
        <f>+I20/I21</f>
        <v>41.846533331238511</v>
      </c>
      <c r="J22" s="293">
        <f t="shared" ref="J22:BU22" si="14">+J20/J21</f>
        <v>41.610684765181112</v>
      </c>
      <c r="K22" s="293">
        <f t="shared" si="14"/>
        <v>43.558629433373426</v>
      </c>
      <c r="L22" s="293">
        <f t="shared" si="14"/>
        <v>44.381291155157008</v>
      </c>
      <c r="M22" s="293">
        <f t="shared" si="14"/>
        <v>45.699227700925064</v>
      </c>
      <c r="N22" s="293">
        <f t="shared" si="14"/>
        <v>44.554224630737203</v>
      </c>
      <c r="O22" s="293">
        <f t="shared" si="14"/>
        <v>44.581222966949518</v>
      </c>
      <c r="P22" s="293">
        <f t="shared" si="14"/>
        <v>43.095698120414426</v>
      </c>
      <c r="Q22" s="293">
        <f t="shared" si="14"/>
        <v>41.914916274403886</v>
      </c>
      <c r="R22" s="293">
        <f t="shared" si="14"/>
        <v>42.584386104979728</v>
      </c>
      <c r="S22" s="293">
        <f t="shared" si="14"/>
        <v>40.403284077112147</v>
      </c>
      <c r="T22" s="293">
        <f t="shared" si="14"/>
        <v>41.356689342403627</v>
      </c>
      <c r="U22" s="293">
        <f t="shared" si="14"/>
        <v>39.566860423187322</v>
      </c>
      <c r="V22" s="293">
        <f>+V20/V21</f>
        <v>41.128721449591445</v>
      </c>
      <c r="W22" s="293">
        <f t="shared" si="14"/>
        <v>39.623668588020521</v>
      </c>
      <c r="X22" s="293">
        <f t="shared" si="14"/>
        <v>41.313546103545505</v>
      </c>
      <c r="Y22" s="293">
        <f t="shared" si="14"/>
        <v>42.400449286065985</v>
      </c>
      <c r="Z22" s="293">
        <f t="shared" si="14"/>
        <v>40.473006504279901</v>
      </c>
      <c r="AA22" s="293">
        <f t="shared" si="14"/>
        <v>40.819528679150622</v>
      </c>
      <c r="AB22" s="293">
        <f t="shared" si="14"/>
        <v>39.220396688610741</v>
      </c>
      <c r="AC22" s="293">
        <f t="shared" si="14"/>
        <v>41.04271467655105</v>
      </c>
      <c r="AD22" s="293">
        <f t="shared" si="14"/>
        <v>39.934598131375182</v>
      </c>
      <c r="AE22" s="293">
        <f t="shared" si="14"/>
        <v>38.844210088114899</v>
      </c>
      <c r="AF22" s="293">
        <f t="shared" si="14"/>
        <v>38.651375261823397</v>
      </c>
      <c r="AG22" s="293">
        <f t="shared" si="14"/>
        <v>38.639411294985813</v>
      </c>
      <c r="AH22" s="293">
        <f t="shared" si="14"/>
        <v>34.074651373377606</v>
      </c>
      <c r="AI22" s="293">
        <f t="shared" si="14"/>
        <v>38.019311863769438</v>
      </c>
      <c r="AJ22" s="293">
        <f t="shared" si="14"/>
        <v>35.513371597573808</v>
      </c>
      <c r="AK22" s="293">
        <f t="shared" si="14"/>
        <v>34.870837723274448</v>
      </c>
      <c r="AL22" s="293">
        <f>+AL20/AL21</f>
        <v>33.791161526645396</v>
      </c>
      <c r="AM22" s="293">
        <f t="shared" si="14"/>
        <v>34.293621955009442</v>
      </c>
      <c r="AN22" s="293">
        <f t="shared" si="14"/>
        <v>35.33297241430224</v>
      </c>
      <c r="AO22" s="293">
        <f t="shared" si="14"/>
        <v>35.15167328139546</v>
      </c>
      <c r="AP22" s="293">
        <f t="shared" si="14"/>
        <v>37.997799721651532</v>
      </c>
      <c r="AQ22" s="293">
        <f t="shared" si="14"/>
        <v>36.772297158682946</v>
      </c>
      <c r="AR22" s="293">
        <f t="shared" si="14"/>
        <v>36.595683654998339</v>
      </c>
      <c r="AS22" s="293">
        <f t="shared" si="14"/>
        <v>36.762397062947763</v>
      </c>
      <c r="AT22" s="293">
        <f t="shared" si="14"/>
        <v>37.864286739099242</v>
      </c>
      <c r="AU22" s="293">
        <f t="shared" si="14"/>
        <v>40.872743377762781</v>
      </c>
      <c r="AV22" s="293">
        <f t="shared" si="14"/>
        <v>39.282087941731859</v>
      </c>
      <c r="AW22" s="293">
        <f t="shared" si="14"/>
        <v>41.364018981978425</v>
      </c>
      <c r="AX22" s="293">
        <f t="shared" si="14"/>
        <v>40.150756033929326</v>
      </c>
      <c r="AY22" s="293">
        <f t="shared" si="14"/>
        <v>41.830305351089933</v>
      </c>
      <c r="AZ22" s="293">
        <f t="shared" si="14"/>
        <v>40.850383490592066</v>
      </c>
      <c r="BA22" s="293">
        <f t="shared" si="14"/>
        <v>40.406144597976287</v>
      </c>
      <c r="BB22" s="293">
        <f t="shared" si="14"/>
        <v>39.230669848259133</v>
      </c>
      <c r="BC22" s="293">
        <f t="shared" si="14"/>
        <v>38.283706933924975</v>
      </c>
      <c r="BD22" s="293">
        <f t="shared" si="14"/>
        <v>37.44243955250812</v>
      </c>
      <c r="BE22" s="293">
        <f t="shared" si="14"/>
        <v>37.717767266316557</v>
      </c>
      <c r="BF22" s="293">
        <f t="shared" si="14"/>
        <v>36.765503806484766</v>
      </c>
      <c r="BG22" s="293">
        <f t="shared" si="14"/>
        <v>36.450149955895327</v>
      </c>
      <c r="BH22" s="293">
        <f t="shared" si="14"/>
        <v>37.969284106806157</v>
      </c>
      <c r="BI22" s="293">
        <f t="shared" si="14"/>
        <v>39.078642496933348</v>
      </c>
      <c r="BJ22" s="293">
        <f t="shared" si="14"/>
        <v>40.306595863610958</v>
      </c>
      <c r="BK22" s="293">
        <f t="shared" si="14"/>
        <v>37.563905297812234</v>
      </c>
      <c r="BL22" s="293">
        <f t="shared" si="14"/>
        <v>39.551158231065287</v>
      </c>
      <c r="BM22" s="293">
        <f t="shared" si="14"/>
        <v>35.965118427774819</v>
      </c>
      <c r="BN22" s="293">
        <f t="shared" si="14"/>
        <v>36.665050141537385</v>
      </c>
      <c r="BO22" s="293">
        <f t="shared" si="14"/>
        <v>38.358606069537814</v>
      </c>
      <c r="BP22" s="293">
        <f t="shared" si="14"/>
        <v>35.464006211180127</v>
      </c>
      <c r="BQ22" s="293">
        <f t="shared" si="14"/>
        <v>36.602119939490748</v>
      </c>
      <c r="BR22" s="293">
        <f t="shared" si="14"/>
        <v>38.4363475764602</v>
      </c>
      <c r="BS22" s="293">
        <f t="shared" si="14"/>
        <v>40.849995927912417</v>
      </c>
      <c r="BT22" s="293">
        <f t="shared" si="14"/>
        <v>40.849995927912417</v>
      </c>
      <c r="BU22" s="293">
        <f t="shared" si="14"/>
        <v>42.718925941966219</v>
      </c>
      <c r="BV22" s="293">
        <f t="shared" ref="BV22:DA22" si="15">+BV20/BV21</f>
        <v>45.071048497440835</v>
      </c>
      <c r="BW22" s="293">
        <f t="shared" si="15"/>
        <v>44.708212222901416</v>
      </c>
      <c r="BX22" s="293">
        <f t="shared" si="15"/>
        <v>44.820372167077139</v>
      </c>
      <c r="BY22" s="293">
        <f t="shared" si="15"/>
        <v>44.894396655693399</v>
      </c>
      <c r="BZ22" s="293">
        <f t="shared" si="15"/>
        <v>44.96854340177093</v>
      </c>
      <c r="CA22" s="293">
        <f t="shared" si="15"/>
        <v>45.042812607227887</v>
      </c>
      <c r="CB22" s="293">
        <f t="shared" si="15"/>
        <v>45.117204474315884</v>
      </c>
      <c r="CC22" s="293">
        <f t="shared" si="15"/>
        <v>45.191719205620572</v>
      </c>
      <c r="CD22" s="293">
        <f t="shared" si="15"/>
        <v>45.266357004062201</v>
      </c>
      <c r="CE22" s="293">
        <f t="shared" si="15"/>
        <v>45.341118072896158</v>
      </c>
      <c r="CF22" s="293">
        <f t="shared" si="15"/>
        <v>45.416002615713509</v>
      </c>
      <c r="CG22" s="293">
        <f t="shared" si="15"/>
        <v>45.491010836441582</v>
      </c>
      <c r="CH22" s="293">
        <f t="shared" si="15"/>
        <v>45.566142939344495</v>
      </c>
      <c r="CI22" s="293">
        <f t="shared" si="15"/>
        <v>45.641399129023739</v>
      </c>
      <c r="CJ22" s="293">
        <f t="shared" si="15"/>
        <v>45.716779610418712</v>
      </c>
      <c r="CK22" s="293">
        <f t="shared" si="15"/>
        <v>45.792284588807291</v>
      </c>
      <c r="CL22" s="293">
        <f t="shared" si="15"/>
        <v>45.86791426980637</v>
      </c>
      <c r="CM22" s="293">
        <f t="shared" si="15"/>
        <v>45.943668859372465</v>
      </c>
      <c r="CN22" s="293">
        <f t="shared" si="15"/>
        <v>46.019548563802218</v>
      </c>
      <c r="CO22" s="293">
        <f t="shared" si="15"/>
        <v>46.095553589732994</v>
      </c>
      <c r="CP22" s="293">
        <f t="shared" si="15"/>
        <v>46.171684144143462</v>
      </c>
      <c r="CQ22" s="293">
        <f t="shared" si="15"/>
        <v>46.247940434354092</v>
      </c>
      <c r="CR22" s="293">
        <f t="shared" si="15"/>
        <v>46.324322668027797</v>
      </c>
      <c r="CS22" s="293">
        <f t="shared" si="15"/>
        <v>46.400831053170428</v>
      </c>
      <c r="CT22" s="293">
        <f t="shared" si="15"/>
        <v>46.477465798131405</v>
      </c>
      <c r="CU22" s="293">
        <f t="shared" si="15"/>
        <v>46.554227111604227</v>
      </c>
      <c r="CV22" s="293">
        <f t="shared" si="15"/>
        <v>46.631115202627107</v>
      </c>
      <c r="CW22" s="293">
        <f t="shared" si="15"/>
        <v>46.708130280583454</v>
      </c>
      <c r="CX22" s="293">
        <f t="shared" si="15"/>
        <v>46.785272555202525</v>
      </c>
      <c r="CY22" s="293">
        <f t="shared" si="15"/>
        <v>46.862542236559932</v>
      </c>
      <c r="CZ22" s="293">
        <f t="shared" si="15"/>
        <v>46.939939535078288</v>
      </c>
      <c r="DA22" s="293">
        <f t="shared" si="15"/>
        <v>47.01746466152769</v>
      </c>
      <c r="DB22" s="293">
        <f t="shared" ref="DB22:DU22" si="16">+DB20/DB21</f>
        <v>47.095117827026357</v>
      </c>
      <c r="DC22" s="293">
        <f t="shared" si="16"/>
        <v>47.172899243041208</v>
      </c>
      <c r="DD22" s="293">
        <f t="shared" si="16"/>
        <v>47.250809121388386</v>
      </c>
      <c r="DE22" s="293">
        <f t="shared" si="16"/>
        <v>47.328847674233877</v>
      </c>
      <c r="DF22" s="293">
        <f t="shared" si="16"/>
        <v>47.407015114094072</v>
      </c>
      <c r="DG22" s="293">
        <f t="shared" si="16"/>
        <v>47.485311653836362</v>
      </c>
      <c r="DH22" s="293">
        <f t="shared" si="16"/>
        <v>47.563737506679693</v>
      </c>
      <c r="DI22" s="293">
        <f t="shared" si="16"/>
        <v>47.642292886195172</v>
      </c>
      <c r="DJ22" s="293">
        <f t="shared" si="16"/>
        <v>47.720978006306623</v>
      </c>
      <c r="DK22" s="293">
        <f t="shared" si="16"/>
        <v>47.799793081291185</v>
      </c>
      <c r="DL22" s="293">
        <f t="shared" si="16"/>
        <v>47.878738325779906</v>
      </c>
      <c r="DM22" s="293">
        <f t="shared" si="16"/>
        <v>47.957813954758301</v>
      </c>
      <c r="DN22" s="293">
        <f t="shared" si="16"/>
        <v>48.037020183566945</v>
      </c>
      <c r="DO22" s="293">
        <f t="shared" si="16"/>
        <v>48.116357227902085</v>
      </c>
      <c r="DP22" s="293">
        <f t="shared" si="16"/>
        <v>48.195825303816207</v>
      </c>
      <c r="DQ22" s="293">
        <f t="shared" si="16"/>
        <v>48.275424627718614</v>
      </c>
      <c r="DR22" s="293">
        <f t="shared" si="16"/>
        <v>48.355155416376014</v>
      </c>
      <c r="DS22" s="293">
        <f t="shared" si="16"/>
        <v>48.435017886913151</v>
      </c>
      <c r="DT22" s="293">
        <f t="shared" si="16"/>
        <v>48.51501225681335</v>
      </c>
      <c r="DU22" s="293">
        <f t="shared" si="16"/>
        <v>48.595138743919129</v>
      </c>
      <c r="DV22" s="293">
        <f t="shared" ref="DV22:DX22" si="17">+DV20/DV21</f>
        <v>48.675397566432814</v>
      </c>
      <c r="DW22" s="293">
        <f t="shared" si="17"/>
        <v>48.755788942917064</v>
      </c>
      <c r="DX22" s="293">
        <f t="shared" si="17"/>
        <v>48.836313092295555</v>
      </c>
    </row>
    <row r="23" spans="1:128" s="3" customFormat="1" ht="12.75" customHeight="1" outlineLevel="1" x14ac:dyDescent="0.25">
      <c r="B23" s="125"/>
      <c r="C23" s="651"/>
      <c r="D23" s="652"/>
      <c r="F23" s="66"/>
      <c r="G23" s="66"/>
      <c r="H23" s="653"/>
      <c r="I23" s="293"/>
      <c r="J23" s="293"/>
      <c r="K23" s="293"/>
      <c r="L23" s="293"/>
      <c r="M23" s="293"/>
      <c r="N23" s="293"/>
      <c r="O23" s="293"/>
      <c r="P23" s="293"/>
      <c r="Q23" s="293"/>
      <c r="R23" s="293"/>
      <c r="S23" s="293"/>
      <c r="T23" s="293"/>
      <c r="U23" s="293"/>
      <c r="V23" s="293"/>
      <c r="W23" s="293"/>
      <c r="X23" s="293"/>
      <c r="Y23" s="293"/>
      <c r="Z23" s="293"/>
      <c r="AA23" s="820"/>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row>
    <row r="24" spans="1:128" s="3" customFormat="1" ht="12.75" customHeight="1" x14ac:dyDescent="0.3">
      <c r="B24" s="5"/>
      <c r="F24" s="66"/>
      <c r="G24" s="66"/>
      <c r="H24" s="111"/>
      <c r="I24" s="111"/>
      <c r="J24" s="111"/>
      <c r="K24" s="111"/>
      <c r="L24" s="111"/>
      <c r="M24" s="111"/>
      <c r="N24" s="111"/>
      <c r="O24" s="111"/>
      <c r="P24" s="111"/>
      <c r="Q24" s="111"/>
      <c r="R24" s="111"/>
      <c r="S24" s="111"/>
      <c r="T24" s="111"/>
      <c r="U24" s="111"/>
      <c r="V24" s="111"/>
      <c r="W24" s="111"/>
      <c r="X24" s="111"/>
      <c r="Y24" s="111"/>
      <c r="Z24" s="111"/>
      <c r="AA24" s="111"/>
      <c r="AB24" s="111"/>
      <c r="AC24" s="111"/>
      <c r="AD24" s="111"/>
      <c r="AE24" s="111"/>
      <c r="AF24" s="111"/>
      <c r="AG24" s="111"/>
      <c r="AH24" s="111"/>
      <c r="AI24" s="111"/>
      <c r="AJ24" s="111"/>
      <c r="AK24" s="111"/>
      <c r="AL24" s="111"/>
      <c r="AM24" s="111"/>
      <c r="AN24" s="111"/>
      <c r="AO24" s="111"/>
      <c r="AP24" s="111"/>
      <c r="AQ24" s="111"/>
      <c r="AR24" s="111"/>
      <c r="AS24" s="111"/>
      <c r="AT24" s="111"/>
      <c r="AU24" s="111"/>
      <c r="AV24" s="111"/>
      <c r="AW24" s="111"/>
      <c r="AX24" s="111"/>
      <c r="AY24" s="111"/>
      <c r="AZ24" s="111"/>
      <c r="BA24" s="111"/>
      <c r="BB24" s="111"/>
      <c r="BC24" s="111"/>
      <c r="BD24" s="111"/>
      <c r="BE24" s="111"/>
      <c r="BF24" s="111"/>
      <c r="BG24" s="111"/>
      <c r="BH24" s="111"/>
      <c r="BI24" s="111"/>
      <c r="BJ24" s="111"/>
      <c r="BK24" s="111"/>
      <c r="BL24" s="111"/>
      <c r="BM24" s="111"/>
      <c r="BN24" s="111"/>
      <c r="BO24" s="111"/>
      <c r="BP24" s="111"/>
      <c r="BQ24" s="111"/>
      <c r="BR24" s="111"/>
      <c r="BS24" s="111"/>
      <c r="BT24" s="111"/>
      <c r="BU24" s="111"/>
      <c r="BV24" s="111"/>
      <c r="BW24" s="111"/>
      <c r="BX24" s="111"/>
      <c r="BY24" s="111"/>
      <c r="BZ24" s="111"/>
      <c r="CA24" s="111"/>
      <c r="CB24" s="111"/>
      <c r="CC24" s="111"/>
      <c r="CD24" s="111"/>
      <c r="CE24" s="111"/>
      <c r="CF24" s="111"/>
      <c r="CG24" s="111"/>
      <c r="CH24" s="111"/>
      <c r="CI24" s="111"/>
      <c r="CJ24" s="111"/>
      <c r="CK24" s="111"/>
      <c r="CL24" s="111"/>
      <c r="CM24" s="111"/>
      <c r="CN24" s="111"/>
      <c r="CO24" s="111"/>
      <c r="CP24" s="111"/>
      <c r="CQ24" s="111"/>
      <c r="CR24" s="111"/>
      <c r="CS24" s="111"/>
      <c r="CT24" s="111"/>
      <c r="CU24" s="111"/>
      <c r="CV24" s="111"/>
      <c r="CW24" s="111"/>
      <c r="CX24" s="111"/>
      <c r="CY24" s="111"/>
      <c r="CZ24" s="111"/>
      <c r="DA24" s="111"/>
      <c r="DB24" s="111"/>
      <c r="DC24" s="111"/>
      <c r="DD24" s="111"/>
      <c r="DE24" s="111"/>
      <c r="DF24" s="111"/>
      <c r="DG24" s="111"/>
      <c r="DH24" s="111"/>
      <c r="DI24" s="111"/>
      <c r="DJ24" s="111"/>
      <c r="DK24" s="111"/>
      <c r="DL24" s="111"/>
      <c r="DM24" s="111"/>
      <c r="DN24" s="111"/>
      <c r="DO24" s="111"/>
      <c r="DP24" s="111"/>
      <c r="DQ24" s="111"/>
      <c r="DR24" s="111"/>
      <c r="DS24" s="111"/>
      <c r="DT24" s="111"/>
      <c r="DU24" s="111"/>
      <c r="DV24" s="111"/>
      <c r="DW24" s="111"/>
      <c r="DX24" s="111"/>
    </row>
    <row r="25" spans="1:128" s="5" customFormat="1" ht="10.8" x14ac:dyDescent="0.3">
      <c r="A25" s="3"/>
      <c r="B25" s="313" t="s">
        <v>20</v>
      </c>
      <c r="C25" s="313"/>
      <c r="D25" s="313"/>
      <c r="E25" s="313"/>
      <c r="F25" s="313"/>
      <c r="G25" s="313"/>
      <c r="H25" s="313"/>
      <c r="I25" s="313"/>
      <c r="J25" s="313"/>
      <c r="K25" s="313"/>
      <c r="L25" s="313"/>
      <c r="M25" s="313"/>
      <c r="N25" s="313"/>
      <c r="O25" s="313"/>
      <c r="P25" s="313"/>
      <c r="Q25" s="313"/>
      <c r="R25" s="313"/>
      <c r="S25" s="313"/>
      <c r="T25" s="313"/>
      <c r="U25" s="313"/>
      <c r="V25" s="313"/>
      <c r="W25" s="313"/>
      <c r="X25" s="313"/>
      <c r="Y25" s="313"/>
      <c r="Z25" s="313"/>
      <c r="AA25" s="313"/>
      <c r="AB25" s="313"/>
      <c r="AC25" s="313"/>
      <c r="AD25" s="313"/>
      <c r="AE25" s="313"/>
      <c r="AF25" s="313"/>
      <c r="AG25" s="313"/>
      <c r="AH25" s="313"/>
      <c r="AI25" s="313"/>
      <c r="AJ25" s="313"/>
      <c r="AK25" s="313"/>
      <c r="AL25" s="313"/>
      <c r="AM25" s="313"/>
      <c r="AN25" s="313"/>
      <c r="AO25" s="313"/>
      <c r="AP25" s="313"/>
      <c r="AQ25" s="313"/>
      <c r="AR25" s="313"/>
      <c r="AS25" s="313"/>
      <c r="AT25" s="313"/>
      <c r="AU25" s="313"/>
      <c r="AV25" s="313"/>
      <c r="AW25" s="313"/>
      <c r="AX25" s="313"/>
      <c r="AY25" s="313"/>
      <c r="AZ25" s="313"/>
      <c r="BA25" s="313"/>
      <c r="BB25" s="313"/>
      <c r="BC25" s="313"/>
      <c r="BD25" s="313"/>
      <c r="BE25" s="313"/>
      <c r="BF25" s="313"/>
      <c r="BG25" s="313"/>
      <c r="BH25" s="313"/>
      <c r="BI25" s="313"/>
      <c r="BJ25" s="313"/>
      <c r="BK25" s="313"/>
      <c r="BL25" s="313"/>
      <c r="BM25" s="313"/>
      <c r="BN25" s="313"/>
      <c r="BO25" s="313"/>
      <c r="BP25" s="313"/>
      <c r="BQ25" s="313"/>
      <c r="BR25" s="313"/>
      <c r="BS25" s="313"/>
      <c r="BT25" s="313"/>
      <c r="BU25" s="313"/>
      <c r="BV25" s="313"/>
      <c r="BW25" s="313"/>
      <c r="BX25" s="313"/>
      <c r="BY25" s="313"/>
      <c r="BZ25" s="313"/>
      <c r="CA25" s="313"/>
      <c r="CB25" s="313"/>
      <c r="CC25" s="313"/>
      <c r="CD25" s="313"/>
      <c r="CE25" s="313"/>
      <c r="CF25" s="313"/>
      <c r="CG25" s="313"/>
      <c r="CH25" s="313"/>
      <c r="CI25" s="313"/>
      <c r="CJ25" s="313"/>
      <c r="CK25" s="313"/>
      <c r="CL25" s="313"/>
      <c r="CM25" s="313"/>
      <c r="CN25" s="313"/>
      <c r="CO25" s="313"/>
      <c r="CP25" s="313"/>
      <c r="CQ25" s="313"/>
      <c r="CR25" s="313"/>
      <c r="CS25" s="313"/>
      <c r="CT25" s="313"/>
      <c r="CU25" s="313"/>
      <c r="CV25" s="313"/>
      <c r="CW25" s="313"/>
      <c r="CX25" s="313"/>
      <c r="CY25" s="313"/>
      <c r="CZ25" s="313"/>
      <c r="DA25" s="313"/>
      <c r="DB25" s="313"/>
      <c r="DC25" s="313"/>
      <c r="DD25" s="313"/>
      <c r="DE25" s="313"/>
      <c r="DF25" s="313"/>
      <c r="DG25" s="313"/>
      <c r="DH25" s="313"/>
      <c r="DI25" s="313"/>
      <c r="DJ25" s="313"/>
      <c r="DK25" s="313"/>
      <c r="DL25" s="313"/>
      <c r="DM25" s="313"/>
      <c r="DN25" s="313"/>
      <c r="DO25" s="313"/>
      <c r="DP25" s="313"/>
      <c r="DQ25" s="313"/>
      <c r="DR25" s="313"/>
      <c r="DS25" s="313"/>
      <c r="DT25" s="313"/>
      <c r="DU25" s="313"/>
      <c r="DV25" s="313"/>
      <c r="DW25" s="313"/>
      <c r="DX25" s="313"/>
    </row>
    <row r="26" spans="1:128" s="3" customFormat="1" ht="10.8" outlineLevel="1" x14ac:dyDescent="0.3">
      <c r="F26" s="127"/>
      <c r="G26" s="127"/>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c r="AQ26" s="14"/>
      <c r="AR26" s="14"/>
      <c r="AS26" s="14"/>
      <c r="AT26" s="14"/>
      <c r="AU26" s="14"/>
      <c r="AV26" s="14"/>
      <c r="AW26" s="14"/>
      <c r="AX26" s="14"/>
      <c r="AY26" s="14"/>
      <c r="AZ26" s="14"/>
      <c r="BA26" s="14"/>
      <c r="BB26" s="14"/>
      <c r="BC26" s="14"/>
      <c r="BD26" s="14"/>
      <c r="BE26" s="14"/>
      <c r="BF26" s="14"/>
      <c r="BG26" s="14"/>
      <c r="BH26" s="14"/>
      <c r="BI26" s="14"/>
      <c r="BJ26" s="14"/>
      <c r="BK26" s="14"/>
      <c r="BL26" s="14"/>
      <c r="BM26" s="14"/>
      <c r="BN26" s="14"/>
      <c r="BO26" s="14"/>
      <c r="BP26" s="14"/>
      <c r="BQ26" s="14"/>
      <c r="BR26" s="14"/>
      <c r="BS26" s="14"/>
      <c r="BT26" s="14"/>
      <c r="BU26" s="14"/>
      <c r="BV26" s="14"/>
      <c r="BW26" s="14"/>
      <c r="BX26" s="14"/>
      <c r="BY26" s="14"/>
      <c r="BZ26" s="14"/>
      <c r="CA26" s="14"/>
      <c r="CB26" s="14"/>
      <c r="CC26" s="14"/>
      <c r="CD26" s="14"/>
      <c r="CE26" s="14"/>
      <c r="CF26" s="14"/>
      <c r="CG26" s="14"/>
      <c r="CH26" s="14"/>
      <c r="CI26" s="14"/>
      <c r="CJ26" s="14"/>
      <c r="CK26" s="14"/>
      <c r="CL26" s="14"/>
      <c r="CM26" s="14"/>
      <c r="CN26" s="14"/>
      <c r="CO26" s="14"/>
      <c r="CP26" s="14"/>
      <c r="CQ26" s="14"/>
      <c r="CR26" s="14"/>
      <c r="CS26" s="14"/>
      <c r="CT26" s="14"/>
      <c r="CU26" s="14"/>
      <c r="CV26" s="14"/>
      <c r="CW26" s="14"/>
      <c r="CX26" s="14"/>
      <c r="CY26" s="14"/>
      <c r="CZ26" s="14"/>
      <c r="DA26" s="14"/>
      <c r="DB26" s="14"/>
      <c r="DC26" s="14"/>
      <c r="DD26" s="14"/>
      <c r="DE26" s="14"/>
      <c r="DF26" s="14"/>
      <c r="DG26" s="14"/>
      <c r="DH26" s="14"/>
      <c r="DI26" s="14"/>
      <c r="DJ26" s="14"/>
      <c r="DK26" s="14"/>
      <c r="DL26" s="14"/>
      <c r="DM26" s="14"/>
      <c r="DN26" s="14"/>
      <c r="DO26" s="14"/>
      <c r="DP26" s="14"/>
      <c r="DQ26" s="14"/>
      <c r="DR26" s="14"/>
      <c r="DS26" s="14"/>
      <c r="DT26" s="14"/>
      <c r="DU26" s="14"/>
      <c r="DV26" s="14"/>
      <c r="DW26" s="14"/>
      <c r="DX26" s="14"/>
    </row>
    <row r="27" spans="1:128" s="111" customFormat="1" ht="10.8" outlineLevel="1" x14ac:dyDescent="0.25">
      <c r="A27" s="3"/>
      <c r="B27" s="125" t="s">
        <v>103</v>
      </c>
      <c r="C27" s="3"/>
      <c r="D27" s="3"/>
      <c r="E27" s="3"/>
      <c r="F27" s="3"/>
      <c r="G27" s="308">
        <f t="shared" ref="G27:G33" si="18">+SUM(H27:DX27)</f>
        <v>-21722942.722739339</v>
      </c>
      <c r="H27" s="309">
        <f>+SUMIF('Monthly UF Model'!$I$7:$DY$7,'Monthly USD Model'!H$7,'Monthly UF Model'!$I415:$DY415)*H$22</f>
        <v>-6084263.7534967605</v>
      </c>
      <c r="I27" s="309">
        <f>+SUMIF('Monthly UF Model'!$I$7:$DY$7,'Monthly USD Model'!I$7,'Monthly UF Model'!$I415:$DY415)*I$22</f>
        <v>-357412.01187343162</v>
      </c>
      <c r="J27" s="309">
        <f>+SUMIF('Monthly UF Model'!$I$7:$DY$7,'Monthly USD Model'!J$7,'Monthly UF Model'!$I415:$DY415)*J$22</f>
        <v>-32090.160090907677</v>
      </c>
      <c r="K27" s="309">
        <f>+SUMIF('Monthly UF Model'!$I$7:$DY$7,'Monthly USD Model'!K$7,'Monthly UF Model'!$I415:$DY415)*K$22</f>
        <v>-129099.36307971651</v>
      </c>
      <c r="L27" s="309">
        <f>+SUMIF('Monthly UF Model'!$I$7:$DY$7,'Monthly USD Model'!L$7,'Monthly UF Model'!$I415:$DY415)*L$22</f>
        <v>-22347.598062413221</v>
      </c>
      <c r="M27" s="309">
        <f>+SUMIF('Monthly UF Model'!$I$7:$DY$7,'Monthly USD Model'!M$7,'Monthly UF Model'!$I415:$DY415)*M$22</f>
        <v>-119112.77921037778</v>
      </c>
      <c r="N27" s="309">
        <f>+SUMIF('Monthly UF Model'!$I$7:$DY$7,'Monthly USD Model'!N$7,'Monthly UF Model'!$I415:$DY415)*N$22</f>
        <v>0</v>
      </c>
      <c r="O27" s="309">
        <f>+SUMIF('Monthly UF Model'!$I$7:$DY$7,'Monthly USD Model'!O$7,'Monthly UF Model'!$I415:$DY415)*O$22</f>
        <v>-29463.550400248951</v>
      </c>
      <c r="P27" s="309">
        <f>+SUMIF('Monthly UF Model'!$I$7:$DY$7,'Monthly USD Model'!P$7,'Monthly UF Model'!$I415:$DY415)*P$22</f>
        <v>-102186.05138529741</v>
      </c>
      <c r="Q27" s="309">
        <f>+SUMIF('Monthly UF Model'!$I$7:$DY$7,'Monthly USD Model'!Q$7,'Monthly UF Model'!$I415:$DY415)*Q$22</f>
        <v>-34512.995344224713</v>
      </c>
      <c r="R27" s="309">
        <f>+SUMIF('Monthly UF Model'!$I$7:$DY$7,'Monthly USD Model'!R$7,'Monthly UF Model'!$I415:$DY415)*R$22</f>
        <v>-66238.309210851774</v>
      </c>
      <c r="S27" s="309">
        <f>+SUMIF('Monthly UF Model'!$I$7:$DY$7,'Monthly USD Model'!S$7,'Monthly UF Model'!$I415:$DY415)*S$22</f>
        <v>-43931.754351238968</v>
      </c>
      <c r="T27" s="309">
        <f>+SUMIF('Monthly UF Model'!$I$7:$DY$7,'Monthly USD Model'!T$7,'Monthly UF Model'!$I415:$DY415)*T$22</f>
        <v>-9327.4406229347533</v>
      </c>
      <c r="U27" s="309">
        <f>+SUMIF('Monthly UF Model'!$I$7:$DY$7,'Monthly USD Model'!U$7,'Monthly UF Model'!$I415:$DY415)*U$22</f>
        <v>-107812.16691541208</v>
      </c>
      <c r="V27" s="309">
        <f>+SUMIF('Monthly UF Model'!$I$7:$DY$7,'Monthly USD Model'!V$7,'Monthly UF Model'!$I415:$DY415)*V$22</f>
        <v>-260937.38522362788</v>
      </c>
      <c r="W27" s="309">
        <f>+SUMIF('Monthly UF Model'!$I$7:$DY$7,'Monthly USD Model'!W$7,'Monthly UF Model'!$I415:$DY415)*W$22</f>
        <v>-51810.097411688905</v>
      </c>
      <c r="X27" s="309">
        <f>+SUMIF('Monthly UF Model'!$I$7:$DY$7,'Monthly USD Model'!X$7,'Monthly UF Model'!$I415:$DY415)*X$22</f>
        <v>-318831.03955188079</v>
      </c>
      <c r="Y27" s="309">
        <f>+SUMIF('Monthly UF Model'!$I$7:$DY$7,'Monthly USD Model'!Y$7,'Monthly UF Model'!$I415:$DY415)*Y$22</f>
        <v>-172190.11912563947</v>
      </c>
      <c r="Z27" s="309">
        <f>+SUMIF('Monthly UF Model'!$I$7:$DY$7,'Monthly USD Model'!Z$7,'Monthly UF Model'!$I415:$DY415)*Z$22</f>
        <v>-170648.19385528835</v>
      </c>
      <c r="AA27" s="309">
        <f>+SUMIF('Monthly UF Model'!$I$7:$DY$7,'Monthly USD Model'!AA$7,'Monthly UF Model'!$I415:$DY415)*AA$22</f>
        <v>-40078.437995603352</v>
      </c>
      <c r="AB27" s="309">
        <f>+SUMIF('Monthly UF Model'!$I$7:$DY$7,'Monthly USD Model'!AB$7,'Monthly UF Model'!$I415:$DY415)*AB$22</f>
        <v>-51831.564012876253</v>
      </c>
      <c r="AC27" s="309">
        <f>+SUMIF('Monthly UF Model'!$I$7:$DY$7,'Monthly USD Model'!AC$7,'Monthly UF Model'!$I415:$DY415)*AC$22</f>
        <v>-142903.98756771727</v>
      </c>
      <c r="AD27" s="309">
        <f>+SUMIF('Monthly UF Model'!$I$7:$DY$7,'Monthly USD Model'!AD$7,'Monthly UF Model'!$I415:$DY415)*AD$22</f>
        <v>-2201439.4173419797</v>
      </c>
      <c r="AE27" s="309">
        <f>+SUMIF('Monthly UF Model'!$I$7:$DY$7,'Monthly USD Model'!AE$7,'Monthly UF Model'!$I415:$DY415)*AE$22</f>
        <v>-523757.3342374746</v>
      </c>
      <c r="AF27" s="309">
        <f>+SUMIF('Monthly UF Model'!$I$7:$DY$7,'Monthly USD Model'!AF$7,'Monthly UF Model'!$I415:$DY415)*AF$22</f>
        <v>-400817.07405978366</v>
      </c>
      <c r="AG27" s="309">
        <f>+SUMIF('Monthly UF Model'!$I$7:$DY$7,'Monthly USD Model'!AG$7,'Monthly UF Model'!$I415:$DY415)*AG$22</f>
        <v>-323491.05224274856</v>
      </c>
      <c r="AH27" s="309">
        <f>+SUMIF('Monthly UF Model'!$I$7:$DY$7,'Monthly USD Model'!AH$7,'Monthly UF Model'!$I415:$DY415)*AH$22</f>
        <v>-529028.98915165849</v>
      </c>
      <c r="AI27" s="309">
        <f>+SUMIF('Monthly UF Model'!$I$7:$DY$7,'Monthly USD Model'!AI$7,'Monthly UF Model'!$I415:$DY415)*AI$22</f>
        <v>-284885.13143689494</v>
      </c>
      <c r="AJ27" s="309">
        <f>+SUMIF('Monthly UF Model'!$I$7:$DY$7,'Monthly USD Model'!AJ$7,'Monthly UF Model'!$I415:$DY415)*AJ$22</f>
        <v>-256254.73775903115</v>
      </c>
      <c r="AK27" s="309">
        <f>+SUMIF('Monthly UF Model'!$I$7:$DY$7,'Monthly USD Model'!AK$7,'Monthly UF Model'!$I415:$DY415)*AK$22</f>
        <v>-273227.86879299837</v>
      </c>
      <c r="AL27" s="309">
        <f>+SUMIF('Monthly UF Model'!$I$7:$DY$7,'Monthly USD Model'!AL$7,'Monthly UF Model'!$I415:$DY415)*AL$22</f>
        <v>-299421.03469122562</v>
      </c>
      <c r="AM27" s="309">
        <f>+SUMIF('Monthly UF Model'!$I$7:$DY$7,'Monthly USD Model'!AM$7,'Monthly UF Model'!$I415:$DY415)*AM$22</f>
        <v>-323998.70273945585</v>
      </c>
      <c r="AN27" s="309">
        <f>+SUMIF('Monthly UF Model'!$I$7:$DY$7,'Monthly USD Model'!AN$7,'Monthly UF Model'!$I415:$DY415)*AN$22</f>
        <v>-248581.40840121079</v>
      </c>
      <c r="AO27" s="309">
        <f>+SUMIF('Monthly UF Model'!$I$7:$DY$7,'Monthly USD Model'!AO$7,'Monthly UF Model'!$I415:$DY415)*AO$22</f>
        <v>-301464.1161536221</v>
      </c>
      <c r="AP27" s="309">
        <f>+SUMIF('Monthly UF Model'!$I$7:$DY$7,'Monthly USD Model'!AP$7,'Monthly UF Model'!$I415:$DY415)*AP$22</f>
        <v>-58508.252055404591</v>
      </c>
      <c r="AQ27" s="309">
        <f>+SUMIF('Monthly UF Model'!$I$7:$DY$7,'Monthly USD Model'!AQ$7,'Monthly UF Model'!$I415:$DY415)*AQ$22</f>
        <v>-31728.976603369581</v>
      </c>
      <c r="AR27" s="309">
        <f>+SUMIF('Monthly UF Model'!$I$7:$DY$7,'Monthly USD Model'!AR$7,'Monthly UF Model'!$I415:$DY415)*AR$22</f>
        <v>-305887.58352815948</v>
      </c>
      <c r="AS27" s="309">
        <f>+SUMIF('Monthly UF Model'!$I$7:$DY$7,'Monthly USD Model'!AS$7,'Monthly UF Model'!$I415:$DY415)*AS$22</f>
        <v>-286619.1315731841</v>
      </c>
      <c r="AT27" s="309">
        <f>+SUMIF('Monthly UF Model'!$I$7:$DY$7,'Monthly USD Model'!AT$7,'Monthly UF Model'!$I415:$DY415)*AT$22</f>
        <v>-80385.880747107673</v>
      </c>
      <c r="AU27" s="309">
        <f>+SUMIF('Monthly UF Model'!$I$7:$DY$7,'Monthly USD Model'!AU$7,'Monthly UF Model'!$I415:$DY415)*AU$22</f>
        <v>-507243.00714104943</v>
      </c>
      <c r="AV27" s="309">
        <f>+SUMIF('Monthly UF Model'!$I$7:$DY$7,'Monthly USD Model'!AV$7,'Monthly UF Model'!$I415:$DY415)*AV$22</f>
        <v>-1102730.7009090909</v>
      </c>
      <c r="AW27" s="309">
        <f>+SUMIF('Monthly UF Model'!$I$7:$DY$7,'Monthly USD Model'!AW$7,'Monthly UF Model'!$I415:$DY415)*AW$22</f>
        <v>-42977.215722275585</v>
      </c>
      <c r="AX27" s="309">
        <f>+SUMIF('Monthly UF Model'!$I$7:$DY$7,'Monthly USD Model'!AX$7,'Monthly UF Model'!$I415:$DY415)*AX$22</f>
        <v>-622809.51379634626</v>
      </c>
      <c r="AY27" s="309">
        <f>+SUMIF('Monthly UF Model'!$I$7:$DY$7,'Monthly USD Model'!AY$7,'Monthly UF Model'!$I415:$DY415)*AY$22</f>
        <v>-640304.40102041722</v>
      </c>
      <c r="AZ27" s="309">
        <f>+SUMIF('Monthly UF Model'!$I$7:$DY$7,'Monthly USD Model'!AZ$7,'Monthly UF Model'!$I415:$DY415)*AZ$22</f>
        <v>-1080753.4924077524</v>
      </c>
      <c r="BA27" s="309">
        <f>+SUMIF('Monthly UF Model'!$I$7:$DY$7,'Monthly USD Model'!BA$7,'Monthly UF Model'!$I415:$DY415)*BA$22</f>
        <v>-618401.34016141121</v>
      </c>
      <c r="BB27" s="309">
        <f>+SUMIF('Monthly UF Model'!$I$7:$DY$7,'Monthly USD Model'!BB$7,'Monthly UF Model'!$I415:$DY415)*BB$22</f>
        <v>-56830.521920388164</v>
      </c>
      <c r="BC27" s="309">
        <f>+SUMIF('Monthly UF Model'!$I$7:$DY$7,'Monthly USD Model'!BC$7,'Monthly UF Model'!$I415:$DY415)*BC$22</f>
        <v>-381839.93818895263</v>
      </c>
      <c r="BD27" s="309">
        <f>+SUMIF('Monthly UF Model'!$I$7:$DY$7,'Monthly USD Model'!BD$7,'Monthly UF Model'!$I415:$DY415)*BD$22</f>
        <v>-435240.87290086155</v>
      </c>
      <c r="BE27" s="309">
        <f>+SUMIF('Monthly UF Model'!$I$7:$DY$7,'Monthly USD Model'!BE$7,'Monthly UF Model'!$I415:$DY415)*BE$22</f>
        <v>-96902.482256429386</v>
      </c>
      <c r="BF27" s="309">
        <f>+SUMIF('Monthly UF Model'!$I$7:$DY$7,'Monthly USD Model'!BF$7,'Monthly UF Model'!$I415:$DY415)*BF$22</f>
        <v>-136437.04140480998</v>
      </c>
      <c r="BG27" s="309">
        <f>+SUMIF('Monthly UF Model'!$I$7:$DY$7,'Monthly USD Model'!BG$7,'Monthly UF Model'!$I415:$DY415)*BG$22</f>
        <v>-713363.69139828475</v>
      </c>
      <c r="BH27" s="309">
        <f>+SUMIF('Monthly UF Model'!$I$7:$DY$7,'Monthly USD Model'!BH$7,'Monthly UF Model'!$I415:$DY415)*BH$22</f>
        <v>-83826.347066178831</v>
      </c>
      <c r="BI27" s="309">
        <f>+SUMIF('Monthly UF Model'!$I$7:$DY$7,'Monthly USD Model'!BI$7,'Monthly UF Model'!$I415:$DY415)*BI$22</f>
        <v>-26752.333502670142</v>
      </c>
      <c r="BJ27" s="309">
        <f>+SUMIF('Monthly UF Model'!$I$7:$DY$7,'Monthly USD Model'!BJ$7,'Monthly UF Model'!$I415:$DY415)*BJ$22</f>
        <v>-93430.6892118502</v>
      </c>
      <c r="BK27" s="309">
        <f>+SUMIF('Monthly UF Model'!$I$7:$DY$7,'Monthly USD Model'!BK$7,'Monthly UF Model'!$I415:$DY415)*BK$22</f>
        <v>-6573.683427117141</v>
      </c>
      <c r="BL27" s="309">
        <f>+SUMIF('Monthly UF Model'!$I$7:$DY$7,'Monthly USD Model'!BL$7,'Monthly UF Model'!$I415:$DY415)*BL$22</f>
        <v>0</v>
      </c>
      <c r="BM27" s="309">
        <f>+SUMIF('Monthly UF Model'!$I$7:$DY$7,'Monthly USD Model'!BM$7,'Monthly UF Model'!$I415:$DY415)*BM$22</f>
        <v>0</v>
      </c>
      <c r="BN27" s="309">
        <f>+SUMIF('Monthly UF Model'!$I$7:$DY$7,'Monthly USD Model'!BN$7,'Monthly UF Model'!$I415:$DY415)*BN$22</f>
        <v>0</v>
      </c>
      <c r="BO27" s="309">
        <f>+SUMIF('Monthly UF Model'!$I$7:$DY$7,'Monthly USD Model'!BO$7,'Monthly UF Model'!$I415:$DY415)*BO$22</f>
        <v>0</v>
      </c>
      <c r="BP27" s="309">
        <f>+SUMIF('Monthly UF Model'!$I$7:$DY$7,'Monthly USD Model'!BP$7,'Monthly UF Model'!$I415:$DY415)*BP$22</f>
        <v>0</v>
      </c>
      <c r="BQ27" s="309">
        <f>+SUMIF('Monthly UF Model'!$I$7:$DY$7,'Monthly USD Model'!BQ$7,'Monthly UF Model'!$I415:$DY415)*BQ$22</f>
        <v>0</v>
      </c>
      <c r="BR27" s="309">
        <f>+SUMIF('Monthly UF Model'!$I$7:$DY$7,'Monthly USD Model'!BR$7,'Monthly UF Model'!$I415:$DY415)*BR$22</f>
        <v>0</v>
      </c>
      <c r="BS27" s="309">
        <f>+SUMIF('Monthly UF Model'!$I$7:$DY$7,'Monthly USD Model'!BS$7,'Monthly UF Model'!$I415:$DY415)*BS$22</f>
        <v>0</v>
      </c>
      <c r="BT27" s="309">
        <f>+SUMIF('Monthly UF Model'!$I$7:$DY$7,'Monthly USD Model'!BT$7,'Monthly UF Model'!$I415:$DY415)*BT$22</f>
        <v>0</v>
      </c>
      <c r="BU27" s="309">
        <f>+SUMIF('Monthly UF Model'!$I$7:$DY$7,'Monthly USD Model'!BU$7,'Monthly UF Model'!$I415:$DY415)*BU$22</f>
        <v>0</v>
      </c>
      <c r="BV27" s="309">
        <f>+SUMIF('Monthly UF Model'!$I$7:$DY$7,'Monthly USD Model'!BV$7,'Monthly UF Model'!$I415:$DY415)*BV$22</f>
        <v>0</v>
      </c>
      <c r="BW27" s="309">
        <f>+SUMIF('Monthly UF Model'!$I$7:$DY$7,'Monthly USD Model'!BW$7,'Monthly UF Model'!$I415:$DY415)*BW$22</f>
        <v>0</v>
      </c>
      <c r="BX27" s="309">
        <f>+SUMIF('Monthly UF Model'!$I$7:$DY$7,'Monthly USD Model'!BX$7,'Monthly UF Model'!$I415:$DY415)*BX$22</f>
        <v>0</v>
      </c>
      <c r="BY27" s="309">
        <f>+SUMIF('Monthly UF Model'!$I$7:$DY$7,'Monthly USD Model'!BY$7,'Monthly UF Model'!$I415:$DY415)*BY$22</f>
        <v>0</v>
      </c>
      <c r="BZ27" s="309">
        <f>+SUMIF('Monthly UF Model'!$I$7:$DY$7,'Monthly USD Model'!BZ$7,'Monthly UF Model'!$I415:$DY415)*BZ$22</f>
        <v>0</v>
      </c>
      <c r="CA27" s="309">
        <f>+SUMIF('Monthly UF Model'!$I$7:$DY$7,'Monthly USD Model'!CA$7,'Monthly UF Model'!$I415:$DY415)*CA$22</f>
        <v>0</v>
      </c>
      <c r="CB27" s="309">
        <f>+SUMIF('Monthly UF Model'!$I$7:$DY$7,'Monthly USD Model'!CB$7,'Monthly UF Model'!$I415:$DY415)*CB$22</f>
        <v>0</v>
      </c>
      <c r="CC27" s="309">
        <f>+SUMIF('Monthly UF Model'!$I$7:$DY$7,'Monthly USD Model'!CC$7,'Monthly UF Model'!$I415:$DY415)*CC$22</f>
        <v>0</v>
      </c>
      <c r="CD27" s="309">
        <f>+SUMIF('Monthly UF Model'!$I$7:$DY$7,'Monthly USD Model'!CD$7,'Monthly UF Model'!$I415:$DY415)*CD$22</f>
        <v>0</v>
      </c>
      <c r="CE27" s="309">
        <f>+SUMIF('Monthly UF Model'!$I$7:$DY$7,'Monthly USD Model'!CE$7,'Monthly UF Model'!$I415:$DY415)*CE$22</f>
        <v>0</v>
      </c>
      <c r="CF27" s="309">
        <f>+SUMIF('Monthly UF Model'!$I$7:$DY$7,'Monthly USD Model'!CF$7,'Monthly UF Model'!$I415:$DY415)*CF$22</f>
        <v>0</v>
      </c>
      <c r="CG27" s="309">
        <f>+SUMIF('Monthly UF Model'!$I$7:$DY$7,'Monthly USD Model'!CG$7,'Monthly UF Model'!$I415:$DY415)*CG$22</f>
        <v>0</v>
      </c>
      <c r="CH27" s="309">
        <f>+SUMIF('Monthly UF Model'!$I$7:$DY$7,'Monthly USD Model'!CH$7,'Monthly UF Model'!$I415:$DY415)*CH$22</f>
        <v>0</v>
      </c>
      <c r="CI27" s="309">
        <f>+SUMIF('Monthly UF Model'!$I$7:$DY$7,'Monthly USD Model'!CI$7,'Monthly UF Model'!$I415:$DY415)*CI$22</f>
        <v>0</v>
      </c>
      <c r="CJ27" s="309">
        <f>+SUMIF('Monthly UF Model'!$I$7:$DY$7,'Monthly USD Model'!CJ$7,'Monthly UF Model'!$I415:$DY415)*CJ$22</f>
        <v>0</v>
      </c>
      <c r="CK27" s="309">
        <f>+SUMIF('Monthly UF Model'!$I$7:$DY$7,'Monthly USD Model'!CK$7,'Monthly UF Model'!$I415:$DY415)*CK$22</f>
        <v>0</v>
      </c>
      <c r="CL27" s="309">
        <f>+SUMIF('Monthly UF Model'!$I$7:$DY$7,'Monthly USD Model'!CL$7,'Monthly UF Model'!$I415:$DY415)*CL$22</f>
        <v>0</v>
      </c>
      <c r="CM27" s="309">
        <f>+SUMIF('Monthly UF Model'!$I$7:$DY$7,'Monthly USD Model'!CM$7,'Monthly UF Model'!$I415:$DY415)*CM$22</f>
        <v>0</v>
      </c>
      <c r="CN27" s="309">
        <f>+SUMIF('Monthly UF Model'!$I$7:$DY$7,'Monthly USD Model'!CN$7,'Monthly UF Model'!$I415:$DY415)*CN$22</f>
        <v>0</v>
      </c>
      <c r="CO27" s="309">
        <f>+SUMIF('Monthly UF Model'!$I$7:$DY$7,'Monthly USD Model'!CO$7,'Monthly UF Model'!$I415:$DY415)*CO$22</f>
        <v>0</v>
      </c>
      <c r="CP27" s="309">
        <f>+SUMIF('Monthly UF Model'!$I$7:$DY$7,'Monthly USD Model'!CP$7,'Monthly UF Model'!$I415:$DY415)*CP$22</f>
        <v>0</v>
      </c>
      <c r="CQ27" s="309">
        <f>+SUMIF('Monthly UF Model'!$I$7:$DY$7,'Monthly USD Model'!CQ$7,'Monthly UF Model'!$I415:$DY415)*CQ$22</f>
        <v>0</v>
      </c>
      <c r="CR27" s="309">
        <f>+SUMIF('Monthly UF Model'!$I$7:$DY$7,'Monthly USD Model'!CR$7,'Monthly UF Model'!$I415:$DY415)*CR$22</f>
        <v>0</v>
      </c>
      <c r="CS27" s="309">
        <f>+SUMIF('Monthly UF Model'!$I$7:$DY$7,'Monthly USD Model'!CS$7,'Monthly UF Model'!$I415:$DY415)*CS$22</f>
        <v>0</v>
      </c>
      <c r="CT27" s="309">
        <f>+SUMIF('Monthly UF Model'!$I$7:$DY$7,'Monthly USD Model'!CT$7,'Monthly UF Model'!$I415:$DY415)*CT$22</f>
        <v>0</v>
      </c>
      <c r="CU27" s="309">
        <f>+SUMIF('Monthly UF Model'!$I$7:$DY$7,'Monthly USD Model'!CU$7,'Monthly UF Model'!$I415:$DY415)*CU$22</f>
        <v>0</v>
      </c>
      <c r="CV27" s="309">
        <f>+SUMIF('Monthly UF Model'!$I$7:$DY$7,'Monthly USD Model'!CV$7,'Monthly UF Model'!$I415:$DY415)*CV$22</f>
        <v>0</v>
      </c>
      <c r="CW27" s="309">
        <f>+SUMIF('Monthly UF Model'!$I$7:$DY$7,'Monthly USD Model'!CW$7,'Monthly UF Model'!$I415:$DY415)*CW$22</f>
        <v>0</v>
      </c>
      <c r="CX27" s="309">
        <f>+SUMIF('Monthly UF Model'!$I$7:$DY$7,'Monthly USD Model'!CX$7,'Monthly UF Model'!$I415:$DY415)*CX$22</f>
        <v>0</v>
      </c>
      <c r="CY27" s="309">
        <f>+SUMIF('Monthly UF Model'!$I$7:$DY$7,'Monthly USD Model'!CY$7,'Monthly UF Model'!$I415:$DY415)*CY$22</f>
        <v>0</v>
      </c>
      <c r="CZ27" s="309">
        <f>+SUMIF('Monthly UF Model'!$I$7:$DY$7,'Monthly USD Model'!CZ$7,'Monthly UF Model'!$I415:$DY415)*CZ$22</f>
        <v>0</v>
      </c>
      <c r="DA27" s="309">
        <f>+SUMIF('Monthly UF Model'!$I$7:$DY$7,'Monthly USD Model'!DA$7,'Monthly UF Model'!$I415:$DY415)*DA$22</f>
        <v>0</v>
      </c>
      <c r="DB27" s="309">
        <f>+SUMIF('Monthly UF Model'!$I$7:$DY$7,'Monthly USD Model'!DB$7,'Monthly UF Model'!$I415:$DY415)*DB$22</f>
        <v>0</v>
      </c>
      <c r="DC27" s="309">
        <f>+SUMIF('Monthly UF Model'!$I$7:$DY$7,'Monthly USD Model'!DC$7,'Monthly UF Model'!$I415:$DY415)*DC$22</f>
        <v>0</v>
      </c>
      <c r="DD27" s="309">
        <f>+SUMIF('Monthly UF Model'!$I$7:$DY$7,'Monthly USD Model'!DD$7,'Monthly UF Model'!$I415:$DY415)*DD$22</f>
        <v>0</v>
      </c>
      <c r="DE27" s="309">
        <f>+SUMIF('Monthly UF Model'!$I$7:$DY$7,'Monthly USD Model'!DE$7,'Monthly UF Model'!$I415:$DY415)*DE$22</f>
        <v>0</v>
      </c>
      <c r="DF27" s="309">
        <f>+SUMIF('Monthly UF Model'!$I$7:$DY$7,'Monthly USD Model'!DF$7,'Monthly UF Model'!$I415:$DY415)*DF$22</f>
        <v>0</v>
      </c>
      <c r="DG27" s="309">
        <f>+SUMIF('Monthly UF Model'!$I$7:$DY$7,'Monthly USD Model'!DG$7,'Monthly UF Model'!$I415:$DY415)*DG$22</f>
        <v>0</v>
      </c>
      <c r="DH27" s="309">
        <f>+SUMIF('Monthly UF Model'!$I$7:$DY$7,'Monthly USD Model'!DH$7,'Monthly UF Model'!$I415:$DY415)*DH$22</f>
        <v>0</v>
      </c>
      <c r="DI27" s="309">
        <f>+SUMIF('Monthly UF Model'!$I$7:$DY$7,'Monthly USD Model'!DI$7,'Monthly UF Model'!$I415:$DY415)*DI$22</f>
        <v>0</v>
      </c>
      <c r="DJ27" s="309">
        <f>+SUMIF('Monthly UF Model'!$I$7:$DY$7,'Monthly USD Model'!DJ$7,'Monthly UF Model'!$I415:$DY415)*DJ$22</f>
        <v>0</v>
      </c>
      <c r="DK27" s="309">
        <f>+SUMIF('Monthly UF Model'!$I$7:$DY$7,'Monthly USD Model'!DK$7,'Monthly UF Model'!$I415:$DY415)*DK$22</f>
        <v>0</v>
      </c>
      <c r="DL27" s="309">
        <f>+SUMIF('Monthly UF Model'!$I$7:$DY$7,'Monthly USD Model'!DL$7,'Monthly UF Model'!$I415:$DY415)*DL$22</f>
        <v>0</v>
      </c>
      <c r="DM27" s="309">
        <f>+SUMIF('Monthly UF Model'!$I$7:$DY$7,'Monthly USD Model'!DM$7,'Monthly UF Model'!$I415:$DY415)*DM$22</f>
        <v>0</v>
      </c>
      <c r="DN27" s="309">
        <f>+SUMIF('Monthly UF Model'!$I$7:$DY$7,'Monthly USD Model'!DN$7,'Monthly UF Model'!$I415:$DY415)*DN$22</f>
        <v>0</v>
      </c>
      <c r="DO27" s="309">
        <f>+SUMIF('Monthly UF Model'!$I$7:$DY$7,'Monthly USD Model'!DO$7,'Monthly UF Model'!$I415:$DY415)*DO$22</f>
        <v>0</v>
      </c>
      <c r="DP27" s="309">
        <f>+SUMIF('Monthly UF Model'!$I$7:$DY$7,'Monthly USD Model'!DP$7,'Monthly UF Model'!$I415:$DY415)*DP$22</f>
        <v>0</v>
      </c>
      <c r="DQ27" s="309">
        <f>+SUMIF('Monthly UF Model'!$I$7:$DY$7,'Monthly USD Model'!DQ$7,'Monthly UF Model'!$I415:$DY415)*DQ$22</f>
        <v>0</v>
      </c>
      <c r="DR27" s="309">
        <f>+SUMIF('Monthly UF Model'!$I$7:$DY$7,'Monthly USD Model'!DR$7,'Monthly UF Model'!$I415:$DY415)*DR$22</f>
        <v>0</v>
      </c>
      <c r="DS27" s="309">
        <f>+SUMIF('Monthly UF Model'!$I$7:$DY$7,'Monthly USD Model'!DS$7,'Monthly UF Model'!$I415:$DY415)*DS$22</f>
        <v>0</v>
      </c>
      <c r="DT27" s="309">
        <f>+SUMIF('Monthly UF Model'!$I$7:$DY$7,'Monthly USD Model'!DT$7,'Monthly UF Model'!$I415:$DY415)*DT$22</f>
        <v>0</v>
      </c>
      <c r="DU27" s="309">
        <f>+SUMIF('Monthly UF Model'!$I$7:$DY$7,'Monthly USD Model'!DU$7,'Monthly UF Model'!$I415:$DY415)*DU$22</f>
        <v>0</v>
      </c>
      <c r="DV27" s="309">
        <f>+SUMIF('Monthly UF Model'!$I$7:$DY$7,'Monthly USD Model'!DV$7,'Monthly UF Model'!$I415:$DY415)*DV$22</f>
        <v>0</v>
      </c>
      <c r="DW27" s="309">
        <f>+SUMIF('Monthly UF Model'!$I$7:$DY$7,'Monthly USD Model'!DW$7,'Monthly UF Model'!$I415:$DY415)*DW$22</f>
        <v>0</v>
      </c>
      <c r="DX27" s="309">
        <f>+SUMIF('Monthly UF Model'!$I$7:$DY$7,'Monthly USD Model'!DX$7,'Monthly UF Model'!$I415:$DY415)*DX$22</f>
        <v>0</v>
      </c>
    </row>
    <row r="28" spans="1:128" s="111" customFormat="1" ht="10.8" outlineLevel="1" x14ac:dyDescent="0.25">
      <c r="A28" s="3"/>
      <c r="B28" s="125" t="s">
        <v>195</v>
      </c>
      <c r="C28" s="3"/>
      <c r="D28" s="3"/>
      <c r="E28" s="3"/>
      <c r="F28" s="3"/>
      <c r="G28" s="308">
        <f t="shared" ca="1" si="18"/>
        <v>799230.24906344456</v>
      </c>
      <c r="H28" s="309">
        <f>+SUMIF('Monthly UF Model'!$I$7:$DY$7,'Monthly USD Model'!H$7,'Monthly UF Model'!$I416:$DY416)*H$22</f>
        <v>0</v>
      </c>
      <c r="I28" s="309">
        <f>+SUMIF('Monthly UF Model'!$I$7:$DY$7,'Monthly USD Model'!I$7,'Monthly UF Model'!$I416:$DY416)*I$22</f>
        <v>0</v>
      </c>
      <c r="J28" s="309">
        <f>+SUMIF('Monthly UF Model'!$I$7:$DY$7,'Monthly USD Model'!J$7,'Monthly UF Model'!$I416:$DY416)*J$22</f>
        <v>0</v>
      </c>
      <c r="K28" s="309">
        <f>+SUMIF('Monthly UF Model'!$I$7:$DY$7,'Monthly USD Model'!K$7,'Monthly UF Model'!$I416:$DY416)*K$22</f>
        <v>0</v>
      </c>
      <c r="L28" s="309">
        <f>+SUMIF('Monthly UF Model'!$I$7:$DY$7,'Monthly USD Model'!L$7,'Monthly UF Model'!$I416:$DY416)*L$22</f>
        <v>0</v>
      </c>
      <c r="M28" s="309">
        <f>+SUMIF('Monthly UF Model'!$I$7:$DY$7,'Monthly USD Model'!M$7,'Monthly UF Model'!$I416:$DY416)*M$22</f>
        <v>0</v>
      </c>
      <c r="N28" s="309">
        <f>+SUMIF('Monthly UF Model'!$I$7:$DY$7,'Monthly USD Model'!N$7,'Monthly UF Model'!$I416:$DY416)*N$22</f>
        <v>0</v>
      </c>
      <c r="O28" s="309">
        <f>+SUMIF('Monthly UF Model'!$I$7:$DY$7,'Monthly USD Model'!O$7,'Monthly UF Model'!$I416:$DY416)*O$22</f>
        <v>0</v>
      </c>
      <c r="P28" s="309">
        <f>+SUMIF('Monthly UF Model'!$I$7:$DY$7,'Monthly USD Model'!P$7,'Monthly UF Model'!$I416:$DY416)*P$22</f>
        <v>0</v>
      </c>
      <c r="Q28" s="309">
        <f>+SUMIF('Monthly UF Model'!$I$7:$DY$7,'Monthly USD Model'!Q$7,'Monthly UF Model'!$I416:$DY416)*Q$22</f>
        <v>0</v>
      </c>
      <c r="R28" s="309">
        <f>+SUMIF('Monthly UF Model'!$I$7:$DY$7,'Monthly USD Model'!R$7,'Monthly UF Model'!$I416:$DY416)*R$22</f>
        <v>0</v>
      </c>
      <c r="S28" s="309">
        <f>+SUMIF('Monthly UF Model'!$I$7:$DY$7,'Monthly USD Model'!S$7,'Monthly UF Model'!$I416:$DY416)*S$22</f>
        <v>0</v>
      </c>
      <c r="T28" s="309">
        <f>+SUMIF('Monthly UF Model'!$I$7:$DY$7,'Monthly USD Model'!T$7,'Monthly UF Model'!$I416:$DY416)*T$22</f>
        <v>0</v>
      </c>
      <c r="U28" s="309">
        <f>+SUMIF('Monthly UF Model'!$I$7:$DY$7,'Monthly USD Model'!U$7,'Monthly UF Model'!$I416:$DY416)*U$22</f>
        <v>0</v>
      </c>
      <c r="V28" s="309">
        <f>+SUMIF('Monthly UF Model'!$I$7:$DY$7,'Monthly USD Model'!V$7,'Monthly UF Model'!$I416:$DY416)*V$22</f>
        <v>0</v>
      </c>
      <c r="W28" s="309">
        <f>+SUMIF('Monthly UF Model'!$I$7:$DY$7,'Monthly USD Model'!W$7,'Monthly UF Model'!$I416:$DY416)*W$22</f>
        <v>0</v>
      </c>
      <c r="X28" s="309">
        <f>+SUMIF('Monthly UF Model'!$I$7:$DY$7,'Monthly USD Model'!X$7,'Monthly UF Model'!$I416:$DY416)*X$22</f>
        <v>0</v>
      </c>
      <c r="Y28" s="309">
        <f>+SUMIF('Monthly UF Model'!$I$7:$DY$7,'Monthly USD Model'!Y$7,'Monthly UF Model'!$I416:$DY416)*Y$22</f>
        <v>0</v>
      </c>
      <c r="Z28" s="309">
        <f>+SUMIF('Monthly UF Model'!$I$7:$DY$7,'Monthly USD Model'!Z$7,'Monthly UF Model'!$I416:$DY416)*Z$22</f>
        <v>0</v>
      </c>
      <c r="AA28" s="309">
        <f>+SUMIF('Monthly UF Model'!$I$7:$DY$7,'Monthly USD Model'!AA$7,'Monthly UF Model'!$I416:$DY416)*AA$22</f>
        <v>0</v>
      </c>
      <c r="AB28" s="309">
        <f>+SUMIF('Monthly UF Model'!$I$7:$DY$7,'Monthly USD Model'!AB$7,'Monthly UF Model'!$I416:$DY416)*AB$22</f>
        <v>0</v>
      </c>
      <c r="AC28" s="309">
        <f>+SUMIF('Monthly UF Model'!$I$7:$DY$7,'Monthly USD Model'!AC$7,'Monthly UF Model'!$I416:$DY416)*AC$22</f>
        <v>0</v>
      </c>
      <c r="AD28" s="309">
        <f>+SUMIF('Monthly UF Model'!$I$7:$DY$7,'Monthly USD Model'!AD$7,'Monthly UF Model'!$I416:$DY416)*AD$22</f>
        <v>0</v>
      </c>
      <c r="AE28" s="309">
        <f>+SUMIF('Monthly UF Model'!$I$7:$DY$7,'Monthly USD Model'!AE$7,'Monthly UF Model'!$I416:$DY416)*AE$22</f>
        <v>0</v>
      </c>
      <c r="AF28" s="309">
        <f>+SUMIF('Monthly UF Model'!$I$7:$DY$7,'Monthly USD Model'!AF$7,'Monthly UF Model'!$I416:$DY416)*AF$22</f>
        <v>0</v>
      </c>
      <c r="AG28" s="309">
        <f>+SUMIF('Monthly UF Model'!$I$7:$DY$7,'Monthly USD Model'!AG$7,'Monthly UF Model'!$I416:$DY416)*AG$22</f>
        <v>0</v>
      </c>
      <c r="AH28" s="309">
        <f>+SUMIF('Monthly UF Model'!$I$7:$DY$7,'Monthly USD Model'!AH$7,'Monthly UF Model'!$I416:$DY416)*AH$22</f>
        <v>0</v>
      </c>
      <c r="AI28" s="309">
        <f>+SUMIF('Monthly UF Model'!$I$7:$DY$7,'Monthly USD Model'!AI$7,'Monthly UF Model'!$I416:$DY416)*AI$22</f>
        <v>0</v>
      </c>
      <c r="AJ28" s="309">
        <f>+SUMIF('Monthly UF Model'!$I$7:$DY$7,'Monthly USD Model'!AJ$7,'Monthly UF Model'!$I416:$DY416)*AJ$22</f>
        <v>0</v>
      </c>
      <c r="AK28" s="309">
        <f>+SUMIF('Monthly UF Model'!$I$7:$DY$7,'Monthly USD Model'!AK$7,'Monthly UF Model'!$I416:$DY416)*AK$22</f>
        <v>0</v>
      </c>
      <c r="AL28" s="309">
        <f>+SUMIF('Monthly UF Model'!$I$7:$DY$7,'Monthly USD Model'!AL$7,'Monthly UF Model'!$I416:$DY416)*AL$22</f>
        <v>0</v>
      </c>
      <c r="AM28" s="309">
        <f>+SUMIF('Monthly UF Model'!$I$7:$DY$7,'Monthly USD Model'!AM$7,'Monthly UF Model'!$I416:$DY416)*AM$22</f>
        <v>0</v>
      </c>
      <c r="AN28" s="309">
        <f>+SUMIF('Monthly UF Model'!$I$7:$DY$7,'Monthly USD Model'!AN$7,'Monthly UF Model'!$I416:$DY416)*AN$22</f>
        <v>0</v>
      </c>
      <c r="AO28" s="309">
        <f>+SUMIF('Monthly UF Model'!$I$7:$DY$7,'Monthly USD Model'!AO$7,'Monthly UF Model'!$I416:$DY416)*AO$22</f>
        <v>0</v>
      </c>
      <c r="AP28" s="309">
        <f>+SUMIF('Monthly UF Model'!$I$7:$DY$7,'Monthly USD Model'!AP$7,'Monthly UF Model'!$I416:$DY416)*AP$22</f>
        <v>0</v>
      </c>
      <c r="AQ28" s="309">
        <f>+SUMIF('Monthly UF Model'!$I$7:$DY$7,'Monthly USD Model'!AQ$7,'Monthly UF Model'!$I416:$DY416)*AQ$22</f>
        <v>0</v>
      </c>
      <c r="AR28" s="309">
        <f>+SUMIF('Monthly UF Model'!$I$7:$DY$7,'Monthly USD Model'!AR$7,'Monthly UF Model'!$I416:$DY416)*AR$22</f>
        <v>0</v>
      </c>
      <c r="AS28" s="309">
        <f>+SUMIF('Monthly UF Model'!$I$7:$DY$7,'Monthly USD Model'!AS$7,'Monthly UF Model'!$I416:$DY416)*AS$22</f>
        <v>0</v>
      </c>
      <c r="AT28" s="309">
        <f>+SUMIF('Monthly UF Model'!$I$7:$DY$7,'Monthly USD Model'!AT$7,'Monthly UF Model'!$I416:$DY416)*AT$22</f>
        <v>0</v>
      </c>
      <c r="AU28" s="309">
        <f>+SUMIF('Monthly UF Model'!$I$7:$DY$7,'Monthly USD Model'!AU$7,'Monthly UF Model'!$I416:$DY416)*AU$22</f>
        <v>0</v>
      </c>
      <c r="AV28" s="309">
        <f>+SUMIF('Monthly UF Model'!$I$7:$DY$7,'Monthly USD Model'!AV$7,'Monthly UF Model'!$I416:$DY416)*AV$22</f>
        <v>0</v>
      </c>
      <c r="AW28" s="309">
        <f>+SUMIF('Monthly UF Model'!$I$7:$DY$7,'Monthly USD Model'!AW$7,'Monthly UF Model'!$I416:$DY416)*AW$22</f>
        <v>0</v>
      </c>
      <c r="AX28" s="309">
        <f>+SUMIF('Monthly UF Model'!$I$7:$DY$7,'Monthly USD Model'!AX$7,'Monthly UF Model'!$I416:$DY416)*AX$22</f>
        <v>0</v>
      </c>
      <c r="AY28" s="309">
        <f>+SUMIF('Monthly UF Model'!$I$7:$DY$7,'Monthly USD Model'!AY$7,'Monthly UF Model'!$I416:$DY416)*AY$22</f>
        <v>0</v>
      </c>
      <c r="AZ28" s="309">
        <f>+SUMIF('Monthly UF Model'!$I$7:$DY$7,'Monthly USD Model'!AZ$7,'Monthly UF Model'!$I416:$DY416)*AZ$22</f>
        <v>0</v>
      </c>
      <c r="BA28" s="309">
        <f>+SUMIF('Monthly UF Model'!$I$7:$DY$7,'Monthly USD Model'!BA$7,'Monthly UF Model'!$I416:$DY416)*BA$22</f>
        <v>0</v>
      </c>
      <c r="BB28" s="309">
        <f>+SUMIF('Monthly UF Model'!$I$7:$DY$7,'Monthly USD Model'!BB$7,'Monthly UF Model'!$I416:$DY416)*BB$22</f>
        <v>0</v>
      </c>
      <c r="BC28" s="309">
        <f>+SUMIF('Monthly UF Model'!$I$7:$DY$7,'Monthly USD Model'!BC$7,'Monthly UF Model'!$I416:$DY416)*BC$22</f>
        <v>0</v>
      </c>
      <c r="BD28" s="309">
        <f>+SUMIF('Monthly UF Model'!$I$7:$DY$7,'Monthly USD Model'!BD$7,'Monthly UF Model'!$I416:$DY416)*BD$22</f>
        <v>0</v>
      </c>
      <c r="BE28" s="309">
        <f>+SUMIF('Monthly UF Model'!$I$7:$DY$7,'Monthly USD Model'!BE$7,'Monthly UF Model'!$I416:$DY416)*BE$22</f>
        <v>0</v>
      </c>
      <c r="BF28" s="309">
        <f>+SUMIF('Monthly UF Model'!$I$7:$DY$7,'Monthly USD Model'!BF$7,'Monthly UF Model'!$I416:$DY416)*BF$22</f>
        <v>0</v>
      </c>
      <c r="BG28" s="309">
        <f>+SUMIF('Monthly UF Model'!$I$7:$DY$7,'Monthly USD Model'!BG$7,'Monthly UF Model'!$I416:$DY416)*BG$22</f>
        <v>0</v>
      </c>
      <c r="BH28" s="309">
        <f>+SUMIF('Monthly UF Model'!$I$7:$DY$7,'Monthly USD Model'!BH$7,'Monthly UF Model'!$I416:$DY416)*BH$22</f>
        <v>-23123.42171400768</v>
      </c>
      <c r="BI28" s="309">
        <f>+SUMIF('Monthly UF Model'!$I$7:$DY$7,'Monthly USD Model'!BI$7,'Monthly UF Model'!$I416:$DY416)*BI$22</f>
        <v>-52404.318088889442</v>
      </c>
      <c r="BJ28" s="309">
        <f>+SUMIF('Monthly UF Model'!$I$7:$DY$7,'Monthly USD Model'!BJ$7,'Monthly UF Model'!$I416:$DY416)*BJ$22</f>
        <v>-38636.201026474941</v>
      </c>
      <c r="BK28" s="309">
        <f>+SUMIF('Monthly UF Model'!$I$7:$DY$7,'Monthly USD Model'!BK$7,'Monthly UF Model'!$I416:$DY416)*BK$22</f>
        <v>12597.195300803785</v>
      </c>
      <c r="BL28" s="309">
        <f>+SUMIF('Monthly UF Model'!$I$7:$DY$7,'Monthly USD Model'!BL$7,'Monthly UF Model'!$I416:$DY416)*BL$22</f>
        <v>-56818.921211241024</v>
      </c>
      <c r="BM28" s="309">
        <f>+SUMIF('Monthly UF Model'!$I$7:$DY$7,'Monthly USD Model'!BM$7,'Monthly UF Model'!$I416:$DY416)*BM$22</f>
        <v>-271.087002837044</v>
      </c>
      <c r="BN28" s="309">
        <f>+SUMIF('Monthly UF Model'!$I$7:$DY$7,'Monthly USD Model'!BN$7,'Monthly UF Model'!$I416:$DY416)*BN$22</f>
        <v>-4587.4240196616192</v>
      </c>
      <c r="BO28" s="309">
        <f>+SUMIF('Monthly UF Model'!$I$7:$DY$7,'Monthly USD Model'!BO$7,'Monthly UF Model'!$I416:$DY416)*BO$22</f>
        <v>34512.322726190607</v>
      </c>
      <c r="BP28" s="309">
        <f>+SUMIF('Monthly UF Model'!$I$7:$DY$7,'Monthly USD Model'!BP$7,'Monthly UF Model'!$I416:$DY416)*BP$22</f>
        <v>24616.237060041392</v>
      </c>
      <c r="BQ28" s="309">
        <f>+SUMIF('Monthly UF Model'!$I$7:$DY$7,'Monthly USD Model'!BQ$7,'Monthly UF Model'!$I416:$DY416)*BQ$22</f>
        <v>17560.576953591935</v>
      </c>
      <c r="BR28" s="309">
        <f>+SUMIF('Monthly UF Model'!$I$7:$DY$7,'Monthly USD Model'!BR$7,'Monthly UF Model'!$I416:$DY416)*BR$22</f>
        <v>29473.228442088977</v>
      </c>
      <c r="BS28" s="309">
        <f>+SUMIF('Monthly UF Model'!$I$7:$DY$7,'Monthly USD Model'!BS$7,'Monthly UF Model'!$I416:$DY416)*BS$22</f>
        <v>12569.540784865791</v>
      </c>
      <c r="BT28" s="309">
        <f>+SUMIF('Monthly UF Model'!$I$7:$DY$7,'Monthly USD Model'!BT$7,'Monthly UF Model'!$I416:$DY416)*BT$22</f>
        <v>26425.473816476842</v>
      </c>
      <c r="BU28" s="309">
        <f>+SUMIF('Monthly UF Model'!$I$7:$DY$7,'Monthly USD Model'!BU$7,'Monthly UF Model'!$I416:$DY416)*BU$22</f>
        <v>34648.999085703283</v>
      </c>
      <c r="BV28" s="309">
        <f>+SUMIF('Monthly UF Model'!$I$7:$DY$7,'Monthly USD Model'!BV$7,'Monthly UF Model'!$I416:$DY416)*BV$22</f>
        <v>22355.682106116659</v>
      </c>
      <c r="BW28" s="309">
        <f>+SUMIF('Monthly UF Model'!$I$7:$DY$7,'Monthly USD Model'!BW$7,'Monthly UF Model'!$I416:$DY416)*BW$22</f>
        <v>9582.8861291650501</v>
      </c>
      <c r="BX28" s="309">
        <f>+SUMIF('Monthly UF Model'!$I$7:$DY$7,'Monthly USD Model'!BX$7,'Monthly UF Model'!$I416:$DY416)*BX$22</f>
        <v>37889.397601663506</v>
      </c>
      <c r="BY28" s="309">
        <f ca="1">+SUMIF('Monthly UF Model'!$I$7:$DY$7,'Monthly USD Model'!BY$7,'Monthly UF Model'!$I416:$DY416)*BY$22</f>
        <v>108199.67374613771</v>
      </c>
      <c r="BZ28" s="309">
        <f ca="1">+SUMIF('Monthly UF Model'!$I$7:$DY$7,'Monthly USD Model'!BZ$7,'Monthly UF Model'!$I416:$DY416)*BZ$22</f>
        <v>97856.08159742158</v>
      </c>
      <c r="CA28" s="309">
        <f ca="1">+SUMIF('Monthly UF Model'!$I$7:$DY$7,'Monthly USD Model'!CA$7,'Monthly UF Model'!$I416:$DY416)*CA$22</f>
        <v>98017.698872067063</v>
      </c>
      <c r="CB28" s="309">
        <f ca="1">+SUMIF('Monthly UF Model'!$I$7:$DY$7,'Monthly USD Model'!CB$7,'Monthly UF Model'!$I416:$DY416)*CB$22</f>
        <v>98179.583070781417</v>
      </c>
      <c r="CC28" s="309">
        <f ca="1">+SUMIF('Monthly UF Model'!$I$7:$DY$7,'Monthly USD Model'!CC$7,'Monthly UF Model'!$I416:$DY416)*CC$22</f>
        <v>98341.734634411448</v>
      </c>
      <c r="CD28" s="309">
        <f ca="1">+SUMIF('Monthly UF Model'!$I$7:$DY$7,'Monthly USD Model'!CD$7,'Monthly UF Model'!$I416:$DY416)*CD$22</f>
        <v>98504.154004532029</v>
      </c>
      <c r="CE28" s="309">
        <f ca="1">+SUMIF('Monthly UF Model'!$I$7:$DY$7,'Monthly USD Model'!CE$7,'Monthly UF Model'!$I416:$DY416)*CE$22</f>
        <v>113741.15619449721</v>
      </c>
      <c r="CF28" s="309">
        <f ca="1">+SUMIF('Monthly UF Model'!$I$7:$DY$7,'Monthly USD Model'!CF$7,'Monthly UF Model'!$I416:$DY416)*CF$22</f>
        <v>0</v>
      </c>
      <c r="CG28" s="309">
        <f ca="1">+SUMIF('Monthly UF Model'!$I$7:$DY$7,'Monthly USD Model'!CG$7,'Monthly UF Model'!$I416:$DY416)*CG$22</f>
        <v>0</v>
      </c>
      <c r="CH28" s="309">
        <f ca="1">+SUMIF('Monthly UF Model'!$I$7:$DY$7,'Monthly USD Model'!CH$7,'Monthly UF Model'!$I416:$DY416)*CH$22</f>
        <v>0</v>
      </c>
      <c r="CI28" s="309">
        <f ca="1">+SUMIF('Monthly UF Model'!$I$7:$DY$7,'Monthly USD Model'!CI$7,'Monthly UF Model'!$I416:$DY416)*CI$22</f>
        <v>0</v>
      </c>
      <c r="CJ28" s="309">
        <f ca="1">+SUMIF('Monthly UF Model'!$I$7:$DY$7,'Monthly USD Model'!CJ$7,'Monthly UF Model'!$I416:$DY416)*CJ$22</f>
        <v>0</v>
      </c>
      <c r="CK28" s="309">
        <f ca="1">+SUMIF('Monthly UF Model'!$I$7:$DY$7,'Monthly USD Model'!CK$7,'Monthly UF Model'!$I416:$DY416)*CK$22</f>
        <v>0</v>
      </c>
      <c r="CL28" s="309">
        <f ca="1">+SUMIF('Monthly UF Model'!$I$7:$DY$7,'Monthly USD Model'!CL$7,'Monthly UF Model'!$I416:$DY416)*CL$22</f>
        <v>0</v>
      </c>
      <c r="CM28" s="309">
        <f ca="1">+SUMIF('Monthly UF Model'!$I$7:$DY$7,'Monthly USD Model'!CM$7,'Monthly UF Model'!$I416:$DY416)*CM$22</f>
        <v>0</v>
      </c>
      <c r="CN28" s="309">
        <f ca="1">+SUMIF('Monthly UF Model'!$I$7:$DY$7,'Monthly USD Model'!CN$7,'Monthly UF Model'!$I416:$DY416)*CN$22</f>
        <v>0</v>
      </c>
      <c r="CO28" s="309">
        <f ca="1">+SUMIF('Monthly UF Model'!$I$7:$DY$7,'Monthly USD Model'!CO$7,'Monthly UF Model'!$I416:$DY416)*CO$22</f>
        <v>0</v>
      </c>
      <c r="CP28" s="309">
        <f ca="1">+SUMIF('Monthly UF Model'!$I$7:$DY$7,'Monthly USD Model'!CP$7,'Monthly UF Model'!$I416:$DY416)*CP$22</f>
        <v>0</v>
      </c>
      <c r="CQ28" s="309">
        <f ca="1">+SUMIF('Monthly UF Model'!$I$7:$DY$7,'Monthly USD Model'!CQ$7,'Monthly UF Model'!$I416:$DY416)*CQ$22</f>
        <v>0</v>
      </c>
      <c r="CR28" s="309">
        <f ca="1">+SUMIF('Monthly UF Model'!$I$7:$DY$7,'Monthly USD Model'!CR$7,'Monthly UF Model'!$I416:$DY416)*CR$22</f>
        <v>0</v>
      </c>
      <c r="CS28" s="309">
        <f ca="1">+SUMIF('Monthly UF Model'!$I$7:$DY$7,'Monthly USD Model'!CS$7,'Monthly UF Model'!$I416:$DY416)*CS$22</f>
        <v>0</v>
      </c>
      <c r="CT28" s="309">
        <f ca="1">+SUMIF('Monthly UF Model'!$I$7:$DY$7,'Monthly USD Model'!CT$7,'Monthly UF Model'!$I416:$DY416)*CT$22</f>
        <v>0</v>
      </c>
      <c r="CU28" s="309">
        <f ca="1">+SUMIF('Monthly UF Model'!$I$7:$DY$7,'Monthly USD Model'!CU$7,'Monthly UF Model'!$I416:$DY416)*CU$22</f>
        <v>0</v>
      </c>
      <c r="CV28" s="309">
        <f ca="1">+SUMIF('Monthly UF Model'!$I$7:$DY$7,'Monthly USD Model'!CV$7,'Monthly UF Model'!$I416:$DY416)*CV$22</f>
        <v>0</v>
      </c>
      <c r="CW28" s="309">
        <f ca="1">+SUMIF('Monthly UF Model'!$I$7:$DY$7,'Monthly USD Model'!CW$7,'Monthly UF Model'!$I416:$DY416)*CW$22</f>
        <v>0</v>
      </c>
      <c r="CX28" s="309">
        <f ca="1">+SUMIF('Monthly UF Model'!$I$7:$DY$7,'Monthly USD Model'!CX$7,'Monthly UF Model'!$I416:$DY416)*CX$22</f>
        <v>0</v>
      </c>
      <c r="CY28" s="309">
        <f ca="1">+SUMIF('Monthly UF Model'!$I$7:$DY$7,'Monthly USD Model'!CY$7,'Monthly UF Model'!$I416:$DY416)*CY$22</f>
        <v>0</v>
      </c>
      <c r="CZ28" s="309">
        <f ca="1">+SUMIF('Monthly UF Model'!$I$7:$DY$7,'Monthly USD Model'!CZ$7,'Monthly UF Model'!$I416:$DY416)*CZ$22</f>
        <v>0</v>
      </c>
      <c r="DA28" s="309">
        <f ca="1">+SUMIF('Monthly UF Model'!$I$7:$DY$7,'Monthly USD Model'!DA$7,'Monthly UF Model'!$I416:$DY416)*DA$22</f>
        <v>0</v>
      </c>
      <c r="DB28" s="309">
        <f ca="1">+SUMIF('Monthly UF Model'!$I$7:$DY$7,'Monthly USD Model'!DB$7,'Monthly UF Model'!$I416:$DY416)*DB$22</f>
        <v>0</v>
      </c>
      <c r="DC28" s="309">
        <f ca="1">+SUMIF('Monthly UF Model'!$I$7:$DY$7,'Monthly USD Model'!DC$7,'Monthly UF Model'!$I416:$DY416)*DC$22</f>
        <v>0</v>
      </c>
      <c r="DD28" s="309">
        <f ca="1">+SUMIF('Monthly UF Model'!$I$7:$DY$7,'Monthly USD Model'!DD$7,'Monthly UF Model'!$I416:$DY416)*DD$22</f>
        <v>0</v>
      </c>
      <c r="DE28" s="309">
        <f ca="1">+SUMIF('Monthly UF Model'!$I$7:$DY$7,'Monthly USD Model'!DE$7,'Monthly UF Model'!$I416:$DY416)*DE$22</f>
        <v>0</v>
      </c>
      <c r="DF28" s="309">
        <f ca="1">+SUMIF('Monthly UF Model'!$I$7:$DY$7,'Monthly USD Model'!DF$7,'Monthly UF Model'!$I416:$DY416)*DF$22</f>
        <v>0</v>
      </c>
      <c r="DG28" s="309">
        <f ca="1">+SUMIF('Monthly UF Model'!$I$7:$DY$7,'Monthly USD Model'!DG$7,'Monthly UF Model'!$I416:$DY416)*DG$22</f>
        <v>0</v>
      </c>
      <c r="DH28" s="309">
        <f ca="1">+SUMIF('Monthly UF Model'!$I$7:$DY$7,'Monthly USD Model'!DH$7,'Monthly UF Model'!$I416:$DY416)*DH$22</f>
        <v>0</v>
      </c>
      <c r="DI28" s="309">
        <f ca="1">+SUMIF('Monthly UF Model'!$I$7:$DY$7,'Monthly USD Model'!DI$7,'Monthly UF Model'!$I416:$DY416)*DI$22</f>
        <v>0</v>
      </c>
      <c r="DJ28" s="309">
        <f ca="1">+SUMIF('Monthly UF Model'!$I$7:$DY$7,'Monthly USD Model'!DJ$7,'Monthly UF Model'!$I416:$DY416)*DJ$22</f>
        <v>0</v>
      </c>
      <c r="DK28" s="309">
        <f ca="1">+SUMIF('Monthly UF Model'!$I$7:$DY$7,'Monthly USD Model'!DK$7,'Monthly UF Model'!$I416:$DY416)*DK$22</f>
        <v>0</v>
      </c>
      <c r="DL28" s="309">
        <f ca="1">+SUMIF('Monthly UF Model'!$I$7:$DY$7,'Monthly USD Model'!DL$7,'Monthly UF Model'!$I416:$DY416)*DL$22</f>
        <v>0</v>
      </c>
      <c r="DM28" s="309">
        <f ca="1">+SUMIF('Monthly UF Model'!$I$7:$DY$7,'Monthly USD Model'!DM$7,'Monthly UF Model'!$I416:$DY416)*DM$22</f>
        <v>0</v>
      </c>
      <c r="DN28" s="309">
        <f ca="1">+SUMIF('Monthly UF Model'!$I$7:$DY$7,'Monthly USD Model'!DN$7,'Monthly UF Model'!$I416:$DY416)*DN$22</f>
        <v>0</v>
      </c>
      <c r="DO28" s="309">
        <f ca="1">+SUMIF('Monthly UF Model'!$I$7:$DY$7,'Monthly USD Model'!DO$7,'Monthly UF Model'!$I416:$DY416)*DO$22</f>
        <v>0</v>
      </c>
      <c r="DP28" s="309">
        <f ca="1">+SUMIF('Monthly UF Model'!$I$7:$DY$7,'Monthly USD Model'!DP$7,'Monthly UF Model'!$I416:$DY416)*DP$22</f>
        <v>0</v>
      </c>
      <c r="DQ28" s="309">
        <f ca="1">+SUMIF('Monthly UF Model'!$I$7:$DY$7,'Monthly USD Model'!DQ$7,'Monthly UF Model'!$I416:$DY416)*DQ$22</f>
        <v>0</v>
      </c>
      <c r="DR28" s="309">
        <f ca="1">+SUMIF('Monthly UF Model'!$I$7:$DY$7,'Monthly USD Model'!DR$7,'Monthly UF Model'!$I416:$DY416)*DR$22</f>
        <v>0</v>
      </c>
      <c r="DS28" s="309">
        <f ca="1">+SUMIF('Monthly UF Model'!$I$7:$DY$7,'Monthly USD Model'!DS$7,'Monthly UF Model'!$I416:$DY416)*DS$22</f>
        <v>0</v>
      </c>
      <c r="DT28" s="309">
        <f ca="1">+SUMIF('Monthly UF Model'!$I$7:$DY$7,'Monthly USD Model'!DT$7,'Monthly UF Model'!$I416:$DY416)*DT$22</f>
        <v>0</v>
      </c>
      <c r="DU28" s="309">
        <f ca="1">+SUMIF('Monthly UF Model'!$I$7:$DY$7,'Monthly USD Model'!DU$7,'Monthly UF Model'!$I416:$DY416)*DU$22</f>
        <v>0</v>
      </c>
      <c r="DV28" s="309">
        <f ca="1">+SUMIF('Monthly UF Model'!$I$7:$DY$7,'Monthly USD Model'!DV$7,'Monthly UF Model'!$I416:$DY416)*DV$22</f>
        <v>0</v>
      </c>
      <c r="DW28" s="309">
        <f ca="1">+SUMIF('Monthly UF Model'!$I$7:$DY$7,'Monthly USD Model'!DW$7,'Monthly UF Model'!$I416:$DY416)*DW$22</f>
        <v>0</v>
      </c>
      <c r="DX28" s="309">
        <f ca="1">+SUMIF('Monthly UF Model'!$I$7:$DY$7,'Monthly USD Model'!DX$7,'Monthly UF Model'!$I416:$DY416)*DX$22</f>
        <v>0</v>
      </c>
    </row>
    <row r="29" spans="1:128" s="5" customFormat="1" ht="10.8" outlineLevel="1" x14ac:dyDescent="0.25">
      <c r="A29" s="3"/>
      <c r="B29" s="125" t="s">
        <v>19</v>
      </c>
      <c r="C29" s="111"/>
      <c r="D29" s="111"/>
      <c r="E29" s="111"/>
      <c r="F29" s="111"/>
      <c r="G29" s="308">
        <f t="shared" si="18"/>
        <v>95380.157385876984</v>
      </c>
      <c r="H29" s="309">
        <f>+SUMIF('Monthly UF Model'!$I$7:$DY$7,'Monthly USD Model'!H$7,'Monthly UF Model'!$I417:$DY417)*H$22</f>
        <v>0</v>
      </c>
      <c r="I29" s="309">
        <f>+SUMIF('Monthly UF Model'!$I$7:$DY$7,'Monthly USD Model'!I$7,'Monthly UF Model'!$I417:$DY417)*I$22</f>
        <v>0</v>
      </c>
      <c r="J29" s="309">
        <f>+SUMIF('Monthly UF Model'!$I$7:$DY$7,'Monthly USD Model'!J$7,'Monthly UF Model'!$I417:$DY417)*J$22</f>
        <v>0</v>
      </c>
      <c r="K29" s="309">
        <f>+SUMIF('Monthly UF Model'!$I$7:$DY$7,'Monthly USD Model'!K$7,'Monthly UF Model'!$I417:$DY417)*K$22</f>
        <v>0</v>
      </c>
      <c r="L29" s="309">
        <f>+SUMIF('Monthly UF Model'!$I$7:$DY$7,'Monthly USD Model'!L$7,'Monthly UF Model'!$I417:$DY417)*L$22</f>
        <v>0</v>
      </c>
      <c r="M29" s="309">
        <f>+SUMIF('Monthly UF Model'!$I$7:$DY$7,'Monthly USD Model'!M$7,'Monthly UF Model'!$I417:$DY417)*M$22</f>
        <v>0</v>
      </c>
      <c r="N29" s="309">
        <f>+SUMIF('Monthly UF Model'!$I$7:$DY$7,'Monthly USD Model'!N$7,'Monthly UF Model'!$I417:$DY417)*N$22</f>
        <v>0</v>
      </c>
      <c r="O29" s="309">
        <f>+SUMIF('Monthly UF Model'!$I$7:$DY$7,'Monthly USD Model'!O$7,'Monthly UF Model'!$I417:$DY417)*O$22</f>
        <v>0</v>
      </c>
      <c r="P29" s="309">
        <f>+SUMIF('Monthly UF Model'!$I$7:$DY$7,'Monthly USD Model'!P$7,'Monthly UF Model'!$I417:$DY417)*P$22</f>
        <v>0</v>
      </c>
      <c r="Q29" s="309">
        <f>+SUMIF('Monthly UF Model'!$I$7:$DY$7,'Monthly USD Model'!Q$7,'Monthly UF Model'!$I417:$DY417)*Q$22</f>
        <v>0</v>
      </c>
      <c r="R29" s="309">
        <f>+SUMIF('Monthly UF Model'!$I$7:$DY$7,'Monthly USD Model'!R$7,'Monthly UF Model'!$I417:$DY417)*R$22</f>
        <v>0</v>
      </c>
      <c r="S29" s="309">
        <f>+SUMIF('Monthly UF Model'!$I$7:$DY$7,'Monthly USD Model'!S$7,'Monthly UF Model'!$I417:$DY417)*S$22</f>
        <v>0</v>
      </c>
      <c r="T29" s="309">
        <f>+SUMIF('Monthly UF Model'!$I$7:$DY$7,'Monthly USD Model'!T$7,'Monthly UF Model'!$I417:$DY417)*T$22</f>
        <v>0</v>
      </c>
      <c r="U29" s="309">
        <f>+SUMIF('Monthly UF Model'!$I$7:$DY$7,'Monthly USD Model'!U$7,'Monthly UF Model'!$I417:$DY417)*U$22</f>
        <v>0</v>
      </c>
      <c r="V29" s="309">
        <f>+SUMIF('Monthly UF Model'!$I$7:$DY$7,'Monthly USD Model'!V$7,'Monthly UF Model'!$I417:$DY417)*V$22</f>
        <v>0</v>
      </c>
      <c r="W29" s="309">
        <f>+SUMIF('Monthly UF Model'!$I$7:$DY$7,'Monthly USD Model'!W$7,'Monthly UF Model'!$I417:$DY417)*W$22</f>
        <v>0</v>
      </c>
      <c r="X29" s="309">
        <f>+SUMIF('Monthly UF Model'!$I$7:$DY$7,'Monthly USD Model'!X$7,'Monthly UF Model'!$I417:$DY417)*X$22</f>
        <v>0</v>
      </c>
      <c r="Y29" s="309">
        <f>+SUMIF('Monthly UF Model'!$I$7:$DY$7,'Monthly USD Model'!Y$7,'Monthly UF Model'!$I417:$DY417)*Y$22</f>
        <v>0</v>
      </c>
      <c r="Z29" s="309">
        <f>+SUMIF('Monthly UF Model'!$I$7:$DY$7,'Monthly USD Model'!Z$7,'Monthly UF Model'!$I417:$DY417)*Z$22</f>
        <v>0</v>
      </c>
      <c r="AA29" s="309">
        <f>+SUMIF('Monthly UF Model'!$I$7:$DY$7,'Monthly USD Model'!AA$7,'Monthly UF Model'!$I417:$DY417)*AA$22</f>
        <v>0</v>
      </c>
      <c r="AB29" s="309">
        <f>+SUMIF('Monthly UF Model'!$I$7:$DY$7,'Monthly USD Model'!AB$7,'Monthly UF Model'!$I417:$DY417)*AB$22</f>
        <v>0</v>
      </c>
      <c r="AC29" s="309">
        <f>+SUMIF('Monthly UF Model'!$I$7:$DY$7,'Monthly USD Model'!AC$7,'Monthly UF Model'!$I417:$DY417)*AC$22</f>
        <v>0</v>
      </c>
      <c r="AD29" s="309">
        <f>+SUMIF('Monthly UF Model'!$I$7:$DY$7,'Monthly USD Model'!AD$7,'Monthly UF Model'!$I417:$DY417)*AD$22</f>
        <v>0</v>
      </c>
      <c r="AE29" s="309">
        <f>+SUMIF('Monthly UF Model'!$I$7:$DY$7,'Monthly USD Model'!AE$7,'Monthly UF Model'!$I417:$DY417)*AE$22</f>
        <v>0</v>
      </c>
      <c r="AF29" s="309">
        <f>+SUMIF('Monthly UF Model'!$I$7:$DY$7,'Monthly USD Model'!AF$7,'Monthly UF Model'!$I417:$DY417)*AF$22</f>
        <v>0</v>
      </c>
      <c r="AG29" s="309">
        <f>+SUMIF('Monthly UF Model'!$I$7:$DY$7,'Monthly USD Model'!AG$7,'Monthly UF Model'!$I417:$DY417)*AG$22</f>
        <v>0</v>
      </c>
      <c r="AH29" s="309">
        <f>+SUMIF('Monthly UF Model'!$I$7:$DY$7,'Monthly USD Model'!AH$7,'Monthly UF Model'!$I417:$DY417)*AH$22</f>
        <v>0</v>
      </c>
      <c r="AI29" s="309">
        <f>+SUMIF('Monthly UF Model'!$I$7:$DY$7,'Monthly USD Model'!AI$7,'Monthly UF Model'!$I417:$DY417)*AI$22</f>
        <v>0</v>
      </c>
      <c r="AJ29" s="309">
        <f>+SUMIF('Monthly UF Model'!$I$7:$DY$7,'Monthly USD Model'!AJ$7,'Monthly UF Model'!$I417:$DY417)*AJ$22</f>
        <v>0</v>
      </c>
      <c r="AK29" s="309">
        <f>+SUMIF('Monthly UF Model'!$I$7:$DY$7,'Monthly USD Model'!AK$7,'Monthly UF Model'!$I417:$DY417)*AK$22</f>
        <v>0</v>
      </c>
      <c r="AL29" s="309">
        <f>+SUMIF('Monthly UF Model'!$I$7:$DY$7,'Monthly USD Model'!AL$7,'Monthly UF Model'!$I417:$DY417)*AL$22</f>
        <v>0</v>
      </c>
      <c r="AM29" s="309">
        <f>+SUMIF('Monthly UF Model'!$I$7:$DY$7,'Monthly USD Model'!AM$7,'Monthly UF Model'!$I417:$DY417)*AM$22</f>
        <v>0</v>
      </c>
      <c r="AN29" s="309">
        <f>+SUMIF('Monthly UF Model'!$I$7:$DY$7,'Monthly USD Model'!AN$7,'Monthly UF Model'!$I417:$DY417)*AN$22</f>
        <v>0</v>
      </c>
      <c r="AO29" s="309">
        <f>+SUMIF('Monthly UF Model'!$I$7:$DY$7,'Monthly USD Model'!AO$7,'Monthly UF Model'!$I417:$DY417)*AO$22</f>
        <v>0</v>
      </c>
      <c r="AP29" s="309">
        <f>+SUMIF('Monthly UF Model'!$I$7:$DY$7,'Monthly USD Model'!AP$7,'Monthly UF Model'!$I417:$DY417)*AP$22</f>
        <v>0</v>
      </c>
      <c r="AQ29" s="309">
        <f>+SUMIF('Monthly UF Model'!$I$7:$DY$7,'Monthly USD Model'!AQ$7,'Monthly UF Model'!$I417:$DY417)*AQ$22</f>
        <v>0</v>
      </c>
      <c r="AR29" s="309">
        <f>+SUMIF('Monthly UF Model'!$I$7:$DY$7,'Monthly USD Model'!AR$7,'Monthly UF Model'!$I417:$DY417)*AR$22</f>
        <v>0</v>
      </c>
      <c r="AS29" s="309">
        <f>+SUMIF('Monthly UF Model'!$I$7:$DY$7,'Monthly USD Model'!AS$7,'Monthly UF Model'!$I417:$DY417)*AS$22</f>
        <v>0</v>
      </c>
      <c r="AT29" s="309">
        <f>+SUMIF('Monthly UF Model'!$I$7:$DY$7,'Monthly USD Model'!AT$7,'Monthly UF Model'!$I417:$DY417)*AT$22</f>
        <v>0</v>
      </c>
      <c r="AU29" s="309">
        <f>+SUMIF('Monthly UF Model'!$I$7:$DY$7,'Monthly USD Model'!AU$7,'Monthly UF Model'!$I417:$DY417)*AU$22</f>
        <v>0</v>
      </c>
      <c r="AV29" s="309">
        <f>+SUMIF('Monthly UF Model'!$I$7:$DY$7,'Monthly USD Model'!AV$7,'Monthly UF Model'!$I417:$DY417)*AV$22</f>
        <v>0</v>
      </c>
      <c r="AW29" s="309">
        <f>+SUMIF('Monthly UF Model'!$I$7:$DY$7,'Monthly USD Model'!AW$7,'Monthly UF Model'!$I417:$DY417)*AW$22</f>
        <v>0</v>
      </c>
      <c r="AX29" s="309">
        <f>+SUMIF('Monthly UF Model'!$I$7:$DY$7,'Monthly USD Model'!AX$7,'Monthly UF Model'!$I417:$DY417)*AX$22</f>
        <v>0</v>
      </c>
      <c r="AY29" s="309">
        <f>+SUMIF('Monthly UF Model'!$I$7:$DY$7,'Monthly USD Model'!AY$7,'Monthly UF Model'!$I417:$DY417)*AY$22</f>
        <v>0</v>
      </c>
      <c r="AZ29" s="309">
        <f>+SUMIF('Monthly UF Model'!$I$7:$DY$7,'Monthly USD Model'!AZ$7,'Monthly UF Model'!$I417:$DY417)*AZ$22</f>
        <v>0</v>
      </c>
      <c r="BA29" s="309">
        <f>+SUMIF('Monthly UF Model'!$I$7:$DY$7,'Monthly USD Model'!BA$7,'Monthly UF Model'!$I417:$DY417)*BA$22</f>
        <v>0</v>
      </c>
      <c r="BB29" s="309">
        <f>+SUMIF('Monthly UF Model'!$I$7:$DY$7,'Monthly USD Model'!BB$7,'Monthly UF Model'!$I417:$DY417)*BB$22</f>
        <v>0</v>
      </c>
      <c r="BC29" s="309">
        <f>+SUMIF('Monthly UF Model'!$I$7:$DY$7,'Monthly USD Model'!BC$7,'Monthly UF Model'!$I417:$DY417)*BC$22</f>
        <v>0</v>
      </c>
      <c r="BD29" s="309">
        <f>+SUMIF('Monthly UF Model'!$I$7:$DY$7,'Monthly USD Model'!BD$7,'Monthly UF Model'!$I417:$DY417)*BD$22</f>
        <v>0</v>
      </c>
      <c r="BE29" s="309">
        <f>+SUMIF('Monthly UF Model'!$I$7:$DY$7,'Monthly USD Model'!BE$7,'Monthly UF Model'!$I417:$DY417)*BE$22</f>
        <v>0</v>
      </c>
      <c r="BF29" s="309">
        <f>+SUMIF('Monthly UF Model'!$I$7:$DY$7,'Monthly USD Model'!BF$7,'Monthly UF Model'!$I417:$DY417)*BF$22</f>
        <v>0</v>
      </c>
      <c r="BG29" s="309">
        <f>+SUMIF('Monthly UF Model'!$I$7:$DY$7,'Monthly USD Model'!BG$7,'Monthly UF Model'!$I417:$DY417)*BG$22</f>
        <v>0</v>
      </c>
      <c r="BH29" s="309">
        <f>+SUMIF('Monthly UF Model'!$I$7:$DY$7,'Monthly USD Model'!BH$7,'Monthly UF Model'!$I417:$DY417)*BH$22</f>
        <v>0</v>
      </c>
      <c r="BI29" s="309">
        <f>+SUMIF('Monthly UF Model'!$I$7:$DY$7,'Monthly USD Model'!BI$7,'Monthly UF Model'!$I417:$DY417)*BI$22</f>
        <v>0</v>
      </c>
      <c r="BJ29" s="309">
        <f>+SUMIF('Monthly UF Model'!$I$7:$DY$7,'Monthly USD Model'!BJ$7,'Monthly UF Model'!$I417:$DY417)*BJ$22</f>
        <v>0</v>
      </c>
      <c r="BK29" s="309">
        <f>+SUMIF('Monthly UF Model'!$I$7:$DY$7,'Monthly USD Model'!BK$7,'Monthly UF Model'!$I417:$DY417)*BK$22</f>
        <v>0</v>
      </c>
      <c r="BL29" s="309">
        <f>+SUMIF('Monthly UF Model'!$I$7:$DY$7,'Monthly USD Model'!BL$7,'Monthly UF Model'!$I417:$DY417)*BL$22</f>
        <v>0</v>
      </c>
      <c r="BM29" s="309">
        <f>+SUMIF('Monthly UF Model'!$I$7:$DY$7,'Monthly USD Model'!BM$7,'Monthly UF Model'!$I417:$DY417)*BM$22</f>
        <v>0</v>
      </c>
      <c r="BN29" s="309">
        <f>+SUMIF('Monthly UF Model'!$I$7:$DY$7,'Monthly USD Model'!BN$7,'Monthly UF Model'!$I417:$DY417)*BN$22</f>
        <v>0</v>
      </c>
      <c r="BO29" s="309">
        <f>+SUMIF('Monthly UF Model'!$I$7:$DY$7,'Monthly USD Model'!BO$7,'Monthly UF Model'!$I417:$DY417)*BO$22</f>
        <v>0</v>
      </c>
      <c r="BP29" s="309">
        <f>+SUMIF('Monthly UF Model'!$I$7:$DY$7,'Monthly USD Model'!BP$7,'Monthly UF Model'!$I417:$DY417)*BP$22</f>
        <v>0</v>
      </c>
      <c r="BQ29" s="309">
        <f>+SUMIF('Monthly UF Model'!$I$7:$DY$7,'Monthly USD Model'!BQ$7,'Monthly UF Model'!$I417:$DY417)*BQ$22</f>
        <v>0</v>
      </c>
      <c r="BR29" s="309">
        <f>+SUMIF('Monthly UF Model'!$I$7:$DY$7,'Monthly USD Model'!BR$7,'Monthly UF Model'!$I417:$DY417)*BR$22</f>
        <v>0</v>
      </c>
      <c r="BS29" s="309">
        <f>+SUMIF('Monthly UF Model'!$I$7:$DY$7,'Monthly USD Model'!BS$7,'Monthly UF Model'!$I417:$DY417)*BS$22</f>
        <v>0</v>
      </c>
      <c r="BT29" s="309">
        <f>+SUMIF('Monthly UF Model'!$I$7:$DY$7,'Monthly USD Model'!BT$7,'Monthly UF Model'!$I417:$DY417)*BT$22</f>
        <v>0</v>
      </c>
      <c r="BU29" s="309">
        <f>+SUMIF('Monthly UF Model'!$I$7:$DY$7,'Monthly USD Model'!BU$7,'Monthly UF Model'!$I417:$DY417)*BU$22</f>
        <v>0</v>
      </c>
      <c r="BV29" s="309">
        <f>+SUMIF('Monthly UF Model'!$I$7:$DY$7,'Monthly USD Model'!BV$7,'Monthly UF Model'!$I417:$DY417)*BV$22</f>
        <v>2823.2060507778842</v>
      </c>
      <c r="BW29" s="309">
        <f>+SUMIF('Monthly UF Model'!$I$7:$DY$7,'Monthly USD Model'!BW$7,'Monthly UF Model'!$I417:$DY417)*BW$22</f>
        <v>1396.5943538628512</v>
      </c>
      <c r="BX29" s="309">
        <f>+SUMIF('Monthly UF Model'!$I$7:$DY$7,'Monthly USD Model'!BX$7,'Monthly UF Model'!$I417:$DY417)*BX$22</f>
        <v>0</v>
      </c>
      <c r="BY29" s="309">
        <f>+SUMIF('Monthly UF Model'!$I$7:$DY$7,'Monthly USD Model'!BY$7,'Monthly UF Model'!$I417:$DY417)*BY$22</f>
        <v>0</v>
      </c>
      <c r="BZ29" s="309">
        <f>+SUMIF('Monthly UF Model'!$I$7:$DY$7,'Monthly USD Model'!BZ$7,'Monthly UF Model'!$I417:$DY417)*BZ$22</f>
        <v>2416.2786460116045</v>
      </c>
      <c r="CA29" s="309">
        <f>+SUMIF('Monthly UF Model'!$I$7:$DY$7,'Monthly USD Model'!CA$7,'Monthly UF Model'!$I417:$DY417)*CA$22</f>
        <v>7501.8583880433534</v>
      </c>
      <c r="CB29" s="309">
        <f>+SUMIF('Monthly UF Model'!$I$7:$DY$7,'Monthly USD Model'!CB$7,'Monthly UF Model'!$I417:$DY417)*CB$22</f>
        <v>12737.606103613856</v>
      </c>
      <c r="CC29" s="309">
        <f>+SUMIF('Monthly UF Model'!$I$7:$DY$7,'Monthly USD Model'!CC$7,'Monthly UF Model'!$I417:$DY417)*CC$22</f>
        <v>18124.224231335422</v>
      </c>
      <c r="CD29" s="309">
        <f>+SUMIF('Monthly UF Model'!$I$7:$DY$7,'Monthly USD Model'!CD$7,'Monthly UF Model'!$I417:$DY417)*CD$22</f>
        <v>23662.417484285677</v>
      </c>
      <c r="CE29" s="309">
        <f>+SUMIF('Monthly UF Model'!$I$7:$DY$7,'Monthly USD Model'!CE$7,'Monthly UF Model'!$I417:$DY417)*CE$22</f>
        <v>26717.972127946345</v>
      </c>
      <c r="CF29" s="309">
        <f>+SUMIF('Monthly UF Model'!$I$7:$DY$7,'Monthly USD Model'!CF$7,'Monthly UF Model'!$I417:$DY417)*CF$22</f>
        <v>0</v>
      </c>
      <c r="CG29" s="309">
        <f>+SUMIF('Monthly UF Model'!$I$7:$DY$7,'Monthly USD Model'!CG$7,'Monthly UF Model'!$I417:$DY417)*CG$22</f>
        <v>0</v>
      </c>
      <c r="CH29" s="309">
        <f>+SUMIF('Monthly UF Model'!$I$7:$DY$7,'Monthly USD Model'!CH$7,'Monthly UF Model'!$I417:$DY417)*CH$22</f>
        <v>0</v>
      </c>
      <c r="CI29" s="309">
        <f>+SUMIF('Monthly UF Model'!$I$7:$DY$7,'Monthly USD Model'!CI$7,'Monthly UF Model'!$I417:$DY417)*CI$22</f>
        <v>0</v>
      </c>
      <c r="CJ29" s="309">
        <f>+SUMIF('Monthly UF Model'!$I$7:$DY$7,'Monthly USD Model'!CJ$7,'Monthly UF Model'!$I417:$DY417)*CJ$22</f>
        <v>0</v>
      </c>
      <c r="CK29" s="309">
        <f>+SUMIF('Monthly UF Model'!$I$7:$DY$7,'Monthly USD Model'!CK$7,'Monthly UF Model'!$I417:$DY417)*CK$22</f>
        <v>0</v>
      </c>
      <c r="CL29" s="309">
        <f>+SUMIF('Monthly UF Model'!$I$7:$DY$7,'Monthly USD Model'!CL$7,'Monthly UF Model'!$I417:$DY417)*CL$22</f>
        <v>0</v>
      </c>
      <c r="CM29" s="309">
        <f>+SUMIF('Monthly UF Model'!$I$7:$DY$7,'Monthly USD Model'!CM$7,'Monthly UF Model'!$I417:$DY417)*CM$22</f>
        <v>0</v>
      </c>
      <c r="CN29" s="309">
        <f>+SUMIF('Monthly UF Model'!$I$7:$DY$7,'Monthly USD Model'!CN$7,'Monthly UF Model'!$I417:$DY417)*CN$22</f>
        <v>0</v>
      </c>
      <c r="CO29" s="309">
        <f>+SUMIF('Monthly UF Model'!$I$7:$DY$7,'Monthly USD Model'!CO$7,'Monthly UF Model'!$I417:$DY417)*CO$22</f>
        <v>0</v>
      </c>
      <c r="CP29" s="309">
        <f>+SUMIF('Monthly UF Model'!$I$7:$DY$7,'Monthly USD Model'!CP$7,'Monthly UF Model'!$I417:$DY417)*CP$22</f>
        <v>0</v>
      </c>
      <c r="CQ29" s="309">
        <f>+SUMIF('Monthly UF Model'!$I$7:$DY$7,'Monthly USD Model'!CQ$7,'Monthly UF Model'!$I417:$DY417)*CQ$22</f>
        <v>0</v>
      </c>
      <c r="CR29" s="309">
        <f>+SUMIF('Monthly UF Model'!$I$7:$DY$7,'Monthly USD Model'!CR$7,'Monthly UF Model'!$I417:$DY417)*CR$22</f>
        <v>0</v>
      </c>
      <c r="CS29" s="309">
        <f>+SUMIF('Monthly UF Model'!$I$7:$DY$7,'Monthly USD Model'!CS$7,'Monthly UF Model'!$I417:$DY417)*CS$22</f>
        <v>0</v>
      </c>
      <c r="CT29" s="309">
        <f>+SUMIF('Monthly UF Model'!$I$7:$DY$7,'Monthly USD Model'!CT$7,'Monthly UF Model'!$I417:$DY417)*CT$22</f>
        <v>0</v>
      </c>
      <c r="CU29" s="309">
        <f>+SUMIF('Monthly UF Model'!$I$7:$DY$7,'Monthly USD Model'!CU$7,'Monthly UF Model'!$I417:$DY417)*CU$22</f>
        <v>0</v>
      </c>
      <c r="CV29" s="309">
        <f>+SUMIF('Monthly UF Model'!$I$7:$DY$7,'Monthly USD Model'!CV$7,'Monthly UF Model'!$I417:$DY417)*CV$22</f>
        <v>0</v>
      </c>
      <c r="CW29" s="309">
        <f>+SUMIF('Monthly UF Model'!$I$7:$DY$7,'Monthly USD Model'!CW$7,'Monthly UF Model'!$I417:$DY417)*CW$22</f>
        <v>0</v>
      </c>
      <c r="CX29" s="309">
        <f>+SUMIF('Monthly UF Model'!$I$7:$DY$7,'Monthly USD Model'!CX$7,'Monthly UF Model'!$I417:$DY417)*CX$22</f>
        <v>0</v>
      </c>
      <c r="CY29" s="309">
        <f>+SUMIF('Monthly UF Model'!$I$7:$DY$7,'Monthly USD Model'!CY$7,'Monthly UF Model'!$I417:$DY417)*CY$22</f>
        <v>0</v>
      </c>
      <c r="CZ29" s="309">
        <f>+SUMIF('Monthly UF Model'!$I$7:$DY$7,'Monthly USD Model'!CZ$7,'Monthly UF Model'!$I417:$DY417)*CZ$22</f>
        <v>0</v>
      </c>
      <c r="DA29" s="309">
        <f>+SUMIF('Monthly UF Model'!$I$7:$DY$7,'Monthly USD Model'!DA$7,'Monthly UF Model'!$I417:$DY417)*DA$22</f>
        <v>0</v>
      </c>
      <c r="DB29" s="309">
        <f>+SUMIF('Monthly UF Model'!$I$7:$DY$7,'Monthly USD Model'!DB$7,'Monthly UF Model'!$I417:$DY417)*DB$22</f>
        <v>0</v>
      </c>
      <c r="DC29" s="309">
        <f>+SUMIF('Monthly UF Model'!$I$7:$DY$7,'Monthly USD Model'!DC$7,'Monthly UF Model'!$I417:$DY417)*DC$22</f>
        <v>0</v>
      </c>
      <c r="DD29" s="309">
        <f>+SUMIF('Monthly UF Model'!$I$7:$DY$7,'Monthly USD Model'!DD$7,'Monthly UF Model'!$I417:$DY417)*DD$22</f>
        <v>0</v>
      </c>
      <c r="DE29" s="309">
        <f>+SUMIF('Monthly UF Model'!$I$7:$DY$7,'Monthly USD Model'!DE$7,'Monthly UF Model'!$I417:$DY417)*DE$22</f>
        <v>0</v>
      </c>
      <c r="DF29" s="309">
        <f>+SUMIF('Monthly UF Model'!$I$7:$DY$7,'Monthly USD Model'!DF$7,'Monthly UF Model'!$I417:$DY417)*DF$22</f>
        <v>0</v>
      </c>
      <c r="DG29" s="309">
        <f>+SUMIF('Monthly UF Model'!$I$7:$DY$7,'Monthly USD Model'!DG$7,'Monthly UF Model'!$I417:$DY417)*DG$22</f>
        <v>0</v>
      </c>
      <c r="DH29" s="309">
        <f>+SUMIF('Monthly UF Model'!$I$7:$DY$7,'Monthly USD Model'!DH$7,'Monthly UF Model'!$I417:$DY417)*DH$22</f>
        <v>0</v>
      </c>
      <c r="DI29" s="309">
        <f>+SUMIF('Monthly UF Model'!$I$7:$DY$7,'Monthly USD Model'!DI$7,'Monthly UF Model'!$I417:$DY417)*DI$22</f>
        <v>0</v>
      </c>
      <c r="DJ29" s="309">
        <f>+SUMIF('Monthly UF Model'!$I$7:$DY$7,'Monthly USD Model'!DJ$7,'Monthly UF Model'!$I417:$DY417)*DJ$22</f>
        <v>0</v>
      </c>
      <c r="DK29" s="309">
        <f>+SUMIF('Monthly UF Model'!$I$7:$DY$7,'Monthly USD Model'!DK$7,'Monthly UF Model'!$I417:$DY417)*DK$22</f>
        <v>0</v>
      </c>
      <c r="DL29" s="309">
        <f>+SUMIF('Monthly UF Model'!$I$7:$DY$7,'Monthly USD Model'!DL$7,'Monthly UF Model'!$I417:$DY417)*DL$22</f>
        <v>0</v>
      </c>
      <c r="DM29" s="309">
        <f>+SUMIF('Monthly UF Model'!$I$7:$DY$7,'Monthly USD Model'!DM$7,'Monthly UF Model'!$I417:$DY417)*DM$22</f>
        <v>0</v>
      </c>
      <c r="DN29" s="309">
        <f>+SUMIF('Monthly UF Model'!$I$7:$DY$7,'Monthly USD Model'!DN$7,'Monthly UF Model'!$I417:$DY417)*DN$22</f>
        <v>0</v>
      </c>
      <c r="DO29" s="309">
        <f>+SUMIF('Monthly UF Model'!$I$7:$DY$7,'Monthly USD Model'!DO$7,'Monthly UF Model'!$I417:$DY417)*DO$22</f>
        <v>0</v>
      </c>
      <c r="DP29" s="309">
        <f>+SUMIF('Monthly UF Model'!$I$7:$DY$7,'Monthly USD Model'!DP$7,'Monthly UF Model'!$I417:$DY417)*DP$22</f>
        <v>0</v>
      </c>
      <c r="DQ29" s="309">
        <f>+SUMIF('Monthly UF Model'!$I$7:$DY$7,'Monthly USD Model'!DQ$7,'Monthly UF Model'!$I417:$DY417)*DQ$22</f>
        <v>0</v>
      </c>
      <c r="DR29" s="309">
        <f>+SUMIF('Monthly UF Model'!$I$7:$DY$7,'Monthly USD Model'!DR$7,'Monthly UF Model'!$I417:$DY417)*DR$22</f>
        <v>0</v>
      </c>
      <c r="DS29" s="309">
        <f>+SUMIF('Monthly UF Model'!$I$7:$DY$7,'Monthly USD Model'!DS$7,'Monthly UF Model'!$I417:$DY417)*DS$22</f>
        <v>0</v>
      </c>
      <c r="DT29" s="309">
        <f>+SUMIF('Monthly UF Model'!$I$7:$DY$7,'Monthly USD Model'!DT$7,'Monthly UF Model'!$I417:$DY417)*DT$22</f>
        <v>0</v>
      </c>
      <c r="DU29" s="309">
        <f>+SUMIF('Monthly UF Model'!$I$7:$DY$7,'Monthly USD Model'!DU$7,'Monthly UF Model'!$I417:$DY417)*DU$22</f>
        <v>0</v>
      </c>
      <c r="DV29" s="309">
        <f>+SUMIF('Monthly UF Model'!$I$7:$DY$7,'Monthly USD Model'!DV$7,'Monthly UF Model'!$I417:$DY417)*DV$22</f>
        <v>0</v>
      </c>
      <c r="DW29" s="309">
        <f>+SUMIF('Monthly UF Model'!$I$7:$DY$7,'Monthly USD Model'!DW$7,'Monthly UF Model'!$I417:$DY417)*DW$22</f>
        <v>0</v>
      </c>
      <c r="DX29" s="309">
        <f>+SUMIF('Monthly UF Model'!$I$7:$DY$7,'Monthly USD Model'!DX$7,'Monthly UF Model'!$I417:$DY417)*DX$22</f>
        <v>0</v>
      </c>
    </row>
    <row r="30" spans="1:128" s="3" customFormat="1" ht="10.8" outlineLevel="1" x14ac:dyDescent="0.25">
      <c r="B30" s="125" t="s">
        <v>128</v>
      </c>
      <c r="D30" s="159"/>
      <c r="E30" s="159"/>
      <c r="F30" s="159"/>
      <c r="G30" s="308">
        <f t="shared" ca="1" si="18"/>
        <v>9851.6283815866336</v>
      </c>
      <c r="H30" s="309" t="s">
        <v>473</v>
      </c>
      <c r="I30" s="309">
        <f>+SUMIF('Monthly UF Model'!$I$7:$DY$7,'Monthly USD Model'!I$7,'Monthly UF Model'!$I418:$DY418)*I$22</f>
        <v>-58166.87094845371</v>
      </c>
      <c r="J30" s="309">
        <f>+SUMIF('Monthly UF Model'!$I$7:$DY$7,'Monthly USD Model'!J$7,'Monthly UF Model'!$I418:$DY418)*J$22</f>
        <v>-6116.7706604816231</v>
      </c>
      <c r="K30" s="309">
        <f>+SUMIF('Monthly UF Model'!$I$7:$DY$7,'Monthly USD Model'!K$7,'Monthly UF Model'!$I418:$DY418)*K$22</f>
        <v>-24523.508370989239</v>
      </c>
      <c r="L30" s="309">
        <f>+SUMIF('Monthly UF Model'!$I$7:$DY$7,'Monthly USD Model'!L$7,'Monthly UF Model'!$I418:$DY418)*L$22</f>
        <v>-84.324453194802345</v>
      </c>
      <c r="M30" s="309">
        <f>+SUMIF('Monthly UF Model'!$I$7:$DY$7,'Monthly USD Model'!M$7,'Monthly UF Model'!$I418:$DY418)*M$22</f>
        <v>0</v>
      </c>
      <c r="N30" s="309">
        <f>+SUMIF('Monthly UF Model'!$I$7:$DY$7,'Monthly USD Model'!N$7,'Monthly UF Model'!$I418:$DY418)*N$22</f>
        <v>0</v>
      </c>
      <c r="O30" s="309">
        <f>+SUMIF('Monthly UF Model'!$I$7:$DY$7,'Monthly USD Model'!O$7,'Monthly UF Model'!$I418:$DY418)*O$22</f>
        <v>0</v>
      </c>
      <c r="P30" s="309">
        <f>+SUMIF('Monthly UF Model'!$I$7:$DY$7,'Monthly USD Model'!P$7,'Monthly UF Model'!$I418:$DY418)*P$22</f>
        <v>-2413.3590947432076</v>
      </c>
      <c r="Q30" s="309">
        <f>+SUMIF('Monthly UF Model'!$I$7:$DY$7,'Monthly USD Model'!Q$7,'Monthly UF Model'!$I418:$DY418)*Q$22</f>
        <v>0</v>
      </c>
      <c r="R30" s="309">
        <f>+SUMIF('Monthly UF Model'!$I$7:$DY$7,'Monthly USD Model'!R$7,'Monthly UF Model'!$I418:$DY418)*R$22</f>
        <v>-8303.9552904710472</v>
      </c>
      <c r="S30" s="309">
        <f>+SUMIF('Monthly UF Model'!$I$7:$DY$7,'Monthly USD Model'!S$7,'Monthly UF Model'!$I418:$DY418)*S$22</f>
        <v>-2262.58390831828</v>
      </c>
      <c r="T30" s="309">
        <f>+SUMIF('Monthly UF Model'!$I$7:$DY$7,'Monthly USD Model'!T$7,'Monthly UF Model'!$I418:$DY418)*T$22</f>
        <v>0</v>
      </c>
      <c r="U30" s="309">
        <f>+SUMIF('Monthly UF Model'!$I$7:$DY$7,'Monthly USD Model'!U$7,'Monthly UF Model'!$I418:$DY418)*U$22</f>
        <v>0</v>
      </c>
      <c r="V30" s="309">
        <f>+SUMIF('Monthly UF Model'!$I$7:$DY$7,'Monthly USD Model'!V$7,'Monthly UF Model'!$I418:$DY418)*V$22</f>
        <v>-39041.186732305825</v>
      </c>
      <c r="W30" s="309">
        <f>+SUMIF('Monthly UF Model'!$I$7:$DY$7,'Monthly USD Model'!W$7,'Monthly UF Model'!$I418:$DY418)*W$22</f>
        <v>0</v>
      </c>
      <c r="X30" s="309">
        <f>+SUMIF('Monthly UF Model'!$I$7:$DY$7,'Monthly USD Model'!X$7,'Monthly UF Model'!$I418:$DY418)*X$22</f>
        <v>-45154.27003447459</v>
      </c>
      <c r="Y30" s="309">
        <f>+SUMIF('Monthly UF Model'!$I$7:$DY$7,'Monthly USD Model'!Y$7,'Monthly UF Model'!$I418:$DY418)*Y$22</f>
        <v>-27818.934776587907</v>
      </c>
      <c r="Z30" s="309">
        <f>+SUMIF('Monthly UF Model'!$I$7:$DY$7,'Monthly USD Model'!Z$7,'Monthly UF Model'!$I418:$DY418)*Z$22</f>
        <v>-26780.48307825793</v>
      </c>
      <c r="AA30" s="309">
        <f>+SUMIF('Monthly UF Model'!$I$7:$DY$7,'Monthly USD Model'!AA$7,'Monthly UF Model'!$I418:$DY418)*AA$22</f>
        <v>-408.19528679150619</v>
      </c>
      <c r="AB30" s="309">
        <f>+SUMIF('Monthly UF Model'!$I$7:$DY$7,'Monthly USD Model'!AB$7,'Monthly UF Model'!$I418:$DY418)*AB$22</f>
        <v>0</v>
      </c>
      <c r="AC30" s="309">
        <f>+SUMIF('Monthly UF Model'!$I$7:$DY$7,'Monthly USD Model'!AC$7,'Monthly UF Model'!$I418:$DY418)*AC$22</f>
        <v>-17320.025593504542</v>
      </c>
      <c r="AD30" s="309">
        <f>+SUMIF('Monthly UF Model'!$I$7:$DY$7,'Monthly USD Model'!AD$7,'Monthly UF Model'!$I418:$DY418)*AD$22</f>
        <v>-414300.90977389278</v>
      </c>
      <c r="AE30" s="309">
        <f>+SUMIF('Monthly UF Model'!$I$7:$DY$7,'Monthly USD Model'!AE$7,'Monthly UF Model'!$I418:$DY418)*AE$22</f>
        <v>-92989.296791056069</v>
      </c>
      <c r="AF30" s="309">
        <f>+SUMIF('Monthly UF Model'!$I$7:$DY$7,'Monthly USD Model'!AF$7,'Monthly UF Model'!$I418:$DY418)*AF$22</f>
        <v>-66562.669276885514</v>
      </c>
      <c r="AG30" s="309">
        <f>+SUMIF('Monthly UF Model'!$I$7:$DY$7,'Monthly USD Model'!AG$7,'Monthly UF Model'!$I418:$DY418)*AG$22</f>
        <v>-59488.955978900012</v>
      </c>
      <c r="AH30" s="309">
        <f>+SUMIF('Monthly UF Model'!$I$7:$DY$7,'Monthly USD Model'!AH$7,'Monthly UF Model'!$I418:$DY418)*AH$22</f>
        <v>-60543.840560217308</v>
      </c>
      <c r="AI30" s="309">
        <f>+SUMIF('Monthly UF Model'!$I$7:$DY$7,'Monthly USD Model'!AI$7,'Monthly UF Model'!$I418:$DY418)*AI$22</f>
        <v>-49494.92724373396</v>
      </c>
      <c r="AJ30" s="309">
        <f>+SUMIF('Monthly UF Model'!$I$7:$DY$7,'Monthly USD Model'!AJ$7,'Monthly UF Model'!$I418:$DY418)*AJ$22</f>
        <v>-44369.153096660717</v>
      </c>
      <c r="AK30" s="309">
        <f>+SUMIF('Monthly UF Model'!$I$7:$DY$7,'Monthly USD Model'!AK$7,'Monthly UF Model'!$I418:$DY418)*AK$22</f>
        <v>-47994.291951099214</v>
      </c>
      <c r="AL30" s="309">
        <f>+SUMIF('Monthly UF Model'!$I$7:$DY$7,'Monthly USD Model'!AL$7,'Monthly UF Model'!$I418:$DY418)*AL$22</f>
        <v>-55175.844499004845</v>
      </c>
      <c r="AM30" s="309">
        <f>+SUMIF('Monthly UF Model'!$I$7:$DY$7,'Monthly USD Model'!AM$7,'Monthly UF Model'!$I418:$DY418)*AM$22</f>
        <v>-48504.898893165402</v>
      </c>
      <c r="AN30" s="309">
        <f>+SUMIF('Monthly UF Model'!$I$7:$DY$7,'Monthly USD Model'!AN$7,'Monthly UF Model'!$I418:$DY418)*AN$22</f>
        <v>-41789.613995765103</v>
      </c>
      <c r="AO30" s="309">
        <f>+SUMIF('Monthly UF Model'!$I$7:$DY$7,'Monthly USD Model'!AO$7,'Monthly UF Model'!$I418:$DY418)*AO$22</f>
        <v>552549.15231025522</v>
      </c>
      <c r="AP30" s="309">
        <f>+SUMIF('Monthly UF Model'!$I$7:$DY$7,'Monthly USD Model'!AP$7,'Monthly UF Model'!$I418:$DY418)*AP$22</f>
        <v>-6231.6391543508516</v>
      </c>
      <c r="AQ30" s="309">
        <f>+SUMIF('Monthly UF Model'!$I$7:$DY$7,'Monthly USD Model'!AQ$7,'Monthly UF Model'!$I418:$DY418)*AQ$22</f>
        <v>-286.45619486617227</v>
      </c>
      <c r="AR30" s="309">
        <f>+SUMIF('Monthly UF Model'!$I$7:$DY$7,'Monthly USD Model'!AR$7,'Monthly UF Model'!$I418:$DY418)*AR$22</f>
        <v>-54392.164616424008</v>
      </c>
      <c r="AS30" s="309">
        <f>+SUMIF('Monthly UF Model'!$I$7:$DY$7,'Monthly USD Model'!AS$7,'Monthly UF Model'!$I418:$DY418)*AS$22</f>
        <v>-51320.306299875076</v>
      </c>
      <c r="AT30" s="309">
        <f>+SUMIF('Monthly UF Model'!$I$7:$DY$7,'Monthly USD Model'!AT$7,'Monthly UF Model'!$I418:$DY418)*AT$22</f>
        <v>-11359.286021729773</v>
      </c>
      <c r="AU30" s="309">
        <f>+SUMIF('Monthly UF Model'!$I$7:$DY$7,'Monthly USD Model'!AU$7,'Monthly UF Model'!$I418:$DY418)*AU$22</f>
        <v>-89879.162687700358</v>
      </c>
      <c r="AV30" s="309">
        <f>+SUMIF('Monthly UF Model'!$I$7:$DY$7,'Monthly USD Model'!AV$7,'Monthly UF Model'!$I418:$DY418)*AV$22</f>
        <v>-200299.36641489074</v>
      </c>
      <c r="AW30" s="309">
        <f>+SUMIF('Monthly UF Model'!$I$7:$DY$7,'Monthly USD Model'!AW$7,'Monthly UF Model'!$I418:$DY418)*AW$22</f>
        <v>-1116.8285125134175</v>
      </c>
      <c r="AX30" s="309">
        <f>+SUMIF('Monthly UF Model'!$I$7:$DY$7,'Monthly USD Model'!AX$7,'Monthly UF Model'!$I418:$DY418)*AX$22</f>
        <v>-110410.56401770232</v>
      </c>
      <c r="AY30" s="309">
        <f>+SUMIF('Monthly UF Model'!$I$7:$DY$7,'Monthly USD Model'!AY$7,'Monthly UF Model'!$I418:$DY418)*AY$22</f>
        <v>-103707.78454168972</v>
      </c>
      <c r="AZ30" s="309">
        <f>+SUMIF('Monthly UF Model'!$I$7:$DY$7,'Monthly USD Model'!AZ$7,'Monthly UF Model'!$I418:$DY418)*AZ$22</f>
        <v>-205150.62588975352</v>
      </c>
      <c r="BA30" s="309">
        <f>+SUMIF('Monthly UF Model'!$I$7:$DY$7,'Monthly USD Model'!BA$7,'Monthly UF Model'!$I418:$DY418)*BA$22</f>
        <v>-111722.98981340443</v>
      </c>
      <c r="BB30" s="309">
        <f>+SUMIF('Monthly UF Model'!$I$7:$DY$7,'Monthly USD Model'!BB$7,'Monthly UF Model'!$I418:$DY418)*BB$22</f>
        <v>-3648.4522958880993</v>
      </c>
      <c r="BC30" s="309">
        <f>+SUMIF('Monthly UF Model'!$I$7:$DY$7,'Monthly USD Model'!BC$7,'Monthly UF Model'!$I418:$DY418)*BC$22</f>
        <v>1213325.5238568843</v>
      </c>
      <c r="BD30" s="309">
        <f>+SUMIF('Monthly UF Model'!$I$7:$DY$7,'Monthly USD Model'!BD$7,'Monthly UF Model'!$I418:$DY418)*BD$22</f>
        <v>-77955.159148321909</v>
      </c>
      <c r="BE30" s="309">
        <f>+SUMIF('Monthly UF Model'!$I$7:$DY$7,'Monthly USD Model'!BE$7,'Monthly UF Model'!$I418:$DY418)*BE$22</f>
        <v>-15049.389139260305</v>
      </c>
      <c r="BF30" s="309">
        <f>+SUMIF('Monthly UF Model'!$I$7:$DY$7,'Monthly USD Model'!BF$7,'Monthly UF Model'!$I418:$DY418)*BF$22</f>
        <v>-12867.926332269668</v>
      </c>
      <c r="BG30" s="309">
        <f>+SUMIF('Monthly UF Model'!$I$7:$DY$7,'Monthly USD Model'!BG$7,'Monthly UF Model'!$I418:$DY418)*BG$22</f>
        <v>-125242.71524845634</v>
      </c>
      <c r="BH30" s="309">
        <f>+SUMIF('Monthly UF Model'!$I$7:$DY$7,'Monthly USD Model'!BH$7,'Monthly UF Model'!$I418:$DY418)*BH$22</f>
        <v>-25588.474187009797</v>
      </c>
      <c r="BI30" s="309">
        <f>+SUMIF('Monthly UF Model'!$I$7:$DY$7,'Monthly USD Model'!BI$7,'Monthly UF Model'!$I418:$DY418)*BI$22</f>
        <v>1530.7401264546022</v>
      </c>
      <c r="BJ30" s="309">
        <f>+SUMIF('Monthly UF Model'!$I$7:$DY$7,'Monthly USD Model'!BJ$7,'Monthly UF Model'!$I418:$DY418)*BJ$22</f>
        <v>-1816.8872135267056</v>
      </c>
      <c r="BK30" s="309">
        <f>+SUMIF('Monthly UF Model'!$I$7:$DY$7,'Monthly USD Model'!BK$7,'Monthly UF Model'!$I418:$DY418)*BK$22</f>
        <v>1598.904731816199</v>
      </c>
      <c r="BL30" s="309">
        <f>+SUMIF('Monthly UF Model'!$I$7:$DY$7,'Monthly USD Model'!BL$7,'Monthly UF Model'!$I418:$DY418)*BL$22</f>
        <v>9679.1573637807869</v>
      </c>
      <c r="BM30" s="309">
        <f>+SUMIF('Monthly UF Model'!$I$7:$DY$7,'Monthly USD Model'!BM$7,'Monthly UF Model'!$I418:$DY418)*BM$22</f>
        <v>6453.8466958643303</v>
      </c>
      <c r="BN30" s="309">
        <f>+SUMIF('Monthly UF Model'!$I$7:$DY$7,'Monthly USD Model'!BN$7,'Monthly UF Model'!$I418:$DY418)*BN$22</f>
        <v>6640.6827242652953</v>
      </c>
      <c r="BO30" s="309">
        <f>+SUMIF('Monthly UF Model'!$I$7:$DY$7,'Monthly USD Model'!BO$7,'Monthly UF Model'!$I418:$DY418)*BO$22</f>
        <v>10518.267526006532</v>
      </c>
      <c r="BP30" s="309">
        <f>+SUMIF('Monthly UF Model'!$I$7:$DY$7,'Monthly USD Model'!BP$7,'Monthly UF Model'!$I418:$DY418)*BP$22</f>
        <v>-1628.5674798255041</v>
      </c>
      <c r="BQ30" s="309">
        <f>+SUMIF('Monthly UF Model'!$I$7:$DY$7,'Monthly USD Model'!BQ$7,'Monthly UF Model'!$I418:$DY418)*BQ$22</f>
        <v>6284.7456982721178</v>
      </c>
      <c r="BR30" s="309">
        <f>+SUMIF('Monthly UF Model'!$I$7:$DY$7,'Monthly USD Model'!BR$7,'Monthly UF Model'!$I418:$DY418)*BR$22</f>
        <v>9575.8963223650953</v>
      </c>
      <c r="BS30" s="309">
        <f>+SUMIF('Monthly UF Model'!$I$7:$DY$7,'Monthly USD Model'!BS$7,'Monthly UF Model'!$I418:$DY418)*BS$22</f>
        <v>11203.770472700635</v>
      </c>
      <c r="BT30" s="309">
        <f>+SUMIF('Monthly UF Model'!$I$7:$DY$7,'Monthly USD Model'!BT$7,'Monthly UF Model'!$I418:$DY418)*BT$22</f>
        <v>4283.5766890437681</v>
      </c>
      <c r="BU30" s="309">
        <f>+SUMIF('Monthly UF Model'!$I$7:$DY$7,'Monthly USD Model'!BU$7,'Monthly UF Model'!$I418:$DY418)*BU$22</f>
        <v>13001.316197576647</v>
      </c>
      <c r="BV30" s="309">
        <f>+SUMIF('Monthly UF Model'!$I$7:$DY$7,'Monthly USD Model'!BV$7,'Monthly UF Model'!$I418:$DY418)*BV$22</f>
        <v>13138.767219834719</v>
      </c>
      <c r="BW30" s="309">
        <f>+SUMIF('Monthly UF Model'!$I$7:$DY$7,'Monthly USD Model'!BW$7,'Monthly UF Model'!$I418:$DY418)*BW$22</f>
        <v>-226.67658906807281</v>
      </c>
      <c r="BX30" s="309">
        <f>+SUMIF('Monthly UF Model'!$I$7:$DY$7,'Monthly USD Model'!BX$7,'Monthly UF Model'!$I418:$DY418)*BX$22</f>
        <v>-1149.944412193222</v>
      </c>
      <c r="BY30" s="309">
        <f ca="1">+SUMIF('Monthly UF Model'!$I$7:$DY$7,'Monthly USD Model'!BY$7,'Monthly UF Model'!$I418:$DY418)*BY$22</f>
        <v>18860.907158407277</v>
      </c>
      <c r="BZ30" s="309">
        <f ca="1">+SUMIF('Monthly UF Model'!$I$7:$DY$7,'Monthly USD Model'!BZ$7,'Monthly UF Model'!$I418:$DY418)*BZ$22</f>
        <v>18045.874582730896</v>
      </c>
      <c r="CA30" s="309">
        <f ca="1">+SUMIF('Monthly UF Model'!$I$7:$DY$7,'Monthly USD Model'!CA$7,'Monthly UF Model'!$I418:$DY418)*CA$22</f>
        <v>19000.011456668894</v>
      </c>
      <c r="CB30" s="309">
        <f ca="1">+SUMIF('Monthly UF Model'!$I$7:$DY$7,'Monthly USD Model'!CB$7,'Monthly UF Model'!$I418:$DY418)*CB$22</f>
        <v>19957.250775740427</v>
      </c>
      <c r="CC30" s="309">
        <f ca="1">+SUMIF('Monthly UF Model'!$I$7:$DY$7,'Monthly USD Model'!CC$7,'Monthly UF Model'!$I418:$DY418)*CC$22</f>
        <v>20917.600185207335</v>
      </c>
      <c r="CD30" s="309">
        <f ca="1">+SUMIF('Monthly UF Model'!$I$7:$DY$7,'Monthly USD Model'!CD$7,'Monthly UF Model'!$I418:$DY418)*CD$22</f>
        <v>21881.067347122145</v>
      </c>
      <c r="CE30" s="309">
        <f ca="1">+SUMIF('Monthly UF Model'!$I$7:$DY$7,'Monthly USD Model'!CE$7,'Monthly UF Model'!$I418:$DY418)*CE$22</f>
        <v>25271.030826288745</v>
      </c>
      <c r="CF30" s="309">
        <f ca="1">+SUMIF('Monthly UF Model'!$I$7:$DY$7,'Monthly USD Model'!CF$7,'Monthly UF Model'!$I418:$DY418)*CF$22</f>
        <v>456793.77461397572</v>
      </c>
      <c r="CG30" s="309">
        <f ca="1">+SUMIF('Monthly UF Model'!$I$7:$DY$7,'Monthly USD Model'!CG$7,'Monthly UF Model'!$I418:$DY418)*CG$22</f>
        <v>0</v>
      </c>
      <c r="CH30" s="309">
        <f ca="1">+SUMIF('Monthly UF Model'!$I$7:$DY$7,'Monthly USD Model'!CH$7,'Monthly UF Model'!$I418:$DY418)*CH$22</f>
        <v>0</v>
      </c>
      <c r="CI30" s="309">
        <f ca="1">+SUMIF('Monthly UF Model'!$I$7:$DY$7,'Monthly USD Model'!CI$7,'Monthly UF Model'!$I418:$DY418)*CI$22</f>
        <v>0</v>
      </c>
      <c r="CJ30" s="309">
        <f ca="1">+SUMIF('Monthly UF Model'!$I$7:$DY$7,'Monthly USD Model'!CJ$7,'Monthly UF Model'!$I418:$DY418)*CJ$22</f>
        <v>0</v>
      </c>
      <c r="CK30" s="309">
        <f ca="1">+SUMIF('Monthly UF Model'!$I$7:$DY$7,'Monthly USD Model'!CK$7,'Monthly UF Model'!$I418:$DY418)*CK$22</f>
        <v>0</v>
      </c>
      <c r="CL30" s="309">
        <f ca="1">+SUMIF('Monthly UF Model'!$I$7:$DY$7,'Monthly USD Model'!CL$7,'Monthly UF Model'!$I418:$DY418)*CL$22</f>
        <v>0</v>
      </c>
      <c r="CM30" s="309">
        <f ca="1">+SUMIF('Monthly UF Model'!$I$7:$DY$7,'Monthly USD Model'!CM$7,'Monthly UF Model'!$I418:$DY418)*CM$22</f>
        <v>0</v>
      </c>
      <c r="CN30" s="309">
        <f ca="1">+SUMIF('Monthly UF Model'!$I$7:$DY$7,'Monthly USD Model'!CN$7,'Monthly UF Model'!$I418:$DY418)*CN$22</f>
        <v>0</v>
      </c>
      <c r="CO30" s="309">
        <f ca="1">+SUMIF('Monthly UF Model'!$I$7:$DY$7,'Monthly USD Model'!CO$7,'Monthly UF Model'!$I418:$DY418)*CO$22</f>
        <v>0</v>
      </c>
      <c r="CP30" s="309">
        <f ca="1">+SUMIF('Monthly UF Model'!$I$7:$DY$7,'Monthly USD Model'!CP$7,'Monthly UF Model'!$I418:$DY418)*CP$22</f>
        <v>0</v>
      </c>
      <c r="CQ30" s="309">
        <f ca="1">+SUMIF('Monthly UF Model'!$I$7:$DY$7,'Monthly USD Model'!CQ$7,'Monthly UF Model'!$I418:$DY418)*CQ$22</f>
        <v>0</v>
      </c>
      <c r="CR30" s="309">
        <f ca="1">+SUMIF('Monthly UF Model'!$I$7:$DY$7,'Monthly USD Model'!CR$7,'Monthly UF Model'!$I418:$DY418)*CR$22</f>
        <v>0</v>
      </c>
      <c r="CS30" s="309">
        <f ca="1">+SUMIF('Monthly UF Model'!$I$7:$DY$7,'Monthly USD Model'!CS$7,'Monthly UF Model'!$I418:$DY418)*CS$22</f>
        <v>0</v>
      </c>
      <c r="CT30" s="309">
        <f ca="1">+SUMIF('Monthly UF Model'!$I$7:$DY$7,'Monthly USD Model'!CT$7,'Monthly UF Model'!$I418:$DY418)*CT$22</f>
        <v>0</v>
      </c>
      <c r="CU30" s="309">
        <f ca="1">+SUMIF('Monthly UF Model'!$I$7:$DY$7,'Monthly USD Model'!CU$7,'Monthly UF Model'!$I418:$DY418)*CU$22</f>
        <v>0</v>
      </c>
      <c r="CV30" s="309">
        <f ca="1">+SUMIF('Monthly UF Model'!$I$7:$DY$7,'Monthly USD Model'!CV$7,'Monthly UF Model'!$I418:$DY418)*CV$22</f>
        <v>0</v>
      </c>
      <c r="CW30" s="309">
        <f ca="1">+SUMIF('Monthly UF Model'!$I$7:$DY$7,'Monthly USD Model'!CW$7,'Monthly UF Model'!$I418:$DY418)*CW$22</f>
        <v>0</v>
      </c>
      <c r="CX30" s="309">
        <f ca="1">+SUMIF('Monthly UF Model'!$I$7:$DY$7,'Monthly USD Model'!CX$7,'Monthly UF Model'!$I418:$DY418)*CX$22</f>
        <v>0</v>
      </c>
      <c r="CY30" s="309">
        <f ca="1">+SUMIF('Monthly UF Model'!$I$7:$DY$7,'Monthly USD Model'!CY$7,'Monthly UF Model'!$I418:$DY418)*CY$22</f>
        <v>0</v>
      </c>
      <c r="CZ30" s="309">
        <f ca="1">+SUMIF('Monthly UF Model'!$I$7:$DY$7,'Monthly USD Model'!CZ$7,'Monthly UF Model'!$I418:$DY418)*CZ$22</f>
        <v>0</v>
      </c>
      <c r="DA30" s="309">
        <f ca="1">+SUMIF('Monthly UF Model'!$I$7:$DY$7,'Monthly USD Model'!DA$7,'Monthly UF Model'!$I418:$DY418)*DA$22</f>
        <v>0</v>
      </c>
      <c r="DB30" s="309">
        <f ca="1">+SUMIF('Monthly UF Model'!$I$7:$DY$7,'Monthly USD Model'!DB$7,'Monthly UF Model'!$I418:$DY418)*DB$22</f>
        <v>0</v>
      </c>
      <c r="DC30" s="309">
        <f ca="1">+SUMIF('Monthly UF Model'!$I$7:$DY$7,'Monthly USD Model'!DC$7,'Monthly UF Model'!$I418:$DY418)*DC$22</f>
        <v>0</v>
      </c>
      <c r="DD30" s="309">
        <f ca="1">+SUMIF('Monthly UF Model'!$I$7:$DY$7,'Monthly USD Model'!DD$7,'Monthly UF Model'!$I418:$DY418)*DD$22</f>
        <v>0</v>
      </c>
      <c r="DE30" s="309">
        <f ca="1">+SUMIF('Monthly UF Model'!$I$7:$DY$7,'Monthly USD Model'!DE$7,'Monthly UF Model'!$I418:$DY418)*DE$22</f>
        <v>0</v>
      </c>
      <c r="DF30" s="309">
        <f ca="1">+SUMIF('Monthly UF Model'!$I$7:$DY$7,'Monthly USD Model'!DF$7,'Monthly UF Model'!$I418:$DY418)*DF$22</f>
        <v>0</v>
      </c>
      <c r="DG30" s="309">
        <f ca="1">+SUMIF('Monthly UF Model'!$I$7:$DY$7,'Monthly USD Model'!DG$7,'Monthly UF Model'!$I418:$DY418)*DG$22</f>
        <v>0</v>
      </c>
      <c r="DH30" s="309">
        <f ca="1">+SUMIF('Monthly UF Model'!$I$7:$DY$7,'Monthly USD Model'!DH$7,'Monthly UF Model'!$I418:$DY418)*DH$22</f>
        <v>0</v>
      </c>
      <c r="DI30" s="309">
        <f ca="1">+SUMIF('Monthly UF Model'!$I$7:$DY$7,'Monthly USD Model'!DI$7,'Monthly UF Model'!$I418:$DY418)*DI$22</f>
        <v>0</v>
      </c>
      <c r="DJ30" s="309">
        <f ca="1">+SUMIF('Monthly UF Model'!$I$7:$DY$7,'Monthly USD Model'!DJ$7,'Monthly UF Model'!$I418:$DY418)*DJ$22</f>
        <v>0</v>
      </c>
      <c r="DK30" s="309">
        <f ca="1">+SUMIF('Monthly UF Model'!$I$7:$DY$7,'Monthly USD Model'!DK$7,'Monthly UF Model'!$I418:$DY418)*DK$22</f>
        <v>0</v>
      </c>
      <c r="DL30" s="309">
        <f ca="1">+SUMIF('Monthly UF Model'!$I$7:$DY$7,'Monthly USD Model'!DL$7,'Monthly UF Model'!$I418:$DY418)*DL$22</f>
        <v>0</v>
      </c>
      <c r="DM30" s="309">
        <f ca="1">+SUMIF('Monthly UF Model'!$I$7:$DY$7,'Monthly USD Model'!DM$7,'Monthly UF Model'!$I418:$DY418)*DM$22</f>
        <v>0</v>
      </c>
      <c r="DN30" s="309">
        <f ca="1">+SUMIF('Monthly UF Model'!$I$7:$DY$7,'Monthly USD Model'!DN$7,'Monthly UF Model'!$I418:$DY418)*DN$22</f>
        <v>0</v>
      </c>
      <c r="DO30" s="309">
        <f ca="1">+SUMIF('Monthly UF Model'!$I$7:$DY$7,'Monthly USD Model'!DO$7,'Monthly UF Model'!$I418:$DY418)*DO$22</f>
        <v>0</v>
      </c>
      <c r="DP30" s="309">
        <f ca="1">+SUMIF('Monthly UF Model'!$I$7:$DY$7,'Monthly USD Model'!DP$7,'Monthly UF Model'!$I418:$DY418)*DP$22</f>
        <v>0</v>
      </c>
      <c r="DQ30" s="309">
        <f ca="1">+SUMIF('Monthly UF Model'!$I$7:$DY$7,'Monthly USD Model'!DQ$7,'Monthly UF Model'!$I418:$DY418)*DQ$22</f>
        <v>0</v>
      </c>
      <c r="DR30" s="309">
        <f ca="1">+SUMIF('Monthly UF Model'!$I$7:$DY$7,'Monthly USD Model'!DR$7,'Monthly UF Model'!$I418:$DY418)*DR$22</f>
        <v>0</v>
      </c>
      <c r="DS30" s="309">
        <f ca="1">+SUMIF('Monthly UF Model'!$I$7:$DY$7,'Monthly USD Model'!DS$7,'Monthly UF Model'!$I418:$DY418)*DS$22</f>
        <v>0</v>
      </c>
      <c r="DT30" s="309">
        <f ca="1">+SUMIF('Monthly UF Model'!$I$7:$DY$7,'Monthly USD Model'!DT$7,'Monthly UF Model'!$I418:$DY418)*DT$22</f>
        <v>0</v>
      </c>
      <c r="DU30" s="309">
        <f ca="1">+SUMIF('Monthly UF Model'!$I$7:$DY$7,'Monthly USD Model'!DU$7,'Monthly UF Model'!$I418:$DY418)*DU$22</f>
        <v>0</v>
      </c>
      <c r="DV30" s="309">
        <f ca="1">+SUMIF('Monthly UF Model'!$I$7:$DY$7,'Monthly USD Model'!DV$7,'Monthly UF Model'!$I418:$DY418)*DV$22</f>
        <v>0</v>
      </c>
      <c r="DW30" s="309">
        <f ca="1">+SUMIF('Monthly UF Model'!$I$7:$DY$7,'Monthly USD Model'!DW$7,'Monthly UF Model'!$I418:$DY418)*DW$22</f>
        <v>0</v>
      </c>
      <c r="DX30" s="309">
        <f ca="1">+SUMIF('Monthly UF Model'!$I$7:$DY$7,'Monthly USD Model'!DX$7,'Monthly UF Model'!$I418:$DY418)*DX$22</f>
        <v>0</v>
      </c>
    </row>
    <row r="31" spans="1:128" s="111" customFormat="1" ht="10.8" outlineLevel="1" collapsed="1" x14ac:dyDescent="0.25">
      <c r="A31" s="3"/>
      <c r="B31" s="125" t="s">
        <v>391</v>
      </c>
      <c r="C31" s="3"/>
      <c r="D31" s="3"/>
      <c r="E31" s="3"/>
      <c r="F31" s="3"/>
      <c r="G31" s="308">
        <f t="shared" ca="1" si="18"/>
        <v>28792375.72406055</v>
      </c>
      <c r="H31" s="309">
        <f>+SUMIF('Monthly UF Model'!$I$7:$DY$7,'Monthly USD Model'!H$7,'Monthly UF Model'!$I419:$DY419)*H$22</f>
        <v>0</v>
      </c>
      <c r="I31" s="309">
        <f>+SUMIF('Monthly UF Model'!$I$7:$DY$7,'Monthly USD Model'!I$7,'Monthly UF Model'!$I419:$DY419)*I$22</f>
        <v>0</v>
      </c>
      <c r="J31" s="309">
        <f>+SUMIF('Monthly UF Model'!$I$7:$DY$7,'Monthly USD Model'!J$7,'Monthly UF Model'!$I419:$DY419)*J$22</f>
        <v>0</v>
      </c>
      <c r="K31" s="309">
        <f>+SUMIF('Monthly UF Model'!$I$7:$DY$7,'Monthly USD Model'!K$7,'Monthly UF Model'!$I419:$DY419)*K$22</f>
        <v>0</v>
      </c>
      <c r="L31" s="309">
        <f>+SUMIF('Monthly UF Model'!$I$7:$DY$7,'Monthly USD Model'!L$7,'Monthly UF Model'!$I419:$DY419)*L$22</f>
        <v>0</v>
      </c>
      <c r="M31" s="309">
        <f>+SUMIF('Monthly UF Model'!$I$7:$DY$7,'Monthly USD Model'!M$7,'Monthly UF Model'!$I419:$DY419)*M$22</f>
        <v>0</v>
      </c>
      <c r="N31" s="309">
        <f>+SUMIF('Monthly UF Model'!$I$7:$DY$7,'Monthly USD Model'!N$7,'Monthly UF Model'!$I419:$DY419)*N$22</f>
        <v>0</v>
      </c>
      <c r="O31" s="309">
        <f>+SUMIF('Monthly UF Model'!$I$7:$DY$7,'Monthly USD Model'!O$7,'Monthly UF Model'!$I419:$DY419)*O$22</f>
        <v>0</v>
      </c>
      <c r="P31" s="309">
        <f>+SUMIF('Monthly UF Model'!$I$7:$DY$7,'Monthly USD Model'!P$7,'Monthly UF Model'!$I419:$DY419)*P$22</f>
        <v>0</v>
      </c>
      <c r="Q31" s="309">
        <f>+SUMIF('Monthly UF Model'!$I$7:$DY$7,'Monthly USD Model'!Q$7,'Monthly UF Model'!$I419:$DY419)*Q$22</f>
        <v>0</v>
      </c>
      <c r="R31" s="309">
        <f>+SUMIF('Monthly UF Model'!$I$7:$DY$7,'Monthly USD Model'!R$7,'Monthly UF Model'!$I419:$DY419)*R$22</f>
        <v>0</v>
      </c>
      <c r="S31" s="309">
        <f>+SUMIF('Monthly UF Model'!$I$7:$DY$7,'Monthly USD Model'!S$7,'Monthly UF Model'!$I419:$DY419)*S$22</f>
        <v>0</v>
      </c>
      <c r="T31" s="309">
        <f>+SUMIF('Monthly UF Model'!$I$7:$DY$7,'Monthly USD Model'!T$7,'Monthly UF Model'!$I419:$DY419)*T$22</f>
        <v>0</v>
      </c>
      <c r="U31" s="309">
        <f>+SUMIF('Monthly UF Model'!$I$7:$DY$7,'Monthly USD Model'!U$7,'Monthly UF Model'!$I419:$DY419)*U$22</f>
        <v>0</v>
      </c>
      <c r="V31" s="309">
        <f>+SUMIF('Monthly UF Model'!$I$7:$DY$7,'Monthly USD Model'!V$7,'Monthly UF Model'!$I419:$DY419)*V$22</f>
        <v>0</v>
      </c>
      <c r="W31" s="309">
        <f>+SUMIF('Monthly UF Model'!$I$7:$DY$7,'Monthly USD Model'!W$7,'Monthly UF Model'!$I419:$DY419)*W$22</f>
        <v>0</v>
      </c>
      <c r="X31" s="309">
        <f>+SUMIF('Monthly UF Model'!$I$7:$DY$7,'Monthly USD Model'!X$7,'Monthly UF Model'!$I419:$DY419)*X$22</f>
        <v>0</v>
      </c>
      <c r="Y31" s="309">
        <f>+SUMIF('Monthly UF Model'!$I$7:$DY$7,'Monthly USD Model'!Y$7,'Monthly UF Model'!$I419:$DY419)*Y$22</f>
        <v>0</v>
      </c>
      <c r="Z31" s="309">
        <f>+SUMIF('Monthly UF Model'!$I$7:$DY$7,'Monthly USD Model'!Z$7,'Monthly UF Model'!$I419:$DY419)*Z$22</f>
        <v>0</v>
      </c>
      <c r="AA31" s="309">
        <f>+SUMIF('Monthly UF Model'!$I$7:$DY$7,'Monthly USD Model'!AA$7,'Monthly UF Model'!$I419:$DY419)*AA$22</f>
        <v>0</v>
      </c>
      <c r="AB31" s="309">
        <f>+SUMIF('Monthly UF Model'!$I$7:$DY$7,'Monthly USD Model'!AB$7,'Monthly UF Model'!$I419:$DY419)*AB$22</f>
        <v>0</v>
      </c>
      <c r="AC31" s="309">
        <f>+SUMIF('Monthly UF Model'!$I$7:$DY$7,'Monthly USD Model'!AC$7,'Monthly UF Model'!$I419:$DY419)*AC$22</f>
        <v>0</v>
      </c>
      <c r="AD31" s="309">
        <f>+SUMIF('Monthly UF Model'!$I$7:$DY$7,'Monthly USD Model'!AD$7,'Monthly UF Model'!$I419:$DY419)*AD$22</f>
        <v>0</v>
      </c>
      <c r="AE31" s="309">
        <f>+SUMIF('Monthly UF Model'!$I$7:$DY$7,'Monthly USD Model'!AE$7,'Monthly UF Model'!$I419:$DY419)*AE$22</f>
        <v>0</v>
      </c>
      <c r="AF31" s="309">
        <f>+SUMIF('Monthly UF Model'!$I$7:$DY$7,'Monthly USD Model'!AF$7,'Monthly UF Model'!$I419:$DY419)*AF$22</f>
        <v>0</v>
      </c>
      <c r="AG31" s="309">
        <f>+SUMIF('Monthly UF Model'!$I$7:$DY$7,'Monthly USD Model'!AG$7,'Monthly UF Model'!$I419:$DY419)*AG$22</f>
        <v>0</v>
      </c>
      <c r="AH31" s="309">
        <f>+SUMIF('Monthly UF Model'!$I$7:$DY$7,'Monthly USD Model'!AH$7,'Monthly UF Model'!$I419:$DY419)*AH$22</f>
        <v>0</v>
      </c>
      <c r="AI31" s="309">
        <f>+SUMIF('Monthly UF Model'!$I$7:$DY$7,'Monthly USD Model'!AI$7,'Monthly UF Model'!$I419:$DY419)*AI$22</f>
        <v>0</v>
      </c>
      <c r="AJ31" s="309">
        <f>+SUMIF('Monthly UF Model'!$I$7:$DY$7,'Monthly USD Model'!AJ$7,'Monthly UF Model'!$I419:$DY419)*AJ$22</f>
        <v>0</v>
      </c>
      <c r="AK31" s="309">
        <f>+SUMIF('Monthly UF Model'!$I$7:$DY$7,'Monthly USD Model'!AK$7,'Monthly UF Model'!$I419:$DY419)*AK$22</f>
        <v>0</v>
      </c>
      <c r="AL31" s="309">
        <f>+SUMIF('Monthly UF Model'!$I$7:$DY$7,'Monthly USD Model'!AL$7,'Monthly UF Model'!$I419:$DY419)*AL$22</f>
        <v>0</v>
      </c>
      <c r="AM31" s="309">
        <f>+SUMIF('Monthly UF Model'!$I$7:$DY$7,'Monthly USD Model'!AM$7,'Monthly UF Model'!$I419:$DY419)*AM$22</f>
        <v>0</v>
      </c>
      <c r="AN31" s="309">
        <f>+SUMIF('Monthly UF Model'!$I$7:$DY$7,'Monthly USD Model'!AN$7,'Monthly UF Model'!$I419:$DY419)*AN$22</f>
        <v>0</v>
      </c>
      <c r="AO31" s="309">
        <f>+SUMIF('Monthly UF Model'!$I$7:$DY$7,'Monthly USD Model'!AO$7,'Monthly UF Model'!$I419:$DY419)*AO$22</f>
        <v>0</v>
      </c>
      <c r="AP31" s="309">
        <f>+SUMIF('Monthly UF Model'!$I$7:$DY$7,'Monthly USD Model'!AP$7,'Monthly UF Model'!$I419:$DY419)*AP$22</f>
        <v>0</v>
      </c>
      <c r="AQ31" s="309">
        <f>+SUMIF('Monthly UF Model'!$I$7:$DY$7,'Monthly USD Model'!AQ$7,'Monthly UF Model'!$I419:$DY419)*AQ$22</f>
        <v>0</v>
      </c>
      <c r="AR31" s="309">
        <f>+SUMIF('Monthly UF Model'!$I$7:$DY$7,'Monthly USD Model'!AR$7,'Monthly UF Model'!$I419:$DY419)*AR$22</f>
        <v>0</v>
      </c>
      <c r="AS31" s="309">
        <f>+SUMIF('Monthly UF Model'!$I$7:$DY$7,'Monthly USD Model'!AS$7,'Monthly UF Model'!$I419:$DY419)*AS$22</f>
        <v>0</v>
      </c>
      <c r="AT31" s="309">
        <f>+SUMIF('Monthly UF Model'!$I$7:$DY$7,'Monthly USD Model'!AT$7,'Monthly UF Model'!$I419:$DY419)*AT$22</f>
        <v>0</v>
      </c>
      <c r="AU31" s="309">
        <f>+SUMIF('Monthly UF Model'!$I$7:$DY$7,'Monthly USD Model'!AU$7,'Monthly UF Model'!$I419:$DY419)*AU$22</f>
        <v>0</v>
      </c>
      <c r="AV31" s="309">
        <f>+SUMIF('Monthly UF Model'!$I$7:$DY$7,'Monthly USD Model'!AV$7,'Monthly UF Model'!$I419:$DY419)*AV$22</f>
        <v>0</v>
      </c>
      <c r="AW31" s="309">
        <f>+SUMIF('Monthly UF Model'!$I$7:$DY$7,'Monthly USD Model'!AW$7,'Monthly UF Model'!$I419:$DY419)*AW$22</f>
        <v>0</v>
      </c>
      <c r="AX31" s="309">
        <f>+SUMIF('Monthly UF Model'!$I$7:$DY$7,'Monthly USD Model'!AX$7,'Monthly UF Model'!$I419:$DY419)*AX$22</f>
        <v>0</v>
      </c>
      <c r="AY31" s="309">
        <f>+SUMIF('Monthly UF Model'!$I$7:$DY$7,'Monthly USD Model'!AY$7,'Monthly UF Model'!$I419:$DY419)*AY$22</f>
        <v>0</v>
      </c>
      <c r="AZ31" s="309">
        <f>+SUMIF('Monthly UF Model'!$I$7:$DY$7,'Monthly USD Model'!AZ$7,'Monthly UF Model'!$I419:$DY419)*AZ$22</f>
        <v>0</v>
      </c>
      <c r="BA31" s="309">
        <f>+SUMIF('Monthly UF Model'!$I$7:$DY$7,'Monthly USD Model'!BA$7,'Monthly UF Model'!$I419:$DY419)*BA$22</f>
        <v>0</v>
      </c>
      <c r="BB31" s="309">
        <f>+SUMIF('Monthly UF Model'!$I$7:$DY$7,'Monthly USD Model'!BB$7,'Monthly UF Model'!$I419:$DY419)*BB$22</f>
        <v>0</v>
      </c>
      <c r="BC31" s="309">
        <f>+SUMIF('Monthly UF Model'!$I$7:$DY$7,'Monthly USD Model'!BC$7,'Monthly UF Model'!$I419:$DY419)*BC$22</f>
        <v>0</v>
      </c>
      <c r="BD31" s="309">
        <f>+SUMIF('Monthly UF Model'!$I$7:$DY$7,'Monthly USD Model'!BD$7,'Monthly UF Model'!$I419:$DY419)*BD$22</f>
        <v>0</v>
      </c>
      <c r="BE31" s="309">
        <f>+SUMIF('Monthly UF Model'!$I$7:$DY$7,'Monthly USD Model'!BE$7,'Monthly UF Model'!$I419:$DY419)*BE$22</f>
        <v>0</v>
      </c>
      <c r="BF31" s="309">
        <f>+SUMIF('Monthly UF Model'!$I$7:$DY$7,'Monthly USD Model'!BF$7,'Monthly UF Model'!$I419:$DY419)*BF$22</f>
        <v>0</v>
      </c>
      <c r="BG31" s="309">
        <f>+SUMIF('Monthly UF Model'!$I$7:$DY$7,'Monthly USD Model'!BG$7,'Monthly UF Model'!$I419:$DY419)*BG$22</f>
        <v>0</v>
      </c>
      <c r="BH31" s="309">
        <f>+SUMIF('Monthly UF Model'!$I$7:$DY$7,'Monthly USD Model'!BH$7,'Monthly UF Model'!$I419:$DY419)*BH$22</f>
        <v>0</v>
      </c>
      <c r="BI31" s="309">
        <f>+SUMIF('Monthly UF Model'!$I$7:$DY$7,'Monthly USD Model'!BI$7,'Monthly UF Model'!$I419:$DY419)*BI$22</f>
        <v>0</v>
      </c>
      <c r="BJ31" s="309">
        <f>+SUMIF('Monthly UF Model'!$I$7:$DY$7,'Monthly USD Model'!BJ$7,'Monthly UF Model'!$I419:$DY419)*BJ$22</f>
        <v>0</v>
      </c>
      <c r="BK31" s="309">
        <f>+SUMIF('Monthly UF Model'!$I$7:$DY$7,'Monthly USD Model'!BK$7,'Monthly UF Model'!$I419:$DY419)*BK$22</f>
        <v>0</v>
      </c>
      <c r="BL31" s="309">
        <f>+SUMIF('Monthly UF Model'!$I$7:$DY$7,'Monthly USD Model'!BL$7,'Monthly UF Model'!$I419:$DY419)*BL$22</f>
        <v>0</v>
      </c>
      <c r="BM31" s="309">
        <f ca="1">+SUMIF('Monthly UF Model'!$I$7:$DY$7,'Monthly USD Model'!BM$7,'Monthly UF Model'!$I419:$DY419)*BM$22</f>
        <v>0</v>
      </c>
      <c r="BN31" s="309">
        <f ca="1">+SUMIF('Monthly UF Model'!$I$7:$DY$7,'Monthly USD Model'!BN$7,'Monthly UF Model'!$I419:$DY419)*BN$22</f>
        <v>0</v>
      </c>
      <c r="BO31" s="309">
        <f ca="1">+SUMIF('Monthly UF Model'!$I$7:$DY$7,'Monthly USD Model'!BO$7,'Monthly UF Model'!$I419:$DY419)*BO$22</f>
        <v>0</v>
      </c>
      <c r="BP31" s="309">
        <f ca="1">+SUMIF('Monthly UF Model'!$I$7:$DY$7,'Monthly USD Model'!BP$7,'Monthly UF Model'!$I419:$DY419)*BP$22</f>
        <v>0</v>
      </c>
      <c r="BQ31" s="309">
        <f ca="1">+SUMIF('Monthly UF Model'!$I$7:$DY$7,'Monthly USD Model'!BQ$7,'Monthly UF Model'!$I419:$DY419)*BQ$22</f>
        <v>0</v>
      </c>
      <c r="BR31" s="309">
        <f ca="1">+SUMIF('Monthly UF Model'!$I$7:$DY$7,'Monthly USD Model'!BR$7,'Monthly UF Model'!$I419:$DY419)*BR$22</f>
        <v>0</v>
      </c>
      <c r="BS31" s="309">
        <f ca="1">+SUMIF('Monthly UF Model'!$I$7:$DY$7,'Monthly USD Model'!BS$7,'Monthly UF Model'!$I419:$DY419)*BS$22</f>
        <v>0</v>
      </c>
      <c r="BT31" s="309">
        <f ca="1">+SUMIF('Monthly UF Model'!$I$7:$DY$7,'Monthly USD Model'!BT$7,'Monthly UF Model'!$I419:$DY419)*BT$22</f>
        <v>0</v>
      </c>
      <c r="BU31" s="309">
        <f ca="1">+SUMIF('Monthly UF Model'!$I$7:$DY$7,'Monthly USD Model'!BU$7,'Monthly UF Model'!$I419:$DY419)*BU$22</f>
        <v>0</v>
      </c>
      <c r="BV31" s="309">
        <f ca="1">+SUMIF('Monthly UF Model'!$I$7:$DY$7,'Monthly USD Model'!BV$7,'Monthly UF Model'!$I419:$DY419)*BV$22</f>
        <v>0</v>
      </c>
      <c r="BW31" s="309">
        <f ca="1">+SUMIF('Monthly UF Model'!$I$7:$DY$7,'Monthly USD Model'!BW$7,'Monthly UF Model'!$I419:$DY419)*BW$22</f>
        <v>0</v>
      </c>
      <c r="BX31" s="309">
        <f ca="1">+SUMIF('Monthly UF Model'!$I$7:$DY$7,'Monthly USD Model'!BX$7,'Monthly UF Model'!$I419:$DY419)*BX$22</f>
        <v>0</v>
      </c>
      <c r="BY31" s="309">
        <f ca="1">+SUMIF('Monthly UF Model'!$I$7:$DY$7,'Monthly USD Model'!BY$7,'Monthly UF Model'!$I419:$DY419)*BY$22</f>
        <v>0</v>
      </c>
      <c r="BZ31" s="309">
        <f ca="1">+SUMIF('Monthly UF Model'!$I$7:$DY$7,'Monthly USD Model'!BZ$7,'Monthly UF Model'!$I419:$DY419)*BZ$22</f>
        <v>0</v>
      </c>
      <c r="CA31" s="309">
        <f ca="1">+SUMIF('Monthly UF Model'!$I$7:$DY$7,'Monthly USD Model'!CA$7,'Monthly UF Model'!$I419:$DY419)*CA$22</f>
        <v>0</v>
      </c>
      <c r="CB31" s="309">
        <f ca="1">+SUMIF('Monthly UF Model'!$I$7:$DY$7,'Monthly USD Model'!CB$7,'Monthly UF Model'!$I419:$DY419)*CB$22</f>
        <v>0</v>
      </c>
      <c r="CC31" s="309">
        <f ca="1">+SUMIF('Monthly UF Model'!$I$7:$DY$7,'Monthly USD Model'!CC$7,'Monthly UF Model'!$I419:$DY419)*CC$22</f>
        <v>0</v>
      </c>
      <c r="CD31" s="309">
        <f ca="1">+SUMIF('Monthly UF Model'!$I$7:$DY$7,'Monthly USD Model'!CD$7,'Monthly UF Model'!$I419:$DY419)*CD$22</f>
        <v>0</v>
      </c>
      <c r="CE31" s="309">
        <f ca="1">+SUMIF('Monthly UF Model'!$I$7:$DY$7,'Monthly USD Model'!CE$7,'Monthly UF Model'!$I419:$DY419)*CE$22</f>
        <v>28792375.72406055</v>
      </c>
      <c r="CF31" s="309">
        <f ca="1">+SUMIF('Monthly UF Model'!$I$7:$DY$7,'Monthly USD Model'!CF$7,'Monthly UF Model'!$I419:$DY419)*CF$22</f>
        <v>0</v>
      </c>
      <c r="CG31" s="309">
        <f ca="1">+SUMIF('Monthly UF Model'!$I$7:$DY$7,'Monthly USD Model'!CG$7,'Monthly UF Model'!$I419:$DY419)*CG$22</f>
        <v>0</v>
      </c>
      <c r="CH31" s="309">
        <f ca="1">+SUMIF('Monthly UF Model'!$I$7:$DY$7,'Monthly USD Model'!CH$7,'Monthly UF Model'!$I419:$DY419)*CH$22</f>
        <v>0</v>
      </c>
      <c r="CI31" s="309">
        <f ca="1">+SUMIF('Monthly UF Model'!$I$7:$DY$7,'Monthly USD Model'!CI$7,'Monthly UF Model'!$I419:$DY419)*CI$22</f>
        <v>0</v>
      </c>
      <c r="CJ31" s="309">
        <f ca="1">+SUMIF('Monthly UF Model'!$I$7:$DY$7,'Monthly USD Model'!CJ$7,'Monthly UF Model'!$I419:$DY419)*CJ$22</f>
        <v>0</v>
      </c>
      <c r="CK31" s="309">
        <f ca="1">+SUMIF('Monthly UF Model'!$I$7:$DY$7,'Monthly USD Model'!CK$7,'Monthly UF Model'!$I419:$DY419)*CK$22</f>
        <v>0</v>
      </c>
      <c r="CL31" s="309">
        <f ca="1">+SUMIF('Monthly UF Model'!$I$7:$DY$7,'Monthly USD Model'!CL$7,'Monthly UF Model'!$I419:$DY419)*CL$22</f>
        <v>0</v>
      </c>
      <c r="CM31" s="309">
        <f ca="1">+SUMIF('Monthly UF Model'!$I$7:$DY$7,'Monthly USD Model'!CM$7,'Monthly UF Model'!$I419:$DY419)*CM$22</f>
        <v>0</v>
      </c>
      <c r="CN31" s="309">
        <f ca="1">+SUMIF('Monthly UF Model'!$I$7:$DY$7,'Monthly USD Model'!CN$7,'Monthly UF Model'!$I419:$DY419)*CN$22</f>
        <v>0</v>
      </c>
      <c r="CO31" s="309">
        <f ca="1">+SUMIF('Monthly UF Model'!$I$7:$DY$7,'Monthly USD Model'!CO$7,'Monthly UF Model'!$I419:$DY419)*CO$22</f>
        <v>0</v>
      </c>
      <c r="CP31" s="309">
        <f ca="1">+SUMIF('Monthly UF Model'!$I$7:$DY$7,'Monthly USD Model'!CP$7,'Monthly UF Model'!$I419:$DY419)*CP$22</f>
        <v>0</v>
      </c>
      <c r="CQ31" s="309">
        <f ca="1">+SUMIF('Monthly UF Model'!$I$7:$DY$7,'Monthly USD Model'!CQ$7,'Monthly UF Model'!$I419:$DY419)*CQ$22</f>
        <v>0</v>
      </c>
      <c r="CR31" s="309">
        <f ca="1">+SUMIF('Monthly UF Model'!$I$7:$DY$7,'Monthly USD Model'!CR$7,'Monthly UF Model'!$I419:$DY419)*CR$22</f>
        <v>0</v>
      </c>
      <c r="CS31" s="309">
        <f ca="1">+SUMIF('Monthly UF Model'!$I$7:$DY$7,'Monthly USD Model'!CS$7,'Monthly UF Model'!$I419:$DY419)*CS$22</f>
        <v>0</v>
      </c>
      <c r="CT31" s="309">
        <f ca="1">+SUMIF('Monthly UF Model'!$I$7:$DY$7,'Monthly USD Model'!CT$7,'Monthly UF Model'!$I419:$DY419)*CT$22</f>
        <v>0</v>
      </c>
      <c r="CU31" s="309">
        <f ca="1">+SUMIF('Monthly UF Model'!$I$7:$DY$7,'Monthly USD Model'!CU$7,'Monthly UF Model'!$I419:$DY419)*CU$22</f>
        <v>0</v>
      </c>
      <c r="CV31" s="309">
        <f ca="1">+SUMIF('Monthly UF Model'!$I$7:$DY$7,'Monthly USD Model'!CV$7,'Monthly UF Model'!$I419:$DY419)*CV$22</f>
        <v>0</v>
      </c>
      <c r="CW31" s="309">
        <f ca="1">+SUMIF('Monthly UF Model'!$I$7:$DY$7,'Monthly USD Model'!CW$7,'Monthly UF Model'!$I419:$DY419)*CW$22</f>
        <v>0</v>
      </c>
      <c r="CX31" s="309">
        <f ca="1">+SUMIF('Monthly UF Model'!$I$7:$DY$7,'Monthly USD Model'!CX$7,'Monthly UF Model'!$I419:$DY419)*CX$22</f>
        <v>0</v>
      </c>
      <c r="CY31" s="309">
        <f ca="1">+SUMIF('Monthly UF Model'!$I$7:$DY$7,'Monthly USD Model'!CY$7,'Monthly UF Model'!$I419:$DY419)*CY$22</f>
        <v>0</v>
      </c>
      <c r="CZ31" s="309">
        <f ca="1">+SUMIF('Monthly UF Model'!$I$7:$DY$7,'Monthly USD Model'!CZ$7,'Monthly UF Model'!$I419:$DY419)*CZ$22</f>
        <v>0</v>
      </c>
      <c r="DA31" s="309">
        <f ca="1">+SUMIF('Monthly UF Model'!$I$7:$DY$7,'Monthly USD Model'!DA$7,'Monthly UF Model'!$I419:$DY419)*DA$22</f>
        <v>0</v>
      </c>
      <c r="DB31" s="309">
        <f ca="1">+SUMIF('Monthly UF Model'!$I$7:$DY$7,'Monthly USD Model'!DB$7,'Monthly UF Model'!$I419:$DY419)*DB$22</f>
        <v>0</v>
      </c>
      <c r="DC31" s="309">
        <f ca="1">+SUMIF('Monthly UF Model'!$I$7:$DY$7,'Monthly USD Model'!DC$7,'Monthly UF Model'!$I419:$DY419)*DC$22</f>
        <v>0</v>
      </c>
      <c r="DD31" s="309">
        <f ca="1">+SUMIF('Monthly UF Model'!$I$7:$DY$7,'Monthly USD Model'!DD$7,'Monthly UF Model'!$I419:$DY419)*DD$22</f>
        <v>0</v>
      </c>
      <c r="DE31" s="309">
        <f ca="1">+SUMIF('Monthly UF Model'!$I$7:$DY$7,'Monthly USD Model'!DE$7,'Monthly UF Model'!$I419:$DY419)*DE$22</f>
        <v>0</v>
      </c>
      <c r="DF31" s="309">
        <f ca="1">+SUMIF('Monthly UF Model'!$I$7:$DY$7,'Monthly USD Model'!DF$7,'Monthly UF Model'!$I419:$DY419)*DF$22</f>
        <v>0</v>
      </c>
      <c r="DG31" s="309">
        <f ca="1">+SUMIF('Monthly UF Model'!$I$7:$DY$7,'Monthly USD Model'!DG$7,'Monthly UF Model'!$I419:$DY419)*DG$22</f>
        <v>0</v>
      </c>
      <c r="DH31" s="309">
        <f ca="1">+SUMIF('Monthly UF Model'!$I$7:$DY$7,'Monthly USD Model'!DH$7,'Monthly UF Model'!$I419:$DY419)*DH$22</f>
        <v>0</v>
      </c>
      <c r="DI31" s="309">
        <f ca="1">+SUMIF('Monthly UF Model'!$I$7:$DY$7,'Monthly USD Model'!DI$7,'Monthly UF Model'!$I419:$DY419)*DI$22</f>
        <v>0</v>
      </c>
      <c r="DJ31" s="309">
        <f ca="1">+SUMIF('Monthly UF Model'!$I$7:$DY$7,'Monthly USD Model'!DJ$7,'Monthly UF Model'!$I419:$DY419)*DJ$22</f>
        <v>0</v>
      </c>
      <c r="DK31" s="309">
        <f ca="1">+SUMIF('Monthly UF Model'!$I$7:$DY$7,'Monthly USD Model'!DK$7,'Monthly UF Model'!$I419:$DY419)*DK$22</f>
        <v>0</v>
      </c>
      <c r="DL31" s="309">
        <f ca="1">+SUMIF('Monthly UF Model'!$I$7:$DY$7,'Monthly USD Model'!DL$7,'Monthly UF Model'!$I419:$DY419)*DL$22</f>
        <v>0</v>
      </c>
      <c r="DM31" s="309">
        <f ca="1">+SUMIF('Monthly UF Model'!$I$7:$DY$7,'Monthly USD Model'!DM$7,'Monthly UF Model'!$I419:$DY419)*DM$22</f>
        <v>0</v>
      </c>
      <c r="DN31" s="309">
        <f ca="1">+SUMIF('Monthly UF Model'!$I$7:$DY$7,'Monthly USD Model'!DN$7,'Monthly UF Model'!$I419:$DY419)*DN$22</f>
        <v>0</v>
      </c>
      <c r="DO31" s="309">
        <f ca="1">+SUMIF('Monthly UF Model'!$I$7:$DY$7,'Monthly USD Model'!DO$7,'Monthly UF Model'!$I419:$DY419)*DO$22</f>
        <v>0</v>
      </c>
      <c r="DP31" s="309">
        <f ca="1">+SUMIF('Monthly UF Model'!$I$7:$DY$7,'Monthly USD Model'!DP$7,'Monthly UF Model'!$I419:$DY419)*DP$22</f>
        <v>0</v>
      </c>
      <c r="DQ31" s="309">
        <f ca="1">+SUMIF('Monthly UF Model'!$I$7:$DY$7,'Monthly USD Model'!DQ$7,'Monthly UF Model'!$I419:$DY419)*DQ$22</f>
        <v>0</v>
      </c>
      <c r="DR31" s="309">
        <f ca="1">+SUMIF('Monthly UF Model'!$I$7:$DY$7,'Monthly USD Model'!DR$7,'Monthly UF Model'!$I419:$DY419)*DR$22</f>
        <v>0</v>
      </c>
      <c r="DS31" s="309">
        <f ca="1">+SUMIF('Monthly UF Model'!$I$7:$DY$7,'Monthly USD Model'!DS$7,'Monthly UF Model'!$I419:$DY419)*DS$22</f>
        <v>0</v>
      </c>
      <c r="DT31" s="309">
        <f ca="1">+SUMIF('Monthly UF Model'!$I$7:$DY$7,'Monthly USD Model'!DT$7,'Monthly UF Model'!$I419:$DY419)*DT$22</f>
        <v>0</v>
      </c>
      <c r="DU31" s="309">
        <f ca="1">+SUMIF('Monthly UF Model'!$I$7:$DY$7,'Monthly USD Model'!DU$7,'Monthly UF Model'!$I419:$DY419)*DU$22</f>
        <v>0</v>
      </c>
      <c r="DV31" s="309">
        <f ca="1">+SUMIF('Monthly UF Model'!$I$7:$DY$7,'Monthly USD Model'!DV$7,'Monthly UF Model'!$I419:$DY419)*DV$22</f>
        <v>0</v>
      </c>
      <c r="DW31" s="309">
        <f ca="1">+SUMIF('Monthly UF Model'!$I$7:$DY$7,'Monthly USD Model'!DW$7,'Monthly UF Model'!$I419:$DY419)*DW$22</f>
        <v>0</v>
      </c>
      <c r="DX31" s="309">
        <f ca="1">+SUMIF('Monthly UF Model'!$I$7:$DY$7,'Monthly USD Model'!DX$7,'Monthly UF Model'!$I419:$DY419)*DX$22</f>
        <v>0</v>
      </c>
    </row>
    <row r="32" spans="1:128" s="3" customFormat="1" ht="11.4" outlineLevel="1" thickBot="1" x14ac:dyDescent="0.3">
      <c r="B32" s="125" t="s">
        <v>127</v>
      </c>
      <c r="G32" s="349">
        <f t="shared" si="18"/>
        <v>6299844.6461806837</v>
      </c>
      <c r="H32" s="819">
        <f>+SUMIF('Monthly UF Model'!$I$7:$DY$7,'Monthly USD Model'!H$7,'Monthly UF Model'!$I420:$DY420)*H$22</f>
        <v>0</v>
      </c>
      <c r="I32" s="819">
        <f>+SUMIF('Monthly UF Model'!$I$7:$DY$7,'Monthly USD Model'!I$7,'Monthly UF Model'!$I420:$DY420)*I$22</f>
        <v>0</v>
      </c>
      <c r="J32" s="819">
        <f>+SUMIF('Monthly UF Model'!$I$7:$DY$7,'Monthly USD Model'!J$7,'Monthly UF Model'!$I420:$DY420)*J$22</f>
        <v>0</v>
      </c>
      <c r="K32" s="819">
        <f>+SUMIF('Monthly UF Model'!$I$7:$DY$7,'Monthly USD Model'!K$7,'Monthly UF Model'!$I420:$DY420)*K$22</f>
        <v>0</v>
      </c>
      <c r="L32" s="819">
        <f>+SUMIF('Monthly UF Model'!$I$7:$DY$7,'Monthly USD Model'!L$7,'Monthly UF Model'!$I420:$DY420)*L$22</f>
        <v>0</v>
      </c>
      <c r="M32" s="819">
        <f>+SUMIF('Monthly UF Model'!$I$7:$DY$7,'Monthly USD Model'!M$7,'Monthly UF Model'!$I420:$DY420)*M$22</f>
        <v>0</v>
      </c>
      <c r="N32" s="819">
        <f>+SUMIF('Monthly UF Model'!$I$7:$DY$7,'Monthly USD Model'!N$7,'Monthly UF Model'!$I420:$DY420)*N$22</f>
        <v>0</v>
      </c>
      <c r="O32" s="819">
        <f>+SUMIF('Monthly UF Model'!$I$7:$DY$7,'Monthly USD Model'!O$7,'Monthly UF Model'!$I420:$DY420)*O$22</f>
        <v>0</v>
      </c>
      <c r="P32" s="819">
        <f>+SUMIF('Monthly UF Model'!$I$7:$DY$7,'Monthly USD Model'!P$7,'Monthly UF Model'!$I420:$DY420)*P$22</f>
        <v>0</v>
      </c>
      <c r="Q32" s="819">
        <f>+SUMIF('Monthly UF Model'!$I$7:$DY$7,'Monthly USD Model'!Q$7,'Monthly UF Model'!$I420:$DY420)*Q$22</f>
        <v>0</v>
      </c>
      <c r="R32" s="819">
        <f>+SUMIF('Monthly UF Model'!$I$7:$DY$7,'Monthly USD Model'!R$7,'Monthly UF Model'!$I420:$DY420)*R$22</f>
        <v>0</v>
      </c>
      <c r="S32" s="819">
        <f>+SUMIF('Monthly UF Model'!$I$7:$DY$7,'Monthly USD Model'!S$7,'Monthly UF Model'!$I420:$DY420)*S$22</f>
        <v>0</v>
      </c>
      <c r="T32" s="819">
        <f>+SUMIF('Monthly UF Model'!$I$7:$DY$7,'Monthly USD Model'!T$7,'Monthly UF Model'!$I420:$DY420)*T$22</f>
        <v>0</v>
      </c>
      <c r="U32" s="819">
        <f>+SUMIF('Monthly UF Model'!$I$7:$DY$7,'Monthly USD Model'!U$7,'Monthly UF Model'!$I420:$DY420)*U$22</f>
        <v>0</v>
      </c>
      <c r="V32" s="819">
        <f>+SUMIF('Monthly UF Model'!$I$7:$DY$7,'Monthly USD Model'!V$7,'Monthly UF Model'!$I420:$DY420)*V$22</f>
        <v>0</v>
      </c>
      <c r="W32" s="819">
        <f>+SUMIF('Monthly UF Model'!$I$7:$DY$7,'Monthly USD Model'!W$7,'Monthly UF Model'!$I420:$DY420)*W$22</f>
        <v>0</v>
      </c>
      <c r="X32" s="819">
        <f>+SUMIF('Monthly UF Model'!$I$7:$DY$7,'Monthly USD Model'!X$7,'Monthly UF Model'!$I420:$DY420)*X$22</f>
        <v>0</v>
      </c>
      <c r="Y32" s="819">
        <f>+SUMIF('Monthly UF Model'!$I$7:$DY$7,'Monthly USD Model'!Y$7,'Monthly UF Model'!$I420:$DY420)*Y$22</f>
        <v>0</v>
      </c>
      <c r="Z32" s="819">
        <f>+SUMIF('Monthly UF Model'!$I$7:$DY$7,'Monthly USD Model'!Z$7,'Monthly UF Model'!$I420:$DY420)*Z$22</f>
        <v>0</v>
      </c>
      <c r="AA32" s="819">
        <f>+SUMIF('Monthly UF Model'!$I$7:$DY$7,'Monthly USD Model'!AA$7,'Monthly UF Model'!$I420:$DY420)*AA$22</f>
        <v>0</v>
      </c>
      <c r="AB32" s="819">
        <f>+SUMIF('Monthly UF Model'!$I$7:$DY$7,'Monthly USD Model'!AB$7,'Monthly UF Model'!$I420:$DY420)*AB$22</f>
        <v>0</v>
      </c>
      <c r="AC32" s="819">
        <f>+SUMIF('Monthly UF Model'!$I$7:$DY$7,'Monthly USD Model'!AC$7,'Monthly UF Model'!$I420:$DY420)*AC$22</f>
        <v>0</v>
      </c>
      <c r="AD32" s="819">
        <f>+SUMIF('Monthly UF Model'!$I$7:$DY$7,'Monthly USD Model'!AD$7,'Monthly UF Model'!$I420:$DY420)*AD$22</f>
        <v>0</v>
      </c>
      <c r="AE32" s="819">
        <f>+SUMIF('Monthly UF Model'!$I$7:$DY$7,'Monthly USD Model'!AE$7,'Monthly UF Model'!$I420:$DY420)*AE$22</f>
        <v>0</v>
      </c>
      <c r="AF32" s="819">
        <f>+SUMIF('Monthly UF Model'!$I$7:$DY$7,'Monthly USD Model'!AF$7,'Monthly UF Model'!$I420:$DY420)*AF$22</f>
        <v>0</v>
      </c>
      <c r="AG32" s="819">
        <f>+SUMIF('Monthly UF Model'!$I$7:$DY$7,'Monthly USD Model'!AG$7,'Monthly UF Model'!$I420:$DY420)*AG$22</f>
        <v>0</v>
      </c>
      <c r="AH32" s="819">
        <f>+SUMIF('Monthly UF Model'!$I$7:$DY$7,'Monthly USD Model'!AH$7,'Monthly UF Model'!$I420:$DY420)*AH$22</f>
        <v>0</v>
      </c>
      <c r="AI32" s="819">
        <f>+SUMIF('Monthly UF Model'!$I$7:$DY$7,'Monthly USD Model'!AI$7,'Monthly UF Model'!$I420:$DY420)*AI$22</f>
        <v>0</v>
      </c>
      <c r="AJ32" s="819">
        <f>+SUMIF('Monthly UF Model'!$I$7:$DY$7,'Monthly USD Model'!AJ$7,'Monthly UF Model'!$I420:$DY420)*AJ$22</f>
        <v>0</v>
      </c>
      <c r="AK32" s="819">
        <f>+SUMIF('Monthly UF Model'!$I$7:$DY$7,'Monthly USD Model'!AK$7,'Monthly UF Model'!$I420:$DY420)*AK$22</f>
        <v>0</v>
      </c>
      <c r="AL32" s="819">
        <f>+SUMIF('Monthly UF Model'!$I$7:$DY$7,'Monthly USD Model'!AL$7,'Monthly UF Model'!$I420:$DY420)*AL$22</f>
        <v>0</v>
      </c>
      <c r="AM32" s="819">
        <f>+SUMIF('Monthly UF Model'!$I$7:$DY$7,'Monthly USD Model'!AM$7,'Monthly UF Model'!$I420:$DY420)*AM$22</f>
        <v>0</v>
      </c>
      <c r="AN32" s="819">
        <f>+SUMIF('Monthly UF Model'!$I$7:$DY$7,'Monthly USD Model'!AN$7,'Monthly UF Model'!$I420:$DY420)*AN$22</f>
        <v>0</v>
      </c>
      <c r="AO32" s="819">
        <f>+SUMIF('Monthly UF Model'!$I$7:$DY$7,'Monthly USD Model'!AO$7,'Monthly UF Model'!$I420:$DY420)*AO$22</f>
        <v>0</v>
      </c>
      <c r="AP32" s="819">
        <f>+SUMIF('Monthly UF Model'!$I$7:$DY$7,'Monthly USD Model'!AP$7,'Monthly UF Model'!$I420:$DY420)*AP$22</f>
        <v>0</v>
      </c>
      <c r="AQ32" s="819">
        <f>+SUMIF('Monthly UF Model'!$I$7:$DY$7,'Monthly USD Model'!AQ$7,'Monthly UF Model'!$I420:$DY420)*AQ$22</f>
        <v>0</v>
      </c>
      <c r="AR32" s="819">
        <f>+SUMIF('Monthly UF Model'!$I$7:$DY$7,'Monthly USD Model'!AR$7,'Monthly UF Model'!$I420:$DY420)*AR$22</f>
        <v>0</v>
      </c>
      <c r="AS32" s="819">
        <f>+SUMIF('Monthly UF Model'!$I$7:$DY$7,'Monthly USD Model'!AS$7,'Monthly UF Model'!$I420:$DY420)*AS$22</f>
        <v>0</v>
      </c>
      <c r="AT32" s="819">
        <f>+SUMIF('Monthly UF Model'!$I$7:$DY$7,'Monthly USD Model'!AT$7,'Monthly UF Model'!$I420:$DY420)*AT$22</f>
        <v>0</v>
      </c>
      <c r="AU32" s="819">
        <f>+SUMIF('Monthly UF Model'!$I$7:$DY$7,'Monthly USD Model'!AU$7,'Monthly UF Model'!$I420:$DY420)*AU$22</f>
        <v>0</v>
      </c>
      <c r="AV32" s="819">
        <f>+SUMIF('Monthly UF Model'!$I$7:$DY$7,'Monthly USD Model'!AV$7,'Monthly UF Model'!$I420:$DY420)*AV$22</f>
        <v>0</v>
      </c>
      <c r="AW32" s="819">
        <f>+SUMIF('Monthly UF Model'!$I$7:$DY$7,'Monthly USD Model'!AW$7,'Monthly UF Model'!$I420:$DY420)*AW$22</f>
        <v>0</v>
      </c>
      <c r="AX32" s="819">
        <f>+SUMIF('Monthly UF Model'!$I$7:$DY$7,'Monthly USD Model'!AX$7,'Monthly UF Model'!$I420:$DY420)*AX$22</f>
        <v>0</v>
      </c>
      <c r="AY32" s="819">
        <f>+SUMIF('Monthly UF Model'!$I$7:$DY$7,'Monthly USD Model'!AY$7,'Monthly UF Model'!$I420:$DY420)*AY$22</f>
        <v>0</v>
      </c>
      <c r="AZ32" s="819">
        <f>+SUMIF('Monthly UF Model'!$I$7:$DY$7,'Monthly USD Model'!AZ$7,'Monthly UF Model'!$I420:$DY420)*AZ$22</f>
        <v>0</v>
      </c>
      <c r="BA32" s="819">
        <f>+SUMIF('Monthly UF Model'!$I$7:$DY$7,'Monthly USD Model'!BA$7,'Monthly UF Model'!$I420:$DY420)*BA$22</f>
        <v>0</v>
      </c>
      <c r="BB32" s="819">
        <f>+SUMIF('Monthly UF Model'!$I$7:$DY$7,'Monthly USD Model'!BB$7,'Monthly UF Model'!$I420:$DY420)*BB$22</f>
        <v>0</v>
      </c>
      <c r="BC32" s="819">
        <f>+SUMIF('Monthly UF Model'!$I$7:$DY$7,'Monthly USD Model'!BC$7,'Monthly UF Model'!$I420:$DY420)*BC$22</f>
        <v>0</v>
      </c>
      <c r="BD32" s="819">
        <f>+SUMIF('Monthly UF Model'!$I$7:$DY$7,'Monthly USD Model'!BD$7,'Monthly UF Model'!$I420:$DY420)*BD$22</f>
        <v>0</v>
      </c>
      <c r="BE32" s="819">
        <f>+SUMIF('Monthly UF Model'!$I$7:$DY$7,'Monthly USD Model'!BE$7,'Monthly UF Model'!$I420:$DY420)*BE$22</f>
        <v>0</v>
      </c>
      <c r="BF32" s="819">
        <f>+SUMIF('Monthly UF Model'!$I$7:$DY$7,'Monthly USD Model'!BF$7,'Monthly UF Model'!$I420:$DY420)*BF$22</f>
        <v>0</v>
      </c>
      <c r="BG32" s="819">
        <f>+SUMIF('Monthly UF Model'!$I$7:$DY$7,'Monthly USD Model'!BG$7,'Monthly UF Model'!$I420:$DY420)*BG$22</f>
        <v>0</v>
      </c>
      <c r="BH32" s="819">
        <f>+SUMIF('Monthly UF Model'!$I$7:$DY$7,'Monthly USD Model'!BH$7,'Monthly UF Model'!$I420:$DY420)*BH$22</f>
        <v>0</v>
      </c>
      <c r="BI32" s="819">
        <f>+SUMIF('Monthly UF Model'!$I$7:$DY$7,'Monthly USD Model'!BI$7,'Monthly UF Model'!$I420:$DY420)*BI$22</f>
        <v>0</v>
      </c>
      <c r="BJ32" s="819">
        <f>+SUMIF('Monthly UF Model'!$I$7:$DY$7,'Monthly USD Model'!BJ$7,'Monthly UF Model'!$I420:$DY420)*BJ$22</f>
        <v>0</v>
      </c>
      <c r="BK32" s="819">
        <f>+SUMIF('Monthly UF Model'!$I$7:$DY$7,'Monthly USD Model'!BK$7,'Monthly UF Model'!$I420:$DY420)*BK$22</f>
        <v>0</v>
      </c>
      <c r="BL32" s="819">
        <f>+SUMIF('Monthly UF Model'!$I$7:$DY$7,'Monthly USD Model'!BL$7,'Monthly UF Model'!$I420:$DY420)*BL$22</f>
        <v>0</v>
      </c>
      <c r="BM32" s="819">
        <f>+SUMIF('Monthly UF Model'!$I$7:$DY$7,'Monthly USD Model'!BM$7,'Monthly UF Model'!$I420:$DY420)*BM$22</f>
        <v>0</v>
      </c>
      <c r="BN32" s="819">
        <f>+SUMIF('Monthly UF Model'!$I$7:$DY$7,'Monthly USD Model'!BN$7,'Monthly UF Model'!$I420:$DY420)*BN$22</f>
        <v>0</v>
      </c>
      <c r="BO32" s="819">
        <f>+SUMIF('Monthly UF Model'!$I$7:$DY$7,'Monthly USD Model'!BO$7,'Monthly UF Model'!$I420:$DY420)*BO$22</f>
        <v>0</v>
      </c>
      <c r="BP32" s="819">
        <f>+SUMIF('Monthly UF Model'!$I$7:$DY$7,'Monthly USD Model'!BP$7,'Monthly UF Model'!$I420:$DY420)*BP$22</f>
        <v>0</v>
      </c>
      <c r="BQ32" s="819">
        <f>+SUMIF('Monthly UF Model'!$I$7:$DY$7,'Monthly USD Model'!BQ$7,'Monthly UF Model'!$I420:$DY420)*BQ$22</f>
        <v>0</v>
      </c>
      <c r="BR32" s="819">
        <f>+SUMIF('Monthly UF Model'!$I$7:$DY$7,'Monthly USD Model'!BR$7,'Monthly UF Model'!$I420:$DY420)*BR$22</f>
        <v>0</v>
      </c>
      <c r="BS32" s="819">
        <f>+SUMIF('Monthly UF Model'!$I$7:$DY$7,'Monthly USD Model'!BS$7,'Monthly UF Model'!$I420:$DY420)*BS$22</f>
        <v>0</v>
      </c>
      <c r="BT32" s="819">
        <f>+SUMIF('Monthly UF Model'!$I$7:$DY$7,'Monthly USD Model'!BT$7,'Monthly UF Model'!$I420:$DY420)*BT$22</f>
        <v>0</v>
      </c>
      <c r="BU32" s="819">
        <f>+SUMIF('Monthly UF Model'!$I$7:$DY$7,'Monthly USD Model'!BU$7,'Monthly UF Model'!$I420:$DY420)*BU$22</f>
        <v>0</v>
      </c>
      <c r="BV32" s="819">
        <f>+SUMIF('Monthly UF Model'!$I$7:$DY$7,'Monthly USD Model'!BV$7,'Monthly UF Model'!$I420:$DY420)*BV$22</f>
        <v>0</v>
      </c>
      <c r="BW32" s="819">
        <f>+SUMIF('Monthly UF Model'!$I$7:$DY$7,'Monthly USD Model'!BW$7,'Monthly UF Model'!$I420:$DY420)*BW$22</f>
        <v>0</v>
      </c>
      <c r="BX32" s="819">
        <f>+SUMIF('Monthly UF Model'!$I$7:$DY$7,'Monthly USD Model'!BX$7,'Monthly UF Model'!$I420:$DY420)*BX$22</f>
        <v>0</v>
      </c>
      <c r="BY32" s="819">
        <f>+SUMIF('Monthly UF Model'!$I$7:$DY$7,'Monthly USD Model'!BY$7,'Monthly UF Model'!$I420:$DY420)*BY$22</f>
        <v>0</v>
      </c>
      <c r="BZ32" s="819">
        <f>+SUMIF('Monthly UF Model'!$I$7:$DY$7,'Monthly USD Model'!BZ$7,'Monthly UF Model'!$I420:$DY420)*BZ$22</f>
        <v>0</v>
      </c>
      <c r="CA32" s="819">
        <f>+SUMIF('Monthly UF Model'!$I$7:$DY$7,'Monthly USD Model'!CA$7,'Monthly UF Model'!$I420:$DY420)*CA$22</f>
        <v>0</v>
      </c>
      <c r="CB32" s="819">
        <f>+SUMIF('Monthly UF Model'!$I$7:$DY$7,'Monthly USD Model'!CB$7,'Monthly UF Model'!$I420:$DY420)*CB$22</f>
        <v>0</v>
      </c>
      <c r="CC32" s="819">
        <f>+SUMIF('Monthly UF Model'!$I$7:$DY$7,'Monthly USD Model'!CC$7,'Monthly UF Model'!$I420:$DY420)*CC$22</f>
        <v>0</v>
      </c>
      <c r="CD32" s="819">
        <f>+SUMIF('Monthly UF Model'!$I$7:$DY$7,'Monthly USD Model'!CD$7,'Monthly UF Model'!$I420:$DY420)*CD$22</f>
        <v>0</v>
      </c>
      <c r="CE32" s="819">
        <f>+SUMIF('Monthly UF Model'!$I$7:$DY$7,'Monthly USD Model'!CE$7,'Monthly UF Model'!$I420:$DY420)*CE$22</f>
        <v>6299844.6461806837</v>
      </c>
      <c r="CF32" s="819">
        <f>+SUMIF('Monthly UF Model'!$I$7:$DY$7,'Monthly USD Model'!CF$7,'Monthly UF Model'!$I420:$DY420)*CF$22</f>
        <v>0</v>
      </c>
      <c r="CG32" s="819">
        <f>+SUMIF('Monthly UF Model'!$I$7:$DY$7,'Monthly USD Model'!CG$7,'Monthly UF Model'!$I420:$DY420)*CG$22</f>
        <v>0</v>
      </c>
      <c r="CH32" s="819">
        <f>+SUMIF('Monthly UF Model'!$I$7:$DY$7,'Monthly USD Model'!CH$7,'Monthly UF Model'!$I420:$DY420)*CH$22</f>
        <v>0</v>
      </c>
      <c r="CI32" s="819">
        <f>+SUMIF('Monthly UF Model'!$I$7:$DY$7,'Monthly USD Model'!CI$7,'Monthly UF Model'!$I420:$DY420)*CI$22</f>
        <v>0</v>
      </c>
      <c r="CJ32" s="819">
        <f>+SUMIF('Monthly UF Model'!$I$7:$DY$7,'Monthly USD Model'!CJ$7,'Monthly UF Model'!$I420:$DY420)*CJ$22</f>
        <v>0</v>
      </c>
      <c r="CK32" s="819">
        <f>+SUMIF('Monthly UF Model'!$I$7:$DY$7,'Monthly USD Model'!CK$7,'Monthly UF Model'!$I420:$DY420)*CK$22</f>
        <v>0</v>
      </c>
      <c r="CL32" s="819">
        <f>+SUMIF('Monthly UF Model'!$I$7:$DY$7,'Monthly USD Model'!CL$7,'Monthly UF Model'!$I420:$DY420)*CL$22</f>
        <v>0</v>
      </c>
      <c r="CM32" s="819">
        <f>+SUMIF('Monthly UF Model'!$I$7:$DY$7,'Monthly USD Model'!CM$7,'Monthly UF Model'!$I420:$DY420)*CM$22</f>
        <v>0</v>
      </c>
      <c r="CN32" s="819">
        <f>+SUMIF('Monthly UF Model'!$I$7:$DY$7,'Monthly USD Model'!CN$7,'Monthly UF Model'!$I420:$DY420)*CN$22</f>
        <v>0</v>
      </c>
      <c r="CO32" s="819">
        <f>+SUMIF('Monthly UF Model'!$I$7:$DY$7,'Monthly USD Model'!CO$7,'Monthly UF Model'!$I420:$DY420)*CO$22</f>
        <v>0</v>
      </c>
      <c r="CP32" s="819">
        <f>+SUMIF('Monthly UF Model'!$I$7:$DY$7,'Monthly USD Model'!CP$7,'Monthly UF Model'!$I420:$DY420)*CP$22</f>
        <v>0</v>
      </c>
      <c r="CQ32" s="819">
        <f>+SUMIF('Monthly UF Model'!$I$7:$DY$7,'Monthly USD Model'!CQ$7,'Monthly UF Model'!$I420:$DY420)*CQ$22</f>
        <v>0</v>
      </c>
      <c r="CR32" s="819">
        <f>+SUMIF('Monthly UF Model'!$I$7:$DY$7,'Monthly USD Model'!CR$7,'Monthly UF Model'!$I420:$DY420)*CR$22</f>
        <v>0</v>
      </c>
      <c r="CS32" s="819">
        <f>+SUMIF('Monthly UF Model'!$I$7:$DY$7,'Monthly USD Model'!CS$7,'Monthly UF Model'!$I420:$DY420)*CS$22</f>
        <v>0</v>
      </c>
      <c r="CT32" s="819">
        <f>+SUMIF('Monthly UF Model'!$I$7:$DY$7,'Monthly USD Model'!CT$7,'Monthly UF Model'!$I420:$DY420)*CT$22</f>
        <v>0</v>
      </c>
      <c r="CU32" s="819">
        <f>+SUMIF('Monthly UF Model'!$I$7:$DY$7,'Monthly USD Model'!CU$7,'Monthly UF Model'!$I420:$DY420)*CU$22</f>
        <v>0</v>
      </c>
      <c r="CV32" s="819">
        <f>+SUMIF('Monthly UF Model'!$I$7:$DY$7,'Monthly USD Model'!CV$7,'Monthly UF Model'!$I420:$DY420)*CV$22</f>
        <v>0</v>
      </c>
      <c r="CW32" s="819">
        <f>+SUMIF('Monthly UF Model'!$I$7:$DY$7,'Monthly USD Model'!CW$7,'Monthly UF Model'!$I420:$DY420)*CW$22</f>
        <v>0</v>
      </c>
      <c r="CX32" s="819">
        <f>+SUMIF('Monthly UF Model'!$I$7:$DY$7,'Monthly USD Model'!CX$7,'Monthly UF Model'!$I420:$DY420)*CX$22</f>
        <v>0</v>
      </c>
      <c r="CY32" s="819">
        <f>+SUMIF('Monthly UF Model'!$I$7:$DY$7,'Monthly USD Model'!CY$7,'Monthly UF Model'!$I420:$DY420)*CY$22</f>
        <v>0</v>
      </c>
      <c r="CZ32" s="819">
        <f>+SUMIF('Monthly UF Model'!$I$7:$DY$7,'Monthly USD Model'!CZ$7,'Monthly UF Model'!$I420:$DY420)*CZ$22</f>
        <v>0</v>
      </c>
      <c r="DA32" s="819">
        <f>+SUMIF('Monthly UF Model'!$I$7:$DY$7,'Monthly USD Model'!DA$7,'Monthly UF Model'!$I420:$DY420)*DA$22</f>
        <v>0</v>
      </c>
      <c r="DB32" s="819">
        <f>+SUMIF('Monthly UF Model'!$I$7:$DY$7,'Monthly USD Model'!DB$7,'Monthly UF Model'!$I420:$DY420)*DB$22</f>
        <v>0</v>
      </c>
      <c r="DC32" s="819">
        <f>+SUMIF('Monthly UF Model'!$I$7:$DY$7,'Monthly USD Model'!DC$7,'Monthly UF Model'!$I420:$DY420)*DC$22</f>
        <v>0</v>
      </c>
      <c r="DD32" s="819">
        <f>+SUMIF('Monthly UF Model'!$I$7:$DY$7,'Monthly USD Model'!DD$7,'Monthly UF Model'!$I420:$DY420)*DD$22</f>
        <v>0</v>
      </c>
      <c r="DE32" s="819">
        <f>+SUMIF('Monthly UF Model'!$I$7:$DY$7,'Monthly USD Model'!DE$7,'Monthly UF Model'!$I420:$DY420)*DE$22</f>
        <v>0</v>
      </c>
      <c r="DF32" s="819">
        <f>+SUMIF('Monthly UF Model'!$I$7:$DY$7,'Monthly USD Model'!DF$7,'Monthly UF Model'!$I420:$DY420)*DF$22</f>
        <v>0</v>
      </c>
      <c r="DG32" s="819">
        <f>+SUMIF('Monthly UF Model'!$I$7:$DY$7,'Monthly USD Model'!DG$7,'Monthly UF Model'!$I420:$DY420)*DG$22</f>
        <v>0</v>
      </c>
      <c r="DH32" s="819">
        <f>+SUMIF('Monthly UF Model'!$I$7:$DY$7,'Monthly USD Model'!DH$7,'Monthly UF Model'!$I420:$DY420)*DH$22</f>
        <v>0</v>
      </c>
      <c r="DI32" s="819">
        <f>+SUMIF('Monthly UF Model'!$I$7:$DY$7,'Monthly USD Model'!DI$7,'Monthly UF Model'!$I420:$DY420)*DI$22</f>
        <v>0</v>
      </c>
      <c r="DJ32" s="819">
        <f>+SUMIF('Monthly UF Model'!$I$7:$DY$7,'Monthly USD Model'!DJ$7,'Monthly UF Model'!$I420:$DY420)*DJ$22</f>
        <v>0</v>
      </c>
      <c r="DK32" s="819">
        <f>+SUMIF('Monthly UF Model'!$I$7:$DY$7,'Monthly USD Model'!DK$7,'Monthly UF Model'!$I420:$DY420)*DK$22</f>
        <v>0</v>
      </c>
      <c r="DL32" s="819">
        <f>+SUMIF('Monthly UF Model'!$I$7:$DY$7,'Monthly USD Model'!DL$7,'Monthly UF Model'!$I420:$DY420)*DL$22</f>
        <v>0</v>
      </c>
      <c r="DM32" s="819">
        <f>+SUMIF('Monthly UF Model'!$I$7:$DY$7,'Monthly USD Model'!DM$7,'Monthly UF Model'!$I420:$DY420)*DM$22</f>
        <v>0</v>
      </c>
      <c r="DN32" s="819">
        <f>+SUMIF('Monthly UF Model'!$I$7:$DY$7,'Monthly USD Model'!DN$7,'Monthly UF Model'!$I420:$DY420)*DN$22</f>
        <v>0</v>
      </c>
      <c r="DO32" s="819">
        <f>+SUMIF('Monthly UF Model'!$I$7:$DY$7,'Monthly USD Model'!DO$7,'Monthly UF Model'!$I420:$DY420)*DO$22</f>
        <v>0</v>
      </c>
      <c r="DP32" s="819">
        <f>+SUMIF('Monthly UF Model'!$I$7:$DY$7,'Monthly USD Model'!DP$7,'Monthly UF Model'!$I420:$DY420)*DP$22</f>
        <v>0</v>
      </c>
      <c r="DQ32" s="819">
        <f>+SUMIF('Monthly UF Model'!$I$7:$DY$7,'Monthly USD Model'!DQ$7,'Monthly UF Model'!$I420:$DY420)*DQ$22</f>
        <v>0</v>
      </c>
      <c r="DR32" s="819">
        <f>+SUMIF('Monthly UF Model'!$I$7:$DY$7,'Monthly USD Model'!DR$7,'Monthly UF Model'!$I420:$DY420)*DR$22</f>
        <v>0</v>
      </c>
      <c r="DS32" s="819">
        <f>+SUMIF('Monthly UF Model'!$I$7:$DY$7,'Monthly USD Model'!DS$7,'Monthly UF Model'!$I420:$DY420)*DS$22</f>
        <v>0</v>
      </c>
      <c r="DT32" s="819">
        <f>+SUMIF('Monthly UF Model'!$I$7:$DY$7,'Monthly USD Model'!DT$7,'Monthly UF Model'!$I420:$DY420)*DT$22</f>
        <v>0</v>
      </c>
      <c r="DU32" s="819">
        <f>+SUMIF('Monthly UF Model'!$I$7:$DY$7,'Monthly USD Model'!DU$7,'Monthly UF Model'!$I420:$DY420)*DU$22</f>
        <v>0</v>
      </c>
      <c r="DV32" s="819">
        <f>+SUMIF('Monthly UF Model'!$I$7:$DY$7,'Monthly USD Model'!DV$7,'Monthly UF Model'!$I420:$DY420)*DV$22</f>
        <v>0</v>
      </c>
      <c r="DW32" s="819">
        <f>+SUMIF('Monthly UF Model'!$I$7:$DY$7,'Monthly USD Model'!DW$7,'Monthly UF Model'!$I420:$DY420)*DW$22</f>
        <v>0</v>
      </c>
      <c r="DX32" s="819">
        <f>+SUMIF('Monthly UF Model'!$I$7:$DY$7,'Monthly USD Model'!DX$7,'Monthly UF Model'!$I420:$DY420)*DX$22</f>
        <v>0</v>
      </c>
    </row>
    <row r="33" spans="1:128" s="3" customFormat="1" ht="12" outlineLevel="1" thickTop="1" thickBot="1" x14ac:dyDescent="0.35">
      <c r="B33" s="201" t="s">
        <v>20</v>
      </c>
      <c r="C33" s="206"/>
      <c r="D33" s="206"/>
      <c r="E33" s="206"/>
      <c r="F33" s="206"/>
      <c r="G33" s="351">
        <f t="shared" ca="1" si="18"/>
        <v>14273739.682332814</v>
      </c>
      <c r="H33" s="174">
        <f>+SUM(H27:H32)</f>
        <v>-6084263.7534967605</v>
      </c>
      <c r="I33" s="174">
        <f t="shared" ref="I33:AM33" si="19">+SUM(I27:I32)</f>
        <v>-415578.88282188535</v>
      </c>
      <c r="J33" s="174">
        <f t="shared" si="19"/>
        <v>-38206.9307513893</v>
      </c>
      <c r="K33" s="174">
        <f t="shared" si="19"/>
        <v>-153622.87145070574</v>
      </c>
      <c r="L33" s="174">
        <f t="shared" si="19"/>
        <v>-22431.922515608025</v>
      </c>
      <c r="M33" s="174">
        <f t="shared" si="19"/>
        <v>-119112.77921037778</v>
      </c>
      <c r="N33" s="174">
        <f t="shared" si="19"/>
        <v>0</v>
      </c>
      <c r="O33" s="174">
        <f t="shared" si="19"/>
        <v>-29463.550400248951</v>
      </c>
      <c r="P33" s="174">
        <f t="shared" si="19"/>
        <v>-104599.41048004062</v>
      </c>
      <c r="Q33" s="174">
        <f t="shared" si="19"/>
        <v>-34512.995344224713</v>
      </c>
      <c r="R33" s="174">
        <f t="shared" si="19"/>
        <v>-74542.264501322818</v>
      </c>
      <c r="S33" s="174">
        <f t="shared" si="19"/>
        <v>-46194.338259557248</v>
      </c>
      <c r="T33" s="174">
        <f t="shared" si="19"/>
        <v>-9327.4406229347533</v>
      </c>
      <c r="U33" s="174">
        <f t="shared" si="19"/>
        <v>-107812.16691541208</v>
      </c>
      <c r="V33" s="174">
        <f t="shared" si="19"/>
        <v>-299978.5719559337</v>
      </c>
      <c r="W33" s="174">
        <f t="shared" si="19"/>
        <v>-51810.097411688905</v>
      </c>
      <c r="X33" s="174">
        <f t="shared" si="19"/>
        <v>-363985.3095863554</v>
      </c>
      <c r="Y33" s="174">
        <f t="shared" si="19"/>
        <v>-200009.05390222737</v>
      </c>
      <c r="Z33" s="174">
        <f t="shared" si="19"/>
        <v>-197428.67693354629</v>
      </c>
      <c r="AA33" s="174">
        <f t="shared" si="19"/>
        <v>-40486.633282394861</v>
      </c>
      <c r="AB33" s="174">
        <f t="shared" si="19"/>
        <v>-51831.564012876253</v>
      </c>
      <c r="AC33" s="174">
        <f t="shared" si="19"/>
        <v>-160224.01316122181</v>
      </c>
      <c r="AD33" s="174">
        <f t="shared" si="19"/>
        <v>-2615740.3271158724</v>
      </c>
      <c r="AE33" s="174">
        <f t="shared" si="19"/>
        <v>-616746.63102853065</v>
      </c>
      <c r="AF33" s="174">
        <f t="shared" si="19"/>
        <v>-467379.74333666917</v>
      </c>
      <c r="AG33" s="174">
        <f t="shared" si="19"/>
        <v>-382980.00822164858</v>
      </c>
      <c r="AH33" s="174">
        <f t="shared" si="19"/>
        <v>-589572.82971187576</v>
      </c>
      <c r="AI33" s="174">
        <f t="shared" si="19"/>
        <v>-334380.05868062889</v>
      </c>
      <c r="AJ33" s="174">
        <f t="shared" si="19"/>
        <v>-300623.89085569186</v>
      </c>
      <c r="AK33" s="174">
        <f t="shared" si="19"/>
        <v>-321222.16074409761</v>
      </c>
      <c r="AL33" s="174">
        <f t="shared" si="19"/>
        <v>-354596.87919023045</v>
      </c>
      <c r="AM33" s="174">
        <f t="shared" si="19"/>
        <v>-372503.60163262126</v>
      </c>
      <c r="AN33" s="174">
        <f t="shared" ref="AN33:CY33" si="20">+SUM(AN27:AN32)</f>
        <v>-290371.0223969759</v>
      </c>
      <c r="AO33" s="174">
        <f t="shared" si="20"/>
        <v>251085.03615663311</v>
      </c>
      <c r="AP33" s="174">
        <f t="shared" si="20"/>
        <v>-64739.891209755442</v>
      </c>
      <c r="AQ33" s="174">
        <f t="shared" si="20"/>
        <v>-32015.432798235754</v>
      </c>
      <c r="AR33" s="174">
        <f t="shared" si="20"/>
        <v>-360279.74814458349</v>
      </c>
      <c r="AS33" s="174">
        <f t="shared" si="20"/>
        <v>-337939.43787305919</v>
      </c>
      <c r="AT33" s="174">
        <f t="shared" si="20"/>
        <v>-91745.166768837444</v>
      </c>
      <c r="AU33" s="174">
        <f t="shared" si="20"/>
        <v>-597122.16982874973</v>
      </c>
      <c r="AV33" s="174">
        <f t="shared" si="20"/>
        <v>-1303030.0673239818</v>
      </c>
      <c r="AW33" s="174">
        <f t="shared" si="20"/>
        <v>-44094.044234789006</v>
      </c>
      <c r="AX33" s="174">
        <f t="shared" si="20"/>
        <v>-733220.07781404862</v>
      </c>
      <c r="AY33" s="174">
        <f t="shared" si="20"/>
        <v>-744012.1855621069</v>
      </c>
      <c r="AZ33" s="174">
        <f t="shared" si="20"/>
        <v>-1285904.1182975059</v>
      </c>
      <c r="BA33" s="174">
        <f t="shared" si="20"/>
        <v>-730124.3299748156</v>
      </c>
      <c r="BB33" s="174">
        <f t="shared" si="20"/>
        <v>-60478.974216276263</v>
      </c>
      <c r="BC33" s="174">
        <f t="shared" si="20"/>
        <v>831485.58566793171</v>
      </c>
      <c r="BD33" s="174">
        <f t="shared" si="20"/>
        <v>-513196.03204918344</v>
      </c>
      <c r="BE33" s="174">
        <f t="shared" si="20"/>
        <v>-111951.8713956897</v>
      </c>
      <c r="BF33" s="174">
        <f t="shared" si="20"/>
        <v>-149304.96773707966</v>
      </c>
      <c r="BG33" s="174">
        <f t="shared" si="20"/>
        <v>-838606.40664674109</v>
      </c>
      <c r="BH33" s="174">
        <f t="shared" si="20"/>
        <v>-132538.2429671963</v>
      </c>
      <c r="BI33" s="174">
        <f t="shared" si="20"/>
        <v>-77625.911465104975</v>
      </c>
      <c r="BJ33" s="174">
        <f t="shared" si="20"/>
        <v>-133883.77745185184</v>
      </c>
      <c r="BK33" s="174">
        <f t="shared" si="20"/>
        <v>7622.4166055028436</v>
      </c>
      <c r="BL33" s="174">
        <f t="shared" si="20"/>
        <v>-47139.763847460235</v>
      </c>
      <c r="BM33" s="174">
        <f t="shared" ca="1" si="20"/>
        <v>6182.7596930272866</v>
      </c>
      <c r="BN33" s="174">
        <f t="shared" ca="1" si="20"/>
        <v>2053.2587046036761</v>
      </c>
      <c r="BO33" s="174">
        <f t="shared" ca="1" si="20"/>
        <v>45030.590252197137</v>
      </c>
      <c r="BP33" s="174">
        <f t="shared" ca="1" si="20"/>
        <v>22987.669580215887</v>
      </c>
      <c r="BQ33" s="174">
        <f t="shared" ca="1" si="20"/>
        <v>23845.322651864051</v>
      </c>
      <c r="BR33" s="174">
        <f t="shared" ca="1" si="20"/>
        <v>39049.124764454071</v>
      </c>
      <c r="BS33" s="174">
        <f t="shared" ca="1" si="20"/>
        <v>23773.311257566427</v>
      </c>
      <c r="BT33" s="174">
        <f t="shared" ca="1" si="20"/>
        <v>30709.050505520609</v>
      </c>
      <c r="BU33" s="174">
        <f t="shared" ca="1" si="20"/>
        <v>47650.315283279931</v>
      </c>
      <c r="BV33" s="174">
        <f t="shared" ca="1" si="20"/>
        <v>38317.655376729264</v>
      </c>
      <c r="BW33" s="174">
        <f t="shared" ca="1" si="20"/>
        <v>10752.803893959828</v>
      </c>
      <c r="BX33" s="174">
        <f t="shared" ca="1" si="20"/>
        <v>36739.453189470281</v>
      </c>
      <c r="BY33" s="174">
        <f t="shared" ca="1" si="20"/>
        <v>127060.58090454499</v>
      </c>
      <c r="BZ33" s="174">
        <f t="shared" ca="1" si="20"/>
        <v>118318.23482616409</v>
      </c>
      <c r="CA33" s="174">
        <f t="shared" ca="1" si="20"/>
        <v>124519.56871677932</v>
      </c>
      <c r="CB33" s="174">
        <f t="shared" ca="1" si="20"/>
        <v>130874.4399501357</v>
      </c>
      <c r="CC33" s="174">
        <f t="shared" ca="1" si="20"/>
        <v>137383.55905095421</v>
      </c>
      <c r="CD33" s="174">
        <f t="shared" ca="1" si="20"/>
        <v>144047.63883593984</v>
      </c>
      <c r="CE33" s="174">
        <f t="shared" ca="1" si="20"/>
        <v>35257950.52938997</v>
      </c>
      <c r="CF33" s="174">
        <f t="shared" ca="1" si="20"/>
        <v>456793.77461397572</v>
      </c>
      <c r="CG33" s="174">
        <f t="shared" ca="1" si="20"/>
        <v>0</v>
      </c>
      <c r="CH33" s="174">
        <f t="shared" ca="1" si="20"/>
        <v>0</v>
      </c>
      <c r="CI33" s="174">
        <f t="shared" ca="1" si="20"/>
        <v>0</v>
      </c>
      <c r="CJ33" s="174">
        <f t="shared" ca="1" si="20"/>
        <v>0</v>
      </c>
      <c r="CK33" s="174">
        <f t="shared" ca="1" si="20"/>
        <v>0</v>
      </c>
      <c r="CL33" s="174">
        <f t="shared" ca="1" si="20"/>
        <v>0</v>
      </c>
      <c r="CM33" s="174">
        <f t="shared" ca="1" si="20"/>
        <v>0</v>
      </c>
      <c r="CN33" s="174">
        <f t="shared" ca="1" si="20"/>
        <v>0</v>
      </c>
      <c r="CO33" s="174">
        <f t="shared" ca="1" si="20"/>
        <v>0</v>
      </c>
      <c r="CP33" s="174">
        <f t="shared" ca="1" si="20"/>
        <v>0</v>
      </c>
      <c r="CQ33" s="174">
        <f t="shared" ca="1" si="20"/>
        <v>0</v>
      </c>
      <c r="CR33" s="174">
        <f t="shared" ca="1" si="20"/>
        <v>0</v>
      </c>
      <c r="CS33" s="174">
        <f t="shared" ca="1" si="20"/>
        <v>0</v>
      </c>
      <c r="CT33" s="174">
        <f t="shared" ca="1" si="20"/>
        <v>0</v>
      </c>
      <c r="CU33" s="174">
        <f t="shared" ca="1" si="20"/>
        <v>0</v>
      </c>
      <c r="CV33" s="174">
        <f t="shared" ca="1" si="20"/>
        <v>0</v>
      </c>
      <c r="CW33" s="174">
        <f t="shared" ca="1" si="20"/>
        <v>0</v>
      </c>
      <c r="CX33" s="174">
        <f t="shared" ca="1" si="20"/>
        <v>0</v>
      </c>
      <c r="CY33" s="174">
        <f t="shared" ca="1" si="20"/>
        <v>0</v>
      </c>
      <c r="CZ33" s="174">
        <f t="shared" ref="CZ33:DU33" ca="1" si="21">+SUM(CZ27:CZ32)</f>
        <v>0</v>
      </c>
      <c r="DA33" s="174">
        <f t="shared" ca="1" si="21"/>
        <v>0</v>
      </c>
      <c r="DB33" s="174">
        <f t="shared" ca="1" si="21"/>
        <v>0</v>
      </c>
      <c r="DC33" s="174">
        <f t="shared" ca="1" si="21"/>
        <v>0</v>
      </c>
      <c r="DD33" s="174">
        <f t="shared" ca="1" si="21"/>
        <v>0</v>
      </c>
      <c r="DE33" s="174">
        <f t="shared" ca="1" si="21"/>
        <v>0</v>
      </c>
      <c r="DF33" s="174">
        <f t="shared" ca="1" si="21"/>
        <v>0</v>
      </c>
      <c r="DG33" s="174">
        <f t="shared" ca="1" si="21"/>
        <v>0</v>
      </c>
      <c r="DH33" s="174">
        <f t="shared" ca="1" si="21"/>
        <v>0</v>
      </c>
      <c r="DI33" s="174">
        <f t="shared" ca="1" si="21"/>
        <v>0</v>
      </c>
      <c r="DJ33" s="174">
        <f t="shared" ca="1" si="21"/>
        <v>0</v>
      </c>
      <c r="DK33" s="174">
        <f t="shared" ca="1" si="21"/>
        <v>0</v>
      </c>
      <c r="DL33" s="174">
        <f t="shared" ca="1" si="21"/>
        <v>0</v>
      </c>
      <c r="DM33" s="174">
        <f t="shared" ca="1" si="21"/>
        <v>0</v>
      </c>
      <c r="DN33" s="174">
        <f t="shared" ca="1" si="21"/>
        <v>0</v>
      </c>
      <c r="DO33" s="174">
        <f t="shared" ca="1" si="21"/>
        <v>0</v>
      </c>
      <c r="DP33" s="174">
        <f t="shared" ca="1" si="21"/>
        <v>0</v>
      </c>
      <c r="DQ33" s="174">
        <f t="shared" ca="1" si="21"/>
        <v>0</v>
      </c>
      <c r="DR33" s="174">
        <f t="shared" ca="1" si="21"/>
        <v>0</v>
      </c>
      <c r="DS33" s="174">
        <f t="shared" ca="1" si="21"/>
        <v>0</v>
      </c>
      <c r="DT33" s="174">
        <f t="shared" ca="1" si="21"/>
        <v>0</v>
      </c>
      <c r="DU33" s="174">
        <f t="shared" ca="1" si="21"/>
        <v>0</v>
      </c>
      <c r="DV33" s="174">
        <f t="shared" ref="DV33:DX33" ca="1" si="22">+SUM(DV27:DV32)</f>
        <v>0</v>
      </c>
      <c r="DW33" s="174">
        <f t="shared" ca="1" si="22"/>
        <v>0</v>
      </c>
      <c r="DX33" s="174">
        <f t="shared" ca="1" si="22"/>
        <v>0</v>
      </c>
    </row>
    <row r="34" spans="1:128" s="111" customFormat="1" ht="11.4" outlineLevel="1" thickTop="1" x14ac:dyDescent="0.3">
      <c r="A34" s="3"/>
      <c r="B34" s="5"/>
      <c r="C34" s="3"/>
      <c r="D34" s="3"/>
      <c r="E34" s="3"/>
      <c r="F34" s="74"/>
      <c r="G34" s="74"/>
      <c r="H34" s="14">
        <f>+IF(H33&lt;0,SUM(G34,H33),G34)</f>
        <v>-6084263.7534967605</v>
      </c>
      <c r="I34" s="14">
        <f t="shared" ref="I34:BT34" si="23">+IF(I33&lt;0,SUM(H34,I33),H34)</f>
        <v>-6499842.6363186454</v>
      </c>
      <c r="J34" s="14">
        <f t="shared" si="23"/>
        <v>-6538049.5670700343</v>
      </c>
      <c r="K34" s="14">
        <f t="shared" si="23"/>
        <v>-6691672.4385207398</v>
      </c>
      <c r="L34" s="14">
        <f t="shared" si="23"/>
        <v>-6714104.3610363482</v>
      </c>
      <c r="M34" s="14">
        <f t="shared" si="23"/>
        <v>-6833217.1402467256</v>
      </c>
      <c r="N34" s="14">
        <f t="shared" si="23"/>
        <v>-6833217.1402467256</v>
      </c>
      <c r="O34" s="14">
        <f t="shared" si="23"/>
        <v>-6862680.6906469744</v>
      </c>
      <c r="P34" s="14">
        <f t="shared" si="23"/>
        <v>-6967280.1011270154</v>
      </c>
      <c r="Q34" s="14">
        <f t="shared" si="23"/>
        <v>-7001793.0964712398</v>
      </c>
      <c r="R34" s="14">
        <f t="shared" si="23"/>
        <v>-7076335.3609725628</v>
      </c>
      <c r="S34" s="14">
        <f t="shared" si="23"/>
        <v>-7122529.6992321201</v>
      </c>
      <c r="T34" s="14">
        <f t="shared" si="23"/>
        <v>-7131857.1398550551</v>
      </c>
      <c r="U34" s="14">
        <f t="shared" si="23"/>
        <v>-7239669.3067704672</v>
      </c>
      <c r="V34" s="14">
        <f t="shared" si="23"/>
        <v>-7539647.8787264004</v>
      </c>
      <c r="W34" s="14">
        <f t="shared" si="23"/>
        <v>-7591457.9761380898</v>
      </c>
      <c r="X34" s="14">
        <f t="shared" si="23"/>
        <v>-7955443.2857244452</v>
      </c>
      <c r="Y34" s="14">
        <f t="shared" si="23"/>
        <v>-8155452.3396266727</v>
      </c>
      <c r="Z34" s="14">
        <f t="shared" si="23"/>
        <v>-8352881.0165602192</v>
      </c>
      <c r="AA34" s="14">
        <f t="shared" si="23"/>
        <v>-8393367.6498426143</v>
      </c>
      <c r="AB34" s="14">
        <f t="shared" si="23"/>
        <v>-8445199.2138554901</v>
      </c>
      <c r="AC34" s="14">
        <f t="shared" si="23"/>
        <v>-8605423.2270167116</v>
      </c>
      <c r="AD34" s="14">
        <f t="shared" si="23"/>
        <v>-11221163.554132584</v>
      </c>
      <c r="AE34" s="14">
        <f t="shared" si="23"/>
        <v>-11837910.185161116</v>
      </c>
      <c r="AF34" s="14">
        <f t="shared" si="23"/>
        <v>-12305289.928497784</v>
      </c>
      <c r="AG34" s="14">
        <f t="shared" si="23"/>
        <v>-12688269.936719432</v>
      </c>
      <c r="AH34" s="14">
        <f t="shared" si="23"/>
        <v>-13277842.766431307</v>
      </c>
      <c r="AI34" s="14">
        <f t="shared" si="23"/>
        <v>-13612222.825111937</v>
      </c>
      <c r="AJ34" s="14">
        <f t="shared" si="23"/>
        <v>-13912846.715967629</v>
      </c>
      <c r="AK34" s="14">
        <f t="shared" si="23"/>
        <v>-14234068.876711726</v>
      </c>
      <c r="AL34" s="14">
        <f t="shared" si="23"/>
        <v>-14588665.755901957</v>
      </c>
      <c r="AM34" s="14">
        <f t="shared" si="23"/>
        <v>-14961169.357534578</v>
      </c>
      <c r="AN34" s="14">
        <f t="shared" si="23"/>
        <v>-15251540.379931554</v>
      </c>
      <c r="AO34" s="14">
        <f t="shared" si="23"/>
        <v>-15251540.379931554</v>
      </c>
      <c r="AP34" s="14">
        <f t="shared" si="23"/>
        <v>-15316280.271141309</v>
      </c>
      <c r="AQ34" s="14">
        <f t="shared" si="23"/>
        <v>-15348295.703939546</v>
      </c>
      <c r="AR34" s="14">
        <f t="shared" si="23"/>
        <v>-15708575.45208413</v>
      </c>
      <c r="AS34" s="14">
        <f t="shared" si="23"/>
        <v>-16046514.88995719</v>
      </c>
      <c r="AT34" s="14">
        <f t="shared" si="23"/>
        <v>-16138260.056726027</v>
      </c>
      <c r="AU34" s="14">
        <f t="shared" si="23"/>
        <v>-16735382.226554777</v>
      </c>
      <c r="AV34" s="14">
        <f t="shared" si="23"/>
        <v>-18038412.29387876</v>
      </c>
      <c r="AW34" s="14">
        <f t="shared" si="23"/>
        <v>-18082506.33811355</v>
      </c>
      <c r="AX34" s="14">
        <f t="shared" si="23"/>
        <v>-18815726.4159276</v>
      </c>
      <c r="AY34" s="14">
        <f t="shared" si="23"/>
        <v>-19559738.601489708</v>
      </c>
      <c r="AZ34" s="14">
        <f t="shared" si="23"/>
        <v>-20845642.719787214</v>
      </c>
      <c r="BA34" s="14">
        <f t="shared" si="23"/>
        <v>-21575767.049762029</v>
      </c>
      <c r="BB34" s="14">
        <f t="shared" si="23"/>
        <v>-21636246.023978304</v>
      </c>
      <c r="BC34" s="14">
        <f t="shared" si="23"/>
        <v>-21636246.023978304</v>
      </c>
      <c r="BD34" s="14">
        <f t="shared" si="23"/>
        <v>-22149442.056027487</v>
      </c>
      <c r="BE34" s="14">
        <f t="shared" si="23"/>
        <v>-22261393.927423175</v>
      </c>
      <c r="BF34" s="14">
        <f t="shared" si="23"/>
        <v>-22410698.895160254</v>
      </c>
      <c r="BG34" s="14">
        <f t="shared" si="23"/>
        <v>-23249305.301806994</v>
      </c>
      <c r="BH34" s="14">
        <f t="shared" si="23"/>
        <v>-23381843.54477419</v>
      </c>
      <c r="BI34" s="14">
        <f t="shared" si="23"/>
        <v>-23459469.456239294</v>
      </c>
      <c r="BJ34" s="14">
        <f t="shared" si="23"/>
        <v>-23593353.233691145</v>
      </c>
      <c r="BK34" s="14">
        <f t="shared" si="23"/>
        <v>-23593353.233691145</v>
      </c>
      <c r="BL34" s="14">
        <f t="shared" si="23"/>
        <v>-23640492.997538604</v>
      </c>
      <c r="BM34" s="14">
        <f t="shared" ca="1" si="23"/>
        <v>-23640492.997538604</v>
      </c>
      <c r="BN34" s="14">
        <f t="shared" ca="1" si="23"/>
        <v>-23640492.997538604</v>
      </c>
      <c r="BO34" s="14">
        <f t="shared" ca="1" si="23"/>
        <v>-23640492.997538604</v>
      </c>
      <c r="BP34" s="14">
        <f t="shared" ca="1" si="23"/>
        <v>-23640492.997538604</v>
      </c>
      <c r="BQ34" s="14">
        <f t="shared" ca="1" si="23"/>
        <v>-23640492.997538604</v>
      </c>
      <c r="BR34" s="14">
        <f t="shared" ca="1" si="23"/>
        <v>-23640492.997538604</v>
      </c>
      <c r="BS34" s="14">
        <f t="shared" ca="1" si="23"/>
        <v>-23640492.997538604</v>
      </c>
      <c r="BT34" s="14">
        <f t="shared" ca="1" si="23"/>
        <v>-23640492.997538604</v>
      </c>
      <c r="BU34" s="14">
        <f t="shared" ref="BU34:DX34" ca="1" si="24">+IF(BU33&lt;0,SUM(BT34,BU33),BT34)</f>
        <v>-23640492.997538604</v>
      </c>
      <c r="BV34" s="14">
        <f t="shared" ca="1" si="24"/>
        <v>-23640492.997538604</v>
      </c>
      <c r="BW34" s="14">
        <f t="shared" ca="1" si="24"/>
        <v>-23640492.997538604</v>
      </c>
      <c r="BX34" s="14">
        <f t="shared" ca="1" si="24"/>
        <v>-23640492.997538604</v>
      </c>
      <c r="BY34" s="14">
        <f t="shared" ca="1" si="24"/>
        <v>-23640492.997538604</v>
      </c>
      <c r="BZ34" s="14">
        <f t="shared" ca="1" si="24"/>
        <v>-23640492.997538604</v>
      </c>
      <c r="CA34" s="14">
        <f t="shared" ca="1" si="24"/>
        <v>-23640492.997538604</v>
      </c>
      <c r="CB34" s="14">
        <f t="shared" ca="1" si="24"/>
        <v>-23640492.997538604</v>
      </c>
      <c r="CC34" s="14">
        <f t="shared" ca="1" si="24"/>
        <v>-23640492.997538604</v>
      </c>
      <c r="CD34" s="14">
        <f t="shared" ca="1" si="24"/>
        <v>-23640492.997538604</v>
      </c>
      <c r="CE34" s="14">
        <f t="shared" ca="1" si="24"/>
        <v>-23640492.997538604</v>
      </c>
      <c r="CF34" s="14">
        <f t="shared" ca="1" si="24"/>
        <v>-23640492.997538604</v>
      </c>
      <c r="CG34" s="14">
        <f t="shared" ca="1" si="24"/>
        <v>-23640492.997538604</v>
      </c>
      <c r="CH34" s="14">
        <f t="shared" ca="1" si="24"/>
        <v>-23640492.997538604</v>
      </c>
      <c r="CI34" s="14">
        <f t="shared" ca="1" si="24"/>
        <v>-23640492.997538604</v>
      </c>
      <c r="CJ34" s="14">
        <f t="shared" ca="1" si="24"/>
        <v>-23640492.997538604</v>
      </c>
      <c r="CK34" s="14">
        <f t="shared" ca="1" si="24"/>
        <v>-23640492.997538604</v>
      </c>
      <c r="CL34" s="14">
        <f t="shared" ca="1" si="24"/>
        <v>-23640492.997538604</v>
      </c>
      <c r="CM34" s="14">
        <f t="shared" ca="1" si="24"/>
        <v>-23640492.997538604</v>
      </c>
      <c r="CN34" s="14">
        <f t="shared" ca="1" si="24"/>
        <v>-23640492.997538604</v>
      </c>
      <c r="CO34" s="14">
        <f t="shared" ca="1" si="24"/>
        <v>-23640492.997538604</v>
      </c>
      <c r="CP34" s="14">
        <f t="shared" ca="1" si="24"/>
        <v>-23640492.997538604</v>
      </c>
      <c r="CQ34" s="14">
        <f t="shared" ca="1" si="24"/>
        <v>-23640492.997538604</v>
      </c>
      <c r="CR34" s="14">
        <f t="shared" ca="1" si="24"/>
        <v>-23640492.997538604</v>
      </c>
      <c r="CS34" s="14">
        <f t="shared" ca="1" si="24"/>
        <v>-23640492.997538604</v>
      </c>
      <c r="CT34" s="14">
        <f t="shared" ca="1" si="24"/>
        <v>-23640492.997538604</v>
      </c>
      <c r="CU34" s="14">
        <f t="shared" ca="1" si="24"/>
        <v>-23640492.997538604</v>
      </c>
      <c r="CV34" s="14">
        <f t="shared" ca="1" si="24"/>
        <v>-23640492.997538604</v>
      </c>
      <c r="CW34" s="14">
        <f t="shared" ca="1" si="24"/>
        <v>-23640492.997538604</v>
      </c>
      <c r="CX34" s="14">
        <f t="shared" ca="1" si="24"/>
        <v>-23640492.997538604</v>
      </c>
      <c r="CY34" s="14">
        <f t="shared" ca="1" si="24"/>
        <v>-23640492.997538604</v>
      </c>
      <c r="CZ34" s="14">
        <f t="shared" ca="1" si="24"/>
        <v>-23640492.997538604</v>
      </c>
      <c r="DA34" s="14">
        <f t="shared" ca="1" si="24"/>
        <v>-23640492.997538604</v>
      </c>
      <c r="DB34" s="14">
        <f t="shared" ca="1" si="24"/>
        <v>-23640492.997538604</v>
      </c>
      <c r="DC34" s="14">
        <f t="shared" ca="1" si="24"/>
        <v>-23640492.997538604</v>
      </c>
      <c r="DD34" s="14">
        <f t="shared" ca="1" si="24"/>
        <v>-23640492.997538604</v>
      </c>
      <c r="DE34" s="14">
        <f t="shared" ca="1" si="24"/>
        <v>-23640492.997538604</v>
      </c>
      <c r="DF34" s="14">
        <f t="shared" ca="1" si="24"/>
        <v>-23640492.997538604</v>
      </c>
      <c r="DG34" s="14">
        <f t="shared" ca="1" si="24"/>
        <v>-23640492.997538604</v>
      </c>
      <c r="DH34" s="14">
        <f t="shared" ca="1" si="24"/>
        <v>-23640492.997538604</v>
      </c>
      <c r="DI34" s="14">
        <f t="shared" ca="1" si="24"/>
        <v>-23640492.997538604</v>
      </c>
      <c r="DJ34" s="14">
        <f t="shared" ca="1" si="24"/>
        <v>-23640492.997538604</v>
      </c>
      <c r="DK34" s="14">
        <f t="shared" ca="1" si="24"/>
        <v>-23640492.997538604</v>
      </c>
      <c r="DL34" s="14">
        <f t="shared" ca="1" si="24"/>
        <v>-23640492.997538604</v>
      </c>
      <c r="DM34" s="14">
        <f t="shared" ca="1" si="24"/>
        <v>-23640492.997538604</v>
      </c>
      <c r="DN34" s="14">
        <f t="shared" ca="1" si="24"/>
        <v>-23640492.997538604</v>
      </c>
      <c r="DO34" s="14">
        <f t="shared" ca="1" si="24"/>
        <v>-23640492.997538604</v>
      </c>
      <c r="DP34" s="14">
        <f t="shared" ca="1" si="24"/>
        <v>-23640492.997538604</v>
      </c>
      <c r="DQ34" s="14">
        <f t="shared" ca="1" si="24"/>
        <v>-23640492.997538604</v>
      </c>
      <c r="DR34" s="14">
        <f t="shared" ca="1" si="24"/>
        <v>-23640492.997538604</v>
      </c>
      <c r="DS34" s="14">
        <f t="shared" ca="1" si="24"/>
        <v>-23640492.997538604</v>
      </c>
      <c r="DT34" s="14">
        <f t="shared" ca="1" si="24"/>
        <v>-23640492.997538604</v>
      </c>
      <c r="DU34" s="14">
        <f t="shared" ca="1" si="24"/>
        <v>-23640492.997538604</v>
      </c>
      <c r="DV34" s="14">
        <f t="shared" ca="1" si="24"/>
        <v>-23640492.997538604</v>
      </c>
      <c r="DW34" s="14">
        <f t="shared" ca="1" si="24"/>
        <v>-23640492.997538604</v>
      </c>
      <c r="DX34" s="14">
        <f t="shared" ca="1" si="24"/>
        <v>-23640492.997538604</v>
      </c>
    </row>
    <row r="35" spans="1:128" s="3" customFormat="1" ht="10.8" outlineLevel="1" x14ac:dyDescent="0.3">
      <c r="C35" s="63"/>
      <c r="D35" s="63"/>
      <c r="E35" s="63"/>
      <c r="F35" s="147"/>
      <c r="G35" s="147"/>
      <c r="H35" s="166"/>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c r="AQ35" s="14"/>
      <c r="AR35" s="14"/>
      <c r="AS35" s="14"/>
      <c r="AT35" s="14"/>
      <c r="AU35" s="14"/>
      <c r="AV35" s="14"/>
      <c r="AW35" s="14"/>
      <c r="AX35" s="14"/>
      <c r="AY35" s="14"/>
      <c r="AZ35" s="14"/>
      <c r="BA35" s="14"/>
      <c r="BB35" s="14"/>
      <c r="BC35" s="14"/>
      <c r="BD35" s="14"/>
      <c r="BE35" s="14"/>
      <c r="BF35" s="14"/>
      <c r="BG35" s="14"/>
      <c r="BH35" s="14"/>
      <c r="BI35" s="14"/>
      <c r="BJ35" s="14"/>
      <c r="BK35" s="14"/>
      <c r="BL35" s="14"/>
      <c r="BM35" s="14"/>
      <c r="BN35" s="14"/>
      <c r="BO35" s="14"/>
      <c r="BP35" s="14"/>
      <c r="BQ35" s="14"/>
      <c r="BR35" s="14"/>
      <c r="BS35" s="14"/>
      <c r="BT35" s="14"/>
      <c r="BU35" s="14"/>
      <c r="BV35" s="14"/>
      <c r="BW35" s="14"/>
      <c r="BX35" s="14"/>
      <c r="BY35" s="14"/>
      <c r="BZ35" s="14"/>
      <c r="CA35" s="14"/>
      <c r="CB35" s="14"/>
      <c r="CC35" s="14"/>
      <c r="CD35" s="14"/>
      <c r="CE35" s="14"/>
      <c r="CF35" s="14"/>
      <c r="CG35" s="14"/>
      <c r="CH35" s="14"/>
      <c r="CI35" s="14"/>
      <c r="CJ35" s="14"/>
      <c r="CK35" s="14"/>
      <c r="CL35" s="14"/>
      <c r="CM35" s="14"/>
      <c r="CN35" s="14"/>
      <c r="CO35" s="14"/>
      <c r="CP35" s="14"/>
      <c r="CQ35" s="14"/>
      <c r="CR35" s="14"/>
      <c r="CS35" s="14"/>
      <c r="CT35" s="14"/>
      <c r="CU35" s="14"/>
      <c r="CV35" s="14"/>
      <c r="CW35" s="14"/>
      <c r="CX35" s="14"/>
      <c r="CY35" s="14"/>
      <c r="CZ35" s="14"/>
      <c r="DA35" s="14"/>
      <c r="DB35" s="14"/>
      <c r="DC35" s="14"/>
      <c r="DD35" s="14"/>
      <c r="DE35" s="14"/>
      <c r="DF35" s="14"/>
      <c r="DG35" s="14"/>
      <c r="DH35" s="14"/>
      <c r="DI35" s="14"/>
      <c r="DJ35" s="14"/>
      <c r="DK35" s="14"/>
      <c r="DL35" s="14"/>
      <c r="DM35" s="14"/>
      <c r="DN35" s="14"/>
      <c r="DO35" s="14"/>
      <c r="DP35" s="14"/>
      <c r="DQ35" s="14"/>
      <c r="DR35" s="14"/>
      <c r="DS35" s="14"/>
      <c r="DT35" s="14"/>
      <c r="DU35" s="14"/>
      <c r="DV35" s="14"/>
      <c r="DW35" s="14"/>
      <c r="DX35" s="14"/>
    </row>
    <row r="36" spans="1:128" s="111" customFormat="1" ht="10.8" outlineLevel="1" x14ac:dyDescent="0.3">
      <c r="A36" s="3"/>
      <c r="B36" s="574" t="s">
        <v>129</v>
      </c>
      <c r="C36" s="575"/>
      <c r="D36" s="575"/>
      <c r="E36" s="575"/>
      <c r="F36" s="576"/>
      <c r="G36" s="576"/>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c r="AQ36" s="14"/>
      <c r="AR36" s="14"/>
      <c r="AS36" s="14"/>
      <c r="AT36" s="14"/>
      <c r="AU36" s="14"/>
      <c r="AV36" s="14"/>
      <c r="AW36" s="14"/>
      <c r="AX36" s="14"/>
      <c r="AY36" s="14"/>
      <c r="AZ36" s="14"/>
      <c r="BA36" s="14"/>
      <c r="BB36" s="14"/>
      <c r="BC36" s="14"/>
      <c r="BD36" s="14"/>
      <c r="BE36" s="14"/>
      <c r="BF36" s="14"/>
      <c r="BG36" s="14"/>
      <c r="BH36" s="14"/>
      <c r="BI36" s="14"/>
      <c r="BJ36" s="14"/>
      <c r="BK36" s="14"/>
      <c r="BL36" s="14"/>
      <c r="BM36" s="14"/>
      <c r="BN36" s="14"/>
      <c r="BO36" s="14"/>
      <c r="BP36" s="14"/>
      <c r="BQ36" s="14"/>
      <c r="BR36" s="14"/>
      <c r="BS36" s="14"/>
      <c r="BT36" s="14"/>
      <c r="BU36" s="14"/>
      <c r="BV36" s="14"/>
      <c r="BW36" s="14"/>
      <c r="BX36" s="14"/>
      <c r="BY36" s="14"/>
      <c r="BZ36" s="14"/>
      <c r="CA36" s="14"/>
      <c r="CB36" s="14"/>
      <c r="CC36" s="14"/>
      <c r="CD36" s="14"/>
      <c r="CE36" s="14"/>
      <c r="CF36" s="14"/>
      <c r="CG36" s="14"/>
      <c r="CH36" s="14"/>
      <c r="CI36" s="14"/>
      <c r="CJ36" s="14"/>
      <c r="CK36" s="14"/>
      <c r="CL36" s="14"/>
      <c r="CM36" s="14"/>
      <c r="CN36" s="14"/>
      <c r="CO36" s="14"/>
      <c r="CP36" s="14"/>
      <c r="CQ36" s="14"/>
      <c r="CR36" s="14"/>
      <c r="CS36" s="14"/>
      <c r="CT36" s="14"/>
      <c r="CU36" s="14"/>
      <c r="CV36" s="14"/>
      <c r="CW36" s="14"/>
      <c r="CX36" s="14"/>
      <c r="CY36" s="14"/>
      <c r="CZ36" s="14"/>
      <c r="DA36" s="14"/>
      <c r="DB36" s="14"/>
      <c r="DC36" s="14"/>
      <c r="DD36" s="14"/>
      <c r="DE36" s="14"/>
      <c r="DF36" s="14"/>
      <c r="DG36" s="14"/>
      <c r="DH36" s="14"/>
      <c r="DI36" s="14"/>
      <c r="DJ36" s="14"/>
      <c r="DK36" s="14"/>
      <c r="DL36" s="14"/>
      <c r="DM36" s="14"/>
      <c r="DN36" s="14"/>
      <c r="DO36" s="14"/>
      <c r="DP36" s="14"/>
      <c r="DQ36" s="14"/>
      <c r="DR36" s="14"/>
      <c r="DS36" s="14"/>
      <c r="DT36" s="14"/>
      <c r="DU36" s="14"/>
      <c r="DV36" s="14"/>
      <c r="DW36" s="14"/>
      <c r="DX36" s="14"/>
    </row>
    <row r="37" spans="1:128" s="3" customFormat="1" ht="10.8" outlineLevel="1" x14ac:dyDescent="0.3">
      <c r="B37" s="577" t="s">
        <v>3</v>
      </c>
      <c r="C37" s="578"/>
      <c r="D37" s="575"/>
      <c r="E37" s="575"/>
      <c r="F37" s="579"/>
      <c r="G37" s="589">
        <f ca="1">+XIRR($H$33:$DX$33,$H$7:$DX$7)</f>
        <v>0.11614701151847839</v>
      </c>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c r="AQ37" s="14"/>
      <c r="AR37" s="14"/>
      <c r="AS37" s="14"/>
      <c r="AT37" s="14"/>
      <c r="AU37" s="14"/>
      <c r="AV37" s="14"/>
      <c r="AW37" s="14"/>
      <c r="AX37" s="14"/>
      <c r="AY37" s="14"/>
      <c r="AZ37" s="14"/>
      <c r="BA37" s="14"/>
      <c r="BB37" s="14"/>
      <c r="BC37" s="14"/>
      <c r="BD37" s="14"/>
      <c r="BE37" s="14"/>
      <c r="BF37" s="14"/>
      <c r="BG37" s="14"/>
      <c r="BH37" s="14"/>
      <c r="BI37" s="14"/>
      <c r="BJ37" s="14"/>
      <c r="BK37" s="14"/>
      <c r="BL37" s="14"/>
      <c r="BM37" s="14"/>
      <c r="BN37" s="14"/>
      <c r="BO37" s="14"/>
      <c r="BP37" s="14"/>
      <c r="BQ37" s="14"/>
      <c r="BR37" s="14"/>
      <c r="BS37" s="14"/>
      <c r="BT37" s="14"/>
      <c r="BU37" s="14"/>
      <c r="BV37" s="14"/>
      <c r="BW37" s="14"/>
      <c r="BX37" s="14"/>
      <c r="BY37" s="14"/>
      <c r="BZ37" s="14"/>
      <c r="CA37" s="14"/>
      <c r="CB37" s="14"/>
      <c r="CC37" s="14"/>
      <c r="CD37" s="14"/>
      <c r="CE37" s="14"/>
      <c r="CF37" s="14"/>
      <c r="CG37" s="14"/>
      <c r="CH37" s="14"/>
      <c r="CI37" s="14"/>
      <c r="CJ37" s="14"/>
      <c r="CK37" s="14"/>
      <c r="CL37" s="14"/>
      <c r="CM37" s="14"/>
      <c r="CN37" s="14"/>
      <c r="CO37" s="14"/>
      <c r="CP37" s="14"/>
      <c r="CQ37" s="14"/>
      <c r="CR37" s="14"/>
      <c r="CS37" s="14"/>
      <c r="CT37" s="14"/>
      <c r="CU37" s="14"/>
      <c r="CV37" s="14"/>
      <c r="CW37" s="14"/>
      <c r="CX37" s="14"/>
      <c r="CY37" s="14"/>
      <c r="CZ37" s="14"/>
      <c r="DA37" s="14"/>
      <c r="DB37" s="14"/>
      <c r="DC37" s="14"/>
      <c r="DD37" s="14"/>
      <c r="DE37" s="14"/>
      <c r="DF37" s="14"/>
      <c r="DG37" s="14"/>
      <c r="DH37" s="14"/>
      <c r="DI37" s="14"/>
      <c r="DJ37" s="14"/>
      <c r="DK37" s="14"/>
      <c r="DL37" s="14"/>
      <c r="DM37" s="14"/>
      <c r="DN37" s="14"/>
      <c r="DO37" s="14"/>
      <c r="DP37" s="14"/>
      <c r="DQ37" s="14"/>
      <c r="DR37" s="14"/>
      <c r="DS37" s="14"/>
      <c r="DT37" s="14"/>
      <c r="DU37" s="14"/>
      <c r="DV37" s="14"/>
      <c r="DW37" s="14"/>
      <c r="DX37" s="14"/>
    </row>
    <row r="38" spans="1:128" s="3" customFormat="1" ht="12.75" customHeight="1" outlineLevel="1" x14ac:dyDescent="0.25">
      <c r="B38" s="577" t="s">
        <v>4</v>
      </c>
      <c r="C38" s="580"/>
      <c r="D38" s="575"/>
      <c r="E38" s="575"/>
      <c r="F38" s="579"/>
      <c r="G38" s="581">
        <f ca="1">+G39/G40+1</f>
        <v>1.6037835033228354</v>
      </c>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c r="AQ38" s="14"/>
      <c r="AR38" s="14"/>
      <c r="AS38" s="14"/>
      <c r="AT38" s="14"/>
      <c r="AU38" s="14"/>
      <c r="AV38" s="14"/>
      <c r="AW38" s="14"/>
      <c r="AX38" s="14"/>
      <c r="AY38" s="14"/>
      <c r="AZ38" s="14"/>
      <c r="BA38" s="14"/>
      <c r="BB38" s="14"/>
      <c r="BC38" s="14"/>
      <c r="BD38" s="14"/>
      <c r="BE38" s="14"/>
      <c r="BF38" s="14"/>
      <c r="BG38" s="14"/>
      <c r="BH38" s="14"/>
      <c r="BI38" s="14"/>
      <c r="BJ38" s="14"/>
      <c r="BK38" s="14"/>
      <c r="BL38" s="14"/>
      <c r="BM38" s="14"/>
      <c r="BN38" s="14"/>
      <c r="BO38" s="14"/>
      <c r="BP38" s="14"/>
      <c r="BQ38" s="14"/>
      <c r="BR38" s="14"/>
      <c r="BS38" s="14"/>
      <c r="BT38" s="14"/>
      <c r="BU38" s="14"/>
      <c r="BV38" s="14"/>
      <c r="BW38" s="14"/>
      <c r="BX38" s="14"/>
      <c r="BY38" s="14"/>
      <c r="BZ38" s="14"/>
      <c r="CA38" s="14"/>
      <c r="CB38" s="14"/>
      <c r="CC38" s="14"/>
      <c r="CD38" s="14"/>
      <c r="CE38" s="14"/>
      <c r="CF38" s="14"/>
      <c r="CG38" s="14"/>
      <c r="CH38" s="14"/>
      <c r="CI38" s="14"/>
      <c r="CJ38" s="14"/>
      <c r="CK38" s="14"/>
      <c r="CL38" s="14"/>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row>
    <row r="39" spans="1:128" s="3" customFormat="1" ht="12.75" customHeight="1" outlineLevel="1" x14ac:dyDescent="0.3">
      <c r="B39" s="577" t="s">
        <v>5</v>
      </c>
      <c r="C39" s="582"/>
      <c r="D39" s="575"/>
      <c r="E39" s="575"/>
      <c r="F39" s="579"/>
      <c r="G39" s="583">
        <f ca="1">+G33</f>
        <v>14273739.682332814</v>
      </c>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c r="AQ39" s="14"/>
      <c r="AR39" s="14"/>
      <c r="AS39" s="14"/>
      <c r="AT39" s="14"/>
      <c r="AU39" s="14"/>
      <c r="AV39" s="14"/>
      <c r="AW39" s="14"/>
      <c r="AX39" s="14"/>
      <c r="AY39" s="14"/>
      <c r="AZ39" s="14"/>
      <c r="BA39" s="14"/>
      <c r="BB39" s="14"/>
      <c r="BC39" s="14"/>
      <c r="BD39" s="14"/>
      <c r="BE39" s="14"/>
      <c r="BF39" s="14"/>
      <c r="BG39" s="14"/>
      <c r="BH39" s="14"/>
      <c r="BI39" s="14"/>
      <c r="BJ39" s="14"/>
      <c r="BK39" s="14"/>
      <c r="BL39" s="14"/>
      <c r="BM39" s="14"/>
      <c r="BN39" s="14"/>
      <c r="BO39" s="14"/>
      <c r="BP39" s="14"/>
      <c r="BQ39" s="14"/>
      <c r="BR39" s="14"/>
      <c r="BS39" s="14"/>
      <c r="BT39" s="14"/>
      <c r="BU39" s="14"/>
      <c r="BV39" s="14"/>
      <c r="BW39" s="14"/>
      <c r="BX39" s="14"/>
      <c r="BY39" s="14"/>
      <c r="BZ39" s="14"/>
      <c r="CA39" s="14"/>
      <c r="CB39" s="14"/>
      <c r="CC39" s="14"/>
      <c r="CD39" s="14"/>
      <c r="CE39" s="14"/>
      <c r="CF39" s="14"/>
      <c r="CG39" s="14"/>
      <c r="CH39" s="14"/>
      <c r="CI39" s="14"/>
      <c r="CJ39" s="14"/>
      <c r="CK39" s="14"/>
      <c r="CL39" s="14"/>
      <c r="CM39" s="14"/>
      <c r="CN39" s="14"/>
      <c r="CO39" s="14"/>
      <c r="CP39" s="14"/>
      <c r="CQ39" s="14"/>
      <c r="CR39" s="14"/>
      <c r="CS39" s="14"/>
      <c r="CT39" s="14"/>
      <c r="CU39" s="14"/>
      <c r="CV39" s="14"/>
      <c r="CW39" s="14"/>
      <c r="CX39" s="14"/>
      <c r="CY39" s="14"/>
      <c r="CZ39" s="14"/>
      <c r="DA39" s="14"/>
      <c r="DB39" s="14"/>
      <c r="DC39" s="14"/>
      <c r="DD39" s="14"/>
      <c r="DE39" s="14"/>
      <c r="DF39" s="14"/>
      <c r="DG39" s="14"/>
      <c r="DH39" s="14"/>
      <c r="DI39" s="14"/>
      <c r="DJ39" s="14"/>
      <c r="DK39" s="14"/>
      <c r="DL39" s="14"/>
      <c r="DM39" s="14"/>
      <c r="DN39" s="14"/>
      <c r="DO39" s="14"/>
      <c r="DP39" s="14"/>
      <c r="DQ39" s="14"/>
      <c r="DR39" s="14"/>
      <c r="DS39" s="14"/>
      <c r="DT39" s="14"/>
      <c r="DU39" s="14"/>
      <c r="DV39" s="14"/>
      <c r="DW39" s="14"/>
      <c r="DX39" s="14"/>
    </row>
    <row r="40" spans="1:128" s="3" customFormat="1" ht="12.75" customHeight="1" outlineLevel="1" x14ac:dyDescent="0.3">
      <c r="B40" s="584" t="s">
        <v>21</v>
      </c>
      <c r="C40" s="585"/>
      <c r="D40" s="586"/>
      <c r="E40" s="586"/>
      <c r="F40" s="587"/>
      <c r="G40" s="588">
        <f ca="1">-MIN(H34:DX34)</f>
        <v>23640492.997538604</v>
      </c>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c r="AQ40" s="14"/>
      <c r="AR40" s="14"/>
      <c r="AS40" s="14"/>
      <c r="AT40" s="14"/>
      <c r="AU40" s="14"/>
      <c r="AV40" s="14"/>
      <c r="AW40" s="14"/>
      <c r="AX40" s="14"/>
      <c r="AY40" s="14"/>
      <c r="AZ40" s="14"/>
      <c r="BA40" s="14"/>
      <c r="BB40" s="14"/>
      <c r="BC40" s="14"/>
      <c r="BD40" s="14"/>
      <c r="BE40" s="14"/>
      <c r="BF40" s="14"/>
      <c r="BG40" s="14"/>
      <c r="BH40" s="14"/>
      <c r="BI40" s="14"/>
      <c r="BJ40" s="14"/>
      <c r="BK40" s="14"/>
      <c r="BL40" s="14"/>
      <c r="BM40" s="14"/>
      <c r="BN40" s="14"/>
      <c r="BO40" s="14"/>
      <c r="BP40" s="14"/>
      <c r="BQ40" s="14"/>
      <c r="BR40" s="14"/>
      <c r="BS40" s="14"/>
      <c r="BT40" s="14"/>
      <c r="BU40" s="14"/>
      <c r="BV40" s="14"/>
      <c r="BW40" s="14"/>
      <c r="BX40" s="14"/>
      <c r="BY40" s="14"/>
      <c r="BZ40" s="14"/>
      <c r="CA40" s="14"/>
      <c r="CB40" s="14"/>
      <c r="CC40" s="14"/>
      <c r="CD40" s="14"/>
      <c r="CE40" s="14"/>
      <c r="CF40" s="14"/>
      <c r="CG40" s="14"/>
      <c r="CH40" s="14"/>
      <c r="CI40" s="14"/>
      <c r="CJ40" s="14"/>
      <c r="CK40" s="14"/>
      <c r="CL40" s="14"/>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row>
    <row r="41" spans="1:128" s="3" customFormat="1" ht="10.8" outlineLevel="1" x14ac:dyDescent="0.3">
      <c r="F41" s="127"/>
      <c r="G41" s="127"/>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c r="AV41" s="14"/>
      <c r="AW41" s="14"/>
      <c r="AX41" s="14"/>
      <c r="AY41" s="14"/>
      <c r="AZ41" s="14"/>
      <c r="BA41" s="14"/>
      <c r="BB41" s="14"/>
      <c r="BC41" s="14"/>
      <c r="BD41" s="14"/>
      <c r="BE41" s="14"/>
      <c r="BF41" s="14"/>
      <c r="BG41" s="14"/>
      <c r="BH41" s="14"/>
      <c r="BI41" s="14"/>
      <c r="BJ41" s="14"/>
      <c r="BK41" s="14"/>
      <c r="BL41" s="14"/>
      <c r="BM41" s="14"/>
      <c r="BN41" s="14"/>
      <c r="BO41" s="14"/>
      <c r="BP41" s="14"/>
      <c r="BQ41" s="14"/>
      <c r="BR41" s="14"/>
      <c r="BS41" s="14"/>
      <c r="BT41" s="14"/>
      <c r="BU41" s="14"/>
      <c r="BV41" s="14"/>
      <c r="BW41" s="14"/>
      <c r="BX41" s="14"/>
      <c r="BY41" s="14"/>
      <c r="BZ41" s="14"/>
      <c r="CA41" s="14"/>
      <c r="CB41" s="14"/>
      <c r="CC41" s="14"/>
      <c r="CD41" s="14"/>
      <c r="CE41" s="14"/>
      <c r="CF41" s="14"/>
      <c r="CG41" s="14"/>
      <c r="CH41" s="14"/>
      <c r="CI41" s="14"/>
      <c r="CJ41" s="14"/>
      <c r="CK41" s="14"/>
      <c r="CL41" s="14"/>
      <c r="CM41" s="14"/>
      <c r="CN41" s="14"/>
      <c r="CO41" s="14"/>
      <c r="CP41" s="14"/>
      <c r="CQ41" s="14"/>
      <c r="CR41" s="14"/>
      <c r="CS41" s="14"/>
      <c r="CT41" s="14"/>
      <c r="CU41" s="14"/>
      <c r="CV41" s="14"/>
      <c r="CW41" s="14"/>
      <c r="CX41" s="14"/>
      <c r="CY41" s="14"/>
      <c r="CZ41" s="14"/>
      <c r="DA41" s="14"/>
      <c r="DB41" s="14"/>
      <c r="DC41" s="14"/>
      <c r="DD41" s="14"/>
      <c r="DE41" s="14"/>
      <c r="DF41" s="14"/>
      <c r="DG41" s="14"/>
      <c r="DH41" s="14"/>
      <c r="DI41" s="14"/>
      <c r="DJ41" s="14"/>
      <c r="DK41" s="14"/>
      <c r="DL41" s="14"/>
      <c r="DM41" s="14"/>
      <c r="DN41" s="14"/>
      <c r="DO41" s="14"/>
      <c r="DP41" s="14"/>
      <c r="DQ41" s="14"/>
      <c r="DR41" s="14"/>
      <c r="DS41" s="14"/>
      <c r="DT41" s="14"/>
      <c r="DU41" s="14"/>
      <c r="DV41" s="14"/>
      <c r="DW41" s="14"/>
      <c r="DX41" s="14"/>
    </row>
    <row r="42" spans="1:128" s="111" customFormat="1" ht="10.8" x14ac:dyDescent="0.3">
      <c r="A42" s="3"/>
      <c r="B42" s="3"/>
      <c r="C42" s="3"/>
      <c r="D42" s="3"/>
      <c r="E42" s="3"/>
      <c r="F42" s="127"/>
      <c r="G42" s="127"/>
    </row>
    <row r="43" spans="1:128" s="3" customFormat="1" ht="10.8" x14ac:dyDescent="0.3">
      <c r="B43" s="313" t="s">
        <v>22</v>
      </c>
      <c r="C43" s="313"/>
      <c r="D43" s="313"/>
      <c r="E43" s="313"/>
      <c r="F43" s="313"/>
      <c r="G43" s="313"/>
      <c r="H43" s="313"/>
      <c r="I43" s="313"/>
      <c r="J43" s="313"/>
      <c r="K43" s="313"/>
      <c r="L43" s="313"/>
      <c r="M43" s="313"/>
      <c r="N43" s="313"/>
      <c r="O43" s="313"/>
      <c r="P43" s="313"/>
      <c r="Q43" s="313"/>
      <c r="R43" s="313"/>
      <c r="S43" s="313"/>
      <c r="T43" s="313"/>
      <c r="U43" s="313"/>
      <c r="V43" s="313"/>
      <c r="W43" s="313"/>
      <c r="X43" s="313"/>
      <c r="Y43" s="313"/>
      <c r="Z43" s="313"/>
      <c r="AA43" s="313"/>
      <c r="AB43" s="313"/>
      <c r="AC43" s="313"/>
      <c r="AD43" s="313"/>
      <c r="AE43" s="313"/>
      <c r="AF43" s="313"/>
      <c r="AG43" s="313"/>
      <c r="AH43" s="313"/>
      <c r="AI43" s="313"/>
      <c r="AJ43" s="313"/>
      <c r="AK43" s="313"/>
      <c r="AL43" s="313"/>
      <c r="AM43" s="313"/>
      <c r="AN43" s="313"/>
      <c r="AO43" s="313"/>
      <c r="AP43" s="313"/>
      <c r="AQ43" s="313"/>
      <c r="AR43" s="313"/>
      <c r="AS43" s="313"/>
      <c r="AT43" s="313"/>
      <c r="AU43" s="313"/>
      <c r="AV43" s="313"/>
      <c r="AW43" s="313"/>
      <c r="AX43" s="313"/>
      <c r="AY43" s="313"/>
      <c r="AZ43" s="313"/>
      <c r="BA43" s="313"/>
      <c r="BB43" s="313"/>
      <c r="BC43" s="313"/>
      <c r="BD43" s="313"/>
      <c r="BE43" s="313"/>
      <c r="BF43" s="313"/>
      <c r="BG43" s="313"/>
      <c r="BH43" s="313"/>
      <c r="BI43" s="313"/>
      <c r="BJ43" s="313"/>
      <c r="BK43" s="313"/>
      <c r="BL43" s="313"/>
      <c r="BM43" s="313"/>
      <c r="BN43" s="313"/>
      <c r="BO43" s="313"/>
      <c r="BP43" s="313"/>
      <c r="BQ43" s="313"/>
      <c r="BR43" s="313"/>
      <c r="BS43" s="313"/>
      <c r="BT43" s="313"/>
      <c r="BU43" s="313"/>
      <c r="BV43" s="313"/>
      <c r="BW43" s="313"/>
      <c r="BX43" s="313"/>
      <c r="BY43" s="313"/>
      <c r="BZ43" s="313"/>
      <c r="CA43" s="313"/>
      <c r="CB43" s="313"/>
      <c r="CC43" s="313"/>
      <c r="CD43" s="313"/>
      <c r="CE43" s="313"/>
      <c r="CF43" s="313"/>
      <c r="CG43" s="313"/>
      <c r="CH43" s="313"/>
      <c r="CI43" s="313"/>
      <c r="CJ43" s="313"/>
      <c r="CK43" s="313"/>
      <c r="CL43" s="313"/>
      <c r="CM43" s="313"/>
      <c r="CN43" s="313"/>
      <c r="CO43" s="313"/>
      <c r="CP43" s="313"/>
      <c r="CQ43" s="313"/>
      <c r="CR43" s="313"/>
      <c r="CS43" s="313"/>
      <c r="CT43" s="313"/>
      <c r="CU43" s="313"/>
      <c r="CV43" s="313"/>
      <c r="CW43" s="313"/>
      <c r="CX43" s="313"/>
      <c r="CY43" s="313"/>
      <c r="CZ43" s="313"/>
      <c r="DA43" s="313"/>
      <c r="DB43" s="313"/>
      <c r="DC43" s="313"/>
      <c r="DD43" s="313"/>
      <c r="DE43" s="313"/>
      <c r="DF43" s="313"/>
      <c r="DG43" s="313"/>
      <c r="DH43" s="313"/>
      <c r="DI43" s="313"/>
      <c r="DJ43" s="313"/>
      <c r="DK43" s="313"/>
      <c r="DL43" s="313"/>
      <c r="DM43" s="313"/>
      <c r="DN43" s="313"/>
      <c r="DO43" s="313"/>
      <c r="DP43" s="313"/>
      <c r="DQ43" s="313"/>
      <c r="DR43" s="313"/>
      <c r="DS43" s="313"/>
      <c r="DT43" s="313"/>
      <c r="DU43" s="313"/>
      <c r="DV43" s="313"/>
      <c r="DW43" s="313"/>
      <c r="DX43" s="313"/>
    </row>
    <row r="44" spans="1:128" s="3" customFormat="1" ht="10.8" outlineLevel="1" x14ac:dyDescent="0.3">
      <c r="F44" s="127"/>
      <c r="G44" s="127"/>
      <c r="H44" s="14"/>
      <c r="I44" s="14"/>
      <c r="J44" s="14"/>
      <c r="K44" s="14"/>
      <c r="L44" s="14"/>
      <c r="M44" s="14"/>
      <c r="N44" s="14"/>
      <c r="O44" s="14"/>
      <c r="P44" s="14"/>
      <c r="Q44" s="14"/>
      <c r="R44" s="14"/>
      <c r="S44" s="14"/>
      <c r="T44" s="14"/>
      <c r="U44" s="14"/>
      <c r="V44" s="14"/>
      <c r="W44" s="14"/>
      <c r="X44" s="14"/>
      <c r="Y44" s="14"/>
      <c r="Z44" s="14"/>
      <c r="AA44" s="14"/>
      <c r="AB44" s="14"/>
      <c r="AC44" s="14"/>
      <c r="AD44" s="14"/>
      <c r="AE44" s="14">
        <f>+'Monthly UF Model'!AF435*'Monthly USD Model'!AE22</f>
        <v>-523757.3342374746</v>
      </c>
      <c r="AF44" s="14"/>
      <c r="AG44" s="14"/>
      <c r="AH44" s="14"/>
      <c r="AI44" s="14"/>
      <c r="AJ44" s="14"/>
      <c r="AK44" s="14"/>
      <c r="AL44" s="14"/>
      <c r="AM44" s="14"/>
      <c r="AN44" s="14"/>
      <c r="AO44" s="14"/>
      <c r="AP44" s="14"/>
      <c r="AQ44" s="14"/>
      <c r="AR44" s="14"/>
      <c r="AS44" s="14"/>
      <c r="AT44" s="14"/>
      <c r="AU44" s="14"/>
      <c r="AV44" s="14"/>
      <c r="AW44" s="14"/>
      <c r="AX44" s="14"/>
      <c r="AY44" s="14"/>
      <c r="AZ44" s="14"/>
      <c r="BA44" s="14"/>
      <c r="BB44" s="14"/>
      <c r="BC44" s="14"/>
      <c r="BD44" s="14"/>
      <c r="BE44" s="14"/>
      <c r="BF44" s="14"/>
      <c r="BG44" s="14"/>
      <c r="BH44" s="14"/>
      <c r="BI44" s="14"/>
      <c r="BJ44" s="14"/>
      <c r="BK44" s="14"/>
      <c r="BL44" s="14"/>
      <c r="BM44" s="14"/>
      <c r="BN44" s="14"/>
      <c r="BO44" s="14"/>
      <c r="BP44" s="14"/>
      <c r="BQ44" s="14"/>
      <c r="BR44" s="14"/>
      <c r="BS44" s="14"/>
      <c r="BT44" s="14"/>
      <c r="BU44" s="14"/>
      <c r="BV44" s="14"/>
      <c r="BW44" s="14"/>
      <c r="BX44" s="14"/>
      <c r="BY44" s="14"/>
      <c r="BZ44" s="14"/>
      <c r="CA44" s="14"/>
      <c r="CB44" s="14"/>
      <c r="CC44" s="14"/>
      <c r="CD44" s="14"/>
      <c r="CE44" s="14"/>
      <c r="CF44" s="14"/>
      <c r="CG44" s="14"/>
      <c r="CH44" s="14"/>
      <c r="CI44" s="14"/>
      <c r="CJ44" s="14"/>
      <c r="CK44" s="14"/>
      <c r="CL44" s="14"/>
      <c r="CM44" s="14"/>
      <c r="CN44" s="14"/>
      <c r="CO44" s="14"/>
      <c r="CP44" s="14"/>
      <c r="CQ44" s="14"/>
      <c r="CR44" s="14"/>
      <c r="CS44" s="14"/>
      <c r="CT44" s="14"/>
      <c r="CU44" s="14"/>
      <c r="CV44" s="14"/>
      <c r="CW44" s="14"/>
      <c r="CX44" s="14"/>
      <c r="CY44" s="14"/>
      <c r="CZ44" s="14"/>
      <c r="DA44" s="14"/>
      <c r="DB44" s="14"/>
      <c r="DC44" s="14"/>
      <c r="DD44" s="14"/>
      <c r="DE44" s="14"/>
      <c r="DF44" s="14"/>
      <c r="DG44" s="14"/>
      <c r="DH44" s="14"/>
      <c r="DI44" s="14"/>
      <c r="DJ44" s="14"/>
      <c r="DK44" s="14"/>
      <c r="DL44" s="14"/>
      <c r="DM44" s="14"/>
      <c r="DN44" s="14"/>
      <c r="DO44" s="14"/>
      <c r="DP44" s="14"/>
      <c r="DQ44" s="14"/>
      <c r="DR44" s="14"/>
      <c r="DS44" s="14"/>
      <c r="DT44" s="14"/>
      <c r="DU44" s="14"/>
      <c r="DV44" s="14"/>
      <c r="DW44" s="14"/>
      <c r="DX44" s="14"/>
    </row>
    <row r="45" spans="1:128" s="111" customFormat="1" ht="10.8" outlineLevel="1" x14ac:dyDescent="0.25">
      <c r="A45" s="3"/>
      <c r="B45" s="125" t="s">
        <v>103</v>
      </c>
      <c r="C45" s="3"/>
      <c r="D45" s="3"/>
      <c r="E45" s="3"/>
      <c r="F45" s="3"/>
      <c r="G45" s="308">
        <f t="shared" ref="G45:G54" si="25">+SUM(H45:DX45)</f>
        <v>-21722942.722739339</v>
      </c>
      <c r="H45" s="309">
        <f>+SUMIF('Monthly UF Model'!$I$7:$DY$7,'Monthly USD Model'!H$7,'Monthly UF Model'!$I435:$DY435)*H$22</f>
        <v>-6084263.7534967605</v>
      </c>
      <c r="I45" s="309">
        <f>+SUMIF('Monthly UF Model'!$I$7:$DY$7,'Monthly USD Model'!I$7,'Monthly UF Model'!$I435:$DY435)*I$22</f>
        <v>-357412.01187343162</v>
      </c>
      <c r="J45" s="309">
        <f>+SUMIF('Monthly UF Model'!$I$7:$DY$7,'Monthly USD Model'!J$7,'Monthly UF Model'!$I435:$DY435)*J$22</f>
        <v>-32090.160090907677</v>
      </c>
      <c r="K45" s="309">
        <f>+SUMIF('Monthly UF Model'!$I$7:$DY$7,'Monthly USD Model'!K$7,'Monthly UF Model'!$I435:$DY435)*K$22</f>
        <v>-129099.36307971651</v>
      </c>
      <c r="L45" s="309">
        <f>+SUMIF('Monthly UF Model'!$I$7:$DY$7,'Monthly USD Model'!L$7,'Monthly UF Model'!$I435:$DY435)*L$22</f>
        <v>-22347.598062413221</v>
      </c>
      <c r="M45" s="309">
        <f>+SUMIF('Monthly UF Model'!$I$7:$DY$7,'Monthly USD Model'!M$7,'Monthly UF Model'!$I435:$DY435)*M$22</f>
        <v>-119112.77921037778</v>
      </c>
      <c r="N45" s="309">
        <f>+SUMIF('Monthly UF Model'!$I$7:$DY$7,'Monthly USD Model'!N$7,'Monthly UF Model'!$I435:$DY435)*N$22</f>
        <v>0</v>
      </c>
      <c r="O45" s="309">
        <f>+SUMIF('Monthly UF Model'!$I$7:$DY$7,'Monthly USD Model'!O$7,'Monthly UF Model'!$I435:$DY435)*O$22</f>
        <v>-29463.550400248951</v>
      </c>
      <c r="P45" s="309">
        <f>+SUMIF('Monthly UF Model'!$I$7:$DY$7,'Monthly USD Model'!P$7,'Monthly UF Model'!$I435:$DY435)*P$22</f>
        <v>-102186.05138529741</v>
      </c>
      <c r="Q45" s="309">
        <f>+SUMIF('Monthly UF Model'!$I$7:$DY$7,'Monthly USD Model'!Q$7,'Monthly UF Model'!$I435:$DY435)*Q$22</f>
        <v>-34512.995344224713</v>
      </c>
      <c r="R45" s="309">
        <f>+SUMIF('Monthly UF Model'!$I$7:$DY$7,'Monthly USD Model'!R$7,'Monthly UF Model'!$I435:$DY435)*R$22</f>
        <v>-66238.309210851774</v>
      </c>
      <c r="S45" s="309">
        <f>+SUMIF('Monthly UF Model'!$I$7:$DY$7,'Monthly USD Model'!S$7,'Monthly UF Model'!$I435:$DY435)*S$22</f>
        <v>-43931.754351238968</v>
      </c>
      <c r="T45" s="309">
        <f>+SUMIF('Monthly UF Model'!$I$7:$DY$7,'Monthly USD Model'!T$7,'Monthly UF Model'!$I435:$DY435)*T$22</f>
        <v>-9327.4406229347533</v>
      </c>
      <c r="U45" s="309">
        <f>+SUMIF('Monthly UF Model'!$I$7:$DY$7,'Monthly USD Model'!U$7,'Monthly UF Model'!$I435:$DY435)*U$22</f>
        <v>-107812.16691541208</v>
      </c>
      <c r="V45" s="309">
        <f>+SUMIF('Monthly UF Model'!$I$7:$DY$7,'Monthly USD Model'!V$7,'Monthly UF Model'!$I435:$DY435)*V$22</f>
        <v>-260937.38522362788</v>
      </c>
      <c r="W45" s="309">
        <f>+SUMIF('Monthly UF Model'!$I$7:$DY$7,'Monthly USD Model'!W$7,'Monthly UF Model'!$I435:$DY435)*W$22</f>
        <v>-51810.097411688905</v>
      </c>
      <c r="X45" s="309">
        <f>+SUMIF('Monthly UF Model'!$I$7:$DY$7,'Monthly USD Model'!X$7,'Monthly UF Model'!$I435:$DY435)*X$22</f>
        <v>-318831.03955188079</v>
      </c>
      <c r="Y45" s="309">
        <f>+SUMIF('Monthly UF Model'!$I$7:$DY$7,'Monthly USD Model'!Y$7,'Monthly UF Model'!$I435:$DY435)*Y$22</f>
        <v>-172190.11912563947</v>
      </c>
      <c r="Z45" s="309">
        <f>+SUMIF('Monthly UF Model'!$I$7:$DY$7,'Monthly USD Model'!Z$7,'Monthly UF Model'!$I435:$DY435)*Z$22</f>
        <v>-170648.19385528835</v>
      </c>
      <c r="AA45" s="309">
        <f>+SUMIF('Monthly UF Model'!$I$7:$DY$7,'Monthly USD Model'!AA$7,'Monthly UF Model'!$I435:$DY435)*AA$22</f>
        <v>-40078.437995603352</v>
      </c>
      <c r="AB45" s="309">
        <f>+SUMIF('Monthly UF Model'!$I$7:$DY$7,'Monthly USD Model'!AB$7,'Monthly UF Model'!$I435:$DY435)*AB$22</f>
        <v>-51831.564012876253</v>
      </c>
      <c r="AC45" s="309">
        <f>+SUMIF('Monthly UF Model'!$I$7:$DY$7,'Monthly USD Model'!AC$7,'Monthly UF Model'!$I435:$DY435)*AC$22</f>
        <v>-142903.98756771727</v>
      </c>
      <c r="AD45" s="309">
        <f>+SUMIF('Monthly UF Model'!$I$7:$DY$7,'Monthly USD Model'!AD$7,'Monthly UF Model'!$I435:$DY435)*AD$22</f>
        <v>-2201439.4173419797</v>
      </c>
      <c r="AE45" s="309">
        <f>+SUMIF('Monthly UF Model'!$I$7:$DY$7,'Monthly USD Model'!AE$7,'Monthly UF Model'!$I435:$DY435)*AE$22</f>
        <v>-523757.3342374746</v>
      </c>
      <c r="AF45" s="309">
        <f>+SUMIF('Monthly UF Model'!$I$7:$DY$7,'Monthly USD Model'!AF$7,'Monthly UF Model'!$I435:$DY435)*AF$22</f>
        <v>-400817.07405978366</v>
      </c>
      <c r="AG45" s="309">
        <f>+SUMIF('Monthly UF Model'!$I$7:$DY$7,'Monthly USD Model'!AG$7,'Monthly UF Model'!$I435:$DY435)*AG$22</f>
        <v>-323491.05224274856</v>
      </c>
      <c r="AH45" s="309">
        <f>+SUMIF('Monthly UF Model'!$I$7:$DY$7,'Monthly USD Model'!AH$7,'Monthly UF Model'!$I435:$DY435)*AH$22</f>
        <v>-529028.98915165849</v>
      </c>
      <c r="AI45" s="309">
        <f>+SUMIF('Monthly UF Model'!$I$7:$DY$7,'Monthly USD Model'!AI$7,'Monthly UF Model'!$I435:$DY435)*AI$22</f>
        <v>-284885.13143689494</v>
      </c>
      <c r="AJ45" s="309">
        <f>+SUMIF('Monthly UF Model'!$I$7:$DY$7,'Monthly USD Model'!AJ$7,'Monthly UF Model'!$I435:$DY435)*AJ$22</f>
        <v>-256254.73775903115</v>
      </c>
      <c r="AK45" s="309">
        <f>+SUMIF('Monthly UF Model'!$I$7:$DY$7,'Monthly USD Model'!AK$7,'Monthly UF Model'!$I435:$DY435)*AK$22</f>
        <v>-273227.86879299837</v>
      </c>
      <c r="AL45" s="309">
        <f>+SUMIF('Monthly UF Model'!$I$7:$DY$7,'Monthly USD Model'!AL$7,'Monthly UF Model'!$I435:$DY435)*AL$22</f>
        <v>-299421.03469122562</v>
      </c>
      <c r="AM45" s="309">
        <f>+SUMIF('Monthly UF Model'!$I$7:$DY$7,'Monthly USD Model'!AM$7,'Monthly UF Model'!$I435:$DY435)*AM$22</f>
        <v>-323998.70273945585</v>
      </c>
      <c r="AN45" s="309">
        <f>+SUMIF('Monthly UF Model'!$I$7:$DY$7,'Monthly USD Model'!AN$7,'Monthly UF Model'!$I435:$DY435)*AN$22</f>
        <v>-248581.40840121079</v>
      </c>
      <c r="AO45" s="309">
        <f>+SUMIF('Monthly UF Model'!$I$7:$DY$7,'Monthly USD Model'!AO$7,'Monthly UF Model'!$I435:$DY435)*AO$22</f>
        <v>-301464.1161536221</v>
      </c>
      <c r="AP45" s="309">
        <f>+SUMIF('Monthly UF Model'!$I$7:$DY$7,'Monthly USD Model'!AP$7,'Monthly UF Model'!$I435:$DY435)*AP$22</f>
        <v>-58508.252055404591</v>
      </c>
      <c r="AQ45" s="309">
        <f>+SUMIF('Monthly UF Model'!$I$7:$DY$7,'Monthly USD Model'!AQ$7,'Monthly UF Model'!$I435:$DY435)*AQ$22</f>
        <v>-31728.976603369581</v>
      </c>
      <c r="AR45" s="309">
        <f>+SUMIF('Monthly UF Model'!$I$7:$DY$7,'Monthly USD Model'!AR$7,'Monthly UF Model'!$I435:$DY435)*AR$22</f>
        <v>-305887.58352815948</v>
      </c>
      <c r="AS45" s="309">
        <f>+SUMIF('Monthly UF Model'!$I$7:$DY$7,'Monthly USD Model'!AS$7,'Monthly UF Model'!$I435:$DY435)*AS$22</f>
        <v>-286619.1315731841</v>
      </c>
      <c r="AT45" s="309">
        <f>+SUMIF('Monthly UF Model'!$I$7:$DY$7,'Monthly USD Model'!AT$7,'Monthly UF Model'!$I435:$DY435)*AT$22</f>
        <v>-80385.880747107673</v>
      </c>
      <c r="AU45" s="309">
        <f>+SUMIF('Monthly UF Model'!$I$7:$DY$7,'Monthly USD Model'!AU$7,'Monthly UF Model'!$I435:$DY435)*AU$22</f>
        <v>-507243.00714104943</v>
      </c>
      <c r="AV45" s="309">
        <f>+SUMIF('Monthly UF Model'!$I$7:$DY$7,'Monthly USD Model'!AV$7,'Monthly UF Model'!$I435:$DY435)*AV$22</f>
        <v>-1102730.7009090909</v>
      </c>
      <c r="AW45" s="309">
        <f>+SUMIF('Monthly UF Model'!$I$7:$DY$7,'Monthly USD Model'!AW$7,'Monthly UF Model'!$I435:$DY435)*AW$22</f>
        <v>-42977.215722275585</v>
      </c>
      <c r="AX45" s="309">
        <f>+SUMIF('Monthly UF Model'!$I$7:$DY$7,'Monthly USD Model'!AX$7,'Monthly UF Model'!$I435:$DY435)*AX$22</f>
        <v>-622809.51379634626</v>
      </c>
      <c r="AY45" s="309">
        <f>+SUMIF('Monthly UF Model'!$I$7:$DY$7,'Monthly USD Model'!AY$7,'Monthly UF Model'!$I435:$DY435)*AY$22</f>
        <v>-640304.40102041722</v>
      </c>
      <c r="AZ45" s="309">
        <f>+SUMIF('Monthly UF Model'!$I$7:$DY$7,'Monthly USD Model'!AZ$7,'Monthly UF Model'!$I435:$DY435)*AZ$22</f>
        <v>-1080753.4924077524</v>
      </c>
      <c r="BA45" s="309">
        <f>+SUMIF('Monthly UF Model'!$I$7:$DY$7,'Monthly USD Model'!BA$7,'Monthly UF Model'!$I435:$DY435)*BA$22</f>
        <v>-618401.34016141121</v>
      </c>
      <c r="BB45" s="309">
        <f>+SUMIF('Monthly UF Model'!$I$7:$DY$7,'Monthly USD Model'!BB$7,'Monthly UF Model'!$I435:$DY435)*BB$22</f>
        <v>-56830.521920388164</v>
      </c>
      <c r="BC45" s="309">
        <f>+SUMIF('Monthly UF Model'!$I$7:$DY$7,'Monthly USD Model'!BC$7,'Monthly UF Model'!$I435:$DY435)*BC$22</f>
        <v>-381839.93818895263</v>
      </c>
      <c r="BD45" s="309">
        <f>+SUMIF('Monthly UF Model'!$I$7:$DY$7,'Monthly USD Model'!BD$7,'Monthly UF Model'!$I435:$DY435)*BD$22</f>
        <v>-435240.87290086155</v>
      </c>
      <c r="BE45" s="309">
        <f>+SUMIF('Monthly UF Model'!$I$7:$DY$7,'Monthly USD Model'!BE$7,'Monthly UF Model'!$I435:$DY435)*BE$22</f>
        <v>-96902.482256429386</v>
      </c>
      <c r="BF45" s="309">
        <f>+SUMIF('Monthly UF Model'!$I$7:$DY$7,'Monthly USD Model'!BF$7,'Monthly UF Model'!$I435:$DY435)*BF$22</f>
        <v>-136437.04140480998</v>
      </c>
      <c r="BG45" s="309">
        <f>+SUMIF('Monthly UF Model'!$I$7:$DY$7,'Monthly USD Model'!BG$7,'Monthly UF Model'!$I435:$DY435)*BG$22</f>
        <v>-713363.69139828475</v>
      </c>
      <c r="BH45" s="309">
        <f>+SUMIF('Monthly UF Model'!$I$7:$DY$7,'Monthly USD Model'!BH$7,'Monthly UF Model'!$I435:$DY435)*BH$22</f>
        <v>-83826.347066178831</v>
      </c>
      <c r="BI45" s="309">
        <f>+SUMIF('Monthly UF Model'!$I$7:$DY$7,'Monthly USD Model'!BI$7,'Monthly UF Model'!$I435:$DY435)*BI$22</f>
        <v>-26752.333502670142</v>
      </c>
      <c r="BJ45" s="309">
        <f>+SUMIF('Monthly UF Model'!$I$7:$DY$7,'Monthly USD Model'!BJ$7,'Monthly UF Model'!$I435:$DY435)*BJ$22</f>
        <v>-93430.6892118502</v>
      </c>
      <c r="BK45" s="309">
        <f>+SUMIF('Monthly UF Model'!$I$7:$DY$7,'Monthly USD Model'!BK$7,'Monthly UF Model'!$I435:$DY435)*BK$22</f>
        <v>-6573.683427117141</v>
      </c>
      <c r="BL45" s="309">
        <f>+SUMIF('Monthly UF Model'!$I$7:$DY$7,'Monthly USD Model'!BL$7,'Monthly UF Model'!$I435:$DY435)*BL$22</f>
        <v>0</v>
      </c>
      <c r="BM45" s="309">
        <f>+SUMIF('Monthly UF Model'!$I$7:$DY$7,'Monthly USD Model'!BM$7,'Monthly UF Model'!$I435:$DY435)*BM$22</f>
        <v>0</v>
      </c>
      <c r="BN45" s="309">
        <f>+SUMIF('Monthly UF Model'!$I$7:$DY$7,'Monthly USD Model'!BN$7,'Monthly UF Model'!$I435:$DY435)*BN$22</f>
        <v>0</v>
      </c>
      <c r="BO45" s="309">
        <f>+SUMIF('Monthly UF Model'!$I$7:$DY$7,'Monthly USD Model'!BO$7,'Monthly UF Model'!$I435:$DY435)*BO$22</f>
        <v>0</v>
      </c>
      <c r="BP45" s="309">
        <f>+SUMIF('Monthly UF Model'!$I$7:$DY$7,'Monthly USD Model'!BP$7,'Monthly UF Model'!$I435:$DY435)*BP$22</f>
        <v>0</v>
      </c>
      <c r="BQ45" s="309">
        <f>+SUMIF('Monthly UF Model'!$I$7:$DY$7,'Monthly USD Model'!BQ$7,'Monthly UF Model'!$I435:$DY435)*BQ$22</f>
        <v>0</v>
      </c>
      <c r="BR45" s="309">
        <f>+SUMIF('Monthly UF Model'!$I$7:$DY$7,'Monthly USD Model'!BR$7,'Monthly UF Model'!$I435:$DY435)*BR$22</f>
        <v>0</v>
      </c>
      <c r="BS45" s="309">
        <f>+SUMIF('Monthly UF Model'!$I$7:$DY$7,'Monthly USD Model'!BS$7,'Monthly UF Model'!$I435:$DY435)*BS$22</f>
        <v>0</v>
      </c>
      <c r="BT45" s="309">
        <f>+SUMIF('Monthly UF Model'!$I$7:$DY$7,'Monthly USD Model'!BT$7,'Monthly UF Model'!$I435:$DY435)*BT$22</f>
        <v>0</v>
      </c>
      <c r="BU45" s="309">
        <f>+SUMIF('Monthly UF Model'!$I$7:$DY$7,'Monthly USD Model'!BU$7,'Monthly UF Model'!$I435:$DY435)*BU$22</f>
        <v>0</v>
      </c>
      <c r="BV45" s="309">
        <f>+SUMIF('Monthly UF Model'!$I$7:$DY$7,'Monthly USD Model'!BV$7,'Monthly UF Model'!$I435:$DY435)*BV$22</f>
        <v>0</v>
      </c>
      <c r="BW45" s="309">
        <f>+SUMIF('Monthly UF Model'!$I$7:$DY$7,'Monthly USD Model'!BW$7,'Monthly UF Model'!$I435:$DY435)*BW$22</f>
        <v>0</v>
      </c>
      <c r="BX45" s="309">
        <f>+SUMIF('Monthly UF Model'!$I$7:$DY$7,'Monthly USD Model'!BX$7,'Monthly UF Model'!$I435:$DY435)*BX$22</f>
        <v>0</v>
      </c>
      <c r="BY45" s="309">
        <f>+SUMIF('Monthly UF Model'!$I$7:$DY$7,'Monthly USD Model'!BY$7,'Monthly UF Model'!$I435:$DY435)*BY$22</f>
        <v>0</v>
      </c>
      <c r="BZ45" s="309">
        <f>+SUMIF('Monthly UF Model'!$I$7:$DY$7,'Monthly USD Model'!BZ$7,'Monthly UF Model'!$I435:$DY435)*BZ$22</f>
        <v>0</v>
      </c>
      <c r="CA45" s="309">
        <f>+SUMIF('Monthly UF Model'!$I$7:$DY$7,'Monthly USD Model'!CA$7,'Monthly UF Model'!$I435:$DY435)*CA$22</f>
        <v>0</v>
      </c>
      <c r="CB45" s="309">
        <f>+SUMIF('Monthly UF Model'!$I$7:$DY$7,'Monthly USD Model'!CB$7,'Monthly UF Model'!$I435:$DY435)*CB$22</f>
        <v>0</v>
      </c>
      <c r="CC45" s="309">
        <f>+SUMIF('Monthly UF Model'!$I$7:$DY$7,'Monthly USD Model'!CC$7,'Monthly UF Model'!$I435:$DY435)*CC$22</f>
        <v>0</v>
      </c>
      <c r="CD45" s="309">
        <f>+SUMIF('Monthly UF Model'!$I$7:$DY$7,'Monthly USD Model'!CD$7,'Monthly UF Model'!$I435:$DY435)*CD$22</f>
        <v>0</v>
      </c>
      <c r="CE45" s="309">
        <f>+SUMIF('Monthly UF Model'!$I$7:$DY$7,'Monthly USD Model'!CE$7,'Monthly UF Model'!$I435:$DY435)*CE$22</f>
        <v>0</v>
      </c>
      <c r="CF45" s="309">
        <f>+SUMIF('Monthly UF Model'!$I$7:$DY$7,'Monthly USD Model'!CF$7,'Monthly UF Model'!$I435:$DY435)*CF$22</f>
        <v>0</v>
      </c>
      <c r="CG45" s="309">
        <f>+SUMIF('Monthly UF Model'!$I$7:$DY$7,'Monthly USD Model'!CG$7,'Monthly UF Model'!$I435:$DY435)*CG$22</f>
        <v>0</v>
      </c>
      <c r="CH45" s="309">
        <f>+SUMIF('Monthly UF Model'!$I$7:$DY$7,'Monthly USD Model'!CH$7,'Monthly UF Model'!$I435:$DY435)*CH$22</f>
        <v>0</v>
      </c>
      <c r="CI45" s="309">
        <f>+SUMIF('Monthly UF Model'!$I$7:$DY$7,'Monthly USD Model'!CI$7,'Monthly UF Model'!$I435:$DY435)*CI$22</f>
        <v>0</v>
      </c>
      <c r="CJ45" s="309">
        <f>+SUMIF('Monthly UF Model'!$I$7:$DY$7,'Monthly USD Model'!CJ$7,'Monthly UF Model'!$I435:$DY435)*CJ$22</f>
        <v>0</v>
      </c>
      <c r="CK45" s="309">
        <f>+SUMIF('Monthly UF Model'!$I$7:$DY$7,'Monthly USD Model'!CK$7,'Monthly UF Model'!$I435:$DY435)*CK$22</f>
        <v>0</v>
      </c>
      <c r="CL45" s="309">
        <f>+SUMIF('Monthly UF Model'!$I$7:$DY$7,'Monthly USD Model'!CL$7,'Monthly UF Model'!$I435:$DY435)*CL$22</f>
        <v>0</v>
      </c>
      <c r="CM45" s="309">
        <f>+SUMIF('Monthly UF Model'!$I$7:$DY$7,'Monthly USD Model'!CM$7,'Monthly UF Model'!$I435:$DY435)*CM$22</f>
        <v>0</v>
      </c>
      <c r="CN45" s="309">
        <f>+SUMIF('Monthly UF Model'!$I$7:$DY$7,'Monthly USD Model'!CN$7,'Monthly UF Model'!$I435:$DY435)*CN$22</f>
        <v>0</v>
      </c>
      <c r="CO45" s="309">
        <f>+SUMIF('Monthly UF Model'!$I$7:$DY$7,'Monthly USD Model'!CO$7,'Monthly UF Model'!$I435:$DY435)*CO$22</f>
        <v>0</v>
      </c>
      <c r="CP45" s="309">
        <f>+SUMIF('Monthly UF Model'!$I$7:$DY$7,'Monthly USD Model'!CP$7,'Monthly UF Model'!$I435:$DY435)*CP$22</f>
        <v>0</v>
      </c>
      <c r="CQ45" s="309">
        <f>+SUMIF('Monthly UF Model'!$I$7:$DY$7,'Monthly USD Model'!CQ$7,'Monthly UF Model'!$I435:$DY435)*CQ$22</f>
        <v>0</v>
      </c>
      <c r="CR45" s="309">
        <f>+SUMIF('Monthly UF Model'!$I$7:$DY$7,'Monthly USD Model'!CR$7,'Monthly UF Model'!$I435:$DY435)*CR$22</f>
        <v>0</v>
      </c>
      <c r="CS45" s="309">
        <f>+SUMIF('Monthly UF Model'!$I$7:$DY$7,'Monthly USD Model'!CS$7,'Monthly UF Model'!$I435:$DY435)*CS$22</f>
        <v>0</v>
      </c>
      <c r="CT45" s="309">
        <f>+SUMIF('Monthly UF Model'!$I$7:$DY$7,'Monthly USD Model'!CT$7,'Monthly UF Model'!$I435:$DY435)*CT$22</f>
        <v>0</v>
      </c>
      <c r="CU45" s="309">
        <f>+SUMIF('Monthly UF Model'!$I$7:$DY$7,'Monthly USD Model'!CU$7,'Monthly UF Model'!$I435:$DY435)*CU$22</f>
        <v>0</v>
      </c>
      <c r="CV45" s="309">
        <f>+SUMIF('Monthly UF Model'!$I$7:$DY$7,'Monthly USD Model'!CV$7,'Monthly UF Model'!$I435:$DY435)*CV$22</f>
        <v>0</v>
      </c>
      <c r="CW45" s="309">
        <f>+SUMIF('Monthly UF Model'!$I$7:$DY$7,'Monthly USD Model'!CW$7,'Monthly UF Model'!$I435:$DY435)*CW$22</f>
        <v>0</v>
      </c>
      <c r="CX45" s="309">
        <f>+SUMIF('Monthly UF Model'!$I$7:$DY$7,'Monthly USD Model'!CX$7,'Monthly UF Model'!$I435:$DY435)*CX$22</f>
        <v>0</v>
      </c>
      <c r="CY45" s="309">
        <f>+SUMIF('Monthly UF Model'!$I$7:$DY$7,'Monthly USD Model'!CY$7,'Monthly UF Model'!$I435:$DY435)*CY$22</f>
        <v>0</v>
      </c>
      <c r="CZ45" s="309">
        <f>+SUMIF('Monthly UF Model'!$I$7:$DY$7,'Monthly USD Model'!CZ$7,'Monthly UF Model'!$I435:$DY435)*CZ$22</f>
        <v>0</v>
      </c>
      <c r="DA45" s="309">
        <f>+SUMIF('Monthly UF Model'!$I$7:$DY$7,'Monthly USD Model'!DA$7,'Monthly UF Model'!$I435:$DY435)*DA$22</f>
        <v>0</v>
      </c>
      <c r="DB45" s="309">
        <f>+SUMIF('Monthly UF Model'!$I$7:$DY$7,'Monthly USD Model'!DB$7,'Monthly UF Model'!$I435:$DY435)*DB$22</f>
        <v>0</v>
      </c>
      <c r="DC45" s="309">
        <f>+SUMIF('Monthly UF Model'!$I$7:$DY$7,'Monthly USD Model'!DC$7,'Monthly UF Model'!$I435:$DY435)*DC$22</f>
        <v>0</v>
      </c>
      <c r="DD45" s="309">
        <f>+SUMIF('Monthly UF Model'!$I$7:$DY$7,'Monthly USD Model'!DD$7,'Monthly UF Model'!$I435:$DY435)*DD$22</f>
        <v>0</v>
      </c>
      <c r="DE45" s="309">
        <f>+SUMIF('Monthly UF Model'!$I$7:$DY$7,'Monthly USD Model'!DE$7,'Monthly UF Model'!$I435:$DY435)*DE$22</f>
        <v>0</v>
      </c>
      <c r="DF45" s="309">
        <f>+SUMIF('Monthly UF Model'!$I$7:$DY$7,'Monthly USD Model'!DF$7,'Monthly UF Model'!$I435:$DY435)*DF$22</f>
        <v>0</v>
      </c>
      <c r="DG45" s="309">
        <f>+SUMIF('Monthly UF Model'!$I$7:$DY$7,'Monthly USD Model'!DG$7,'Monthly UF Model'!$I435:$DY435)*DG$22</f>
        <v>0</v>
      </c>
      <c r="DH45" s="309">
        <f>+SUMIF('Monthly UF Model'!$I$7:$DY$7,'Monthly USD Model'!DH$7,'Monthly UF Model'!$I435:$DY435)*DH$22</f>
        <v>0</v>
      </c>
      <c r="DI45" s="309">
        <f>+SUMIF('Monthly UF Model'!$I$7:$DY$7,'Monthly USD Model'!DI$7,'Monthly UF Model'!$I435:$DY435)*DI$22</f>
        <v>0</v>
      </c>
      <c r="DJ45" s="309">
        <f>+SUMIF('Monthly UF Model'!$I$7:$DY$7,'Monthly USD Model'!DJ$7,'Monthly UF Model'!$I435:$DY435)*DJ$22</f>
        <v>0</v>
      </c>
      <c r="DK45" s="309">
        <f>+SUMIF('Monthly UF Model'!$I$7:$DY$7,'Monthly USD Model'!DK$7,'Monthly UF Model'!$I435:$DY435)*DK$22</f>
        <v>0</v>
      </c>
      <c r="DL45" s="309">
        <f>+SUMIF('Monthly UF Model'!$I$7:$DY$7,'Monthly USD Model'!DL$7,'Monthly UF Model'!$I435:$DY435)*DL$22</f>
        <v>0</v>
      </c>
      <c r="DM45" s="309">
        <f>+SUMIF('Monthly UF Model'!$I$7:$DY$7,'Monthly USD Model'!DM$7,'Monthly UF Model'!$I435:$DY435)*DM$22</f>
        <v>0</v>
      </c>
      <c r="DN45" s="309">
        <f>+SUMIF('Monthly UF Model'!$I$7:$DY$7,'Monthly USD Model'!DN$7,'Monthly UF Model'!$I435:$DY435)*DN$22</f>
        <v>0</v>
      </c>
      <c r="DO45" s="309">
        <f>+SUMIF('Monthly UF Model'!$I$7:$DY$7,'Monthly USD Model'!DO$7,'Monthly UF Model'!$I435:$DY435)*DO$22</f>
        <v>0</v>
      </c>
      <c r="DP45" s="309">
        <f>+SUMIF('Monthly UF Model'!$I$7:$DY$7,'Monthly USD Model'!DP$7,'Monthly UF Model'!$I435:$DY435)*DP$22</f>
        <v>0</v>
      </c>
      <c r="DQ45" s="309">
        <f>+SUMIF('Monthly UF Model'!$I$7:$DY$7,'Monthly USD Model'!DQ$7,'Monthly UF Model'!$I435:$DY435)*DQ$22</f>
        <v>0</v>
      </c>
      <c r="DR45" s="309">
        <f>+SUMIF('Monthly UF Model'!$I$7:$DY$7,'Monthly USD Model'!DR$7,'Monthly UF Model'!$I435:$DY435)*DR$22</f>
        <v>0</v>
      </c>
      <c r="DS45" s="309">
        <f>+SUMIF('Monthly UF Model'!$I$7:$DY$7,'Monthly USD Model'!DS$7,'Monthly UF Model'!$I435:$DY435)*DS$22</f>
        <v>0</v>
      </c>
      <c r="DT45" s="309">
        <f>+SUMIF('Monthly UF Model'!$I$7:$DY$7,'Monthly USD Model'!DT$7,'Monthly UF Model'!$I435:$DY435)*DT$22</f>
        <v>0</v>
      </c>
      <c r="DU45" s="309">
        <f>+SUMIF('Monthly UF Model'!$I$7:$DY$7,'Monthly USD Model'!DU$7,'Monthly UF Model'!$I435:$DY435)*DU$22</f>
        <v>0</v>
      </c>
      <c r="DV45" s="309">
        <f>+SUMIF('Monthly UF Model'!$I$7:$DY$7,'Monthly USD Model'!DV$7,'Monthly UF Model'!$I435:$DY435)*DV$22</f>
        <v>0</v>
      </c>
      <c r="DW45" s="309">
        <f>+SUMIF('Monthly UF Model'!$I$7:$DY$7,'Monthly USD Model'!DW$7,'Monthly UF Model'!$I435:$DY435)*DW$22</f>
        <v>0</v>
      </c>
      <c r="DX45" s="309">
        <f>+SUMIF('Monthly UF Model'!$I$7:$DY$7,'Monthly USD Model'!DX$7,'Monthly UF Model'!$I435:$DY435)*DX$22</f>
        <v>0</v>
      </c>
    </row>
    <row r="46" spans="1:128" s="111" customFormat="1" ht="10.8" outlineLevel="1" x14ac:dyDescent="0.25">
      <c r="A46" s="3"/>
      <c r="B46" s="125" t="s">
        <v>195</v>
      </c>
      <c r="C46" s="3"/>
      <c r="D46" s="3"/>
      <c r="E46" s="3"/>
      <c r="F46" s="3"/>
      <c r="G46" s="308">
        <f t="shared" ca="1" si="25"/>
        <v>799230.24906344456</v>
      </c>
      <c r="H46" s="309">
        <f>+SUMIF('Monthly UF Model'!$I$7:$DY$7,'Monthly USD Model'!H$7,'Monthly UF Model'!$I436:$DY436)*H$22</f>
        <v>0</v>
      </c>
      <c r="I46" s="309">
        <f>+SUMIF('Monthly UF Model'!$I$7:$DY$7,'Monthly USD Model'!I$7,'Monthly UF Model'!$I436:$DY436)*I$22</f>
        <v>0</v>
      </c>
      <c r="J46" s="309">
        <f>+SUMIF('Monthly UF Model'!$I$7:$DY$7,'Monthly USD Model'!J$7,'Monthly UF Model'!$I436:$DY436)*J$22</f>
        <v>0</v>
      </c>
      <c r="K46" s="309">
        <f>+SUMIF('Monthly UF Model'!$I$7:$DY$7,'Monthly USD Model'!K$7,'Monthly UF Model'!$I436:$DY436)*K$22</f>
        <v>0</v>
      </c>
      <c r="L46" s="309">
        <f>+SUMIF('Monthly UF Model'!$I$7:$DY$7,'Monthly USD Model'!L$7,'Monthly UF Model'!$I436:$DY436)*L$22</f>
        <v>0</v>
      </c>
      <c r="M46" s="309">
        <f>+SUMIF('Monthly UF Model'!$I$7:$DY$7,'Monthly USD Model'!M$7,'Monthly UF Model'!$I436:$DY436)*M$22</f>
        <v>0</v>
      </c>
      <c r="N46" s="309">
        <f>+SUMIF('Monthly UF Model'!$I$7:$DY$7,'Monthly USD Model'!N$7,'Monthly UF Model'!$I436:$DY436)*N$22</f>
        <v>0</v>
      </c>
      <c r="O46" s="309">
        <f>+SUMIF('Monthly UF Model'!$I$7:$DY$7,'Monthly USD Model'!O$7,'Monthly UF Model'!$I436:$DY436)*O$22</f>
        <v>0</v>
      </c>
      <c r="P46" s="309">
        <f>+SUMIF('Monthly UF Model'!$I$7:$DY$7,'Monthly USD Model'!P$7,'Monthly UF Model'!$I436:$DY436)*P$22</f>
        <v>0</v>
      </c>
      <c r="Q46" s="309">
        <f>+SUMIF('Monthly UF Model'!$I$7:$DY$7,'Monthly USD Model'!Q$7,'Monthly UF Model'!$I436:$DY436)*Q$22</f>
        <v>0</v>
      </c>
      <c r="R46" s="309">
        <f>+SUMIF('Monthly UF Model'!$I$7:$DY$7,'Monthly USD Model'!R$7,'Monthly UF Model'!$I436:$DY436)*R$22</f>
        <v>0</v>
      </c>
      <c r="S46" s="309">
        <f>+SUMIF('Monthly UF Model'!$I$7:$DY$7,'Monthly USD Model'!S$7,'Monthly UF Model'!$I436:$DY436)*S$22</f>
        <v>0</v>
      </c>
      <c r="T46" s="309">
        <f>+SUMIF('Monthly UF Model'!$I$7:$DY$7,'Monthly USD Model'!T$7,'Monthly UF Model'!$I436:$DY436)*T$22</f>
        <v>0</v>
      </c>
      <c r="U46" s="309">
        <f>+SUMIF('Monthly UF Model'!$I$7:$DY$7,'Monthly USD Model'!U$7,'Monthly UF Model'!$I436:$DY436)*U$22</f>
        <v>0</v>
      </c>
      <c r="V46" s="309">
        <f>+SUMIF('Monthly UF Model'!$I$7:$DY$7,'Monthly USD Model'!V$7,'Monthly UF Model'!$I436:$DY436)*V$22</f>
        <v>0</v>
      </c>
      <c r="W46" s="309">
        <f>+SUMIF('Monthly UF Model'!$I$7:$DY$7,'Monthly USD Model'!W$7,'Monthly UF Model'!$I436:$DY436)*W$22</f>
        <v>0</v>
      </c>
      <c r="X46" s="309">
        <f>+SUMIF('Monthly UF Model'!$I$7:$DY$7,'Monthly USD Model'!X$7,'Monthly UF Model'!$I436:$DY436)*X$22</f>
        <v>0</v>
      </c>
      <c r="Y46" s="309">
        <f>+SUMIF('Monthly UF Model'!$I$7:$DY$7,'Monthly USD Model'!Y$7,'Monthly UF Model'!$I436:$DY436)*Y$22</f>
        <v>0</v>
      </c>
      <c r="Z46" s="309">
        <f>+SUMIF('Monthly UF Model'!$I$7:$DY$7,'Monthly USD Model'!Z$7,'Monthly UF Model'!$I436:$DY436)*Z$22</f>
        <v>0</v>
      </c>
      <c r="AA46" s="309">
        <f>+SUMIF('Monthly UF Model'!$I$7:$DY$7,'Monthly USD Model'!AA$7,'Monthly UF Model'!$I436:$DY436)*AA$22</f>
        <v>0</v>
      </c>
      <c r="AB46" s="309">
        <f>+SUMIF('Monthly UF Model'!$I$7:$DY$7,'Monthly USD Model'!AB$7,'Monthly UF Model'!$I436:$DY436)*AB$22</f>
        <v>0</v>
      </c>
      <c r="AC46" s="309">
        <f>+SUMIF('Monthly UF Model'!$I$7:$DY$7,'Monthly USD Model'!AC$7,'Monthly UF Model'!$I436:$DY436)*AC$22</f>
        <v>0</v>
      </c>
      <c r="AD46" s="309">
        <f>+SUMIF('Monthly UF Model'!$I$7:$DY$7,'Monthly USD Model'!AD$7,'Monthly UF Model'!$I436:$DY436)*AD$22</f>
        <v>0</v>
      </c>
      <c r="AE46" s="309">
        <f>+SUMIF('Monthly UF Model'!$I$7:$DY$7,'Monthly USD Model'!AE$7,'Monthly UF Model'!$I436:$DY436)*AE$22</f>
        <v>0</v>
      </c>
      <c r="AF46" s="309">
        <f>+SUMIF('Monthly UF Model'!$I$7:$DY$7,'Monthly USD Model'!AF$7,'Monthly UF Model'!$I436:$DY436)*AF$22</f>
        <v>0</v>
      </c>
      <c r="AG46" s="309">
        <f>+SUMIF('Monthly UF Model'!$I$7:$DY$7,'Monthly USD Model'!AG$7,'Monthly UF Model'!$I436:$DY436)*AG$22</f>
        <v>0</v>
      </c>
      <c r="AH46" s="309">
        <f>+SUMIF('Monthly UF Model'!$I$7:$DY$7,'Monthly USD Model'!AH$7,'Monthly UF Model'!$I436:$DY436)*AH$22</f>
        <v>0</v>
      </c>
      <c r="AI46" s="309">
        <f>+SUMIF('Monthly UF Model'!$I$7:$DY$7,'Monthly USD Model'!AI$7,'Monthly UF Model'!$I436:$DY436)*AI$22</f>
        <v>0</v>
      </c>
      <c r="AJ46" s="309">
        <f>+SUMIF('Monthly UF Model'!$I$7:$DY$7,'Monthly USD Model'!AJ$7,'Monthly UF Model'!$I436:$DY436)*AJ$22</f>
        <v>0</v>
      </c>
      <c r="AK46" s="309">
        <f>+SUMIF('Monthly UF Model'!$I$7:$DY$7,'Monthly USD Model'!AK$7,'Monthly UF Model'!$I436:$DY436)*AK$22</f>
        <v>0</v>
      </c>
      <c r="AL46" s="309">
        <f>+SUMIF('Monthly UF Model'!$I$7:$DY$7,'Monthly USD Model'!AL$7,'Monthly UF Model'!$I436:$DY436)*AL$22</f>
        <v>0</v>
      </c>
      <c r="AM46" s="309">
        <f>+SUMIF('Monthly UF Model'!$I$7:$DY$7,'Monthly USD Model'!AM$7,'Monthly UF Model'!$I436:$DY436)*AM$22</f>
        <v>0</v>
      </c>
      <c r="AN46" s="309">
        <f>+SUMIF('Monthly UF Model'!$I$7:$DY$7,'Monthly USD Model'!AN$7,'Monthly UF Model'!$I436:$DY436)*AN$22</f>
        <v>0</v>
      </c>
      <c r="AO46" s="309">
        <f>+SUMIF('Monthly UF Model'!$I$7:$DY$7,'Monthly USD Model'!AO$7,'Monthly UF Model'!$I436:$DY436)*AO$22</f>
        <v>0</v>
      </c>
      <c r="AP46" s="309">
        <f>+SUMIF('Monthly UF Model'!$I$7:$DY$7,'Monthly USD Model'!AP$7,'Monthly UF Model'!$I436:$DY436)*AP$22</f>
        <v>0</v>
      </c>
      <c r="AQ46" s="309">
        <f>+SUMIF('Monthly UF Model'!$I$7:$DY$7,'Monthly USD Model'!AQ$7,'Monthly UF Model'!$I436:$DY436)*AQ$22</f>
        <v>0</v>
      </c>
      <c r="AR46" s="309">
        <f>+SUMIF('Monthly UF Model'!$I$7:$DY$7,'Monthly USD Model'!AR$7,'Monthly UF Model'!$I436:$DY436)*AR$22</f>
        <v>0</v>
      </c>
      <c r="AS46" s="309">
        <f>+SUMIF('Monthly UF Model'!$I$7:$DY$7,'Monthly USD Model'!AS$7,'Monthly UF Model'!$I436:$DY436)*AS$22</f>
        <v>0</v>
      </c>
      <c r="AT46" s="309">
        <f>+SUMIF('Monthly UF Model'!$I$7:$DY$7,'Monthly USD Model'!AT$7,'Monthly UF Model'!$I436:$DY436)*AT$22</f>
        <v>0</v>
      </c>
      <c r="AU46" s="309">
        <f>+SUMIF('Monthly UF Model'!$I$7:$DY$7,'Monthly USD Model'!AU$7,'Monthly UF Model'!$I436:$DY436)*AU$22</f>
        <v>0</v>
      </c>
      <c r="AV46" s="309">
        <f>+SUMIF('Monthly UF Model'!$I$7:$DY$7,'Monthly USD Model'!AV$7,'Monthly UF Model'!$I436:$DY436)*AV$22</f>
        <v>0</v>
      </c>
      <c r="AW46" s="309">
        <f>+SUMIF('Monthly UF Model'!$I$7:$DY$7,'Monthly USD Model'!AW$7,'Monthly UF Model'!$I436:$DY436)*AW$22</f>
        <v>0</v>
      </c>
      <c r="AX46" s="309">
        <f>+SUMIF('Monthly UF Model'!$I$7:$DY$7,'Monthly USD Model'!AX$7,'Monthly UF Model'!$I436:$DY436)*AX$22</f>
        <v>0</v>
      </c>
      <c r="AY46" s="309">
        <f>+SUMIF('Monthly UF Model'!$I$7:$DY$7,'Monthly USD Model'!AY$7,'Monthly UF Model'!$I436:$DY436)*AY$22</f>
        <v>0</v>
      </c>
      <c r="AZ46" s="309">
        <f>+SUMIF('Monthly UF Model'!$I$7:$DY$7,'Monthly USD Model'!AZ$7,'Monthly UF Model'!$I436:$DY436)*AZ$22</f>
        <v>0</v>
      </c>
      <c r="BA46" s="309">
        <f>+SUMIF('Monthly UF Model'!$I$7:$DY$7,'Monthly USD Model'!BA$7,'Monthly UF Model'!$I436:$DY436)*BA$22</f>
        <v>0</v>
      </c>
      <c r="BB46" s="309">
        <f>+SUMIF('Monthly UF Model'!$I$7:$DY$7,'Monthly USD Model'!BB$7,'Monthly UF Model'!$I436:$DY436)*BB$22</f>
        <v>0</v>
      </c>
      <c r="BC46" s="309">
        <f>+SUMIF('Monthly UF Model'!$I$7:$DY$7,'Monthly USD Model'!BC$7,'Monthly UF Model'!$I436:$DY436)*BC$22</f>
        <v>0</v>
      </c>
      <c r="BD46" s="309">
        <f>+SUMIF('Monthly UF Model'!$I$7:$DY$7,'Monthly USD Model'!BD$7,'Monthly UF Model'!$I436:$DY436)*BD$22</f>
        <v>0</v>
      </c>
      <c r="BE46" s="309">
        <f>+SUMIF('Monthly UF Model'!$I$7:$DY$7,'Monthly USD Model'!BE$7,'Monthly UF Model'!$I436:$DY436)*BE$22</f>
        <v>0</v>
      </c>
      <c r="BF46" s="309">
        <f>+SUMIF('Monthly UF Model'!$I$7:$DY$7,'Monthly USD Model'!BF$7,'Monthly UF Model'!$I436:$DY436)*BF$22</f>
        <v>0</v>
      </c>
      <c r="BG46" s="309">
        <f>+SUMIF('Monthly UF Model'!$I$7:$DY$7,'Monthly USD Model'!BG$7,'Monthly UF Model'!$I436:$DY436)*BG$22</f>
        <v>0</v>
      </c>
      <c r="BH46" s="309">
        <f>+SUMIF('Monthly UF Model'!$I$7:$DY$7,'Monthly USD Model'!BH$7,'Monthly UF Model'!$I436:$DY436)*BH$22</f>
        <v>-23123.42171400768</v>
      </c>
      <c r="BI46" s="309">
        <f>+SUMIF('Monthly UF Model'!$I$7:$DY$7,'Monthly USD Model'!BI$7,'Monthly UF Model'!$I436:$DY436)*BI$22</f>
        <v>-52404.318088889442</v>
      </c>
      <c r="BJ46" s="309">
        <f>+SUMIF('Monthly UF Model'!$I$7:$DY$7,'Monthly USD Model'!BJ$7,'Monthly UF Model'!$I436:$DY436)*BJ$22</f>
        <v>-38636.201026474941</v>
      </c>
      <c r="BK46" s="309">
        <f>+SUMIF('Monthly UF Model'!$I$7:$DY$7,'Monthly USD Model'!BK$7,'Monthly UF Model'!$I436:$DY436)*BK$22</f>
        <v>12597.195300803785</v>
      </c>
      <c r="BL46" s="309">
        <f>+SUMIF('Monthly UF Model'!$I$7:$DY$7,'Monthly USD Model'!BL$7,'Monthly UF Model'!$I436:$DY436)*BL$22</f>
        <v>-56818.921211241024</v>
      </c>
      <c r="BM46" s="309">
        <f>+SUMIF('Monthly UF Model'!$I$7:$DY$7,'Monthly USD Model'!BM$7,'Monthly UF Model'!$I436:$DY436)*BM$22</f>
        <v>-271.087002837044</v>
      </c>
      <c r="BN46" s="309">
        <f>+SUMIF('Monthly UF Model'!$I$7:$DY$7,'Monthly USD Model'!BN$7,'Monthly UF Model'!$I436:$DY436)*BN$22</f>
        <v>-4587.4240196616192</v>
      </c>
      <c r="BO46" s="309">
        <f>+SUMIF('Monthly UF Model'!$I$7:$DY$7,'Monthly USD Model'!BO$7,'Monthly UF Model'!$I436:$DY436)*BO$22</f>
        <v>34512.322726190607</v>
      </c>
      <c r="BP46" s="309">
        <f>+SUMIF('Monthly UF Model'!$I$7:$DY$7,'Monthly USD Model'!BP$7,'Monthly UF Model'!$I436:$DY436)*BP$22</f>
        <v>24616.237060041392</v>
      </c>
      <c r="BQ46" s="309">
        <f>+SUMIF('Monthly UF Model'!$I$7:$DY$7,'Monthly USD Model'!BQ$7,'Monthly UF Model'!$I436:$DY436)*BQ$22</f>
        <v>17560.576953591935</v>
      </c>
      <c r="BR46" s="309">
        <f>+SUMIF('Monthly UF Model'!$I$7:$DY$7,'Monthly USD Model'!BR$7,'Monthly UF Model'!$I436:$DY436)*BR$22</f>
        <v>29473.228442088977</v>
      </c>
      <c r="BS46" s="309">
        <f>+SUMIF('Monthly UF Model'!$I$7:$DY$7,'Monthly USD Model'!BS$7,'Monthly UF Model'!$I436:$DY436)*BS$22</f>
        <v>12569.540784865791</v>
      </c>
      <c r="BT46" s="309">
        <f>+SUMIF('Monthly UF Model'!$I$7:$DY$7,'Monthly USD Model'!BT$7,'Monthly UF Model'!$I436:$DY436)*BT$22</f>
        <v>26425.473816476842</v>
      </c>
      <c r="BU46" s="309">
        <f>+SUMIF('Monthly UF Model'!$I$7:$DY$7,'Monthly USD Model'!BU$7,'Monthly UF Model'!$I436:$DY436)*BU$22</f>
        <v>34648.999085703283</v>
      </c>
      <c r="BV46" s="309">
        <f>+SUMIF('Monthly UF Model'!$I$7:$DY$7,'Monthly USD Model'!BV$7,'Monthly UF Model'!$I436:$DY436)*BV$22</f>
        <v>22355.682106116659</v>
      </c>
      <c r="BW46" s="309">
        <f>+SUMIF('Monthly UF Model'!$I$7:$DY$7,'Monthly USD Model'!BW$7,'Monthly UF Model'!$I436:$DY436)*BW$22</f>
        <v>9582.8861291650501</v>
      </c>
      <c r="BX46" s="309">
        <f>+SUMIF('Monthly UF Model'!$I$7:$DY$7,'Monthly USD Model'!BX$7,'Monthly UF Model'!$I436:$DY436)*BX$22</f>
        <v>37889.397601663506</v>
      </c>
      <c r="BY46" s="309">
        <f ca="1">+SUMIF('Monthly UF Model'!$I$7:$DY$7,'Monthly USD Model'!BY$7,'Monthly UF Model'!$I436:$DY436)*BY$22</f>
        <v>108199.67374613771</v>
      </c>
      <c r="BZ46" s="309">
        <f ca="1">+SUMIF('Monthly UF Model'!$I$7:$DY$7,'Monthly USD Model'!BZ$7,'Monthly UF Model'!$I436:$DY436)*BZ$22</f>
        <v>97856.08159742158</v>
      </c>
      <c r="CA46" s="309">
        <f ca="1">+SUMIF('Monthly UF Model'!$I$7:$DY$7,'Monthly USD Model'!CA$7,'Monthly UF Model'!$I436:$DY436)*CA$22</f>
        <v>98017.698872067063</v>
      </c>
      <c r="CB46" s="309">
        <f ca="1">+SUMIF('Monthly UF Model'!$I$7:$DY$7,'Monthly USD Model'!CB$7,'Monthly UF Model'!$I436:$DY436)*CB$22</f>
        <v>98179.583070781417</v>
      </c>
      <c r="CC46" s="309">
        <f ca="1">+SUMIF('Monthly UF Model'!$I$7:$DY$7,'Monthly USD Model'!CC$7,'Monthly UF Model'!$I436:$DY436)*CC$22</f>
        <v>98341.734634411448</v>
      </c>
      <c r="CD46" s="309">
        <f ca="1">+SUMIF('Monthly UF Model'!$I$7:$DY$7,'Monthly USD Model'!CD$7,'Monthly UF Model'!$I436:$DY436)*CD$22</f>
        <v>98504.154004532029</v>
      </c>
      <c r="CE46" s="309">
        <f ca="1">+SUMIF('Monthly UF Model'!$I$7:$DY$7,'Monthly USD Model'!CE$7,'Monthly UF Model'!$I436:$DY436)*CE$22</f>
        <v>113741.15619449721</v>
      </c>
      <c r="CF46" s="309">
        <f ca="1">+SUMIF('Monthly UF Model'!$I$7:$DY$7,'Monthly USD Model'!CF$7,'Monthly UF Model'!$I436:$DY436)*CF$22</f>
        <v>0</v>
      </c>
      <c r="CG46" s="309">
        <f ca="1">+SUMIF('Monthly UF Model'!$I$7:$DY$7,'Monthly USD Model'!CG$7,'Monthly UF Model'!$I436:$DY436)*CG$22</f>
        <v>0</v>
      </c>
      <c r="CH46" s="309">
        <f ca="1">+SUMIF('Monthly UF Model'!$I$7:$DY$7,'Monthly USD Model'!CH$7,'Monthly UF Model'!$I436:$DY436)*CH$22</f>
        <v>0</v>
      </c>
      <c r="CI46" s="309">
        <f ca="1">+SUMIF('Monthly UF Model'!$I$7:$DY$7,'Monthly USD Model'!CI$7,'Monthly UF Model'!$I436:$DY436)*CI$22</f>
        <v>0</v>
      </c>
      <c r="CJ46" s="309">
        <f ca="1">+SUMIF('Monthly UF Model'!$I$7:$DY$7,'Monthly USD Model'!CJ$7,'Monthly UF Model'!$I436:$DY436)*CJ$22</f>
        <v>0</v>
      </c>
      <c r="CK46" s="309">
        <f ca="1">+SUMIF('Monthly UF Model'!$I$7:$DY$7,'Monthly USD Model'!CK$7,'Monthly UF Model'!$I436:$DY436)*CK$22</f>
        <v>0</v>
      </c>
      <c r="CL46" s="309">
        <f ca="1">+SUMIF('Monthly UF Model'!$I$7:$DY$7,'Monthly USD Model'!CL$7,'Monthly UF Model'!$I436:$DY436)*CL$22</f>
        <v>0</v>
      </c>
      <c r="CM46" s="309">
        <f ca="1">+SUMIF('Monthly UF Model'!$I$7:$DY$7,'Monthly USD Model'!CM$7,'Monthly UF Model'!$I436:$DY436)*CM$22</f>
        <v>0</v>
      </c>
      <c r="CN46" s="309">
        <f ca="1">+SUMIF('Monthly UF Model'!$I$7:$DY$7,'Monthly USD Model'!CN$7,'Monthly UF Model'!$I436:$DY436)*CN$22</f>
        <v>0</v>
      </c>
      <c r="CO46" s="309">
        <f ca="1">+SUMIF('Monthly UF Model'!$I$7:$DY$7,'Monthly USD Model'!CO$7,'Monthly UF Model'!$I436:$DY436)*CO$22</f>
        <v>0</v>
      </c>
      <c r="CP46" s="309">
        <f ca="1">+SUMIF('Monthly UF Model'!$I$7:$DY$7,'Monthly USD Model'!CP$7,'Monthly UF Model'!$I436:$DY436)*CP$22</f>
        <v>0</v>
      </c>
      <c r="CQ46" s="309">
        <f ca="1">+SUMIF('Monthly UF Model'!$I$7:$DY$7,'Monthly USD Model'!CQ$7,'Monthly UF Model'!$I436:$DY436)*CQ$22</f>
        <v>0</v>
      </c>
      <c r="CR46" s="309">
        <f ca="1">+SUMIF('Monthly UF Model'!$I$7:$DY$7,'Monthly USD Model'!CR$7,'Monthly UF Model'!$I436:$DY436)*CR$22</f>
        <v>0</v>
      </c>
      <c r="CS46" s="309">
        <f ca="1">+SUMIF('Monthly UF Model'!$I$7:$DY$7,'Monthly USD Model'!CS$7,'Monthly UF Model'!$I436:$DY436)*CS$22</f>
        <v>0</v>
      </c>
      <c r="CT46" s="309">
        <f ca="1">+SUMIF('Monthly UF Model'!$I$7:$DY$7,'Monthly USD Model'!CT$7,'Monthly UF Model'!$I436:$DY436)*CT$22</f>
        <v>0</v>
      </c>
      <c r="CU46" s="309">
        <f ca="1">+SUMIF('Monthly UF Model'!$I$7:$DY$7,'Monthly USD Model'!CU$7,'Monthly UF Model'!$I436:$DY436)*CU$22</f>
        <v>0</v>
      </c>
      <c r="CV46" s="309">
        <f ca="1">+SUMIF('Monthly UF Model'!$I$7:$DY$7,'Monthly USD Model'!CV$7,'Monthly UF Model'!$I436:$DY436)*CV$22</f>
        <v>0</v>
      </c>
      <c r="CW46" s="309">
        <f ca="1">+SUMIF('Monthly UF Model'!$I$7:$DY$7,'Monthly USD Model'!CW$7,'Monthly UF Model'!$I436:$DY436)*CW$22</f>
        <v>0</v>
      </c>
      <c r="CX46" s="309">
        <f ca="1">+SUMIF('Monthly UF Model'!$I$7:$DY$7,'Monthly USD Model'!CX$7,'Monthly UF Model'!$I436:$DY436)*CX$22</f>
        <v>0</v>
      </c>
      <c r="CY46" s="309">
        <f ca="1">+SUMIF('Monthly UF Model'!$I$7:$DY$7,'Monthly USD Model'!CY$7,'Monthly UF Model'!$I436:$DY436)*CY$22</f>
        <v>0</v>
      </c>
      <c r="CZ46" s="309">
        <f ca="1">+SUMIF('Monthly UF Model'!$I$7:$DY$7,'Monthly USD Model'!CZ$7,'Monthly UF Model'!$I436:$DY436)*CZ$22</f>
        <v>0</v>
      </c>
      <c r="DA46" s="309">
        <f ca="1">+SUMIF('Monthly UF Model'!$I$7:$DY$7,'Monthly USD Model'!DA$7,'Monthly UF Model'!$I436:$DY436)*DA$22</f>
        <v>0</v>
      </c>
      <c r="DB46" s="309">
        <f ca="1">+SUMIF('Monthly UF Model'!$I$7:$DY$7,'Monthly USD Model'!DB$7,'Monthly UF Model'!$I436:$DY436)*DB$22</f>
        <v>0</v>
      </c>
      <c r="DC46" s="309">
        <f ca="1">+SUMIF('Monthly UF Model'!$I$7:$DY$7,'Monthly USD Model'!DC$7,'Monthly UF Model'!$I436:$DY436)*DC$22</f>
        <v>0</v>
      </c>
      <c r="DD46" s="309">
        <f ca="1">+SUMIF('Monthly UF Model'!$I$7:$DY$7,'Monthly USD Model'!DD$7,'Monthly UF Model'!$I436:$DY436)*DD$22</f>
        <v>0</v>
      </c>
      <c r="DE46" s="309">
        <f ca="1">+SUMIF('Monthly UF Model'!$I$7:$DY$7,'Monthly USD Model'!DE$7,'Monthly UF Model'!$I436:$DY436)*DE$22</f>
        <v>0</v>
      </c>
      <c r="DF46" s="309">
        <f ca="1">+SUMIF('Monthly UF Model'!$I$7:$DY$7,'Monthly USD Model'!DF$7,'Monthly UF Model'!$I436:$DY436)*DF$22</f>
        <v>0</v>
      </c>
      <c r="DG46" s="309">
        <f ca="1">+SUMIF('Monthly UF Model'!$I$7:$DY$7,'Monthly USD Model'!DG$7,'Monthly UF Model'!$I436:$DY436)*DG$22</f>
        <v>0</v>
      </c>
      <c r="DH46" s="309">
        <f ca="1">+SUMIF('Monthly UF Model'!$I$7:$DY$7,'Monthly USD Model'!DH$7,'Monthly UF Model'!$I436:$DY436)*DH$22</f>
        <v>0</v>
      </c>
      <c r="DI46" s="309">
        <f ca="1">+SUMIF('Monthly UF Model'!$I$7:$DY$7,'Monthly USD Model'!DI$7,'Monthly UF Model'!$I436:$DY436)*DI$22</f>
        <v>0</v>
      </c>
      <c r="DJ46" s="309">
        <f ca="1">+SUMIF('Monthly UF Model'!$I$7:$DY$7,'Monthly USD Model'!DJ$7,'Monthly UF Model'!$I436:$DY436)*DJ$22</f>
        <v>0</v>
      </c>
      <c r="DK46" s="309">
        <f ca="1">+SUMIF('Monthly UF Model'!$I$7:$DY$7,'Monthly USD Model'!DK$7,'Monthly UF Model'!$I436:$DY436)*DK$22</f>
        <v>0</v>
      </c>
      <c r="DL46" s="309">
        <f ca="1">+SUMIF('Monthly UF Model'!$I$7:$DY$7,'Monthly USD Model'!DL$7,'Monthly UF Model'!$I436:$DY436)*DL$22</f>
        <v>0</v>
      </c>
      <c r="DM46" s="309">
        <f ca="1">+SUMIF('Monthly UF Model'!$I$7:$DY$7,'Monthly USD Model'!DM$7,'Monthly UF Model'!$I436:$DY436)*DM$22</f>
        <v>0</v>
      </c>
      <c r="DN46" s="309">
        <f ca="1">+SUMIF('Monthly UF Model'!$I$7:$DY$7,'Monthly USD Model'!DN$7,'Monthly UF Model'!$I436:$DY436)*DN$22</f>
        <v>0</v>
      </c>
      <c r="DO46" s="309">
        <f ca="1">+SUMIF('Monthly UF Model'!$I$7:$DY$7,'Monthly USD Model'!DO$7,'Monthly UF Model'!$I436:$DY436)*DO$22</f>
        <v>0</v>
      </c>
      <c r="DP46" s="309">
        <f ca="1">+SUMIF('Monthly UF Model'!$I$7:$DY$7,'Monthly USD Model'!DP$7,'Monthly UF Model'!$I436:$DY436)*DP$22</f>
        <v>0</v>
      </c>
      <c r="DQ46" s="309">
        <f ca="1">+SUMIF('Monthly UF Model'!$I$7:$DY$7,'Monthly USD Model'!DQ$7,'Monthly UF Model'!$I436:$DY436)*DQ$22</f>
        <v>0</v>
      </c>
      <c r="DR46" s="309">
        <f ca="1">+SUMIF('Monthly UF Model'!$I$7:$DY$7,'Monthly USD Model'!DR$7,'Monthly UF Model'!$I436:$DY436)*DR$22</f>
        <v>0</v>
      </c>
      <c r="DS46" s="309">
        <f ca="1">+SUMIF('Monthly UF Model'!$I$7:$DY$7,'Monthly USD Model'!DS$7,'Monthly UF Model'!$I436:$DY436)*DS$22</f>
        <v>0</v>
      </c>
      <c r="DT46" s="309">
        <f ca="1">+SUMIF('Monthly UF Model'!$I$7:$DY$7,'Monthly USD Model'!DT$7,'Monthly UF Model'!$I436:$DY436)*DT$22</f>
        <v>0</v>
      </c>
      <c r="DU46" s="309">
        <f ca="1">+SUMIF('Monthly UF Model'!$I$7:$DY$7,'Monthly USD Model'!DU$7,'Monthly UF Model'!$I436:$DY436)*DU$22</f>
        <v>0</v>
      </c>
      <c r="DV46" s="309">
        <f ca="1">+SUMIF('Monthly UF Model'!$I$7:$DY$7,'Monthly USD Model'!DV$7,'Monthly UF Model'!$I436:$DY436)*DV$22</f>
        <v>0</v>
      </c>
      <c r="DW46" s="309">
        <f ca="1">+SUMIF('Monthly UF Model'!$I$7:$DY$7,'Monthly USD Model'!DW$7,'Monthly UF Model'!$I436:$DY436)*DW$22</f>
        <v>0</v>
      </c>
      <c r="DX46" s="309">
        <f ca="1">+SUMIF('Monthly UF Model'!$I$7:$DY$7,'Monthly USD Model'!DX$7,'Monthly UF Model'!$I436:$DY436)*DX$22</f>
        <v>0</v>
      </c>
    </row>
    <row r="47" spans="1:128" s="5" customFormat="1" ht="10.8" outlineLevel="1" x14ac:dyDescent="0.25">
      <c r="A47" s="3"/>
      <c r="B47" s="125" t="s">
        <v>19</v>
      </c>
      <c r="C47" s="111"/>
      <c r="D47" s="111"/>
      <c r="E47" s="111"/>
      <c r="F47" s="111"/>
      <c r="G47" s="308">
        <f t="shared" si="25"/>
        <v>95380.157385876984</v>
      </c>
      <c r="H47" s="309">
        <f>+SUMIF('Monthly UF Model'!$I$7:$DY$7,'Monthly USD Model'!H$7,'Monthly UF Model'!$I437:$DY437)*H$22</f>
        <v>0</v>
      </c>
      <c r="I47" s="309">
        <f>+SUMIF('Monthly UF Model'!$I$7:$DY$7,'Monthly USD Model'!I$7,'Monthly UF Model'!$I437:$DY437)*I$22</f>
        <v>0</v>
      </c>
      <c r="J47" s="309">
        <f>+SUMIF('Monthly UF Model'!$I$7:$DY$7,'Monthly USD Model'!J$7,'Monthly UF Model'!$I437:$DY437)*J$22</f>
        <v>0</v>
      </c>
      <c r="K47" s="309">
        <f>+SUMIF('Monthly UF Model'!$I$7:$DY$7,'Monthly USD Model'!K$7,'Monthly UF Model'!$I437:$DY437)*K$22</f>
        <v>0</v>
      </c>
      <c r="L47" s="309">
        <f>+SUMIF('Monthly UF Model'!$I$7:$DY$7,'Monthly USD Model'!L$7,'Monthly UF Model'!$I437:$DY437)*L$22</f>
        <v>0</v>
      </c>
      <c r="M47" s="309">
        <f>+SUMIF('Monthly UF Model'!$I$7:$DY$7,'Monthly USD Model'!M$7,'Monthly UF Model'!$I437:$DY437)*M$22</f>
        <v>0</v>
      </c>
      <c r="N47" s="309">
        <f>+SUMIF('Monthly UF Model'!$I$7:$DY$7,'Monthly USD Model'!N$7,'Monthly UF Model'!$I437:$DY437)*N$22</f>
        <v>0</v>
      </c>
      <c r="O47" s="309">
        <f>+SUMIF('Monthly UF Model'!$I$7:$DY$7,'Monthly USD Model'!O$7,'Monthly UF Model'!$I437:$DY437)*O$22</f>
        <v>0</v>
      </c>
      <c r="P47" s="309">
        <f>+SUMIF('Monthly UF Model'!$I$7:$DY$7,'Monthly USD Model'!P$7,'Monthly UF Model'!$I437:$DY437)*P$22</f>
        <v>0</v>
      </c>
      <c r="Q47" s="309">
        <f>+SUMIF('Monthly UF Model'!$I$7:$DY$7,'Monthly USD Model'!Q$7,'Monthly UF Model'!$I437:$DY437)*Q$22</f>
        <v>0</v>
      </c>
      <c r="R47" s="309">
        <f>+SUMIF('Monthly UF Model'!$I$7:$DY$7,'Monthly USD Model'!R$7,'Monthly UF Model'!$I437:$DY437)*R$22</f>
        <v>0</v>
      </c>
      <c r="S47" s="309">
        <f>+SUMIF('Monthly UF Model'!$I$7:$DY$7,'Monthly USD Model'!S$7,'Monthly UF Model'!$I437:$DY437)*S$22</f>
        <v>0</v>
      </c>
      <c r="T47" s="309">
        <f>+SUMIF('Monthly UF Model'!$I$7:$DY$7,'Monthly USD Model'!T$7,'Monthly UF Model'!$I437:$DY437)*T$22</f>
        <v>0</v>
      </c>
      <c r="U47" s="309">
        <f>+SUMIF('Monthly UF Model'!$I$7:$DY$7,'Monthly USD Model'!U$7,'Monthly UF Model'!$I437:$DY437)*U$22</f>
        <v>0</v>
      </c>
      <c r="V47" s="309">
        <f>+SUMIF('Monthly UF Model'!$I$7:$DY$7,'Monthly USD Model'!V$7,'Monthly UF Model'!$I437:$DY437)*V$22</f>
        <v>0</v>
      </c>
      <c r="W47" s="309">
        <f>+SUMIF('Monthly UF Model'!$I$7:$DY$7,'Monthly USD Model'!W$7,'Monthly UF Model'!$I437:$DY437)*W$22</f>
        <v>0</v>
      </c>
      <c r="X47" s="309">
        <f>+SUMIF('Monthly UF Model'!$I$7:$DY$7,'Monthly USD Model'!X$7,'Monthly UF Model'!$I437:$DY437)*X$22</f>
        <v>0</v>
      </c>
      <c r="Y47" s="309">
        <f>+SUMIF('Monthly UF Model'!$I$7:$DY$7,'Monthly USD Model'!Y$7,'Monthly UF Model'!$I437:$DY437)*Y$22</f>
        <v>0</v>
      </c>
      <c r="Z47" s="309">
        <f>+SUMIF('Monthly UF Model'!$I$7:$DY$7,'Monthly USD Model'!Z$7,'Monthly UF Model'!$I437:$DY437)*Z$22</f>
        <v>0</v>
      </c>
      <c r="AA47" s="309">
        <f>+SUMIF('Monthly UF Model'!$I$7:$DY$7,'Monthly USD Model'!AA$7,'Monthly UF Model'!$I437:$DY437)*AA$22</f>
        <v>0</v>
      </c>
      <c r="AB47" s="309">
        <f>+SUMIF('Monthly UF Model'!$I$7:$DY$7,'Monthly USD Model'!AB$7,'Monthly UF Model'!$I437:$DY437)*AB$22</f>
        <v>0</v>
      </c>
      <c r="AC47" s="309">
        <f>+SUMIF('Monthly UF Model'!$I$7:$DY$7,'Monthly USD Model'!AC$7,'Monthly UF Model'!$I437:$DY437)*AC$22</f>
        <v>0</v>
      </c>
      <c r="AD47" s="309">
        <f>+SUMIF('Monthly UF Model'!$I$7:$DY$7,'Monthly USD Model'!AD$7,'Monthly UF Model'!$I437:$DY437)*AD$22</f>
        <v>0</v>
      </c>
      <c r="AE47" s="309">
        <f>+SUMIF('Monthly UF Model'!$I$7:$DY$7,'Monthly USD Model'!AE$7,'Monthly UF Model'!$I437:$DY437)*AE$22</f>
        <v>0</v>
      </c>
      <c r="AF47" s="309">
        <f>+SUMIF('Monthly UF Model'!$I$7:$DY$7,'Monthly USD Model'!AF$7,'Monthly UF Model'!$I437:$DY437)*AF$22</f>
        <v>0</v>
      </c>
      <c r="AG47" s="309">
        <f>+SUMIF('Monthly UF Model'!$I$7:$DY$7,'Monthly USD Model'!AG$7,'Monthly UF Model'!$I437:$DY437)*AG$22</f>
        <v>0</v>
      </c>
      <c r="AH47" s="309">
        <f>+SUMIF('Monthly UF Model'!$I$7:$DY$7,'Monthly USD Model'!AH$7,'Monthly UF Model'!$I437:$DY437)*AH$22</f>
        <v>0</v>
      </c>
      <c r="AI47" s="309">
        <f>+SUMIF('Monthly UF Model'!$I$7:$DY$7,'Monthly USD Model'!AI$7,'Monthly UF Model'!$I437:$DY437)*AI$22</f>
        <v>0</v>
      </c>
      <c r="AJ47" s="309">
        <f>+SUMIF('Monthly UF Model'!$I$7:$DY$7,'Monthly USD Model'!AJ$7,'Monthly UF Model'!$I437:$DY437)*AJ$22</f>
        <v>0</v>
      </c>
      <c r="AK47" s="309">
        <f>+SUMIF('Monthly UF Model'!$I$7:$DY$7,'Monthly USD Model'!AK$7,'Monthly UF Model'!$I437:$DY437)*AK$22</f>
        <v>0</v>
      </c>
      <c r="AL47" s="309">
        <f>+SUMIF('Monthly UF Model'!$I$7:$DY$7,'Monthly USD Model'!AL$7,'Monthly UF Model'!$I437:$DY437)*AL$22</f>
        <v>0</v>
      </c>
      <c r="AM47" s="309">
        <f>+SUMIF('Monthly UF Model'!$I$7:$DY$7,'Monthly USD Model'!AM$7,'Monthly UF Model'!$I437:$DY437)*AM$22</f>
        <v>0</v>
      </c>
      <c r="AN47" s="309">
        <f>+SUMIF('Monthly UF Model'!$I$7:$DY$7,'Monthly USD Model'!AN$7,'Monthly UF Model'!$I437:$DY437)*AN$22</f>
        <v>0</v>
      </c>
      <c r="AO47" s="309">
        <f>+SUMIF('Monthly UF Model'!$I$7:$DY$7,'Monthly USD Model'!AO$7,'Monthly UF Model'!$I437:$DY437)*AO$22</f>
        <v>0</v>
      </c>
      <c r="AP47" s="309">
        <f>+SUMIF('Monthly UF Model'!$I$7:$DY$7,'Monthly USD Model'!AP$7,'Monthly UF Model'!$I437:$DY437)*AP$22</f>
        <v>0</v>
      </c>
      <c r="AQ47" s="309">
        <f>+SUMIF('Monthly UF Model'!$I$7:$DY$7,'Monthly USD Model'!AQ$7,'Monthly UF Model'!$I437:$DY437)*AQ$22</f>
        <v>0</v>
      </c>
      <c r="AR47" s="309">
        <f>+SUMIF('Monthly UF Model'!$I$7:$DY$7,'Monthly USD Model'!AR$7,'Monthly UF Model'!$I437:$DY437)*AR$22</f>
        <v>0</v>
      </c>
      <c r="AS47" s="309">
        <f>+SUMIF('Monthly UF Model'!$I$7:$DY$7,'Monthly USD Model'!AS$7,'Monthly UF Model'!$I437:$DY437)*AS$22</f>
        <v>0</v>
      </c>
      <c r="AT47" s="309">
        <f>+SUMIF('Monthly UF Model'!$I$7:$DY$7,'Monthly USD Model'!AT$7,'Monthly UF Model'!$I437:$DY437)*AT$22</f>
        <v>0</v>
      </c>
      <c r="AU47" s="309">
        <f>+SUMIF('Monthly UF Model'!$I$7:$DY$7,'Monthly USD Model'!AU$7,'Monthly UF Model'!$I437:$DY437)*AU$22</f>
        <v>0</v>
      </c>
      <c r="AV47" s="309">
        <f>+SUMIF('Monthly UF Model'!$I$7:$DY$7,'Monthly USD Model'!AV$7,'Monthly UF Model'!$I437:$DY437)*AV$22</f>
        <v>0</v>
      </c>
      <c r="AW47" s="309">
        <f>+SUMIF('Monthly UF Model'!$I$7:$DY$7,'Monthly USD Model'!AW$7,'Monthly UF Model'!$I437:$DY437)*AW$22</f>
        <v>0</v>
      </c>
      <c r="AX47" s="309">
        <f>+SUMIF('Monthly UF Model'!$I$7:$DY$7,'Monthly USD Model'!AX$7,'Monthly UF Model'!$I437:$DY437)*AX$22</f>
        <v>0</v>
      </c>
      <c r="AY47" s="309">
        <f>+SUMIF('Monthly UF Model'!$I$7:$DY$7,'Monthly USD Model'!AY$7,'Monthly UF Model'!$I437:$DY437)*AY$22</f>
        <v>0</v>
      </c>
      <c r="AZ47" s="309">
        <f>+SUMIF('Monthly UF Model'!$I$7:$DY$7,'Monthly USD Model'!AZ$7,'Monthly UF Model'!$I437:$DY437)*AZ$22</f>
        <v>0</v>
      </c>
      <c r="BA47" s="309">
        <f>+SUMIF('Monthly UF Model'!$I$7:$DY$7,'Monthly USD Model'!BA$7,'Monthly UF Model'!$I437:$DY437)*BA$22</f>
        <v>0</v>
      </c>
      <c r="BB47" s="309">
        <f>+SUMIF('Monthly UF Model'!$I$7:$DY$7,'Monthly USD Model'!BB$7,'Monthly UF Model'!$I437:$DY437)*BB$22</f>
        <v>0</v>
      </c>
      <c r="BC47" s="309">
        <f>+SUMIF('Monthly UF Model'!$I$7:$DY$7,'Monthly USD Model'!BC$7,'Monthly UF Model'!$I437:$DY437)*BC$22</f>
        <v>0</v>
      </c>
      <c r="BD47" s="309">
        <f>+SUMIF('Monthly UF Model'!$I$7:$DY$7,'Monthly USD Model'!BD$7,'Monthly UF Model'!$I437:$DY437)*BD$22</f>
        <v>0</v>
      </c>
      <c r="BE47" s="309">
        <f>+SUMIF('Monthly UF Model'!$I$7:$DY$7,'Monthly USD Model'!BE$7,'Monthly UF Model'!$I437:$DY437)*BE$22</f>
        <v>0</v>
      </c>
      <c r="BF47" s="309">
        <f>+SUMIF('Monthly UF Model'!$I$7:$DY$7,'Monthly USD Model'!BF$7,'Monthly UF Model'!$I437:$DY437)*BF$22</f>
        <v>0</v>
      </c>
      <c r="BG47" s="309">
        <f>+SUMIF('Monthly UF Model'!$I$7:$DY$7,'Monthly USD Model'!BG$7,'Monthly UF Model'!$I437:$DY437)*BG$22</f>
        <v>0</v>
      </c>
      <c r="BH47" s="309">
        <f>+SUMIF('Monthly UF Model'!$I$7:$DY$7,'Monthly USD Model'!BH$7,'Monthly UF Model'!$I437:$DY437)*BH$22</f>
        <v>0</v>
      </c>
      <c r="BI47" s="309">
        <f>+SUMIF('Monthly UF Model'!$I$7:$DY$7,'Monthly USD Model'!BI$7,'Monthly UF Model'!$I437:$DY437)*BI$22</f>
        <v>0</v>
      </c>
      <c r="BJ47" s="309">
        <f>+SUMIF('Monthly UF Model'!$I$7:$DY$7,'Monthly USD Model'!BJ$7,'Monthly UF Model'!$I437:$DY437)*BJ$22</f>
        <v>0</v>
      </c>
      <c r="BK47" s="309">
        <f>+SUMIF('Monthly UF Model'!$I$7:$DY$7,'Monthly USD Model'!BK$7,'Monthly UF Model'!$I437:$DY437)*BK$22</f>
        <v>0</v>
      </c>
      <c r="BL47" s="309">
        <f>+SUMIF('Monthly UF Model'!$I$7:$DY$7,'Monthly USD Model'!BL$7,'Monthly UF Model'!$I437:$DY437)*BL$22</f>
        <v>0</v>
      </c>
      <c r="BM47" s="309">
        <f>+SUMIF('Monthly UF Model'!$I$7:$DY$7,'Monthly USD Model'!BM$7,'Monthly UF Model'!$I437:$DY437)*BM$22</f>
        <v>0</v>
      </c>
      <c r="BN47" s="309">
        <f>+SUMIF('Monthly UF Model'!$I$7:$DY$7,'Monthly USD Model'!BN$7,'Monthly UF Model'!$I437:$DY437)*BN$22</f>
        <v>0</v>
      </c>
      <c r="BO47" s="309">
        <f>+SUMIF('Monthly UF Model'!$I$7:$DY$7,'Monthly USD Model'!BO$7,'Monthly UF Model'!$I437:$DY437)*BO$22</f>
        <v>0</v>
      </c>
      <c r="BP47" s="309">
        <f>+SUMIF('Monthly UF Model'!$I$7:$DY$7,'Monthly USD Model'!BP$7,'Monthly UF Model'!$I437:$DY437)*BP$22</f>
        <v>0</v>
      </c>
      <c r="BQ47" s="309">
        <f>+SUMIF('Monthly UF Model'!$I$7:$DY$7,'Monthly USD Model'!BQ$7,'Monthly UF Model'!$I437:$DY437)*BQ$22</f>
        <v>0</v>
      </c>
      <c r="BR47" s="309">
        <f>+SUMIF('Monthly UF Model'!$I$7:$DY$7,'Monthly USD Model'!BR$7,'Monthly UF Model'!$I437:$DY437)*BR$22</f>
        <v>0</v>
      </c>
      <c r="BS47" s="309">
        <f>+SUMIF('Monthly UF Model'!$I$7:$DY$7,'Monthly USD Model'!BS$7,'Monthly UF Model'!$I437:$DY437)*BS$22</f>
        <v>0</v>
      </c>
      <c r="BT47" s="309">
        <f>+SUMIF('Monthly UF Model'!$I$7:$DY$7,'Monthly USD Model'!BT$7,'Monthly UF Model'!$I437:$DY437)*BT$22</f>
        <v>0</v>
      </c>
      <c r="BU47" s="309">
        <f>+SUMIF('Monthly UF Model'!$I$7:$DY$7,'Monthly USD Model'!BU$7,'Monthly UF Model'!$I437:$DY437)*BU$22</f>
        <v>0</v>
      </c>
      <c r="BV47" s="309">
        <f>+SUMIF('Monthly UF Model'!$I$7:$DY$7,'Monthly USD Model'!BV$7,'Monthly UF Model'!$I437:$DY437)*BV$22</f>
        <v>2823.2060507778842</v>
      </c>
      <c r="BW47" s="309">
        <f>+SUMIF('Monthly UF Model'!$I$7:$DY$7,'Monthly USD Model'!BW$7,'Monthly UF Model'!$I437:$DY437)*BW$22</f>
        <v>1396.5943538628512</v>
      </c>
      <c r="BX47" s="309">
        <f>+SUMIF('Monthly UF Model'!$I$7:$DY$7,'Monthly USD Model'!BX$7,'Monthly UF Model'!$I437:$DY437)*BX$22</f>
        <v>0</v>
      </c>
      <c r="BY47" s="309">
        <f>+SUMIF('Monthly UF Model'!$I$7:$DY$7,'Monthly USD Model'!BY$7,'Monthly UF Model'!$I437:$DY437)*BY$22</f>
        <v>0</v>
      </c>
      <c r="BZ47" s="309">
        <f>+SUMIF('Monthly UF Model'!$I$7:$DY$7,'Monthly USD Model'!BZ$7,'Monthly UF Model'!$I437:$DY437)*BZ$22</f>
        <v>2416.2786460116045</v>
      </c>
      <c r="CA47" s="309">
        <f>+SUMIF('Monthly UF Model'!$I$7:$DY$7,'Monthly USD Model'!CA$7,'Monthly UF Model'!$I437:$DY437)*CA$22</f>
        <v>7501.8583880433534</v>
      </c>
      <c r="CB47" s="309">
        <f>+SUMIF('Monthly UF Model'!$I$7:$DY$7,'Monthly USD Model'!CB$7,'Monthly UF Model'!$I437:$DY437)*CB$22</f>
        <v>12737.606103613856</v>
      </c>
      <c r="CC47" s="309">
        <f>+SUMIF('Monthly UF Model'!$I$7:$DY$7,'Monthly USD Model'!CC$7,'Monthly UF Model'!$I437:$DY437)*CC$22</f>
        <v>18124.224231335422</v>
      </c>
      <c r="CD47" s="309">
        <f>+SUMIF('Monthly UF Model'!$I$7:$DY$7,'Monthly USD Model'!CD$7,'Monthly UF Model'!$I437:$DY437)*CD$22</f>
        <v>23662.417484285677</v>
      </c>
      <c r="CE47" s="309">
        <f>+SUMIF('Monthly UF Model'!$I$7:$DY$7,'Monthly USD Model'!CE$7,'Monthly UF Model'!$I437:$DY437)*CE$22</f>
        <v>26717.972127946345</v>
      </c>
      <c r="CF47" s="309">
        <f>+SUMIF('Monthly UF Model'!$I$7:$DY$7,'Monthly USD Model'!CF$7,'Monthly UF Model'!$I437:$DY437)*CF$22</f>
        <v>0</v>
      </c>
      <c r="CG47" s="309">
        <f>+SUMIF('Monthly UF Model'!$I$7:$DY$7,'Monthly USD Model'!CG$7,'Monthly UF Model'!$I437:$DY437)*CG$22</f>
        <v>0</v>
      </c>
      <c r="CH47" s="309">
        <f>+SUMIF('Monthly UF Model'!$I$7:$DY$7,'Monthly USD Model'!CH$7,'Monthly UF Model'!$I437:$DY437)*CH$22</f>
        <v>0</v>
      </c>
      <c r="CI47" s="309">
        <f>+SUMIF('Monthly UF Model'!$I$7:$DY$7,'Monthly USD Model'!CI$7,'Monthly UF Model'!$I437:$DY437)*CI$22</f>
        <v>0</v>
      </c>
      <c r="CJ47" s="309">
        <f>+SUMIF('Monthly UF Model'!$I$7:$DY$7,'Monthly USD Model'!CJ$7,'Monthly UF Model'!$I437:$DY437)*CJ$22</f>
        <v>0</v>
      </c>
      <c r="CK47" s="309">
        <f>+SUMIF('Monthly UF Model'!$I$7:$DY$7,'Monthly USD Model'!CK$7,'Monthly UF Model'!$I437:$DY437)*CK$22</f>
        <v>0</v>
      </c>
      <c r="CL47" s="309">
        <f>+SUMIF('Monthly UF Model'!$I$7:$DY$7,'Monthly USD Model'!CL$7,'Monthly UF Model'!$I437:$DY437)*CL$22</f>
        <v>0</v>
      </c>
      <c r="CM47" s="309">
        <f>+SUMIF('Monthly UF Model'!$I$7:$DY$7,'Monthly USD Model'!CM$7,'Monthly UF Model'!$I437:$DY437)*CM$22</f>
        <v>0</v>
      </c>
      <c r="CN47" s="309">
        <f>+SUMIF('Monthly UF Model'!$I$7:$DY$7,'Monthly USD Model'!CN$7,'Monthly UF Model'!$I437:$DY437)*CN$22</f>
        <v>0</v>
      </c>
      <c r="CO47" s="309">
        <f>+SUMIF('Monthly UF Model'!$I$7:$DY$7,'Monthly USD Model'!CO$7,'Monthly UF Model'!$I437:$DY437)*CO$22</f>
        <v>0</v>
      </c>
      <c r="CP47" s="309">
        <f>+SUMIF('Monthly UF Model'!$I$7:$DY$7,'Monthly USD Model'!CP$7,'Monthly UF Model'!$I437:$DY437)*CP$22</f>
        <v>0</v>
      </c>
      <c r="CQ47" s="309">
        <f>+SUMIF('Monthly UF Model'!$I$7:$DY$7,'Monthly USD Model'!CQ$7,'Monthly UF Model'!$I437:$DY437)*CQ$22</f>
        <v>0</v>
      </c>
      <c r="CR47" s="309">
        <f>+SUMIF('Monthly UF Model'!$I$7:$DY$7,'Monthly USD Model'!CR$7,'Monthly UF Model'!$I437:$DY437)*CR$22</f>
        <v>0</v>
      </c>
      <c r="CS47" s="309">
        <f>+SUMIF('Monthly UF Model'!$I$7:$DY$7,'Monthly USD Model'!CS$7,'Monthly UF Model'!$I437:$DY437)*CS$22</f>
        <v>0</v>
      </c>
      <c r="CT47" s="309">
        <f>+SUMIF('Monthly UF Model'!$I$7:$DY$7,'Monthly USD Model'!CT$7,'Monthly UF Model'!$I437:$DY437)*CT$22</f>
        <v>0</v>
      </c>
      <c r="CU47" s="309">
        <f>+SUMIF('Monthly UF Model'!$I$7:$DY$7,'Monthly USD Model'!CU$7,'Monthly UF Model'!$I437:$DY437)*CU$22</f>
        <v>0</v>
      </c>
      <c r="CV47" s="309">
        <f>+SUMIF('Monthly UF Model'!$I$7:$DY$7,'Monthly USD Model'!CV$7,'Monthly UF Model'!$I437:$DY437)*CV$22</f>
        <v>0</v>
      </c>
      <c r="CW47" s="309">
        <f>+SUMIF('Monthly UF Model'!$I$7:$DY$7,'Monthly USD Model'!CW$7,'Monthly UF Model'!$I437:$DY437)*CW$22</f>
        <v>0</v>
      </c>
      <c r="CX47" s="309">
        <f>+SUMIF('Monthly UF Model'!$I$7:$DY$7,'Monthly USD Model'!CX$7,'Monthly UF Model'!$I437:$DY437)*CX$22</f>
        <v>0</v>
      </c>
      <c r="CY47" s="309">
        <f>+SUMIF('Monthly UF Model'!$I$7:$DY$7,'Monthly USD Model'!CY$7,'Monthly UF Model'!$I437:$DY437)*CY$22</f>
        <v>0</v>
      </c>
      <c r="CZ47" s="309">
        <f>+SUMIF('Monthly UF Model'!$I$7:$DY$7,'Monthly USD Model'!CZ$7,'Monthly UF Model'!$I437:$DY437)*CZ$22</f>
        <v>0</v>
      </c>
      <c r="DA47" s="309">
        <f>+SUMIF('Monthly UF Model'!$I$7:$DY$7,'Monthly USD Model'!DA$7,'Monthly UF Model'!$I437:$DY437)*DA$22</f>
        <v>0</v>
      </c>
      <c r="DB47" s="309">
        <f>+SUMIF('Monthly UF Model'!$I$7:$DY$7,'Monthly USD Model'!DB$7,'Monthly UF Model'!$I437:$DY437)*DB$22</f>
        <v>0</v>
      </c>
      <c r="DC47" s="309">
        <f>+SUMIF('Monthly UF Model'!$I$7:$DY$7,'Monthly USD Model'!DC$7,'Monthly UF Model'!$I437:$DY437)*DC$22</f>
        <v>0</v>
      </c>
      <c r="DD47" s="309">
        <f>+SUMIF('Monthly UF Model'!$I$7:$DY$7,'Monthly USD Model'!DD$7,'Monthly UF Model'!$I437:$DY437)*DD$22</f>
        <v>0</v>
      </c>
      <c r="DE47" s="309">
        <f>+SUMIF('Monthly UF Model'!$I$7:$DY$7,'Monthly USD Model'!DE$7,'Monthly UF Model'!$I437:$DY437)*DE$22</f>
        <v>0</v>
      </c>
      <c r="DF47" s="309">
        <f>+SUMIF('Monthly UF Model'!$I$7:$DY$7,'Monthly USD Model'!DF$7,'Monthly UF Model'!$I437:$DY437)*DF$22</f>
        <v>0</v>
      </c>
      <c r="DG47" s="309">
        <f>+SUMIF('Monthly UF Model'!$I$7:$DY$7,'Monthly USD Model'!DG$7,'Monthly UF Model'!$I437:$DY437)*DG$22</f>
        <v>0</v>
      </c>
      <c r="DH47" s="309">
        <f>+SUMIF('Monthly UF Model'!$I$7:$DY$7,'Monthly USD Model'!DH$7,'Monthly UF Model'!$I437:$DY437)*DH$22</f>
        <v>0</v>
      </c>
      <c r="DI47" s="309">
        <f>+SUMIF('Monthly UF Model'!$I$7:$DY$7,'Monthly USD Model'!DI$7,'Monthly UF Model'!$I437:$DY437)*DI$22</f>
        <v>0</v>
      </c>
      <c r="DJ47" s="309">
        <f>+SUMIF('Monthly UF Model'!$I$7:$DY$7,'Monthly USD Model'!DJ$7,'Monthly UF Model'!$I437:$DY437)*DJ$22</f>
        <v>0</v>
      </c>
      <c r="DK47" s="309">
        <f>+SUMIF('Monthly UF Model'!$I$7:$DY$7,'Monthly USD Model'!DK$7,'Monthly UF Model'!$I437:$DY437)*DK$22</f>
        <v>0</v>
      </c>
      <c r="DL47" s="309">
        <f>+SUMIF('Monthly UF Model'!$I$7:$DY$7,'Monthly USD Model'!DL$7,'Monthly UF Model'!$I437:$DY437)*DL$22</f>
        <v>0</v>
      </c>
      <c r="DM47" s="309">
        <f>+SUMIF('Monthly UF Model'!$I$7:$DY$7,'Monthly USD Model'!DM$7,'Monthly UF Model'!$I437:$DY437)*DM$22</f>
        <v>0</v>
      </c>
      <c r="DN47" s="309">
        <f>+SUMIF('Monthly UF Model'!$I$7:$DY$7,'Monthly USD Model'!DN$7,'Monthly UF Model'!$I437:$DY437)*DN$22</f>
        <v>0</v>
      </c>
      <c r="DO47" s="309">
        <f>+SUMIF('Monthly UF Model'!$I$7:$DY$7,'Monthly USD Model'!DO$7,'Monthly UF Model'!$I437:$DY437)*DO$22</f>
        <v>0</v>
      </c>
      <c r="DP47" s="309">
        <f>+SUMIF('Monthly UF Model'!$I$7:$DY$7,'Monthly USD Model'!DP$7,'Monthly UF Model'!$I437:$DY437)*DP$22</f>
        <v>0</v>
      </c>
      <c r="DQ47" s="309">
        <f>+SUMIF('Monthly UF Model'!$I$7:$DY$7,'Monthly USD Model'!DQ$7,'Monthly UF Model'!$I437:$DY437)*DQ$22</f>
        <v>0</v>
      </c>
      <c r="DR47" s="309">
        <f>+SUMIF('Monthly UF Model'!$I$7:$DY$7,'Monthly USD Model'!DR$7,'Monthly UF Model'!$I437:$DY437)*DR$22</f>
        <v>0</v>
      </c>
      <c r="DS47" s="309">
        <f>+SUMIF('Monthly UF Model'!$I$7:$DY$7,'Monthly USD Model'!DS$7,'Monthly UF Model'!$I437:$DY437)*DS$22</f>
        <v>0</v>
      </c>
      <c r="DT47" s="309">
        <f>+SUMIF('Monthly UF Model'!$I$7:$DY$7,'Monthly USD Model'!DT$7,'Monthly UF Model'!$I437:$DY437)*DT$22</f>
        <v>0</v>
      </c>
      <c r="DU47" s="309">
        <f>+SUMIF('Monthly UF Model'!$I$7:$DY$7,'Monthly USD Model'!DU$7,'Monthly UF Model'!$I437:$DY437)*DU$22</f>
        <v>0</v>
      </c>
      <c r="DV47" s="309">
        <f>+SUMIF('Monthly UF Model'!$I$7:$DY$7,'Monthly USD Model'!DV$7,'Monthly UF Model'!$I437:$DY437)*DV$22</f>
        <v>0</v>
      </c>
      <c r="DW47" s="309">
        <f>+SUMIF('Monthly UF Model'!$I$7:$DY$7,'Monthly USD Model'!DW$7,'Monthly UF Model'!$I437:$DY437)*DW$22</f>
        <v>0</v>
      </c>
      <c r="DX47" s="309">
        <f>+SUMIF('Monthly UF Model'!$I$7:$DY$7,'Monthly USD Model'!DX$7,'Monthly UF Model'!$I437:$DY437)*DX$22</f>
        <v>0</v>
      </c>
    </row>
    <row r="48" spans="1:128" s="3" customFormat="1" ht="10.8" outlineLevel="1" x14ac:dyDescent="0.25">
      <c r="B48" s="125" t="s">
        <v>128</v>
      </c>
      <c r="D48" s="159"/>
      <c r="E48" s="159"/>
      <c r="F48" s="159"/>
      <c r="G48" s="308">
        <f t="shared" ca="1" si="25"/>
        <v>9851.6283815866336</v>
      </c>
      <c r="H48" s="309">
        <f>+SUMIF('Monthly UF Model'!$I$7:$DY$7,'Monthly USD Model'!H$7,'Monthly UF Model'!$I438:$DY438)*H$22</f>
        <v>0</v>
      </c>
      <c r="I48" s="309">
        <f>+SUMIF('Monthly UF Model'!$I$7:$DY$7,'Monthly USD Model'!I$7,'Monthly UF Model'!$I438:$DY438)*I$22</f>
        <v>-58166.87094845371</v>
      </c>
      <c r="J48" s="309">
        <f>+SUMIF('Monthly UF Model'!$I$7:$DY$7,'Monthly USD Model'!J$7,'Monthly UF Model'!$I438:$DY438)*J$22</f>
        <v>-6116.7706604816231</v>
      </c>
      <c r="K48" s="309">
        <f>+SUMIF('Monthly UF Model'!$I$7:$DY$7,'Monthly USD Model'!K$7,'Monthly UF Model'!$I438:$DY438)*K$22</f>
        <v>-24523.508370989239</v>
      </c>
      <c r="L48" s="309">
        <f>+SUMIF('Monthly UF Model'!$I$7:$DY$7,'Monthly USD Model'!L$7,'Monthly UF Model'!$I438:$DY438)*L$22</f>
        <v>-84.324453194802345</v>
      </c>
      <c r="M48" s="309">
        <f>+SUMIF('Monthly UF Model'!$I$7:$DY$7,'Monthly USD Model'!M$7,'Monthly UF Model'!$I438:$DY438)*M$22</f>
        <v>0</v>
      </c>
      <c r="N48" s="309">
        <f>+SUMIF('Monthly UF Model'!$I$7:$DY$7,'Monthly USD Model'!N$7,'Monthly UF Model'!$I438:$DY438)*N$22</f>
        <v>0</v>
      </c>
      <c r="O48" s="309">
        <f>+SUMIF('Monthly UF Model'!$I$7:$DY$7,'Monthly USD Model'!O$7,'Monthly UF Model'!$I438:$DY438)*O$22</f>
        <v>0</v>
      </c>
      <c r="P48" s="309">
        <f>+SUMIF('Monthly UF Model'!$I$7:$DY$7,'Monthly USD Model'!P$7,'Monthly UF Model'!$I438:$DY438)*P$22</f>
        <v>-2413.3590947432076</v>
      </c>
      <c r="Q48" s="309">
        <f>+SUMIF('Monthly UF Model'!$I$7:$DY$7,'Monthly USD Model'!Q$7,'Monthly UF Model'!$I438:$DY438)*Q$22</f>
        <v>0</v>
      </c>
      <c r="R48" s="309">
        <f>+SUMIF('Monthly UF Model'!$I$7:$DY$7,'Monthly USD Model'!R$7,'Monthly UF Model'!$I438:$DY438)*R$22</f>
        <v>-8303.9552904710472</v>
      </c>
      <c r="S48" s="309">
        <f>+SUMIF('Monthly UF Model'!$I$7:$DY$7,'Monthly USD Model'!S$7,'Monthly UF Model'!$I438:$DY438)*S$22</f>
        <v>-2262.58390831828</v>
      </c>
      <c r="T48" s="309">
        <f>+SUMIF('Monthly UF Model'!$I$7:$DY$7,'Monthly USD Model'!T$7,'Monthly UF Model'!$I438:$DY438)*T$22</f>
        <v>0</v>
      </c>
      <c r="U48" s="309">
        <f>+SUMIF('Monthly UF Model'!$I$7:$DY$7,'Monthly USD Model'!U$7,'Monthly UF Model'!$I438:$DY438)*U$22</f>
        <v>0</v>
      </c>
      <c r="V48" s="309">
        <f>+SUMIF('Monthly UF Model'!$I$7:$DY$7,'Monthly USD Model'!V$7,'Monthly UF Model'!$I438:$DY438)*V$22</f>
        <v>-39041.186732305825</v>
      </c>
      <c r="W48" s="309">
        <f>+SUMIF('Monthly UF Model'!$I$7:$DY$7,'Monthly USD Model'!W$7,'Monthly UF Model'!$I438:$DY438)*W$22</f>
        <v>0</v>
      </c>
      <c r="X48" s="309">
        <f>+SUMIF('Monthly UF Model'!$I$7:$DY$7,'Monthly USD Model'!X$7,'Monthly UF Model'!$I438:$DY438)*X$22</f>
        <v>-45154.27003447459</v>
      </c>
      <c r="Y48" s="309">
        <f>+SUMIF('Monthly UF Model'!$I$7:$DY$7,'Monthly USD Model'!Y$7,'Monthly UF Model'!$I438:$DY438)*Y$22</f>
        <v>-27818.934776587907</v>
      </c>
      <c r="Z48" s="309">
        <f>+SUMIF('Monthly UF Model'!$I$7:$DY$7,'Monthly USD Model'!Z$7,'Monthly UF Model'!$I438:$DY438)*Z$22</f>
        <v>-26780.48307825793</v>
      </c>
      <c r="AA48" s="309">
        <f>+SUMIF('Monthly UF Model'!$I$7:$DY$7,'Monthly USD Model'!AA$7,'Monthly UF Model'!$I438:$DY438)*AA$22</f>
        <v>-408.19528679150619</v>
      </c>
      <c r="AB48" s="309">
        <f>+SUMIF('Monthly UF Model'!$I$7:$DY$7,'Monthly USD Model'!AB$7,'Monthly UF Model'!$I438:$DY438)*AB$22</f>
        <v>0</v>
      </c>
      <c r="AC48" s="309">
        <f>+SUMIF('Monthly UF Model'!$I$7:$DY$7,'Monthly USD Model'!AC$7,'Monthly UF Model'!$I438:$DY438)*AC$22</f>
        <v>-17320.025593504542</v>
      </c>
      <c r="AD48" s="309">
        <f>+SUMIF('Monthly UF Model'!$I$7:$DY$7,'Monthly USD Model'!AD$7,'Monthly UF Model'!$I438:$DY438)*AD$22</f>
        <v>-414300.90977389278</v>
      </c>
      <c r="AE48" s="309">
        <f>+SUMIF('Monthly UF Model'!$I$7:$DY$7,'Monthly USD Model'!AE$7,'Monthly UF Model'!$I438:$DY438)*AE$22</f>
        <v>-92989.296791056069</v>
      </c>
      <c r="AF48" s="309">
        <f>+SUMIF('Monthly UF Model'!$I$7:$DY$7,'Monthly USD Model'!AF$7,'Monthly UF Model'!$I438:$DY438)*AF$22</f>
        <v>-66562.669276885514</v>
      </c>
      <c r="AG48" s="309">
        <f>+SUMIF('Monthly UF Model'!$I$7:$DY$7,'Monthly USD Model'!AG$7,'Monthly UF Model'!$I438:$DY438)*AG$22</f>
        <v>-59488.955978900012</v>
      </c>
      <c r="AH48" s="309">
        <f>+SUMIF('Monthly UF Model'!$I$7:$DY$7,'Monthly USD Model'!AH$7,'Monthly UF Model'!$I438:$DY438)*AH$22</f>
        <v>-60543.840560217308</v>
      </c>
      <c r="AI48" s="309">
        <f>+SUMIF('Monthly UF Model'!$I$7:$DY$7,'Monthly USD Model'!AI$7,'Monthly UF Model'!$I438:$DY438)*AI$22</f>
        <v>-49494.92724373396</v>
      </c>
      <c r="AJ48" s="309">
        <f>+SUMIF('Monthly UF Model'!$I$7:$DY$7,'Monthly USD Model'!AJ$7,'Monthly UF Model'!$I438:$DY438)*AJ$22</f>
        <v>-44369.153096660717</v>
      </c>
      <c r="AK48" s="309">
        <f>+SUMIF('Monthly UF Model'!$I$7:$DY$7,'Monthly USD Model'!AK$7,'Monthly UF Model'!$I438:$DY438)*AK$22</f>
        <v>-47994.291951099214</v>
      </c>
      <c r="AL48" s="309">
        <f>+SUMIF('Monthly UF Model'!$I$7:$DY$7,'Monthly USD Model'!AL$7,'Monthly UF Model'!$I438:$DY438)*AL$22</f>
        <v>-55175.844499004845</v>
      </c>
      <c r="AM48" s="309">
        <f>+SUMIF('Monthly UF Model'!$I$7:$DY$7,'Monthly USD Model'!AM$7,'Monthly UF Model'!$I438:$DY438)*AM$22</f>
        <v>-48504.898893165402</v>
      </c>
      <c r="AN48" s="309">
        <f>+SUMIF('Monthly UF Model'!$I$7:$DY$7,'Monthly USD Model'!AN$7,'Monthly UF Model'!$I438:$DY438)*AN$22</f>
        <v>-41789.613995765103</v>
      </c>
      <c r="AO48" s="309">
        <f>+SUMIF('Monthly UF Model'!$I$7:$DY$7,'Monthly USD Model'!AO$7,'Monthly UF Model'!$I438:$DY438)*AO$22</f>
        <v>552549.15231025522</v>
      </c>
      <c r="AP48" s="309">
        <f>+SUMIF('Monthly UF Model'!$I$7:$DY$7,'Monthly USD Model'!AP$7,'Monthly UF Model'!$I438:$DY438)*AP$22</f>
        <v>-6231.6391543508516</v>
      </c>
      <c r="AQ48" s="309">
        <f>+SUMIF('Monthly UF Model'!$I$7:$DY$7,'Monthly USD Model'!AQ$7,'Monthly UF Model'!$I438:$DY438)*AQ$22</f>
        <v>-286.45619486617227</v>
      </c>
      <c r="AR48" s="309">
        <f>+SUMIF('Monthly UF Model'!$I$7:$DY$7,'Monthly USD Model'!AR$7,'Monthly UF Model'!$I438:$DY438)*AR$22</f>
        <v>-54392.164616424008</v>
      </c>
      <c r="AS48" s="309">
        <f>+SUMIF('Monthly UF Model'!$I$7:$DY$7,'Monthly USD Model'!AS$7,'Monthly UF Model'!$I438:$DY438)*AS$22</f>
        <v>-51320.306299875076</v>
      </c>
      <c r="AT48" s="309">
        <f>+SUMIF('Monthly UF Model'!$I$7:$DY$7,'Monthly USD Model'!AT$7,'Monthly UF Model'!$I438:$DY438)*AT$22</f>
        <v>-11359.286021729773</v>
      </c>
      <c r="AU48" s="309">
        <f>+SUMIF('Monthly UF Model'!$I$7:$DY$7,'Monthly USD Model'!AU$7,'Monthly UF Model'!$I438:$DY438)*AU$22</f>
        <v>-89879.162687700358</v>
      </c>
      <c r="AV48" s="309">
        <f>+SUMIF('Monthly UF Model'!$I$7:$DY$7,'Monthly USD Model'!AV$7,'Monthly UF Model'!$I438:$DY438)*AV$22</f>
        <v>-200299.36641489074</v>
      </c>
      <c r="AW48" s="309">
        <f>+SUMIF('Monthly UF Model'!$I$7:$DY$7,'Monthly USD Model'!AW$7,'Monthly UF Model'!$I438:$DY438)*AW$22</f>
        <v>-1116.8285125134175</v>
      </c>
      <c r="AX48" s="309">
        <f>+SUMIF('Monthly UF Model'!$I$7:$DY$7,'Monthly USD Model'!AX$7,'Monthly UF Model'!$I438:$DY438)*AX$22</f>
        <v>-110410.56401770232</v>
      </c>
      <c r="AY48" s="309">
        <f>+SUMIF('Monthly UF Model'!$I$7:$DY$7,'Monthly USD Model'!AY$7,'Monthly UF Model'!$I438:$DY438)*AY$22</f>
        <v>-103707.78454168972</v>
      </c>
      <c r="AZ48" s="309">
        <f>+SUMIF('Monthly UF Model'!$I$7:$DY$7,'Monthly USD Model'!AZ$7,'Monthly UF Model'!$I438:$DY438)*AZ$22</f>
        <v>-205150.62588975352</v>
      </c>
      <c r="BA48" s="309">
        <f>+SUMIF('Monthly UF Model'!$I$7:$DY$7,'Monthly USD Model'!BA$7,'Monthly UF Model'!$I438:$DY438)*BA$22</f>
        <v>-111722.98981340443</v>
      </c>
      <c r="BB48" s="309">
        <f>+SUMIF('Monthly UF Model'!$I$7:$DY$7,'Monthly USD Model'!BB$7,'Monthly UF Model'!$I438:$DY438)*BB$22</f>
        <v>-3648.4522958880993</v>
      </c>
      <c r="BC48" s="309">
        <f>+SUMIF('Monthly UF Model'!$I$7:$DY$7,'Monthly USD Model'!BC$7,'Monthly UF Model'!$I438:$DY438)*BC$22</f>
        <v>1213325.5238568843</v>
      </c>
      <c r="BD48" s="309">
        <f>+SUMIF('Monthly UF Model'!$I$7:$DY$7,'Monthly USD Model'!BD$7,'Monthly UF Model'!$I438:$DY438)*BD$22</f>
        <v>-77955.159148321909</v>
      </c>
      <c r="BE48" s="309">
        <f>+SUMIF('Monthly UF Model'!$I$7:$DY$7,'Monthly USD Model'!BE$7,'Monthly UF Model'!$I438:$DY438)*BE$22</f>
        <v>-15049.389139260305</v>
      </c>
      <c r="BF48" s="309">
        <f>+SUMIF('Monthly UF Model'!$I$7:$DY$7,'Monthly USD Model'!BF$7,'Monthly UF Model'!$I438:$DY438)*BF$22</f>
        <v>-12867.926332269668</v>
      </c>
      <c r="BG48" s="309">
        <f>+SUMIF('Monthly UF Model'!$I$7:$DY$7,'Monthly USD Model'!BG$7,'Monthly UF Model'!$I438:$DY438)*BG$22</f>
        <v>-125242.71524845634</v>
      </c>
      <c r="BH48" s="309">
        <f>+SUMIF('Monthly UF Model'!$I$7:$DY$7,'Monthly USD Model'!BH$7,'Monthly UF Model'!$I438:$DY438)*BH$22</f>
        <v>-25588.474187009797</v>
      </c>
      <c r="BI48" s="309">
        <f>+SUMIF('Monthly UF Model'!$I$7:$DY$7,'Monthly USD Model'!BI$7,'Monthly UF Model'!$I438:$DY438)*BI$22</f>
        <v>1530.7401264546022</v>
      </c>
      <c r="BJ48" s="309">
        <f>+SUMIF('Monthly UF Model'!$I$7:$DY$7,'Monthly USD Model'!BJ$7,'Monthly UF Model'!$I438:$DY438)*BJ$22</f>
        <v>-1816.8872135267056</v>
      </c>
      <c r="BK48" s="309">
        <f>+SUMIF('Monthly UF Model'!$I$7:$DY$7,'Monthly USD Model'!BK$7,'Monthly UF Model'!$I438:$DY438)*BK$22</f>
        <v>1598.904731816199</v>
      </c>
      <c r="BL48" s="309">
        <f>+SUMIF('Monthly UF Model'!$I$7:$DY$7,'Monthly USD Model'!BL$7,'Monthly UF Model'!$I438:$DY438)*BL$22</f>
        <v>9679.1573637807869</v>
      </c>
      <c r="BM48" s="309">
        <f>+SUMIF('Monthly UF Model'!$I$7:$DY$7,'Monthly USD Model'!BM$7,'Monthly UF Model'!$I438:$DY438)*BM$22</f>
        <v>6453.8466958643303</v>
      </c>
      <c r="BN48" s="309">
        <f>+SUMIF('Monthly UF Model'!$I$7:$DY$7,'Monthly USD Model'!BN$7,'Monthly UF Model'!$I438:$DY438)*BN$22</f>
        <v>6640.6827242652953</v>
      </c>
      <c r="BO48" s="309">
        <f>+SUMIF('Monthly UF Model'!$I$7:$DY$7,'Monthly USD Model'!BO$7,'Monthly UF Model'!$I438:$DY438)*BO$22</f>
        <v>10518.267526006532</v>
      </c>
      <c r="BP48" s="309">
        <f>+SUMIF('Monthly UF Model'!$I$7:$DY$7,'Monthly USD Model'!BP$7,'Monthly UF Model'!$I438:$DY438)*BP$22</f>
        <v>-1628.5674798255041</v>
      </c>
      <c r="BQ48" s="309">
        <f>+SUMIF('Monthly UF Model'!$I$7:$DY$7,'Monthly USD Model'!BQ$7,'Monthly UF Model'!$I438:$DY438)*BQ$22</f>
        <v>6284.7456982721178</v>
      </c>
      <c r="BR48" s="309">
        <f>+SUMIF('Monthly UF Model'!$I$7:$DY$7,'Monthly USD Model'!BR$7,'Monthly UF Model'!$I438:$DY438)*BR$22</f>
        <v>9575.8963223650953</v>
      </c>
      <c r="BS48" s="309">
        <f>+SUMIF('Monthly UF Model'!$I$7:$DY$7,'Monthly USD Model'!BS$7,'Monthly UF Model'!$I438:$DY438)*BS$22</f>
        <v>11203.770472700635</v>
      </c>
      <c r="BT48" s="309">
        <f>+SUMIF('Monthly UF Model'!$I$7:$DY$7,'Monthly USD Model'!BT$7,'Monthly UF Model'!$I438:$DY438)*BT$22</f>
        <v>4283.5766890437681</v>
      </c>
      <c r="BU48" s="309">
        <f>+SUMIF('Monthly UF Model'!$I$7:$DY$7,'Monthly USD Model'!BU$7,'Monthly UF Model'!$I438:$DY438)*BU$22</f>
        <v>13001.316197576647</v>
      </c>
      <c r="BV48" s="309">
        <f>+SUMIF('Monthly UF Model'!$I$7:$DY$7,'Monthly USD Model'!BV$7,'Monthly UF Model'!$I438:$DY438)*BV$22</f>
        <v>13138.767219834719</v>
      </c>
      <c r="BW48" s="309">
        <f>+SUMIF('Monthly UF Model'!$I$7:$DY$7,'Monthly USD Model'!BW$7,'Monthly UF Model'!$I438:$DY438)*BW$22</f>
        <v>-226.67658906807281</v>
      </c>
      <c r="BX48" s="309">
        <f>+SUMIF('Monthly UF Model'!$I$7:$DY$7,'Monthly USD Model'!BX$7,'Monthly UF Model'!$I438:$DY438)*BX$22</f>
        <v>-1149.944412193222</v>
      </c>
      <c r="BY48" s="309">
        <f ca="1">+SUMIF('Monthly UF Model'!$I$7:$DY$7,'Monthly USD Model'!BY$7,'Monthly UF Model'!$I438:$DY438)*BY$22</f>
        <v>18860.907158407277</v>
      </c>
      <c r="BZ48" s="309">
        <f ca="1">+SUMIF('Monthly UF Model'!$I$7:$DY$7,'Monthly USD Model'!BZ$7,'Monthly UF Model'!$I438:$DY438)*BZ$22</f>
        <v>18045.874582730896</v>
      </c>
      <c r="CA48" s="309">
        <f ca="1">+SUMIF('Monthly UF Model'!$I$7:$DY$7,'Monthly USD Model'!CA$7,'Monthly UF Model'!$I438:$DY438)*CA$22</f>
        <v>19000.011456668894</v>
      </c>
      <c r="CB48" s="309">
        <f ca="1">+SUMIF('Monthly UF Model'!$I$7:$DY$7,'Monthly USD Model'!CB$7,'Monthly UF Model'!$I438:$DY438)*CB$22</f>
        <v>19957.250775740427</v>
      </c>
      <c r="CC48" s="309">
        <f ca="1">+SUMIF('Monthly UF Model'!$I$7:$DY$7,'Monthly USD Model'!CC$7,'Monthly UF Model'!$I438:$DY438)*CC$22</f>
        <v>20917.600185207335</v>
      </c>
      <c r="CD48" s="309">
        <f ca="1">+SUMIF('Monthly UF Model'!$I$7:$DY$7,'Monthly USD Model'!CD$7,'Monthly UF Model'!$I438:$DY438)*CD$22</f>
        <v>21881.067347122145</v>
      </c>
      <c r="CE48" s="309">
        <f ca="1">+SUMIF('Monthly UF Model'!$I$7:$DY$7,'Monthly USD Model'!CE$7,'Monthly UF Model'!$I438:$DY438)*CE$22</f>
        <v>25271.030826288745</v>
      </c>
      <c r="CF48" s="309">
        <f ca="1">+SUMIF('Monthly UF Model'!$I$7:$DY$7,'Monthly USD Model'!CF$7,'Monthly UF Model'!$I438:$DY438)*CF$22</f>
        <v>456793.77461397572</v>
      </c>
      <c r="CG48" s="309">
        <f ca="1">+SUMIF('Monthly UF Model'!$I$7:$DY$7,'Monthly USD Model'!CG$7,'Monthly UF Model'!$I438:$DY438)*CG$22</f>
        <v>0</v>
      </c>
      <c r="CH48" s="309">
        <f ca="1">+SUMIF('Monthly UF Model'!$I$7:$DY$7,'Monthly USD Model'!CH$7,'Monthly UF Model'!$I438:$DY438)*CH$22</f>
        <v>0</v>
      </c>
      <c r="CI48" s="309">
        <f ca="1">+SUMIF('Monthly UF Model'!$I$7:$DY$7,'Monthly USD Model'!CI$7,'Monthly UF Model'!$I438:$DY438)*CI$22</f>
        <v>0</v>
      </c>
      <c r="CJ48" s="309">
        <f ca="1">+SUMIF('Monthly UF Model'!$I$7:$DY$7,'Monthly USD Model'!CJ$7,'Monthly UF Model'!$I438:$DY438)*CJ$22</f>
        <v>0</v>
      </c>
      <c r="CK48" s="309">
        <f ca="1">+SUMIF('Monthly UF Model'!$I$7:$DY$7,'Monthly USD Model'!CK$7,'Monthly UF Model'!$I438:$DY438)*CK$22</f>
        <v>0</v>
      </c>
      <c r="CL48" s="309">
        <f ca="1">+SUMIF('Monthly UF Model'!$I$7:$DY$7,'Monthly USD Model'!CL$7,'Monthly UF Model'!$I438:$DY438)*CL$22</f>
        <v>0</v>
      </c>
      <c r="CM48" s="309">
        <f ca="1">+SUMIF('Monthly UF Model'!$I$7:$DY$7,'Monthly USD Model'!CM$7,'Monthly UF Model'!$I438:$DY438)*CM$22</f>
        <v>0</v>
      </c>
      <c r="CN48" s="309">
        <f ca="1">+SUMIF('Monthly UF Model'!$I$7:$DY$7,'Monthly USD Model'!CN$7,'Monthly UF Model'!$I438:$DY438)*CN$22</f>
        <v>0</v>
      </c>
      <c r="CO48" s="309">
        <f ca="1">+SUMIF('Monthly UF Model'!$I$7:$DY$7,'Monthly USD Model'!CO$7,'Monthly UF Model'!$I438:$DY438)*CO$22</f>
        <v>0</v>
      </c>
      <c r="CP48" s="309">
        <f ca="1">+SUMIF('Monthly UF Model'!$I$7:$DY$7,'Monthly USD Model'!CP$7,'Monthly UF Model'!$I438:$DY438)*CP$22</f>
        <v>0</v>
      </c>
      <c r="CQ48" s="309">
        <f ca="1">+SUMIF('Monthly UF Model'!$I$7:$DY$7,'Monthly USD Model'!CQ$7,'Monthly UF Model'!$I438:$DY438)*CQ$22</f>
        <v>0</v>
      </c>
      <c r="CR48" s="309">
        <f ca="1">+SUMIF('Monthly UF Model'!$I$7:$DY$7,'Monthly USD Model'!CR$7,'Monthly UF Model'!$I438:$DY438)*CR$22</f>
        <v>0</v>
      </c>
      <c r="CS48" s="309">
        <f ca="1">+SUMIF('Monthly UF Model'!$I$7:$DY$7,'Monthly USD Model'!CS$7,'Monthly UF Model'!$I438:$DY438)*CS$22</f>
        <v>0</v>
      </c>
      <c r="CT48" s="309">
        <f ca="1">+SUMIF('Monthly UF Model'!$I$7:$DY$7,'Monthly USD Model'!CT$7,'Monthly UF Model'!$I438:$DY438)*CT$22</f>
        <v>0</v>
      </c>
      <c r="CU48" s="309">
        <f ca="1">+SUMIF('Monthly UF Model'!$I$7:$DY$7,'Monthly USD Model'!CU$7,'Monthly UF Model'!$I438:$DY438)*CU$22</f>
        <v>0</v>
      </c>
      <c r="CV48" s="309">
        <f ca="1">+SUMIF('Monthly UF Model'!$I$7:$DY$7,'Monthly USD Model'!CV$7,'Monthly UF Model'!$I438:$DY438)*CV$22</f>
        <v>0</v>
      </c>
      <c r="CW48" s="309">
        <f ca="1">+SUMIF('Monthly UF Model'!$I$7:$DY$7,'Monthly USD Model'!CW$7,'Monthly UF Model'!$I438:$DY438)*CW$22</f>
        <v>0</v>
      </c>
      <c r="CX48" s="309">
        <f ca="1">+SUMIF('Monthly UF Model'!$I$7:$DY$7,'Monthly USD Model'!CX$7,'Monthly UF Model'!$I438:$DY438)*CX$22</f>
        <v>0</v>
      </c>
      <c r="CY48" s="309">
        <f ca="1">+SUMIF('Monthly UF Model'!$I$7:$DY$7,'Monthly USD Model'!CY$7,'Monthly UF Model'!$I438:$DY438)*CY$22</f>
        <v>0</v>
      </c>
      <c r="CZ48" s="309">
        <f ca="1">+SUMIF('Monthly UF Model'!$I$7:$DY$7,'Monthly USD Model'!CZ$7,'Monthly UF Model'!$I438:$DY438)*CZ$22</f>
        <v>0</v>
      </c>
      <c r="DA48" s="309">
        <f ca="1">+SUMIF('Monthly UF Model'!$I$7:$DY$7,'Monthly USD Model'!DA$7,'Monthly UF Model'!$I438:$DY438)*DA$22</f>
        <v>0</v>
      </c>
      <c r="DB48" s="309">
        <f ca="1">+SUMIF('Monthly UF Model'!$I$7:$DY$7,'Monthly USD Model'!DB$7,'Monthly UF Model'!$I438:$DY438)*DB$22</f>
        <v>0</v>
      </c>
      <c r="DC48" s="309">
        <f ca="1">+SUMIF('Monthly UF Model'!$I$7:$DY$7,'Monthly USD Model'!DC$7,'Monthly UF Model'!$I438:$DY438)*DC$22</f>
        <v>0</v>
      </c>
      <c r="DD48" s="309">
        <f ca="1">+SUMIF('Monthly UF Model'!$I$7:$DY$7,'Monthly USD Model'!DD$7,'Monthly UF Model'!$I438:$DY438)*DD$22</f>
        <v>0</v>
      </c>
      <c r="DE48" s="309">
        <f ca="1">+SUMIF('Monthly UF Model'!$I$7:$DY$7,'Monthly USD Model'!DE$7,'Monthly UF Model'!$I438:$DY438)*DE$22</f>
        <v>0</v>
      </c>
      <c r="DF48" s="309">
        <f ca="1">+SUMIF('Monthly UF Model'!$I$7:$DY$7,'Monthly USD Model'!DF$7,'Monthly UF Model'!$I438:$DY438)*DF$22</f>
        <v>0</v>
      </c>
      <c r="DG48" s="309">
        <f ca="1">+SUMIF('Monthly UF Model'!$I$7:$DY$7,'Monthly USD Model'!DG$7,'Monthly UF Model'!$I438:$DY438)*DG$22</f>
        <v>0</v>
      </c>
      <c r="DH48" s="309">
        <f ca="1">+SUMIF('Monthly UF Model'!$I$7:$DY$7,'Monthly USD Model'!DH$7,'Monthly UF Model'!$I438:$DY438)*DH$22</f>
        <v>0</v>
      </c>
      <c r="DI48" s="309">
        <f ca="1">+SUMIF('Monthly UF Model'!$I$7:$DY$7,'Monthly USD Model'!DI$7,'Monthly UF Model'!$I438:$DY438)*DI$22</f>
        <v>0</v>
      </c>
      <c r="DJ48" s="309">
        <f ca="1">+SUMIF('Monthly UF Model'!$I$7:$DY$7,'Monthly USD Model'!DJ$7,'Monthly UF Model'!$I438:$DY438)*DJ$22</f>
        <v>0</v>
      </c>
      <c r="DK48" s="309">
        <f ca="1">+SUMIF('Monthly UF Model'!$I$7:$DY$7,'Monthly USD Model'!DK$7,'Monthly UF Model'!$I438:$DY438)*DK$22</f>
        <v>0</v>
      </c>
      <c r="DL48" s="309">
        <f ca="1">+SUMIF('Monthly UF Model'!$I$7:$DY$7,'Monthly USD Model'!DL$7,'Monthly UF Model'!$I438:$DY438)*DL$22</f>
        <v>0</v>
      </c>
      <c r="DM48" s="309">
        <f ca="1">+SUMIF('Monthly UF Model'!$I$7:$DY$7,'Monthly USD Model'!DM$7,'Monthly UF Model'!$I438:$DY438)*DM$22</f>
        <v>0</v>
      </c>
      <c r="DN48" s="309">
        <f ca="1">+SUMIF('Monthly UF Model'!$I$7:$DY$7,'Monthly USD Model'!DN$7,'Monthly UF Model'!$I438:$DY438)*DN$22</f>
        <v>0</v>
      </c>
      <c r="DO48" s="309">
        <f ca="1">+SUMIF('Monthly UF Model'!$I$7:$DY$7,'Monthly USD Model'!DO$7,'Monthly UF Model'!$I438:$DY438)*DO$22</f>
        <v>0</v>
      </c>
      <c r="DP48" s="309">
        <f ca="1">+SUMIF('Monthly UF Model'!$I$7:$DY$7,'Monthly USD Model'!DP$7,'Monthly UF Model'!$I438:$DY438)*DP$22</f>
        <v>0</v>
      </c>
      <c r="DQ48" s="309">
        <f ca="1">+SUMIF('Monthly UF Model'!$I$7:$DY$7,'Monthly USD Model'!DQ$7,'Monthly UF Model'!$I438:$DY438)*DQ$22</f>
        <v>0</v>
      </c>
      <c r="DR48" s="309">
        <f ca="1">+SUMIF('Monthly UF Model'!$I$7:$DY$7,'Monthly USD Model'!DR$7,'Monthly UF Model'!$I438:$DY438)*DR$22</f>
        <v>0</v>
      </c>
      <c r="DS48" s="309">
        <f ca="1">+SUMIF('Monthly UF Model'!$I$7:$DY$7,'Monthly USD Model'!DS$7,'Monthly UF Model'!$I438:$DY438)*DS$22</f>
        <v>0</v>
      </c>
      <c r="DT48" s="309">
        <f ca="1">+SUMIF('Monthly UF Model'!$I$7:$DY$7,'Monthly USD Model'!DT$7,'Monthly UF Model'!$I438:$DY438)*DT$22</f>
        <v>0</v>
      </c>
      <c r="DU48" s="309">
        <f ca="1">+SUMIF('Monthly UF Model'!$I$7:$DY$7,'Monthly USD Model'!DU$7,'Monthly UF Model'!$I438:$DY438)*DU$22</f>
        <v>0</v>
      </c>
      <c r="DV48" s="309">
        <f ca="1">+SUMIF('Monthly UF Model'!$I$7:$DY$7,'Monthly USD Model'!DV$7,'Monthly UF Model'!$I438:$DY438)*DV$22</f>
        <v>0</v>
      </c>
      <c r="DW48" s="309">
        <f ca="1">+SUMIF('Monthly UF Model'!$I$7:$DY$7,'Monthly USD Model'!DW$7,'Monthly UF Model'!$I438:$DY438)*DW$22</f>
        <v>0</v>
      </c>
      <c r="DX48" s="309">
        <f ca="1">+SUMIF('Monthly UF Model'!$I$7:$DY$7,'Monthly USD Model'!DX$7,'Monthly UF Model'!$I438:$DY438)*DX$22</f>
        <v>0</v>
      </c>
    </row>
    <row r="49" spans="1:128" s="111" customFormat="1" ht="10.8" outlineLevel="1" collapsed="1" x14ac:dyDescent="0.25">
      <c r="A49" s="3"/>
      <c r="B49" s="125" t="s">
        <v>391</v>
      </c>
      <c r="C49" s="3"/>
      <c r="D49" s="3"/>
      <c r="E49" s="3"/>
      <c r="F49" s="3"/>
      <c r="G49" s="308">
        <f t="shared" ca="1" si="25"/>
        <v>28792375.72406055</v>
      </c>
      <c r="H49" s="309">
        <f>+SUMIF('Monthly UF Model'!$I$7:$DY$7,'Monthly USD Model'!H$7,'Monthly UF Model'!$I439:$DY439)*H$22</f>
        <v>0</v>
      </c>
      <c r="I49" s="309">
        <f>+SUMIF('Monthly UF Model'!$I$7:$DY$7,'Monthly USD Model'!I$7,'Monthly UF Model'!$I439:$DY439)*I$22</f>
        <v>0</v>
      </c>
      <c r="J49" s="309">
        <f>+SUMIF('Monthly UF Model'!$I$7:$DY$7,'Monthly USD Model'!J$7,'Monthly UF Model'!$I439:$DY439)*J$22</f>
        <v>0</v>
      </c>
      <c r="K49" s="309">
        <f>+SUMIF('Monthly UF Model'!$I$7:$DY$7,'Monthly USD Model'!K$7,'Monthly UF Model'!$I439:$DY439)*K$22</f>
        <v>0</v>
      </c>
      <c r="L49" s="309">
        <f>+SUMIF('Monthly UF Model'!$I$7:$DY$7,'Monthly USD Model'!L$7,'Monthly UF Model'!$I439:$DY439)*L$22</f>
        <v>0</v>
      </c>
      <c r="M49" s="309">
        <f>+SUMIF('Monthly UF Model'!$I$7:$DY$7,'Monthly USD Model'!M$7,'Monthly UF Model'!$I439:$DY439)*M$22</f>
        <v>0</v>
      </c>
      <c r="N49" s="309">
        <f>+SUMIF('Monthly UF Model'!$I$7:$DY$7,'Monthly USD Model'!N$7,'Monthly UF Model'!$I439:$DY439)*N$22</f>
        <v>0</v>
      </c>
      <c r="O49" s="309">
        <f>+SUMIF('Monthly UF Model'!$I$7:$DY$7,'Monthly USD Model'!O$7,'Monthly UF Model'!$I439:$DY439)*O$22</f>
        <v>0</v>
      </c>
      <c r="P49" s="309">
        <f>+SUMIF('Monthly UF Model'!$I$7:$DY$7,'Monthly USD Model'!P$7,'Monthly UF Model'!$I439:$DY439)*P$22</f>
        <v>0</v>
      </c>
      <c r="Q49" s="309">
        <f>+SUMIF('Monthly UF Model'!$I$7:$DY$7,'Monthly USD Model'!Q$7,'Monthly UF Model'!$I439:$DY439)*Q$22</f>
        <v>0</v>
      </c>
      <c r="R49" s="309">
        <f>+SUMIF('Monthly UF Model'!$I$7:$DY$7,'Monthly USD Model'!R$7,'Monthly UF Model'!$I439:$DY439)*R$22</f>
        <v>0</v>
      </c>
      <c r="S49" s="309">
        <f>+SUMIF('Monthly UF Model'!$I$7:$DY$7,'Monthly USD Model'!S$7,'Monthly UF Model'!$I439:$DY439)*S$22</f>
        <v>0</v>
      </c>
      <c r="T49" s="309">
        <f>+SUMIF('Monthly UF Model'!$I$7:$DY$7,'Monthly USD Model'!T$7,'Monthly UF Model'!$I439:$DY439)*T$22</f>
        <v>0</v>
      </c>
      <c r="U49" s="309">
        <f>+SUMIF('Monthly UF Model'!$I$7:$DY$7,'Monthly USD Model'!U$7,'Monthly UF Model'!$I439:$DY439)*U$22</f>
        <v>0</v>
      </c>
      <c r="V49" s="309">
        <f>+SUMIF('Monthly UF Model'!$I$7:$DY$7,'Monthly USD Model'!V$7,'Monthly UF Model'!$I439:$DY439)*V$22</f>
        <v>0</v>
      </c>
      <c r="W49" s="309">
        <f>+SUMIF('Monthly UF Model'!$I$7:$DY$7,'Monthly USD Model'!W$7,'Monthly UF Model'!$I439:$DY439)*W$22</f>
        <v>0</v>
      </c>
      <c r="X49" s="309">
        <f>+SUMIF('Monthly UF Model'!$I$7:$DY$7,'Monthly USD Model'!X$7,'Monthly UF Model'!$I439:$DY439)*X$22</f>
        <v>0</v>
      </c>
      <c r="Y49" s="309">
        <f>+SUMIF('Monthly UF Model'!$I$7:$DY$7,'Monthly USD Model'!Y$7,'Monthly UF Model'!$I439:$DY439)*Y$22</f>
        <v>0</v>
      </c>
      <c r="Z49" s="309">
        <f>+SUMIF('Monthly UF Model'!$I$7:$DY$7,'Monthly USD Model'!Z$7,'Monthly UF Model'!$I439:$DY439)*Z$22</f>
        <v>0</v>
      </c>
      <c r="AA49" s="309">
        <f>+SUMIF('Monthly UF Model'!$I$7:$DY$7,'Monthly USD Model'!AA$7,'Monthly UF Model'!$I439:$DY439)*AA$22</f>
        <v>0</v>
      </c>
      <c r="AB49" s="309">
        <f>+SUMIF('Monthly UF Model'!$I$7:$DY$7,'Monthly USD Model'!AB$7,'Monthly UF Model'!$I439:$DY439)*AB$22</f>
        <v>0</v>
      </c>
      <c r="AC49" s="309">
        <f>+SUMIF('Monthly UF Model'!$I$7:$DY$7,'Monthly USD Model'!AC$7,'Monthly UF Model'!$I439:$DY439)*AC$22</f>
        <v>0</v>
      </c>
      <c r="AD49" s="309">
        <f>+SUMIF('Monthly UF Model'!$I$7:$DY$7,'Monthly USD Model'!AD$7,'Monthly UF Model'!$I439:$DY439)*AD$22</f>
        <v>0</v>
      </c>
      <c r="AE49" s="309">
        <f>+SUMIF('Monthly UF Model'!$I$7:$DY$7,'Monthly USD Model'!AE$7,'Monthly UF Model'!$I439:$DY439)*AE$22</f>
        <v>0</v>
      </c>
      <c r="AF49" s="309">
        <f>+SUMIF('Monthly UF Model'!$I$7:$DY$7,'Monthly USD Model'!AF$7,'Monthly UF Model'!$I439:$DY439)*AF$22</f>
        <v>0</v>
      </c>
      <c r="AG49" s="309">
        <f>+SUMIF('Monthly UF Model'!$I$7:$DY$7,'Monthly USD Model'!AG$7,'Monthly UF Model'!$I439:$DY439)*AG$22</f>
        <v>0</v>
      </c>
      <c r="AH49" s="309">
        <f>+SUMIF('Monthly UF Model'!$I$7:$DY$7,'Monthly USD Model'!AH$7,'Monthly UF Model'!$I439:$DY439)*AH$22</f>
        <v>0</v>
      </c>
      <c r="AI49" s="309">
        <f>+SUMIF('Monthly UF Model'!$I$7:$DY$7,'Monthly USD Model'!AI$7,'Monthly UF Model'!$I439:$DY439)*AI$22</f>
        <v>0</v>
      </c>
      <c r="AJ49" s="309">
        <f>+SUMIF('Monthly UF Model'!$I$7:$DY$7,'Monthly USD Model'!AJ$7,'Monthly UF Model'!$I439:$DY439)*AJ$22</f>
        <v>0</v>
      </c>
      <c r="AK49" s="309">
        <f>+SUMIF('Monthly UF Model'!$I$7:$DY$7,'Monthly USD Model'!AK$7,'Monthly UF Model'!$I439:$DY439)*AK$22</f>
        <v>0</v>
      </c>
      <c r="AL49" s="309">
        <f>+SUMIF('Monthly UF Model'!$I$7:$DY$7,'Monthly USD Model'!AL$7,'Monthly UF Model'!$I439:$DY439)*AL$22</f>
        <v>0</v>
      </c>
      <c r="AM49" s="309">
        <f>+SUMIF('Monthly UF Model'!$I$7:$DY$7,'Monthly USD Model'!AM$7,'Monthly UF Model'!$I439:$DY439)*AM$22</f>
        <v>0</v>
      </c>
      <c r="AN49" s="309">
        <f>+SUMIF('Monthly UF Model'!$I$7:$DY$7,'Monthly USD Model'!AN$7,'Monthly UF Model'!$I439:$DY439)*AN$22</f>
        <v>0</v>
      </c>
      <c r="AO49" s="309">
        <f>+SUMIF('Monthly UF Model'!$I$7:$DY$7,'Monthly USD Model'!AO$7,'Monthly UF Model'!$I439:$DY439)*AO$22</f>
        <v>0</v>
      </c>
      <c r="AP49" s="309">
        <f>+SUMIF('Monthly UF Model'!$I$7:$DY$7,'Monthly USD Model'!AP$7,'Monthly UF Model'!$I439:$DY439)*AP$22</f>
        <v>0</v>
      </c>
      <c r="AQ49" s="309">
        <f>+SUMIF('Monthly UF Model'!$I$7:$DY$7,'Monthly USD Model'!AQ$7,'Monthly UF Model'!$I439:$DY439)*AQ$22</f>
        <v>0</v>
      </c>
      <c r="AR49" s="309">
        <f>+SUMIF('Monthly UF Model'!$I$7:$DY$7,'Monthly USD Model'!AR$7,'Monthly UF Model'!$I439:$DY439)*AR$22</f>
        <v>0</v>
      </c>
      <c r="AS49" s="309">
        <f>+SUMIF('Monthly UF Model'!$I$7:$DY$7,'Monthly USD Model'!AS$7,'Monthly UF Model'!$I439:$DY439)*AS$22</f>
        <v>0</v>
      </c>
      <c r="AT49" s="309">
        <f>+SUMIF('Monthly UF Model'!$I$7:$DY$7,'Monthly USD Model'!AT$7,'Monthly UF Model'!$I439:$DY439)*AT$22</f>
        <v>0</v>
      </c>
      <c r="AU49" s="309">
        <f>+SUMIF('Monthly UF Model'!$I$7:$DY$7,'Monthly USD Model'!AU$7,'Monthly UF Model'!$I439:$DY439)*AU$22</f>
        <v>0</v>
      </c>
      <c r="AV49" s="309">
        <f>+SUMIF('Monthly UF Model'!$I$7:$DY$7,'Monthly USD Model'!AV$7,'Monthly UF Model'!$I439:$DY439)*AV$22</f>
        <v>0</v>
      </c>
      <c r="AW49" s="309">
        <f>+SUMIF('Monthly UF Model'!$I$7:$DY$7,'Monthly USD Model'!AW$7,'Monthly UF Model'!$I439:$DY439)*AW$22</f>
        <v>0</v>
      </c>
      <c r="AX49" s="309">
        <f>+SUMIF('Monthly UF Model'!$I$7:$DY$7,'Monthly USD Model'!AX$7,'Monthly UF Model'!$I439:$DY439)*AX$22</f>
        <v>0</v>
      </c>
      <c r="AY49" s="309">
        <f>+SUMIF('Monthly UF Model'!$I$7:$DY$7,'Monthly USD Model'!AY$7,'Monthly UF Model'!$I439:$DY439)*AY$22</f>
        <v>0</v>
      </c>
      <c r="AZ49" s="309">
        <f>+SUMIF('Monthly UF Model'!$I$7:$DY$7,'Monthly USD Model'!AZ$7,'Monthly UF Model'!$I439:$DY439)*AZ$22</f>
        <v>0</v>
      </c>
      <c r="BA49" s="309">
        <f>+SUMIF('Monthly UF Model'!$I$7:$DY$7,'Monthly USD Model'!BA$7,'Monthly UF Model'!$I439:$DY439)*BA$22</f>
        <v>0</v>
      </c>
      <c r="BB49" s="309">
        <f>+SUMIF('Monthly UF Model'!$I$7:$DY$7,'Monthly USD Model'!BB$7,'Monthly UF Model'!$I439:$DY439)*BB$22</f>
        <v>0</v>
      </c>
      <c r="BC49" s="309">
        <f>+SUMIF('Monthly UF Model'!$I$7:$DY$7,'Monthly USD Model'!BC$7,'Monthly UF Model'!$I439:$DY439)*BC$22</f>
        <v>0</v>
      </c>
      <c r="BD49" s="309">
        <f>+SUMIF('Monthly UF Model'!$I$7:$DY$7,'Monthly USD Model'!BD$7,'Monthly UF Model'!$I439:$DY439)*BD$22</f>
        <v>0</v>
      </c>
      <c r="BE49" s="309">
        <f>+SUMIF('Monthly UF Model'!$I$7:$DY$7,'Monthly USD Model'!BE$7,'Monthly UF Model'!$I439:$DY439)*BE$22</f>
        <v>0</v>
      </c>
      <c r="BF49" s="309">
        <f>+SUMIF('Monthly UF Model'!$I$7:$DY$7,'Monthly USD Model'!BF$7,'Monthly UF Model'!$I439:$DY439)*BF$22</f>
        <v>0</v>
      </c>
      <c r="BG49" s="309">
        <f>+SUMIF('Monthly UF Model'!$I$7:$DY$7,'Monthly USD Model'!BG$7,'Monthly UF Model'!$I439:$DY439)*BG$22</f>
        <v>0</v>
      </c>
      <c r="BH49" s="309">
        <f>+SUMIF('Monthly UF Model'!$I$7:$DY$7,'Monthly USD Model'!BH$7,'Monthly UF Model'!$I439:$DY439)*BH$22</f>
        <v>0</v>
      </c>
      <c r="BI49" s="309">
        <f>+SUMIF('Monthly UF Model'!$I$7:$DY$7,'Monthly USD Model'!BI$7,'Monthly UF Model'!$I439:$DY439)*BI$22</f>
        <v>0</v>
      </c>
      <c r="BJ49" s="309">
        <f>+SUMIF('Monthly UF Model'!$I$7:$DY$7,'Monthly USD Model'!BJ$7,'Monthly UF Model'!$I439:$DY439)*BJ$22</f>
        <v>0</v>
      </c>
      <c r="BK49" s="309">
        <f>+SUMIF('Monthly UF Model'!$I$7:$DY$7,'Monthly USD Model'!BK$7,'Monthly UF Model'!$I439:$DY439)*BK$22</f>
        <v>0</v>
      </c>
      <c r="BL49" s="309">
        <f>+SUMIF('Monthly UF Model'!$I$7:$DY$7,'Monthly USD Model'!BL$7,'Monthly UF Model'!$I439:$DY439)*BL$22</f>
        <v>0</v>
      </c>
      <c r="BM49" s="309">
        <f ca="1">+SUMIF('Monthly UF Model'!$I$7:$DY$7,'Monthly USD Model'!BM$7,'Monthly UF Model'!$I439:$DY439)*BM$22</f>
        <v>0</v>
      </c>
      <c r="BN49" s="309">
        <f ca="1">+SUMIF('Monthly UF Model'!$I$7:$DY$7,'Monthly USD Model'!BN$7,'Monthly UF Model'!$I439:$DY439)*BN$22</f>
        <v>0</v>
      </c>
      <c r="BO49" s="309">
        <f ca="1">+SUMIF('Monthly UF Model'!$I$7:$DY$7,'Monthly USD Model'!BO$7,'Monthly UF Model'!$I439:$DY439)*BO$22</f>
        <v>0</v>
      </c>
      <c r="BP49" s="309">
        <f ca="1">+SUMIF('Monthly UF Model'!$I$7:$DY$7,'Monthly USD Model'!BP$7,'Monthly UF Model'!$I439:$DY439)*BP$22</f>
        <v>0</v>
      </c>
      <c r="BQ49" s="309">
        <f ca="1">+SUMIF('Monthly UF Model'!$I$7:$DY$7,'Monthly USD Model'!BQ$7,'Monthly UF Model'!$I439:$DY439)*BQ$22</f>
        <v>0</v>
      </c>
      <c r="BR49" s="309">
        <f ca="1">+SUMIF('Monthly UF Model'!$I$7:$DY$7,'Monthly USD Model'!BR$7,'Monthly UF Model'!$I439:$DY439)*BR$22</f>
        <v>0</v>
      </c>
      <c r="BS49" s="309">
        <f ca="1">+SUMIF('Monthly UF Model'!$I$7:$DY$7,'Monthly USD Model'!BS$7,'Monthly UF Model'!$I439:$DY439)*BS$22</f>
        <v>0</v>
      </c>
      <c r="BT49" s="309">
        <f ca="1">+SUMIF('Monthly UF Model'!$I$7:$DY$7,'Monthly USD Model'!BT$7,'Monthly UF Model'!$I439:$DY439)*BT$22</f>
        <v>0</v>
      </c>
      <c r="BU49" s="309">
        <f ca="1">+SUMIF('Monthly UF Model'!$I$7:$DY$7,'Monthly USD Model'!BU$7,'Monthly UF Model'!$I439:$DY439)*BU$22</f>
        <v>0</v>
      </c>
      <c r="BV49" s="309">
        <f ca="1">+SUMIF('Monthly UF Model'!$I$7:$DY$7,'Monthly USD Model'!BV$7,'Monthly UF Model'!$I439:$DY439)*BV$22</f>
        <v>0</v>
      </c>
      <c r="BW49" s="309">
        <f ca="1">+SUMIF('Monthly UF Model'!$I$7:$DY$7,'Monthly USD Model'!BW$7,'Monthly UF Model'!$I439:$DY439)*BW$22</f>
        <v>0</v>
      </c>
      <c r="BX49" s="309">
        <f ca="1">+SUMIF('Monthly UF Model'!$I$7:$DY$7,'Monthly USD Model'!BX$7,'Monthly UF Model'!$I439:$DY439)*BX$22</f>
        <v>0</v>
      </c>
      <c r="BY49" s="309">
        <f ca="1">+SUMIF('Monthly UF Model'!$I$7:$DY$7,'Monthly USD Model'!BY$7,'Monthly UF Model'!$I439:$DY439)*BY$22</f>
        <v>0</v>
      </c>
      <c r="BZ49" s="309">
        <f ca="1">+SUMIF('Monthly UF Model'!$I$7:$DY$7,'Monthly USD Model'!BZ$7,'Monthly UF Model'!$I439:$DY439)*BZ$22</f>
        <v>0</v>
      </c>
      <c r="CA49" s="309">
        <f ca="1">+SUMIF('Monthly UF Model'!$I$7:$DY$7,'Monthly USD Model'!CA$7,'Monthly UF Model'!$I439:$DY439)*CA$22</f>
        <v>0</v>
      </c>
      <c r="CB49" s="309">
        <f ca="1">+SUMIF('Monthly UF Model'!$I$7:$DY$7,'Monthly USD Model'!CB$7,'Monthly UF Model'!$I439:$DY439)*CB$22</f>
        <v>0</v>
      </c>
      <c r="CC49" s="309">
        <f ca="1">+SUMIF('Monthly UF Model'!$I$7:$DY$7,'Monthly USD Model'!CC$7,'Monthly UF Model'!$I439:$DY439)*CC$22</f>
        <v>0</v>
      </c>
      <c r="CD49" s="309">
        <f ca="1">+SUMIF('Monthly UF Model'!$I$7:$DY$7,'Monthly USD Model'!CD$7,'Monthly UF Model'!$I439:$DY439)*CD$22</f>
        <v>0</v>
      </c>
      <c r="CE49" s="309">
        <f ca="1">+SUMIF('Monthly UF Model'!$I$7:$DY$7,'Monthly USD Model'!CE$7,'Monthly UF Model'!$I439:$DY439)*CE$22</f>
        <v>28792375.72406055</v>
      </c>
      <c r="CF49" s="309">
        <f ca="1">+SUMIF('Monthly UF Model'!$I$7:$DY$7,'Monthly USD Model'!CF$7,'Monthly UF Model'!$I439:$DY439)*CF$22</f>
        <v>0</v>
      </c>
      <c r="CG49" s="309">
        <f ca="1">+SUMIF('Monthly UF Model'!$I$7:$DY$7,'Monthly USD Model'!CG$7,'Monthly UF Model'!$I439:$DY439)*CG$22</f>
        <v>0</v>
      </c>
      <c r="CH49" s="309">
        <f ca="1">+SUMIF('Monthly UF Model'!$I$7:$DY$7,'Monthly USD Model'!CH$7,'Monthly UF Model'!$I439:$DY439)*CH$22</f>
        <v>0</v>
      </c>
      <c r="CI49" s="309">
        <f ca="1">+SUMIF('Monthly UF Model'!$I$7:$DY$7,'Monthly USD Model'!CI$7,'Monthly UF Model'!$I439:$DY439)*CI$22</f>
        <v>0</v>
      </c>
      <c r="CJ49" s="309">
        <f ca="1">+SUMIF('Monthly UF Model'!$I$7:$DY$7,'Monthly USD Model'!CJ$7,'Monthly UF Model'!$I439:$DY439)*CJ$22</f>
        <v>0</v>
      </c>
      <c r="CK49" s="309">
        <f ca="1">+SUMIF('Monthly UF Model'!$I$7:$DY$7,'Monthly USD Model'!CK$7,'Monthly UF Model'!$I439:$DY439)*CK$22</f>
        <v>0</v>
      </c>
      <c r="CL49" s="309">
        <f ca="1">+SUMIF('Monthly UF Model'!$I$7:$DY$7,'Monthly USD Model'!CL$7,'Monthly UF Model'!$I439:$DY439)*CL$22</f>
        <v>0</v>
      </c>
      <c r="CM49" s="309">
        <f ca="1">+SUMIF('Monthly UF Model'!$I$7:$DY$7,'Monthly USD Model'!CM$7,'Monthly UF Model'!$I439:$DY439)*CM$22</f>
        <v>0</v>
      </c>
      <c r="CN49" s="309">
        <f ca="1">+SUMIF('Monthly UF Model'!$I$7:$DY$7,'Monthly USD Model'!CN$7,'Monthly UF Model'!$I439:$DY439)*CN$22</f>
        <v>0</v>
      </c>
      <c r="CO49" s="309">
        <f ca="1">+SUMIF('Monthly UF Model'!$I$7:$DY$7,'Monthly USD Model'!CO$7,'Monthly UF Model'!$I439:$DY439)*CO$22</f>
        <v>0</v>
      </c>
      <c r="CP49" s="309">
        <f ca="1">+SUMIF('Monthly UF Model'!$I$7:$DY$7,'Monthly USD Model'!CP$7,'Monthly UF Model'!$I439:$DY439)*CP$22</f>
        <v>0</v>
      </c>
      <c r="CQ49" s="309">
        <f ca="1">+SUMIF('Monthly UF Model'!$I$7:$DY$7,'Monthly USD Model'!CQ$7,'Monthly UF Model'!$I439:$DY439)*CQ$22</f>
        <v>0</v>
      </c>
      <c r="CR49" s="309">
        <f ca="1">+SUMIF('Monthly UF Model'!$I$7:$DY$7,'Monthly USD Model'!CR$7,'Monthly UF Model'!$I439:$DY439)*CR$22</f>
        <v>0</v>
      </c>
      <c r="CS49" s="309">
        <f ca="1">+SUMIF('Monthly UF Model'!$I$7:$DY$7,'Monthly USD Model'!CS$7,'Monthly UF Model'!$I439:$DY439)*CS$22</f>
        <v>0</v>
      </c>
      <c r="CT49" s="309">
        <f ca="1">+SUMIF('Monthly UF Model'!$I$7:$DY$7,'Monthly USD Model'!CT$7,'Monthly UF Model'!$I439:$DY439)*CT$22</f>
        <v>0</v>
      </c>
      <c r="CU49" s="309">
        <f ca="1">+SUMIF('Monthly UF Model'!$I$7:$DY$7,'Monthly USD Model'!CU$7,'Monthly UF Model'!$I439:$DY439)*CU$22</f>
        <v>0</v>
      </c>
      <c r="CV49" s="309">
        <f ca="1">+SUMIF('Monthly UF Model'!$I$7:$DY$7,'Monthly USD Model'!CV$7,'Monthly UF Model'!$I439:$DY439)*CV$22</f>
        <v>0</v>
      </c>
      <c r="CW49" s="309">
        <f ca="1">+SUMIF('Monthly UF Model'!$I$7:$DY$7,'Monthly USD Model'!CW$7,'Monthly UF Model'!$I439:$DY439)*CW$22</f>
        <v>0</v>
      </c>
      <c r="CX49" s="309">
        <f ca="1">+SUMIF('Monthly UF Model'!$I$7:$DY$7,'Monthly USD Model'!CX$7,'Monthly UF Model'!$I439:$DY439)*CX$22</f>
        <v>0</v>
      </c>
      <c r="CY49" s="309">
        <f ca="1">+SUMIF('Monthly UF Model'!$I$7:$DY$7,'Monthly USD Model'!CY$7,'Monthly UF Model'!$I439:$DY439)*CY$22</f>
        <v>0</v>
      </c>
      <c r="CZ49" s="309">
        <f ca="1">+SUMIF('Monthly UF Model'!$I$7:$DY$7,'Monthly USD Model'!CZ$7,'Monthly UF Model'!$I439:$DY439)*CZ$22</f>
        <v>0</v>
      </c>
      <c r="DA49" s="309">
        <f ca="1">+SUMIF('Monthly UF Model'!$I$7:$DY$7,'Monthly USD Model'!DA$7,'Monthly UF Model'!$I439:$DY439)*DA$22</f>
        <v>0</v>
      </c>
      <c r="DB49" s="309">
        <f ca="1">+SUMIF('Monthly UF Model'!$I$7:$DY$7,'Monthly USD Model'!DB$7,'Monthly UF Model'!$I439:$DY439)*DB$22</f>
        <v>0</v>
      </c>
      <c r="DC49" s="309">
        <f ca="1">+SUMIF('Monthly UF Model'!$I$7:$DY$7,'Monthly USD Model'!DC$7,'Monthly UF Model'!$I439:$DY439)*DC$22</f>
        <v>0</v>
      </c>
      <c r="DD49" s="309">
        <f ca="1">+SUMIF('Monthly UF Model'!$I$7:$DY$7,'Monthly USD Model'!DD$7,'Monthly UF Model'!$I439:$DY439)*DD$22</f>
        <v>0</v>
      </c>
      <c r="DE49" s="309">
        <f ca="1">+SUMIF('Monthly UF Model'!$I$7:$DY$7,'Monthly USD Model'!DE$7,'Monthly UF Model'!$I439:$DY439)*DE$22</f>
        <v>0</v>
      </c>
      <c r="DF49" s="309">
        <f ca="1">+SUMIF('Monthly UF Model'!$I$7:$DY$7,'Monthly USD Model'!DF$7,'Monthly UF Model'!$I439:$DY439)*DF$22</f>
        <v>0</v>
      </c>
      <c r="DG49" s="309">
        <f ca="1">+SUMIF('Monthly UF Model'!$I$7:$DY$7,'Monthly USD Model'!DG$7,'Monthly UF Model'!$I439:$DY439)*DG$22</f>
        <v>0</v>
      </c>
      <c r="DH49" s="309">
        <f ca="1">+SUMIF('Monthly UF Model'!$I$7:$DY$7,'Monthly USD Model'!DH$7,'Monthly UF Model'!$I439:$DY439)*DH$22</f>
        <v>0</v>
      </c>
      <c r="DI49" s="309">
        <f ca="1">+SUMIF('Monthly UF Model'!$I$7:$DY$7,'Monthly USD Model'!DI$7,'Monthly UF Model'!$I439:$DY439)*DI$22</f>
        <v>0</v>
      </c>
      <c r="DJ49" s="309">
        <f ca="1">+SUMIF('Monthly UF Model'!$I$7:$DY$7,'Monthly USD Model'!DJ$7,'Monthly UF Model'!$I439:$DY439)*DJ$22</f>
        <v>0</v>
      </c>
      <c r="DK49" s="309">
        <f ca="1">+SUMIF('Monthly UF Model'!$I$7:$DY$7,'Monthly USD Model'!DK$7,'Monthly UF Model'!$I439:$DY439)*DK$22</f>
        <v>0</v>
      </c>
      <c r="DL49" s="309">
        <f ca="1">+SUMIF('Monthly UF Model'!$I$7:$DY$7,'Monthly USD Model'!DL$7,'Monthly UF Model'!$I439:$DY439)*DL$22</f>
        <v>0</v>
      </c>
      <c r="DM49" s="309">
        <f ca="1">+SUMIF('Monthly UF Model'!$I$7:$DY$7,'Monthly USD Model'!DM$7,'Monthly UF Model'!$I439:$DY439)*DM$22</f>
        <v>0</v>
      </c>
      <c r="DN49" s="309">
        <f ca="1">+SUMIF('Monthly UF Model'!$I$7:$DY$7,'Monthly USD Model'!DN$7,'Monthly UF Model'!$I439:$DY439)*DN$22</f>
        <v>0</v>
      </c>
      <c r="DO49" s="309">
        <f ca="1">+SUMIF('Monthly UF Model'!$I$7:$DY$7,'Monthly USD Model'!DO$7,'Monthly UF Model'!$I439:$DY439)*DO$22</f>
        <v>0</v>
      </c>
      <c r="DP49" s="309">
        <f ca="1">+SUMIF('Monthly UF Model'!$I$7:$DY$7,'Monthly USD Model'!DP$7,'Monthly UF Model'!$I439:$DY439)*DP$22</f>
        <v>0</v>
      </c>
      <c r="DQ49" s="309">
        <f ca="1">+SUMIF('Monthly UF Model'!$I$7:$DY$7,'Monthly USD Model'!DQ$7,'Monthly UF Model'!$I439:$DY439)*DQ$22</f>
        <v>0</v>
      </c>
      <c r="DR49" s="309">
        <f ca="1">+SUMIF('Monthly UF Model'!$I$7:$DY$7,'Monthly USD Model'!DR$7,'Monthly UF Model'!$I439:$DY439)*DR$22</f>
        <v>0</v>
      </c>
      <c r="DS49" s="309">
        <f ca="1">+SUMIF('Monthly UF Model'!$I$7:$DY$7,'Monthly USD Model'!DS$7,'Monthly UF Model'!$I439:$DY439)*DS$22</f>
        <v>0</v>
      </c>
      <c r="DT49" s="309">
        <f ca="1">+SUMIF('Monthly UF Model'!$I$7:$DY$7,'Monthly USD Model'!DT$7,'Monthly UF Model'!$I439:$DY439)*DT$22</f>
        <v>0</v>
      </c>
      <c r="DU49" s="309">
        <f ca="1">+SUMIF('Monthly UF Model'!$I$7:$DY$7,'Monthly USD Model'!DU$7,'Monthly UF Model'!$I439:$DY439)*DU$22</f>
        <v>0</v>
      </c>
      <c r="DV49" s="309">
        <f ca="1">+SUMIF('Monthly UF Model'!$I$7:$DY$7,'Monthly USD Model'!DV$7,'Monthly UF Model'!$I439:$DY439)*DV$22</f>
        <v>0</v>
      </c>
      <c r="DW49" s="309">
        <f ca="1">+SUMIF('Monthly UF Model'!$I$7:$DY$7,'Monthly USD Model'!DW$7,'Monthly UF Model'!$I439:$DY439)*DW$22</f>
        <v>0</v>
      </c>
      <c r="DX49" s="309">
        <f ca="1">+SUMIF('Monthly UF Model'!$I$7:$DY$7,'Monthly USD Model'!DX$7,'Monthly UF Model'!$I439:$DY439)*DX$22</f>
        <v>0</v>
      </c>
    </row>
    <row r="50" spans="1:128" s="3" customFormat="1" ht="10.8" outlineLevel="1" x14ac:dyDescent="0.25">
      <c r="B50" s="125" t="s">
        <v>127</v>
      </c>
      <c r="G50" s="290">
        <f t="shared" si="25"/>
        <v>6299844.6461806837</v>
      </c>
      <c r="H50" s="309">
        <f>+SUMIF('Monthly UF Model'!$I$7:$DY$7,'Monthly USD Model'!H$7,'Monthly UF Model'!$I440:$DY440)*H$22</f>
        <v>0</v>
      </c>
      <c r="I50" s="309">
        <f>+SUMIF('Monthly UF Model'!$I$7:$DY$7,'Monthly USD Model'!I$7,'Monthly UF Model'!$I440:$DY440)*I$22</f>
        <v>0</v>
      </c>
      <c r="J50" s="309">
        <f>+SUMIF('Monthly UF Model'!$I$7:$DY$7,'Monthly USD Model'!J$7,'Monthly UF Model'!$I440:$DY440)*J$22</f>
        <v>0</v>
      </c>
      <c r="K50" s="309">
        <f>+SUMIF('Monthly UF Model'!$I$7:$DY$7,'Monthly USD Model'!K$7,'Monthly UF Model'!$I440:$DY440)*K$22</f>
        <v>0</v>
      </c>
      <c r="L50" s="309">
        <f>+SUMIF('Monthly UF Model'!$I$7:$DY$7,'Monthly USD Model'!L$7,'Monthly UF Model'!$I440:$DY440)*L$22</f>
        <v>0</v>
      </c>
      <c r="M50" s="309">
        <f>+SUMIF('Monthly UF Model'!$I$7:$DY$7,'Monthly USD Model'!M$7,'Monthly UF Model'!$I440:$DY440)*M$22</f>
        <v>0</v>
      </c>
      <c r="N50" s="309">
        <f>+SUMIF('Monthly UF Model'!$I$7:$DY$7,'Monthly USD Model'!N$7,'Monthly UF Model'!$I440:$DY440)*N$22</f>
        <v>0</v>
      </c>
      <c r="O50" s="309">
        <f>+SUMIF('Monthly UF Model'!$I$7:$DY$7,'Monthly USD Model'!O$7,'Monthly UF Model'!$I440:$DY440)*O$22</f>
        <v>0</v>
      </c>
      <c r="P50" s="309">
        <f>+SUMIF('Monthly UF Model'!$I$7:$DY$7,'Monthly USD Model'!P$7,'Monthly UF Model'!$I440:$DY440)*P$22</f>
        <v>0</v>
      </c>
      <c r="Q50" s="309">
        <f>+SUMIF('Monthly UF Model'!$I$7:$DY$7,'Monthly USD Model'!Q$7,'Monthly UF Model'!$I440:$DY440)*Q$22</f>
        <v>0</v>
      </c>
      <c r="R50" s="309">
        <f>+SUMIF('Monthly UF Model'!$I$7:$DY$7,'Monthly USD Model'!R$7,'Monthly UF Model'!$I440:$DY440)*R$22</f>
        <v>0</v>
      </c>
      <c r="S50" s="309">
        <f>+SUMIF('Monthly UF Model'!$I$7:$DY$7,'Monthly USD Model'!S$7,'Monthly UF Model'!$I440:$DY440)*S$22</f>
        <v>0</v>
      </c>
      <c r="T50" s="309">
        <f>+SUMIF('Monthly UF Model'!$I$7:$DY$7,'Monthly USD Model'!T$7,'Monthly UF Model'!$I440:$DY440)*T$22</f>
        <v>0</v>
      </c>
      <c r="U50" s="309">
        <f>+SUMIF('Monthly UF Model'!$I$7:$DY$7,'Monthly USD Model'!U$7,'Monthly UF Model'!$I440:$DY440)*U$22</f>
        <v>0</v>
      </c>
      <c r="V50" s="309">
        <f>+SUMIF('Monthly UF Model'!$I$7:$DY$7,'Monthly USD Model'!V$7,'Monthly UF Model'!$I440:$DY440)*V$22</f>
        <v>0</v>
      </c>
      <c r="W50" s="309">
        <f>+SUMIF('Monthly UF Model'!$I$7:$DY$7,'Monthly USD Model'!W$7,'Monthly UF Model'!$I440:$DY440)*W$22</f>
        <v>0</v>
      </c>
      <c r="X50" s="309">
        <f>+SUMIF('Monthly UF Model'!$I$7:$DY$7,'Monthly USD Model'!X$7,'Monthly UF Model'!$I440:$DY440)*X$22</f>
        <v>0</v>
      </c>
      <c r="Y50" s="309">
        <f>+SUMIF('Monthly UF Model'!$I$7:$DY$7,'Monthly USD Model'!Y$7,'Monthly UF Model'!$I440:$DY440)*Y$22</f>
        <v>0</v>
      </c>
      <c r="Z50" s="309">
        <f>+SUMIF('Monthly UF Model'!$I$7:$DY$7,'Monthly USD Model'!Z$7,'Monthly UF Model'!$I440:$DY440)*Z$22</f>
        <v>0</v>
      </c>
      <c r="AA50" s="309">
        <f>+SUMIF('Monthly UF Model'!$I$7:$DY$7,'Monthly USD Model'!AA$7,'Monthly UF Model'!$I440:$DY440)*AA$22</f>
        <v>0</v>
      </c>
      <c r="AB50" s="309">
        <f>+SUMIF('Monthly UF Model'!$I$7:$DY$7,'Monthly USD Model'!AB$7,'Monthly UF Model'!$I440:$DY440)*AB$22</f>
        <v>0</v>
      </c>
      <c r="AC50" s="309">
        <f>+SUMIF('Monthly UF Model'!$I$7:$DY$7,'Monthly USD Model'!AC$7,'Monthly UF Model'!$I440:$DY440)*AC$22</f>
        <v>0</v>
      </c>
      <c r="AD50" s="309">
        <f>+SUMIF('Monthly UF Model'!$I$7:$DY$7,'Monthly USD Model'!AD$7,'Monthly UF Model'!$I440:$DY440)*AD$22</f>
        <v>0</v>
      </c>
      <c r="AE50" s="309">
        <f>+SUMIF('Monthly UF Model'!$I$7:$DY$7,'Monthly USD Model'!AE$7,'Monthly UF Model'!$I440:$DY440)*AE$22</f>
        <v>0</v>
      </c>
      <c r="AF50" s="309">
        <f>+SUMIF('Monthly UF Model'!$I$7:$DY$7,'Monthly USD Model'!AF$7,'Monthly UF Model'!$I440:$DY440)*AF$22</f>
        <v>0</v>
      </c>
      <c r="AG50" s="309">
        <f>+SUMIF('Monthly UF Model'!$I$7:$DY$7,'Monthly USD Model'!AG$7,'Monthly UF Model'!$I440:$DY440)*AG$22</f>
        <v>0</v>
      </c>
      <c r="AH50" s="309">
        <f>+SUMIF('Monthly UF Model'!$I$7:$DY$7,'Monthly USD Model'!AH$7,'Monthly UF Model'!$I440:$DY440)*AH$22</f>
        <v>0</v>
      </c>
      <c r="AI50" s="309">
        <f>+SUMIF('Monthly UF Model'!$I$7:$DY$7,'Monthly USD Model'!AI$7,'Monthly UF Model'!$I440:$DY440)*AI$22</f>
        <v>0</v>
      </c>
      <c r="AJ50" s="309">
        <f>+SUMIF('Monthly UF Model'!$I$7:$DY$7,'Monthly USD Model'!AJ$7,'Monthly UF Model'!$I440:$DY440)*AJ$22</f>
        <v>0</v>
      </c>
      <c r="AK50" s="309">
        <f>+SUMIF('Monthly UF Model'!$I$7:$DY$7,'Monthly USD Model'!AK$7,'Monthly UF Model'!$I440:$DY440)*AK$22</f>
        <v>0</v>
      </c>
      <c r="AL50" s="309">
        <f>+SUMIF('Monthly UF Model'!$I$7:$DY$7,'Monthly USD Model'!AL$7,'Monthly UF Model'!$I440:$DY440)*AL$22</f>
        <v>0</v>
      </c>
      <c r="AM50" s="309">
        <f>+SUMIF('Monthly UF Model'!$I$7:$DY$7,'Monthly USD Model'!AM$7,'Monthly UF Model'!$I440:$DY440)*AM$22</f>
        <v>0</v>
      </c>
      <c r="AN50" s="309">
        <f>+SUMIF('Monthly UF Model'!$I$7:$DY$7,'Monthly USD Model'!AN$7,'Monthly UF Model'!$I440:$DY440)*AN$22</f>
        <v>0</v>
      </c>
      <c r="AO50" s="309">
        <f>+SUMIF('Monthly UF Model'!$I$7:$DY$7,'Monthly USD Model'!AO$7,'Monthly UF Model'!$I440:$DY440)*AO$22</f>
        <v>0</v>
      </c>
      <c r="AP50" s="309">
        <f>+SUMIF('Monthly UF Model'!$I$7:$DY$7,'Monthly USD Model'!AP$7,'Monthly UF Model'!$I440:$DY440)*AP$22</f>
        <v>0</v>
      </c>
      <c r="AQ50" s="309">
        <f>+SUMIF('Monthly UF Model'!$I$7:$DY$7,'Monthly USD Model'!AQ$7,'Monthly UF Model'!$I440:$DY440)*AQ$22</f>
        <v>0</v>
      </c>
      <c r="AR50" s="309">
        <f>+SUMIF('Monthly UF Model'!$I$7:$DY$7,'Monthly USD Model'!AR$7,'Monthly UF Model'!$I440:$DY440)*AR$22</f>
        <v>0</v>
      </c>
      <c r="AS50" s="309">
        <f>+SUMIF('Monthly UF Model'!$I$7:$DY$7,'Monthly USD Model'!AS$7,'Monthly UF Model'!$I440:$DY440)*AS$22</f>
        <v>0</v>
      </c>
      <c r="AT50" s="309">
        <f>+SUMIF('Monthly UF Model'!$I$7:$DY$7,'Monthly USD Model'!AT$7,'Monthly UF Model'!$I440:$DY440)*AT$22</f>
        <v>0</v>
      </c>
      <c r="AU50" s="309">
        <f>+SUMIF('Monthly UF Model'!$I$7:$DY$7,'Monthly USD Model'!AU$7,'Monthly UF Model'!$I440:$DY440)*AU$22</f>
        <v>0</v>
      </c>
      <c r="AV50" s="309">
        <f>+SUMIF('Monthly UF Model'!$I$7:$DY$7,'Monthly USD Model'!AV$7,'Monthly UF Model'!$I440:$DY440)*AV$22</f>
        <v>0</v>
      </c>
      <c r="AW50" s="309">
        <f>+SUMIF('Monthly UF Model'!$I$7:$DY$7,'Monthly USD Model'!AW$7,'Monthly UF Model'!$I440:$DY440)*AW$22</f>
        <v>0</v>
      </c>
      <c r="AX50" s="309">
        <f>+SUMIF('Monthly UF Model'!$I$7:$DY$7,'Monthly USD Model'!AX$7,'Monthly UF Model'!$I440:$DY440)*AX$22</f>
        <v>0</v>
      </c>
      <c r="AY50" s="309">
        <f>+SUMIF('Monthly UF Model'!$I$7:$DY$7,'Monthly USD Model'!AY$7,'Monthly UF Model'!$I440:$DY440)*AY$22</f>
        <v>0</v>
      </c>
      <c r="AZ50" s="309">
        <f>+SUMIF('Monthly UF Model'!$I$7:$DY$7,'Monthly USD Model'!AZ$7,'Monthly UF Model'!$I440:$DY440)*AZ$22</f>
        <v>0</v>
      </c>
      <c r="BA50" s="309">
        <f>+SUMIF('Monthly UF Model'!$I$7:$DY$7,'Monthly USD Model'!BA$7,'Monthly UF Model'!$I440:$DY440)*BA$22</f>
        <v>0</v>
      </c>
      <c r="BB50" s="309">
        <f>+SUMIF('Monthly UF Model'!$I$7:$DY$7,'Monthly USD Model'!BB$7,'Monthly UF Model'!$I440:$DY440)*BB$22</f>
        <v>0</v>
      </c>
      <c r="BC50" s="309">
        <f>+SUMIF('Monthly UF Model'!$I$7:$DY$7,'Monthly USD Model'!BC$7,'Monthly UF Model'!$I440:$DY440)*BC$22</f>
        <v>0</v>
      </c>
      <c r="BD50" s="309">
        <f>+SUMIF('Monthly UF Model'!$I$7:$DY$7,'Monthly USD Model'!BD$7,'Monthly UF Model'!$I440:$DY440)*BD$22</f>
        <v>0</v>
      </c>
      <c r="BE50" s="309">
        <f>+SUMIF('Monthly UF Model'!$I$7:$DY$7,'Monthly USD Model'!BE$7,'Monthly UF Model'!$I440:$DY440)*BE$22</f>
        <v>0</v>
      </c>
      <c r="BF50" s="309">
        <f>+SUMIF('Monthly UF Model'!$I$7:$DY$7,'Monthly USD Model'!BF$7,'Monthly UF Model'!$I440:$DY440)*BF$22</f>
        <v>0</v>
      </c>
      <c r="BG50" s="309">
        <f>+SUMIF('Monthly UF Model'!$I$7:$DY$7,'Monthly USD Model'!BG$7,'Monthly UF Model'!$I440:$DY440)*BG$22</f>
        <v>0</v>
      </c>
      <c r="BH50" s="309">
        <f>+SUMIF('Monthly UF Model'!$I$7:$DY$7,'Monthly USD Model'!BH$7,'Monthly UF Model'!$I440:$DY440)*BH$22</f>
        <v>0</v>
      </c>
      <c r="BI50" s="309">
        <f>+SUMIF('Monthly UF Model'!$I$7:$DY$7,'Monthly USD Model'!BI$7,'Monthly UF Model'!$I440:$DY440)*BI$22</f>
        <v>0</v>
      </c>
      <c r="BJ50" s="309">
        <f>+SUMIF('Monthly UF Model'!$I$7:$DY$7,'Monthly USD Model'!BJ$7,'Monthly UF Model'!$I440:$DY440)*BJ$22</f>
        <v>0</v>
      </c>
      <c r="BK50" s="309">
        <f>+SUMIF('Monthly UF Model'!$I$7:$DY$7,'Monthly USD Model'!BK$7,'Monthly UF Model'!$I440:$DY440)*BK$22</f>
        <v>0</v>
      </c>
      <c r="BL50" s="309">
        <f>+SUMIF('Monthly UF Model'!$I$7:$DY$7,'Monthly USD Model'!BL$7,'Monthly UF Model'!$I440:$DY440)*BL$22</f>
        <v>0</v>
      </c>
      <c r="BM50" s="309">
        <f>+SUMIF('Monthly UF Model'!$I$7:$DY$7,'Monthly USD Model'!BM$7,'Monthly UF Model'!$I440:$DY440)*BM$22</f>
        <v>0</v>
      </c>
      <c r="BN50" s="309">
        <f>+SUMIF('Monthly UF Model'!$I$7:$DY$7,'Monthly USD Model'!BN$7,'Monthly UF Model'!$I440:$DY440)*BN$22</f>
        <v>0</v>
      </c>
      <c r="BO50" s="309">
        <f>+SUMIF('Monthly UF Model'!$I$7:$DY$7,'Monthly USD Model'!BO$7,'Monthly UF Model'!$I440:$DY440)*BO$22</f>
        <v>0</v>
      </c>
      <c r="BP50" s="309">
        <f>+SUMIF('Monthly UF Model'!$I$7:$DY$7,'Monthly USD Model'!BP$7,'Monthly UF Model'!$I440:$DY440)*BP$22</f>
        <v>0</v>
      </c>
      <c r="BQ50" s="309">
        <f>+SUMIF('Monthly UF Model'!$I$7:$DY$7,'Monthly USD Model'!BQ$7,'Monthly UF Model'!$I440:$DY440)*BQ$22</f>
        <v>0</v>
      </c>
      <c r="BR50" s="309">
        <f>+SUMIF('Monthly UF Model'!$I$7:$DY$7,'Monthly USD Model'!BR$7,'Monthly UF Model'!$I440:$DY440)*BR$22</f>
        <v>0</v>
      </c>
      <c r="BS50" s="309">
        <f>+SUMIF('Monthly UF Model'!$I$7:$DY$7,'Monthly USD Model'!BS$7,'Monthly UF Model'!$I440:$DY440)*BS$22</f>
        <v>0</v>
      </c>
      <c r="BT50" s="309">
        <f>+SUMIF('Monthly UF Model'!$I$7:$DY$7,'Monthly USD Model'!BT$7,'Monthly UF Model'!$I440:$DY440)*BT$22</f>
        <v>0</v>
      </c>
      <c r="BU50" s="309">
        <f>+SUMIF('Monthly UF Model'!$I$7:$DY$7,'Monthly USD Model'!BU$7,'Monthly UF Model'!$I440:$DY440)*BU$22</f>
        <v>0</v>
      </c>
      <c r="BV50" s="309">
        <f>+SUMIF('Monthly UF Model'!$I$7:$DY$7,'Monthly USD Model'!BV$7,'Monthly UF Model'!$I440:$DY440)*BV$22</f>
        <v>0</v>
      </c>
      <c r="BW50" s="309">
        <f>+SUMIF('Monthly UF Model'!$I$7:$DY$7,'Monthly USD Model'!BW$7,'Monthly UF Model'!$I440:$DY440)*BW$22</f>
        <v>0</v>
      </c>
      <c r="BX50" s="309">
        <f>+SUMIF('Monthly UF Model'!$I$7:$DY$7,'Monthly USD Model'!BX$7,'Monthly UF Model'!$I440:$DY440)*BX$22</f>
        <v>0</v>
      </c>
      <c r="BY50" s="309">
        <f>+SUMIF('Monthly UF Model'!$I$7:$DY$7,'Monthly USD Model'!BY$7,'Monthly UF Model'!$I440:$DY440)*BY$22</f>
        <v>0</v>
      </c>
      <c r="BZ50" s="309">
        <f>+SUMIF('Monthly UF Model'!$I$7:$DY$7,'Monthly USD Model'!BZ$7,'Monthly UF Model'!$I440:$DY440)*BZ$22</f>
        <v>0</v>
      </c>
      <c r="CA50" s="309">
        <f>+SUMIF('Monthly UF Model'!$I$7:$DY$7,'Monthly USD Model'!CA$7,'Monthly UF Model'!$I440:$DY440)*CA$22</f>
        <v>0</v>
      </c>
      <c r="CB50" s="309">
        <f>+SUMIF('Monthly UF Model'!$I$7:$DY$7,'Monthly USD Model'!CB$7,'Monthly UF Model'!$I440:$DY440)*CB$22</f>
        <v>0</v>
      </c>
      <c r="CC50" s="309">
        <f>+SUMIF('Monthly UF Model'!$I$7:$DY$7,'Monthly USD Model'!CC$7,'Monthly UF Model'!$I440:$DY440)*CC$22</f>
        <v>0</v>
      </c>
      <c r="CD50" s="309">
        <f>+SUMIF('Monthly UF Model'!$I$7:$DY$7,'Monthly USD Model'!CD$7,'Monthly UF Model'!$I440:$DY440)*CD$22</f>
        <v>0</v>
      </c>
      <c r="CE50" s="309">
        <f>+SUMIF('Monthly UF Model'!$I$7:$DY$7,'Monthly USD Model'!CE$7,'Monthly UF Model'!$I440:$DY440)*CE$22</f>
        <v>6299844.6461806837</v>
      </c>
      <c r="CF50" s="309">
        <f>+SUMIF('Monthly UF Model'!$I$7:$DY$7,'Monthly USD Model'!CF$7,'Monthly UF Model'!$I440:$DY440)*CF$22</f>
        <v>0</v>
      </c>
      <c r="CG50" s="309">
        <f>+SUMIF('Monthly UF Model'!$I$7:$DY$7,'Monthly USD Model'!CG$7,'Monthly UF Model'!$I440:$DY440)*CG$22</f>
        <v>0</v>
      </c>
      <c r="CH50" s="309">
        <f>+SUMIF('Monthly UF Model'!$I$7:$DY$7,'Monthly USD Model'!CH$7,'Monthly UF Model'!$I440:$DY440)*CH$22</f>
        <v>0</v>
      </c>
      <c r="CI50" s="309">
        <f>+SUMIF('Monthly UF Model'!$I$7:$DY$7,'Monthly USD Model'!CI$7,'Monthly UF Model'!$I440:$DY440)*CI$22</f>
        <v>0</v>
      </c>
      <c r="CJ50" s="309">
        <f>+SUMIF('Monthly UF Model'!$I$7:$DY$7,'Monthly USD Model'!CJ$7,'Monthly UF Model'!$I440:$DY440)*CJ$22</f>
        <v>0</v>
      </c>
      <c r="CK50" s="309">
        <f>+SUMIF('Monthly UF Model'!$I$7:$DY$7,'Monthly USD Model'!CK$7,'Monthly UF Model'!$I440:$DY440)*CK$22</f>
        <v>0</v>
      </c>
      <c r="CL50" s="309">
        <f>+SUMIF('Monthly UF Model'!$I$7:$DY$7,'Monthly USD Model'!CL$7,'Monthly UF Model'!$I440:$DY440)*CL$22</f>
        <v>0</v>
      </c>
      <c r="CM50" s="309">
        <f>+SUMIF('Monthly UF Model'!$I$7:$DY$7,'Monthly USD Model'!CM$7,'Monthly UF Model'!$I440:$DY440)*CM$22</f>
        <v>0</v>
      </c>
      <c r="CN50" s="309">
        <f>+SUMIF('Monthly UF Model'!$I$7:$DY$7,'Monthly USD Model'!CN$7,'Monthly UF Model'!$I440:$DY440)*CN$22</f>
        <v>0</v>
      </c>
      <c r="CO50" s="309">
        <f>+SUMIF('Monthly UF Model'!$I$7:$DY$7,'Monthly USD Model'!CO$7,'Monthly UF Model'!$I440:$DY440)*CO$22</f>
        <v>0</v>
      </c>
      <c r="CP50" s="309">
        <f>+SUMIF('Monthly UF Model'!$I$7:$DY$7,'Monthly USD Model'!CP$7,'Monthly UF Model'!$I440:$DY440)*CP$22</f>
        <v>0</v>
      </c>
      <c r="CQ50" s="309">
        <f>+SUMIF('Monthly UF Model'!$I$7:$DY$7,'Monthly USD Model'!CQ$7,'Monthly UF Model'!$I440:$DY440)*CQ$22</f>
        <v>0</v>
      </c>
      <c r="CR50" s="309">
        <f>+SUMIF('Monthly UF Model'!$I$7:$DY$7,'Monthly USD Model'!CR$7,'Monthly UF Model'!$I440:$DY440)*CR$22</f>
        <v>0</v>
      </c>
      <c r="CS50" s="309">
        <f>+SUMIF('Monthly UF Model'!$I$7:$DY$7,'Monthly USD Model'!CS$7,'Monthly UF Model'!$I440:$DY440)*CS$22</f>
        <v>0</v>
      </c>
      <c r="CT50" s="309">
        <f>+SUMIF('Monthly UF Model'!$I$7:$DY$7,'Monthly USD Model'!CT$7,'Monthly UF Model'!$I440:$DY440)*CT$22</f>
        <v>0</v>
      </c>
      <c r="CU50" s="309">
        <f>+SUMIF('Monthly UF Model'!$I$7:$DY$7,'Monthly USD Model'!CU$7,'Monthly UF Model'!$I440:$DY440)*CU$22</f>
        <v>0</v>
      </c>
      <c r="CV50" s="309">
        <f>+SUMIF('Monthly UF Model'!$I$7:$DY$7,'Monthly USD Model'!CV$7,'Monthly UF Model'!$I440:$DY440)*CV$22</f>
        <v>0</v>
      </c>
      <c r="CW50" s="309">
        <f>+SUMIF('Monthly UF Model'!$I$7:$DY$7,'Monthly USD Model'!CW$7,'Monthly UF Model'!$I440:$DY440)*CW$22</f>
        <v>0</v>
      </c>
      <c r="CX50" s="309">
        <f>+SUMIF('Monthly UF Model'!$I$7:$DY$7,'Monthly USD Model'!CX$7,'Monthly UF Model'!$I440:$DY440)*CX$22</f>
        <v>0</v>
      </c>
      <c r="CY50" s="309">
        <f>+SUMIF('Monthly UF Model'!$I$7:$DY$7,'Monthly USD Model'!CY$7,'Monthly UF Model'!$I440:$DY440)*CY$22</f>
        <v>0</v>
      </c>
      <c r="CZ50" s="309">
        <f>+SUMIF('Monthly UF Model'!$I$7:$DY$7,'Monthly USD Model'!CZ$7,'Monthly UF Model'!$I440:$DY440)*CZ$22</f>
        <v>0</v>
      </c>
      <c r="DA50" s="309">
        <f>+SUMIF('Monthly UF Model'!$I$7:$DY$7,'Monthly USD Model'!DA$7,'Monthly UF Model'!$I440:$DY440)*DA$22</f>
        <v>0</v>
      </c>
      <c r="DB50" s="309">
        <f>+SUMIF('Monthly UF Model'!$I$7:$DY$7,'Monthly USD Model'!DB$7,'Monthly UF Model'!$I440:$DY440)*DB$22</f>
        <v>0</v>
      </c>
      <c r="DC50" s="309">
        <f>+SUMIF('Monthly UF Model'!$I$7:$DY$7,'Monthly USD Model'!DC$7,'Monthly UF Model'!$I440:$DY440)*DC$22</f>
        <v>0</v>
      </c>
      <c r="DD50" s="309">
        <f>+SUMIF('Monthly UF Model'!$I$7:$DY$7,'Monthly USD Model'!DD$7,'Monthly UF Model'!$I440:$DY440)*DD$22</f>
        <v>0</v>
      </c>
      <c r="DE50" s="309">
        <f>+SUMIF('Monthly UF Model'!$I$7:$DY$7,'Monthly USD Model'!DE$7,'Monthly UF Model'!$I440:$DY440)*DE$22</f>
        <v>0</v>
      </c>
      <c r="DF50" s="309">
        <f>+SUMIF('Monthly UF Model'!$I$7:$DY$7,'Monthly USD Model'!DF$7,'Monthly UF Model'!$I440:$DY440)*DF$22</f>
        <v>0</v>
      </c>
      <c r="DG50" s="309">
        <f>+SUMIF('Monthly UF Model'!$I$7:$DY$7,'Monthly USD Model'!DG$7,'Monthly UF Model'!$I440:$DY440)*DG$22</f>
        <v>0</v>
      </c>
      <c r="DH50" s="309">
        <f>+SUMIF('Monthly UF Model'!$I$7:$DY$7,'Monthly USD Model'!DH$7,'Monthly UF Model'!$I440:$DY440)*DH$22</f>
        <v>0</v>
      </c>
      <c r="DI50" s="309">
        <f>+SUMIF('Monthly UF Model'!$I$7:$DY$7,'Monthly USD Model'!DI$7,'Monthly UF Model'!$I440:$DY440)*DI$22</f>
        <v>0</v>
      </c>
      <c r="DJ50" s="309">
        <f>+SUMIF('Monthly UF Model'!$I$7:$DY$7,'Monthly USD Model'!DJ$7,'Monthly UF Model'!$I440:$DY440)*DJ$22</f>
        <v>0</v>
      </c>
      <c r="DK50" s="309">
        <f>+SUMIF('Monthly UF Model'!$I$7:$DY$7,'Monthly USD Model'!DK$7,'Monthly UF Model'!$I440:$DY440)*DK$22</f>
        <v>0</v>
      </c>
      <c r="DL50" s="309">
        <f>+SUMIF('Monthly UF Model'!$I$7:$DY$7,'Monthly USD Model'!DL$7,'Monthly UF Model'!$I440:$DY440)*DL$22</f>
        <v>0</v>
      </c>
      <c r="DM50" s="309">
        <f>+SUMIF('Monthly UF Model'!$I$7:$DY$7,'Monthly USD Model'!DM$7,'Monthly UF Model'!$I440:$DY440)*DM$22</f>
        <v>0</v>
      </c>
      <c r="DN50" s="309">
        <f>+SUMIF('Monthly UF Model'!$I$7:$DY$7,'Monthly USD Model'!DN$7,'Monthly UF Model'!$I440:$DY440)*DN$22</f>
        <v>0</v>
      </c>
      <c r="DO50" s="309">
        <f>+SUMIF('Monthly UF Model'!$I$7:$DY$7,'Monthly USD Model'!DO$7,'Monthly UF Model'!$I440:$DY440)*DO$22</f>
        <v>0</v>
      </c>
      <c r="DP50" s="309">
        <f>+SUMIF('Monthly UF Model'!$I$7:$DY$7,'Monthly USD Model'!DP$7,'Monthly UF Model'!$I440:$DY440)*DP$22</f>
        <v>0</v>
      </c>
      <c r="DQ50" s="309">
        <f>+SUMIF('Monthly UF Model'!$I$7:$DY$7,'Monthly USD Model'!DQ$7,'Monthly UF Model'!$I440:$DY440)*DQ$22</f>
        <v>0</v>
      </c>
      <c r="DR50" s="309">
        <f>+SUMIF('Monthly UF Model'!$I$7:$DY$7,'Monthly USD Model'!DR$7,'Monthly UF Model'!$I440:$DY440)*DR$22</f>
        <v>0</v>
      </c>
      <c r="DS50" s="309">
        <f>+SUMIF('Monthly UF Model'!$I$7:$DY$7,'Monthly USD Model'!DS$7,'Monthly UF Model'!$I440:$DY440)*DS$22</f>
        <v>0</v>
      </c>
      <c r="DT50" s="309">
        <f>+SUMIF('Monthly UF Model'!$I$7:$DY$7,'Monthly USD Model'!DT$7,'Monthly UF Model'!$I440:$DY440)*DT$22</f>
        <v>0</v>
      </c>
      <c r="DU50" s="309">
        <f>+SUMIF('Monthly UF Model'!$I$7:$DY$7,'Monthly USD Model'!DU$7,'Monthly UF Model'!$I440:$DY440)*DU$22</f>
        <v>0</v>
      </c>
      <c r="DV50" s="309">
        <f>+SUMIF('Monthly UF Model'!$I$7:$DY$7,'Monthly USD Model'!DV$7,'Monthly UF Model'!$I440:$DY440)*DV$22</f>
        <v>0</v>
      </c>
      <c r="DW50" s="309">
        <f>+SUMIF('Monthly UF Model'!$I$7:$DY$7,'Monthly USD Model'!DW$7,'Monthly UF Model'!$I440:$DY440)*DW$22</f>
        <v>0</v>
      </c>
      <c r="DX50" s="309">
        <f>+SUMIF('Monthly UF Model'!$I$7:$DY$7,'Monthly USD Model'!DX$7,'Monthly UF Model'!$I440:$DY440)*DX$22</f>
        <v>0</v>
      </c>
    </row>
    <row r="51" spans="1:128" s="3" customFormat="1" ht="10.8" outlineLevel="1" x14ac:dyDescent="0.25">
      <c r="B51" s="125" t="s">
        <v>131</v>
      </c>
      <c r="G51" s="290">
        <f t="shared" si="25"/>
        <v>18813524.306301598</v>
      </c>
      <c r="H51" s="309">
        <f>+SUMIF('Monthly UF Model'!$I$7:$DY$7,'Monthly USD Model'!H$7,'Monthly UF Model'!$I441:$DY441)*H$22</f>
        <v>0</v>
      </c>
      <c r="I51" s="309">
        <f>+SUMIF('Monthly UF Model'!$I$7:$DY$7,'Monthly USD Model'!I$7,'Monthly UF Model'!$I441:$DY441)*I$22</f>
        <v>0</v>
      </c>
      <c r="J51" s="309">
        <f>+SUMIF('Monthly UF Model'!$I$7:$DY$7,'Monthly USD Model'!J$7,'Monthly UF Model'!$I441:$DY441)*J$22</f>
        <v>0</v>
      </c>
      <c r="K51" s="309">
        <f>+SUMIF('Monthly UF Model'!$I$7:$DY$7,'Monthly USD Model'!K$7,'Monthly UF Model'!$I441:$DY441)*K$22</f>
        <v>0</v>
      </c>
      <c r="L51" s="309">
        <f>+SUMIF('Monthly UF Model'!$I$7:$DY$7,'Monthly USD Model'!L$7,'Monthly UF Model'!$I441:$DY441)*L$22</f>
        <v>0</v>
      </c>
      <c r="M51" s="309">
        <f>+SUMIF('Monthly UF Model'!$I$7:$DY$7,'Monthly USD Model'!M$7,'Monthly UF Model'!$I441:$DY441)*M$22</f>
        <v>0</v>
      </c>
      <c r="N51" s="309">
        <f>+SUMIF('Monthly UF Model'!$I$7:$DY$7,'Monthly USD Model'!N$7,'Monthly UF Model'!$I441:$DY441)*N$22</f>
        <v>0</v>
      </c>
      <c r="O51" s="309">
        <f>+SUMIF('Monthly UF Model'!$I$7:$DY$7,'Monthly USD Model'!O$7,'Monthly UF Model'!$I441:$DY441)*O$22</f>
        <v>0</v>
      </c>
      <c r="P51" s="309">
        <f>+SUMIF('Monthly UF Model'!$I$7:$DY$7,'Monthly USD Model'!P$7,'Monthly UF Model'!$I441:$DY441)*P$22</f>
        <v>0</v>
      </c>
      <c r="Q51" s="309">
        <f>+SUMIF('Monthly UF Model'!$I$7:$DY$7,'Monthly USD Model'!Q$7,'Monthly UF Model'!$I441:$DY441)*Q$22</f>
        <v>0</v>
      </c>
      <c r="R51" s="309">
        <f>+SUMIF('Monthly UF Model'!$I$7:$DY$7,'Monthly USD Model'!R$7,'Monthly UF Model'!$I441:$DY441)*R$22</f>
        <v>0</v>
      </c>
      <c r="S51" s="309">
        <f>+SUMIF('Monthly UF Model'!$I$7:$DY$7,'Monthly USD Model'!S$7,'Monthly UF Model'!$I441:$DY441)*S$22</f>
        <v>0</v>
      </c>
      <c r="T51" s="309">
        <f>+SUMIF('Monthly UF Model'!$I$7:$DY$7,'Monthly USD Model'!T$7,'Monthly UF Model'!$I441:$DY441)*T$22</f>
        <v>0</v>
      </c>
      <c r="U51" s="309">
        <f>+SUMIF('Monthly UF Model'!$I$7:$DY$7,'Monthly USD Model'!U$7,'Monthly UF Model'!$I441:$DY441)*U$22</f>
        <v>0</v>
      </c>
      <c r="V51" s="309">
        <f>+SUMIF('Monthly UF Model'!$I$7:$DY$7,'Monthly USD Model'!V$7,'Monthly UF Model'!$I441:$DY441)*V$22</f>
        <v>0</v>
      </c>
      <c r="W51" s="309">
        <f>+SUMIF('Monthly UF Model'!$I$7:$DY$7,'Monthly USD Model'!W$7,'Monthly UF Model'!$I441:$DY441)*W$22</f>
        <v>0</v>
      </c>
      <c r="X51" s="309">
        <f>+SUMIF('Monthly UF Model'!$I$7:$DY$7,'Monthly USD Model'!X$7,'Monthly UF Model'!$I441:$DY441)*X$22</f>
        <v>0</v>
      </c>
      <c r="Y51" s="309">
        <f>+SUMIF('Monthly UF Model'!$I$7:$DY$7,'Monthly USD Model'!Y$7,'Monthly UF Model'!$I441:$DY441)*Y$22</f>
        <v>0</v>
      </c>
      <c r="Z51" s="309">
        <f>+SUMIF('Monthly UF Model'!$I$7:$DY$7,'Monthly USD Model'!Z$7,'Monthly UF Model'!$I441:$DY441)*Z$22</f>
        <v>0</v>
      </c>
      <c r="AA51" s="309">
        <f>+SUMIF('Monthly UF Model'!$I$7:$DY$7,'Monthly USD Model'!AA$7,'Monthly UF Model'!$I441:$DY441)*AA$22</f>
        <v>0</v>
      </c>
      <c r="AB51" s="309">
        <f>+SUMIF('Monthly UF Model'!$I$7:$DY$7,'Monthly USD Model'!AB$7,'Monthly UF Model'!$I441:$DY441)*AB$22</f>
        <v>0</v>
      </c>
      <c r="AC51" s="309">
        <f>+SUMIF('Monthly UF Model'!$I$7:$DY$7,'Monthly USD Model'!AC$7,'Monthly UF Model'!$I441:$DY441)*AC$22</f>
        <v>0</v>
      </c>
      <c r="AD51" s="309">
        <f>+SUMIF('Monthly UF Model'!$I$7:$DY$7,'Monthly USD Model'!AD$7,'Monthly UF Model'!$I441:$DY441)*AD$22</f>
        <v>2582889.9379410842</v>
      </c>
      <c r="AE51" s="309">
        <f>+SUMIF('Monthly UF Model'!$I$7:$DY$7,'Monthly USD Model'!AE$7,'Monthly UF Model'!$I441:$DY441)*AE$22</f>
        <v>3222476.8246999239</v>
      </c>
      <c r="AF51" s="309">
        <f>+SUMIF('Monthly UF Model'!$I$7:$DY$7,'Monthly USD Model'!AF$7,'Monthly UF Model'!$I441:$DY441)*AF$22</f>
        <v>987514.80894939927</v>
      </c>
      <c r="AG51" s="309">
        <f>+SUMIF('Monthly UF Model'!$I$7:$DY$7,'Monthly USD Model'!AG$7,'Monthly UF Model'!$I441:$DY441)*AG$22</f>
        <v>438982.35172233381</v>
      </c>
      <c r="AH51" s="309">
        <f>+SUMIF('Monthly UF Model'!$I$7:$DY$7,'Monthly USD Model'!AH$7,'Monthly UF Model'!$I441:$DY441)*AH$22</f>
        <v>275425.40705101116</v>
      </c>
      <c r="AI51" s="309">
        <f>+SUMIF('Monthly UF Model'!$I$7:$DY$7,'Monthly USD Model'!AI$7,'Monthly UF Model'!$I441:$DY441)*AI$22</f>
        <v>277350.88004619803</v>
      </c>
      <c r="AJ51" s="309">
        <f>+SUMIF('Monthly UF Model'!$I$7:$DY$7,'Monthly USD Model'!AJ$7,'Monthly UF Model'!$I441:$DY441)*AJ$22</f>
        <v>443917.1449696726</v>
      </c>
      <c r="AK51" s="309">
        <f>+SUMIF('Monthly UF Model'!$I$7:$DY$7,'Monthly USD Model'!AK$7,'Monthly UF Model'!$I441:$DY441)*AK$22</f>
        <v>296402.12064783281</v>
      </c>
      <c r="AL51" s="309">
        <f>+SUMIF('Monthly UF Model'!$I$7:$DY$7,'Monthly USD Model'!AL$7,'Monthly UF Model'!$I441:$DY441)*AL$22</f>
        <v>337911.61526645394</v>
      </c>
      <c r="AM51" s="309">
        <f>+SUMIF('Monthly UF Model'!$I$7:$DY$7,'Monthly USD Model'!AM$7,'Monthly UF Model'!$I441:$DY441)*AM$22</f>
        <v>286351.74332432885</v>
      </c>
      <c r="AN51" s="309">
        <f>+SUMIF('Monthly UF Model'!$I$7:$DY$7,'Monthly USD Model'!AN$7,'Monthly UF Model'!$I441:$DY441)*AN$22</f>
        <v>243797.50965868545</v>
      </c>
      <c r="AO51" s="309">
        <f>+SUMIF('Monthly UF Model'!$I$7:$DY$7,'Monthly USD Model'!AO$7,'Monthly UF Model'!$I441:$DY441)*AO$22</f>
        <v>562426.77250232734</v>
      </c>
      <c r="AP51" s="309">
        <f>+SUMIF('Monthly UF Model'!$I$7:$DY$7,'Monthly USD Model'!AP$7,'Monthly UF Model'!$I441:$DY441)*AP$22</f>
        <v>0</v>
      </c>
      <c r="AQ51" s="309">
        <f>+SUMIF('Monthly UF Model'!$I$7:$DY$7,'Monthly USD Model'!AQ$7,'Monthly UF Model'!$I441:$DY441)*AQ$22</f>
        <v>0</v>
      </c>
      <c r="AR51" s="309">
        <f>+SUMIF('Monthly UF Model'!$I$7:$DY$7,'Monthly USD Model'!AR$7,'Monthly UF Model'!$I441:$DY441)*AR$22</f>
        <v>395233.38347398204</v>
      </c>
      <c r="AS51" s="309">
        <f>+SUMIF('Monthly UF Model'!$I$7:$DY$7,'Monthly USD Model'!AS$7,'Monthly UF Model'!$I441:$DY441)*AS$22</f>
        <v>330861.57356652984</v>
      </c>
      <c r="AT51" s="309">
        <f>+SUMIF('Monthly UF Model'!$I$7:$DY$7,'Monthly USD Model'!AT$7,'Monthly UF Model'!$I441:$DY441)*AT$22</f>
        <v>189321.43369549621</v>
      </c>
      <c r="AU51" s="309">
        <f>+SUMIF('Monthly UF Model'!$I$7:$DY$7,'Monthly USD Model'!AU$7,'Monthly UF Model'!$I441:$DY441)*AU$22</f>
        <v>858327.61093301838</v>
      </c>
      <c r="AV51" s="309">
        <f>+SUMIF('Monthly UF Model'!$I$7:$DY$7,'Monthly USD Model'!AV$7,'Monthly UF Model'!$I441:$DY441)*AV$22</f>
        <v>1205960.0998111682</v>
      </c>
      <c r="AW51" s="309">
        <f>+SUMIF('Monthly UF Model'!$I$7:$DY$7,'Monthly USD Model'!AW$7,'Monthly UF Model'!$I441:$DY441)*AW$22</f>
        <v>806598.37014857924</v>
      </c>
      <c r="AX51" s="309">
        <f>+SUMIF('Monthly UF Model'!$I$7:$DY$7,'Monthly USD Model'!AX$7,'Monthly UF Model'!$I441:$DY441)*AX$22</f>
        <v>0</v>
      </c>
      <c r="AY51" s="309">
        <f>+SUMIF('Monthly UF Model'!$I$7:$DY$7,'Monthly USD Model'!AY$7,'Monthly UF Model'!$I441:$DY441)*AY$22</f>
        <v>870070.35130267066</v>
      </c>
      <c r="AZ51" s="309">
        <f>+SUMIF('Monthly UF Model'!$I$7:$DY$7,'Monthly USD Model'!AZ$7,'Monthly UF Model'!$I441:$DY441)*AZ$22</f>
        <v>1225511.5047177619</v>
      </c>
      <c r="BA51" s="309">
        <f>+SUMIF('Monthly UF Model'!$I$7:$DY$7,'Monthly USD Model'!BA$7,'Monthly UF Model'!$I441:$DY441)*BA$22</f>
        <v>767716.74736154941</v>
      </c>
      <c r="BB51" s="309">
        <f>+SUMIF('Monthly UF Model'!$I$7:$DY$7,'Monthly USD Model'!BB$7,'Monthly UF Model'!$I441:$DY441)*BB$22</f>
        <v>745382.72711692355</v>
      </c>
      <c r="BC51" s="309">
        <f>+SUMIF('Monthly UF Model'!$I$7:$DY$7,'Monthly USD Model'!BC$7,'Monthly UF Model'!$I441:$DY441)*BC$22</f>
        <v>0</v>
      </c>
      <c r="BD51" s="309">
        <f>+SUMIF('Monthly UF Model'!$I$7:$DY$7,'Monthly USD Model'!BD$7,'Monthly UF Model'!$I441:$DY441)*BD$22</f>
        <v>599079.03284012992</v>
      </c>
      <c r="BE51" s="309">
        <f>+SUMIF('Monthly UF Model'!$I$7:$DY$7,'Monthly USD Model'!BE$7,'Monthly UF Model'!$I441:$DY441)*BE$22</f>
        <v>0</v>
      </c>
      <c r="BF51" s="309">
        <f>+SUMIF('Monthly UF Model'!$I$7:$DY$7,'Monthly USD Model'!BF$7,'Monthly UF Model'!$I441:$DY441)*BF$22</f>
        <v>0</v>
      </c>
      <c r="BG51" s="309">
        <f>+SUMIF('Monthly UF Model'!$I$7:$DY$7,'Monthly USD Model'!BG$7,'Monthly UF Model'!$I441:$DY441)*BG$22</f>
        <v>864014.35455454281</v>
      </c>
      <c r="BH51" s="309">
        <f>+SUMIF('Monthly UF Model'!$I$7:$DY$7,'Monthly USD Model'!BH$7,'Monthly UF Model'!$I441:$DY441)*BH$22</f>
        <v>0</v>
      </c>
      <c r="BI51" s="309">
        <f>+SUMIF('Monthly UF Model'!$I$7:$DY$7,'Monthly USD Model'!BI$7,'Monthly UF Model'!$I441:$DY441)*BI$22</f>
        <v>0</v>
      </c>
      <c r="BJ51" s="309">
        <f>+SUMIF('Monthly UF Model'!$I$7:$DY$7,'Monthly USD Model'!BJ$7,'Monthly UF Model'!$I441:$DY441)*BJ$22</f>
        <v>0</v>
      </c>
      <c r="BK51" s="309">
        <f>+SUMIF('Monthly UF Model'!$I$7:$DY$7,'Monthly USD Model'!BK$7,'Monthly UF Model'!$I441:$DY441)*BK$22</f>
        <v>0</v>
      </c>
      <c r="BL51" s="309">
        <f>+SUMIF('Monthly UF Model'!$I$7:$DY$7,'Monthly USD Model'!BL$7,'Monthly UF Model'!$I441:$DY441)*BL$22</f>
        <v>0</v>
      </c>
      <c r="BM51" s="309">
        <f>+SUMIF('Monthly UF Model'!$I$7:$DY$7,'Monthly USD Model'!BM$7,'Monthly UF Model'!$I441:$DY441)*BM$22</f>
        <v>0</v>
      </c>
      <c r="BN51" s="309">
        <f>+SUMIF('Monthly UF Model'!$I$7:$DY$7,'Monthly USD Model'!BN$7,'Monthly UF Model'!$I441:$DY441)*BN$22</f>
        <v>0</v>
      </c>
      <c r="BO51" s="309">
        <f>+SUMIF('Monthly UF Model'!$I$7:$DY$7,'Monthly USD Model'!BO$7,'Monthly UF Model'!$I441:$DY441)*BO$22</f>
        <v>0</v>
      </c>
      <c r="BP51" s="309">
        <f>+SUMIF('Monthly UF Model'!$I$7:$DY$7,'Monthly USD Model'!BP$7,'Monthly UF Model'!$I441:$DY441)*BP$22</f>
        <v>0</v>
      </c>
      <c r="BQ51" s="309">
        <f>+SUMIF('Monthly UF Model'!$I$7:$DY$7,'Monthly USD Model'!BQ$7,'Monthly UF Model'!$I441:$DY441)*BQ$22</f>
        <v>0</v>
      </c>
      <c r="BR51" s="309">
        <f>+SUMIF('Monthly UF Model'!$I$7:$DY$7,'Monthly USD Model'!BR$7,'Monthly UF Model'!$I441:$DY441)*BR$22</f>
        <v>0</v>
      </c>
      <c r="BS51" s="309">
        <f>+SUMIF('Monthly UF Model'!$I$7:$DY$7,'Monthly USD Model'!BS$7,'Monthly UF Model'!$I441:$DY441)*BS$22</f>
        <v>0</v>
      </c>
      <c r="BT51" s="309">
        <f>+SUMIF('Monthly UF Model'!$I$7:$DY$7,'Monthly USD Model'!BT$7,'Monthly UF Model'!$I441:$DY441)*BT$22</f>
        <v>0</v>
      </c>
      <c r="BU51" s="309">
        <f>+SUMIF('Monthly UF Model'!$I$7:$DY$7,'Monthly USD Model'!BU$7,'Monthly UF Model'!$I441:$DY441)*BU$22</f>
        <v>0</v>
      </c>
      <c r="BV51" s="309">
        <f>+SUMIF('Monthly UF Model'!$I$7:$DY$7,'Monthly USD Model'!BV$7,'Monthly UF Model'!$I441:$DY441)*BV$22</f>
        <v>0</v>
      </c>
      <c r="BW51" s="309">
        <f>+SUMIF('Monthly UF Model'!$I$7:$DY$7,'Monthly USD Model'!BW$7,'Monthly UF Model'!$I441:$DY441)*BW$22</f>
        <v>0</v>
      </c>
      <c r="BX51" s="309">
        <f>+SUMIF('Monthly UF Model'!$I$7:$DY$7,'Monthly USD Model'!BX$7,'Monthly UF Model'!$I441:$DY441)*BX$22</f>
        <v>0</v>
      </c>
      <c r="BY51" s="309">
        <f>+SUMIF('Monthly UF Model'!$I$7:$DY$7,'Monthly USD Model'!BY$7,'Monthly UF Model'!$I441:$DY441)*BY$22</f>
        <v>0</v>
      </c>
      <c r="BZ51" s="309">
        <f>+SUMIF('Monthly UF Model'!$I$7:$DY$7,'Monthly USD Model'!BZ$7,'Monthly UF Model'!$I441:$DY441)*BZ$22</f>
        <v>0</v>
      </c>
      <c r="CA51" s="309">
        <f>+SUMIF('Monthly UF Model'!$I$7:$DY$7,'Monthly USD Model'!CA$7,'Monthly UF Model'!$I441:$DY441)*CA$22</f>
        <v>0</v>
      </c>
      <c r="CB51" s="309">
        <f>+SUMIF('Monthly UF Model'!$I$7:$DY$7,'Monthly USD Model'!CB$7,'Monthly UF Model'!$I441:$DY441)*CB$22</f>
        <v>0</v>
      </c>
      <c r="CC51" s="309">
        <f>+SUMIF('Monthly UF Model'!$I$7:$DY$7,'Monthly USD Model'!CC$7,'Monthly UF Model'!$I441:$DY441)*CC$22</f>
        <v>0</v>
      </c>
      <c r="CD51" s="309">
        <f>+SUMIF('Monthly UF Model'!$I$7:$DY$7,'Monthly USD Model'!CD$7,'Monthly UF Model'!$I441:$DY441)*CD$22</f>
        <v>0</v>
      </c>
      <c r="CE51" s="309">
        <f>+SUMIF('Monthly UF Model'!$I$7:$DY$7,'Monthly USD Model'!CE$7,'Monthly UF Model'!$I441:$DY441)*CE$22</f>
        <v>0</v>
      </c>
      <c r="CF51" s="309">
        <f>+SUMIF('Monthly UF Model'!$I$7:$DY$7,'Monthly USD Model'!CF$7,'Monthly UF Model'!$I441:$DY441)*CF$22</f>
        <v>0</v>
      </c>
      <c r="CG51" s="309">
        <f>+SUMIF('Monthly UF Model'!$I$7:$DY$7,'Monthly USD Model'!CG$7,'Monthly UF Model'!$I441:$DY441)*CG$22</f>
        <v>0</v>
      </c>
      <c r="CH51" s="309">
        <f>+SUMIF('Monthly UF Model'!$I$7:$DY$7,'Monthly USD Model'!CH$7,'Monthly UF Model'!$I441:$DY441)*CH$22</f>
        <v>0</v>
      </c>
      <c r="CI51" s="309">
        <f>+SUMIF('Monthly UF Model'!$I$7:$DY$7,'Monthly USD Model'!CI$7,'Monthly UF Model'!$I441:$DY441)*CI$22</f>
        <v>0</v>
      </c>
      <c r="CJ51" s="309">
        <f>+SUMIF('Monthly UF Model'!$I$7:$DY$7,'Monthly USD Model'!CJ$7,'Monthly UF Model'!$I441:$DY441)*CJ$22</f>
        <v>0</v>
      </c>
      <c r="CK51" s="309">
        <f>+SUMIF('Monthly UF Model'!$I$7:$DY$7,'Monthly USD Model'!CK$7,'Monthly UF Model'!$I441:$DY441)*CK$22</f>
        <v>0</v>
      </c>
      <c r="CL51" s="309">
        <f>+SUMIF('Monthly UF Model'!$I$7:$DY$7,'Monthly USD Model'!CL$7,'Monthly UF Model'!$I441:$DY441)*CL$22</f>
        <v>0</v>
      </c>
      <c r="CM51" s="309">
        <f>+SUMIF('Monthly UF Model'!$I$7:$DY$7,'Monthly USD Model'!CM$7,'Monthly UF Model'!$I441:$DY441)*CM$22</f>
        <v>0</v>
      </c>
      <c r="CN51" s="309">
        <f>+SUMIF('Monthly UF Model'!$I$7:$DY$7,'Monthly USD Model'!CN$7,'Monthly UF Model'!$I441:$DY441)*CN$22</f>
        <v>0</v>
      </c>
      <c r="CO51" s="309">
        <f>+SUMIF('Monthly UF Model'!$I$7:$DY$7,'Monthly USD Model'!CO$7,'Monthly UF Model'!$I441:$DY441)*CO$22</f>
        <v>0</v>
      </c>
      <c r="CP51" s="309">
        <f>+SUMIF('Monthly UF Model'!$I$7:$DY$7,'Monthly USD Model'!CP$7,'Monthly UF Model'!$I441:$DY441)*CP$22</f>
        <v>0</v>
      </c>
      <c r="CQ51" s="309">
        <f>+SUMIF('Monthly UF Model'!$I$7:$DY$7,'Monthly USD Model'!CQ$7,'Monthly UF Model'!$I441:$DY441)*CQ$22</f>
        <v>0</v>
      </c>
      <c r="CR51" s="309">
        <f>+SUMIF('Monthly UF Model'!$I$7:$DY$7,'Monthly USD Model'!CR$7,'Monthly UF Model'!$I441:$DY441)*CR$22</f>
        <v>0</v>
      </c>
      <c r="CS51" s="309">
        <f>+SUMIF('Monthly UF Model'!$I$7:$DY$7,'Monthly USD Model'!CS$7,'Monthly UF Model'!$I441:$DY441)*CS$22</f>
        <v>0</v>
      </c>
      <c r="CT51" s="309">
        <f>+SUMIF('Monthly UF Model'!$I$7:$DY$7,'Monthly USD Model'!CT$7,'Monthly UF Model'!$I441:$DY441)*CT$22</f>
        <v>0</v>
      </c>
      <c r="CU51" s="309">
        <f>+SUMIF('Monthly UF Model'!$I$7:$DY$7,'Monthly USD Model'!CU$7,'Monthly UF Model'!$I441:$DY441)*CU$22</f>
        <v>0</v>
      </c>
      <c r="CV51" s="309">
        <f>+SUMIF('Monthly UF Model'!$I$7:$DY$7,'Monthly USD Model'!CV$7,'Monthly UF Model'!$I441:$DY441)*CV$22</f>
        <v>0</v>
      </c>
      <c r="CW51" s="309">
        <f>+SUMIF('Monthly UF Model'!$I$7:$DY$7,'Monthly USD Model'!CW$7,'Monthly UF Model'!$I441:$DY441)*CW$22</f>
        <v>0</v>
      </c>
      <c r="CX51" s="309">
        <f>+SUMIF('Monthly UF Model'!$I$7:$DY$7,'Monthly USD Model'!CX$7,'Monthly UF Model'!$I441:$DY441)*CX$22</f>
        <v>0</v>
      </c>
      <c r="CY51" s="309">
        <f>+SUMIF('Monthly UF Model'!$I$7:$DY$7,'Monthly USD Model'!CY$7,'Monthly UF Model'!$I441:$DY441)*CY$22</f>
        <v>0</v>
      </c>
      <c r="CZ51" s="309">
        <f>+SUMIF('Monthly UF Model'!$I$7:$DY$7,'Monthly USD Model'!CZ$7,'Monthly UF Model'!$I441:$DY441)*CZ$22</f>
        <v>0</v>
      </c>
      <c r="DA51" s="309">
        <f>+SUMIF('Monthly UF Model'!$I$7:$DY$7,'Monthly USD Model'!DA$7,'Monthly UF Model'!$I441:$DY441)*DA$22</f>
        <v>0</v>
      </c>
      <c r="DB51" s="309">
        <f>+SUMIF('Monthly UF Model'!$I$7:$DY$7,'Monthly USD Model'!DB$7,'Monthly UF Model'!$I441:$DY441)*DB$22</f>
        <v>0</v>
      </c>
      <c r="DC51" s="309">
        <f>+SUMIF('Monthly UF Model'!$I$7:$DY$7,'Monthly USD Model'!DC$7,'Monthly UF Model'!$I441:$DY441)*DC$22</f>
        <v>0</v>
      </c>
      <c r="DD51" s="309">
        <f>+SUMIF('Monthly UF Model'!$I$7:$DY$7,'Monthly USD Model'!DD$7,'Monthly UF Model'!$I441:$DY441)*DD$22</f>
        <v>0</v>
      </c>
      <c r="DE51" s="309">
        <f>+SUMIF('Monthly UF Model'!$I$7:$DY$7,'Monthly USD Model'!DE$7,'Monthly UF Model'!$I441:$DY441)*DE$22</f>
        <v>0</v>
      </c>
      <c r="DF51" s="309">
        <f>+SUMIF('Monthly UF Model'!$I$7:$DY$7,'Monthly USD Model'!DF$7,'Monthly UF Model'!$I441:$DY441)*DF$22</f>
        <v>0</v>
      </c>
      <c r="DG51" s="309">
        <f>+SUMIF('Monthly UF Model'!$I$7:$DY$7,'Monthly USD Model'!DG$7,'Monthly UF Model'!$I441:$DY441)*DG$22</f>
        <v>0</v>
      </c>
      <c r="DH51" s="309">
        <f>+SUMIF('Monthly UF Model'!$I$7:$DY$7,'Monthly USD Model'!DH$7,'Monthly UF Model'!$I441:$DY441)*DH$22</f>
        <v>0</v>
      </c>
      <c r="DI51" s="309">
        <f>+SUMIF('Monthly UF Model'!$I$7:$DY$7,'Monthly USD Model'!DI$7,'Monthly UF Model'!$I441:$DY441)*DI$22</f>
        <v>0</v>
      </c>
      <c r="DJ51" s="309">
        <f>+SUMIF('Monthly UF Model'!$I$7:$DY$7,'Monthly USD Model'!DJ$7,'Monthly UF Model'!$I441:$DY441)*DJ$22</f>
        <v>0</v>
      </c>
      <c r="DK51" s="309">
        <f>+SUMIF('Monthly UF Model'!$I$7:$DY$7,'Monthly USD Model'!DK$7,'Monthly UF Model'!$I441:$DY441)*DK$22</f>
        <v>0</v>
      </c>
      <c r="DL51" s="309">
        <f>+SUMIF('Monthly UF Model'!$I$7:$DY$7,'Monthly USD Model'!DL$7,'Monthly UF Model'!$I441:$DY441)*DL$22</f>
        <v>0</v>
      </c>
      <c r="DM51" s="309">
        <f>+SUMIF('Monthly UF Model'!$I$7:$DY$7,'Monthly USD Model'!DM$7,'Monthly UF Model'!$I441:$DY441)*DM$22</f>
        <v>0</v>
      </c>
      <c r="DN51" s="309">
        <f>+SUMIF('Monthly UF Model'!$I$7:$DY$7,'Monthly USD Model'!DN$7,'Monthly UF Model'!$I441:$DY441)*DN$22</f>
        <v>0</v>
      </c>
      <c r="DO51" s="309">
        <f>+SUMIF('Monthly UF Model'!$I$7:$DY$7,'Monthly USD Model'!DO$7,'Monthly UF Model'!$I441:$DY441)*DO$22</f>
        <v>0</v>
      </c>
      <c r="DP51" s="309">
        <f>+SUMIF('Monthly UF Model'!$I$7:$DY$7,'Monthly USD Model'!DP$7,'Monthly UF Model'!$I441:$DY441)*DP$22</f>
        <v>0</v>
      </c>
      <c r="DQ51" s="309">
        <f>+SUMIF('Monthly UF Model'!$I$7:$DY$7,'Monthly USD Model'!DQ$7,'Monthly UF Model'!$I441:$DY441)*DQ$22</f>
        <v>0</v>
      </c>
      <c r="DR51" s="309">
        <f>+SUMIF('Monthly UF Model'!$I$7:$DY$7,'Monthly USD Model'!DR$7,'Monthly UF Model'!$I441:$DY441)*DR$22</f>
        <v>0</v>
      </c>
      <c r="DS51" s="309">
        <f>+SUMIF('Monthly UF Model'!$I$7:$DY$7,'Monthly USD Model'!DS$7,'Monthly UF Model'!$I441:$DY441)*DS$22</f>
        <v>0</v>
      </c>
      <c r="DT51" s="309">
        <f>+SUMIF('Monthly UF Model'!$I$7:$DY$7,'Monthly USD Model'!DT$7,'Monthly UF Model'!$I441:$DY441)*DT$22</f>
        <v>0</v>
      </c>
      <c r="DU51" s="309">
        <f>+SUMIF('Monthly UF Model'!$I$7:$DY$7,'Monthly USD Model'!DU$7,'Monthly UF Model'!$I441:$DY441)*DU$22</f>
        <v>0</v>
      </c>
      <c r="DV51" s="309">
        <f>+SUMIF('Monthly UF Model'!$I$7:$DY$7,'Monthly USD Model'!DV$7,'Monthly UF Model'!$I441:$DY441)*DV$22</f>
        <v>0</v>
      </c>
      <c r="DW51" s="309">
        <f>+SUMIF('Monthly UF Model'!$I$7:$DY$7,'Monthly USD Model'!DW$7,'Monthly UF Model'!$I441:$DY441)*DW$22</f>
        <v>0</v>
      </c>
      <c r="DX51" s="309">
        <f>+SUMIF('Monthly UF Model'!$I$7:$DY$7,'Monthly USD Model'!DX$7,'Monthly UF Model'!$I441:$DY441)*DX$22</f>
        <v>0</v>
      </c>
    </row>
    <row r="52" spans="1:128" s="3" customFormat="1" ht="10.8" outlineLevel="1" x14ac:dyDescent="0.25">
      <c r="B52" s="125" t="s">
        <v>180</v>
      </c>
      <c r="G52" s="290">
        <f t="shared" si="25"/>
        <v>-21646375.68347241</v>
      </c>
      <c r="H52" s="309">
        <f>+SUMIF('Monthly UF Model'!$I$7:$DY$7,'Monthly USD Model'!H$7,'Monthly UF Model'!$I442:$DY442)*H$22</f>
        <v>0</v>
      </c>
      <c r="I52" s="309">
        <f>+SUMIF('Monthly UF Model'!$I$7:$DY$7,'Monthly USD Model'!I$7,'Monthly UF Model'!$I442:$DY442)*I$22</f>
        <v>0</v>
      </c>
      <c r="J52" s="309">
        <f>+SUMIF('Monthly UF Model'!$I$7:$DY$7,'Monthly USD Model'!J$7,'Monthly UF Model'!$I442:$DY442)*J$22</f>
        <v>0</v>
      </c>
      <c r="K52" s="309">
        <f>+SUMIF('Monthly UF Model'!$I$7:$DY$7,'Monthly USD Model'!K$7,'Monthly UF Model'!$I442:$DY442)*K$22</f>
        <v>0</v>
      </c>
      <c r="L52" s="309">
        <f>+SUMIF('Monthly UF Model'!$I$7:$DY$7,'Monthly USD Model'!L$7,'Monthly UF Model'!$I442:$DY442)*L$22</f>
        <v>0</v>
      </c>
      <c r="M52" s="309">
        <f>+SUMIF('Monthly UF Model'!$I$7:$DY$7,'Monthly USD Model'!M$7,'Monthly UF Model'!$I442:$DY442)*M$22</f>
        <v>0</v>
      </c>
      <c r="N52" s="309">
        <f>+SUMIF('Monthly UF Model'!$I$7:$DY$7,'Monthly USD Model'!N$7,'Monthly UF Model'!$I442:$DY442)*N$22</f>
        <v>0</v>
      </c>
      <c r="O52" s="309">
        <f>+SUMIF('Monthly UF Model'!$I$7:$DY$7,'Monthly USD Model'!O$7,'Monthly UF Model'!$I442:$DY442)*O$22</f>
        <v>0</v>
      </c>
      <c r="P52" s="309">
        <f>+SUMIF('Monthly UF Model'!$I$7:$DY$7,'Monthly USD Model'!P$7,'Monthly UF Model'!$I442:$DY442)*P$22</f>
        <v>0</v>
      </c>
      <c r="Q52" s="309">
        <f>+SUMIF('Monthly UF Model'!$I$7:$DY$7,'Monthly USD Model'!Q$7,'Monthly UF Model'!$I442:$DY442)*Q$22</f>
        <v>0</v>
      </c>
      <c r="R52" s="309">
        <f>+SUMIF('Monthly UF Model'!$I$7:$DY$7,'Monthly USD Model'!R$7,'Monthly UF Model'!$I442:$DY442)*R$22</f>
        <v>0</v>
      </c>
      <c r="S52" s="309">
        <f>+SUMIF('Monthly UF Model'!$I$7:$DY$7,'Monthly USD Model'!S$7,'Monthly UF Model'!$I442:$DY442)*S$22</f>
        <v>0</v>
      </c>
      <c r="T52" s="309">
        <f>+SUMIF('Monthly UF Model'!$I$7:$DY$7,'Monthly USD Model'!T$7,'Monthly UF Model'!$I442:$DY442)*T$22</f>
        <v>0</v>
      </c>
      <c r="U52" s="309">
        <f>+SUMIF('Monthly UF Model'!$I$7:$DY$7,'Monthly USD Model'!U$7,'Monthly UF Model'!$I442:$DY442)*U$22</f>
        <v>0</v>
      </c>
      <c r="V52" s="309">
        <f>+SUMIF('Monthly UF Model'!$I$7:$DY$7,'Monthly USD Model'!V$7,'Monthly UF Model'!$I442:$DY442)*V$22</f>
        <v>0</v>
      </c>
      <c r="W52" s="309">
        <f>+SUMIF('Monthly UF Model'!$I$7:$DY$7,'Monthly USD Model'!W$7,'Monthly UF Model'!$I442:$DY442)*W$22</f>
        <v>0</v>
      </c>
      <c r="X52" s="309">
        <f>+SUMIF('Monthly UF Model'!$I$7:$DY$7,'Monthly USD Model'!X$7,'Monthly UF Model'!$I442:$DY442)*X$22</f>
        <v>0</v>
      </c>
      <c r="Y52" s="309">
        <f>+SUMIF('Monthly UF Model'!$I$7:$DY$7,'Monthly USD Model'!Y$7,'Monthly UF Model'!$I442:$DY442)*Y$22</f>
        <v>0</v>
      </c>
      <c r="Z52" s="309">
        <f>+SUMIF('Monthly UF Model'!$I$7:$DY$7,'Monthly USD Model'!Z$7,'Monthly UF Model'!$I442:$DY442)*Z$22</f>
        <v>0</v>
      </c>
      <c r="AA52" s="309">
        <f>+SUMIF('Monthly UF Model'!$I$7:$DY$7,'Monthly USD Model'!AA$7,'Monthly UF Model'!$I442:$DY442)*AA$22</f>
        <v>0</v>
      </c>
      <c r="AB52" s="309">
        <f>+SUMIF('Monthly UF Model'!$I$7:$DY$7,'Monthly USD Model'!AB$7,'Monthly UF Model'!$I442:$DY442)*AB$22</f>
        <v>0</v>
      </c>
      <c r="AC52" s="309">
        <f>+SUMIF('Monthly UF Model'!$I$7:$DY$7,'Monthly USD Model'!AC$7,'Monthly UF Model'!$I442:$DY442)*AC$22</f>
        <v>0</v>
      </c>
      <c r="AD52" s="309">
        <f>+SUMIF('Monthly UF Model'!$I$7:$DY$7,'Monthly USD Model'!AD$7,'Monthly UF Model'!$I442:$DY442)*AD$22</f>
        <v>0</v>
      </c>
      <c r="AE52" s="309">
        <f>+SUMIF('Monthly UF Model'!$I$7:$DY$7,'Monthly USD Model'!AE$7,'Monthly UF Model'!$I442:$DY442)*AE$22</f>
        <v>-2512365.8200790952</v>
      </c>
      <c r="AF52" s="309">
        <f>+SUMIF('Monthly UF Model'!$I$7:$DY$7,'Monthly USD Model'!AF$7,'Monthly UF Model'!$I442:$DY442)*AF$22</f>
        <v>0</v>
      </c>
      <c r="AG52" s="309">
        <f>+SUMIF('Monthly UF Model'!$I$7:$DY$7,'Monthly USD Model'!AG$7,'Monthly UF Model'!$I442:$DY442)*AG$22</f>
        <v>0</v>
      </c>
      <c r="AH52" s="309">
        <f>+SUMIF('Monthly UF Model'!$I$7:$DY$7,'Monthly USD Model'!AH$7,'Monthly UF Model'!$I442:$DY442)*AH$22</f>
        <v>0</v>
      </c>
      <c r="AI52" s="309">
        <f>+SUMIF('Monthly UF Model'!$I$7:$DY$7,'Monthly USD Model'!AI$7,'Monthly UF Model'!$I442:$DY442)*AI$22</f>
        <v>0</v>
      </c>
      <c r="AJ52" s="309">
        <f>+SUMIF('Monthly UF Model'!$I$7:$DY$7,'Monthly USD Model'!AJ$7,'Monthly UF Model'!$I442:$DY442)*AJ$22</f>
        <v>0</v>
      </c>
      <c r="AK52" s="309">
        <f>+SUMIF('Monthly UF Model'!$I$7:$DY$7,'Monthly USD Model'!AK$7,'Monthly UF Model'!$I442:$DY442)*AK$22</f>
        <v>0</v>
      </c>
      <c r="AL52" s="309">
        <f>+SUMIF('Monthly UF Model'!$I$7:$DY$7,'Monthly USD Model'!AL$7,'Monthly UF Model'!$I442:$DY442)*AL$22</f>
        <v>0</v>
      </c>
      <c r="AM52" s="309">
        <f>+SUMIF('Monthly UF Model'!$I$7:$DY$7,'Monthly USD Model'!AM$7,'Monthly UF Model'!$I442:$DY442)*AM$22</f>
        <v>0</v>
      </c>
      <c r="AN52" s="309">
        <f>+SUMIF('Monthly UF Model'!$I$7:$DY$7,'Monthly USD Model'!AN$7,'Monthly UF Model'!$I442:$DY442)*AN$22</f>
        <v>0</v>
      </c>
      <c r="AO52" s="309">
        <f>+SUMIF('Monthly UF Model'!$I$7:$DY$7,'Monthly USD Model'!AO$7,'Monthly UF Model'!$I442:$DY442)*AO$22</f>
        <v>0</v>
      </c>
      <c r="AP52" s="309">
        <f>+SUMIF('Monthly UF Model'!$I$7:$DY$7,'Monthly USD Model'!AP$7,'Monthly UF Model'!$I442:$DY442)*AP$22</f>
        <v>0</v>
      </c>
      <c r="AQ52" s="309">
        <f>+SUMIF('Monthly UF Model'!$I$7:$DY$7,'Monthly USD Model'!AQ$7,'Monthly UF Model'!$I442:$DY442)*AQ$22</f>
        <v>0</v>
      </c>
      <c r="AR52" s="309">
        <f>+SUMIF('Monthly UF Model'!$I$7:$DY$7,'Monthly USD Model'!AR$7,'Monthly UF Model'!$I442:$DY442)*AR$22</f>
        <v>0</v>
      </c>
      <c r="AS52" s="309">
        <f>+SUMIF('Monthly UF Model'!$I$7:$DY$7,'Monthly USD Model'!AS$7,'Monthly UF Model'!$I442:$DY442)*AS$22</f>
        <v>0</v>
      </c>
      <c r="AT52" s="309">
        <f>+SUMIF('Monthly UF Model'!$I$7:$DY$7,'Monthly USD Model'!AT$7,'Monthly UF Model'!$I442:$DY442)*AT$22</f>
        <v>0</v>
      </c>
      <c r="AU52" s="309">
        <f>+SUMIF('Monthly UF Model'!$I$7:$DY$7,'Monthly USD Model'!AU$7,'Monthly UF Model'!$I442:$DY442)*AU$22</f>
        <v>0</v>
      </c>
      <c r="AV52" s="309">
        <f>+SUMIF('Monthly UF Model'!$I$7:$DY$7,'Monthly USD Model'!AV$7,'Monthly UF Model'!$I442:$DY442)*AV$22</f>
        <v>0</v>
      </c>
      <c r="AW52" s="309">
        <f>+SUMIF('Monthly UF Model'!$I$7:$DY$7,'Monthly USD Model'!AW$7,'Monthly UF Model'!$I442:$DY442)*AW$22</f>
        <v>0</v>
      </c>
      <c r="AX52" s="309">
        <f>+SUMIF('Monthly UF Model'!$I$7:$DY$7,'Monthly USD Model'!AX$7,'Monthly UF Model'!$I442:$DY442)*AX$22</f>
        <v>0</v>
      </c>
      <c r="AY52" s="309">
        <f>+SUMIF('Monthly UF Model'!$I$7:$DY$7,'Monthly USD Model'!AY$7,'Monthly UF Model'!$I442:$DY442)*AY$22</f>
        <v>0</v>
      </c>
      <c r="AZ52" s="309">
        <f>+SUMIF('Monthly UF Model'!$I$7:$DY$7,'Monthly USD Model'!AZ$7,'Monthly UF Model'!$I442:$DY442)*AZ$22</f>
        <v>0</v>
      </c>
      <c r="BA52" s="309">
        <f>+SUMIF('Monthly UF Model'!$I$7:$DY$7,'Monthly USD Model'!BA$7,'Monthly UF Model'!$I442:$DY442)*BA$22</f>
        <v>0</v>
      </c>
      <c r="BB52" s="309">
        <f>+SUMIF('Monthly UF Model'!$I$7:$DY$7,'Monthly USD Model'!BB$7,'Monthly UF Model'!$I442:$DY442)*BB$22</f>
        <v>0</v>
      </c>
      <c r="BC52" s="309">
        <f>+SUMIF('Monthly UF Model'!$I$7:$DY$7,'Monthly USD Model'!BC$7,'Monthly UF Model'!$I442:$DY442)*BC$22</f>
        <v>0</v>
      </c>
      <c r="BD52" s="309">
        <f>+SUMIF('Monthly UF Model'!$I$7:$DY$7,'Monthly USD Model'!BD$7,'Monthly UF Model'!$I442:$DY442)*BD$22</f>
        <v>0</v>
      </c>
      <c r="BE52" s="309">
        <f>+SUMIF('Monthly UF Model'!$I$7:$DY$7,'Monthly USD Model'!BE$7,'Monthly UF Model'!$I442:$DY442)*BE$22</f>
        <v>0</v>
      </c>
      <c r="BF52" s="309">
        <f>+SUMIF('Monthly UF Model'!$I$7:$DY$7,'Monthly USD Model'!BF$7,'Monthly UF Model'!$I442:$DY442)*BF$22</f>
        <v>0</v>
      </c>
      <c r="BG52" s="309">
        <f>+SUMIF('Monthly UF Model'!$I$7:$DY$7,'Monthly USD Model'!BG$7,'Monthly UF Model'!$I442:$DY442)*BG$22</f>
        <v>0</v>
      </c>
      <c r="BH52" s="309">
        <f>+SUMIF('Monthly UF Model'!$I$7:$DY$7,'Monthly USD Model'!BH$7,'Monthly UF Model'!$I442:$DY442)*BH$22</f>
        <v>0</v>
      </c>
      <c r="BI52" s="309">
        <f>+SUMIF('Monthly UF Model'!$I$7:$DY$7,'Monthly USD Model'!BI$7,'Monthly UF Model'!$I442:$DY442)*BI$22</f>
        <v>0</v>
      </c>
      <c r="BJ52" s="309">
        <f>+SUMIF('Monthly UF Model'!$I$7:$DY$7,'Monthly USD Model'!BJ$7,'Monthly UF Model'!$I442:$DY442)*BJ$22</f>
        <v>0</v>
      </c>
      <c r="BK52" s="309">
        <f>+SUMIF('Monthly UF Model'!$I$7:$DY$7,'Monthly USD Model'!BK$7,'Monthly UF Model'!$I442:$DY442)*BK$22</f>
        <v>0</v>
      </c>
      <c r="BL52" s="309">
        <f>+SUMIF('Monthly UF Model'!$I$7:$DY$7,'Monthly USD Model'!BL$7,'Monthly UF Model'!$I442:$DY442)*BL$22</f>
        <v>0</v>
      </c>
      <c r="BM52" s="309">
        <f>+SUMIF('Monthly UF Model'!$I$7:$DY$7,'Monthly USD Model'!BM$7,'Monthly UF Model'!$I442:$DY442)*BM$22</f>
        <v>0</v>
      </c>
      <c r="BN52" s="309">
        <f>+SUMIF('Monthly UF Model'!$I$7:$DY$7,'Monthly USD Model'!BN$7,'Monthly UF Model'!$I442:$DY442)*BN$22</f>
        <v>0</v>
      </c>
      <c r="BO52" s="309">
        <f>+SUMIF('Monthly UF Model'!$I$7:$DY$7,'Monthly USD Model'!BO$7,'Monthly UF Model'!$I442:$DY442)*BO$22</f>
        <v>0</v>
      </c>
      <c r="BP52" s="309">
        <f>+SUMIF('Monthly UF Model'!$I$7:$DY$7,'Monthly USD Model'!BP$7,'Monthly UF Model'!$I442:$DY442)*BP$22</f>
        <v>0</v>
      </c>
      <c r="BQ52" s="309">
        <f>+SUMIF('Monthly UF Model'!$I$7:$DY$7,'Monthly USD Model'!BQ$7,'Monthly UF Model'!$I442:$DY442)*BQ$22</f>
        <v>0</v>
      </c>
      <c r="BR52" s="309">
        <f>+SUMIF('Monthly UF Model'!$I$7:$DY$7,'Monthly USD Model'!BR$7,'Monthly UF Model'!$I442:$DY442)*BR$22</f>
        <v>0</v>
      </c>
      <c r="BS52" s="309">
        <f>+SUMIF('Monthly UF Model'!$I$7:$DY$7,'Monthly USD Model'!BS$7,'Monthly UF Model'!$I442:$DY442)*BS$22</f>
        <v>0</v>
      </c>
      <c r="BT52" s="309">
        <f>+SUMIF('Monthly UF Model'!$I$7:$DY$7,'Monthly USD Model'!BT$7,'Monthly UF Model'!$I442:$DY442)*BT$22</f>
        <v>0</v>
      </c>
      <c r="BU52" s="309">
        <f>+SUMIF('Monthly UF Model'!$I$7:$DY$7,'Monthly USD Model'!BU$7,'Monthly UF Model'!$I442:$DY442)*BU$22</f>
        <v>0</v>
      </c>
      <c r="BV52" s="309">
        <f>+SUMIF('Monthly UF Model'!$I$7:$DY$7,'Monthly USD Model'!BV$7,'Monthly UF Model'!$I442:$DY442)*BV$22</f>
        <v>0</v>
      </c>
      <c r="BW52" s="309">
        <f>+SUMIF('Monthly UF Model'!$I$7:$DY$7,'Monthly USD Model'!BW$7,'Monthly UF Model'!$I442:$DY442)*BW$22</f>
        <v>0</v>
      </c>
      <c r="BX52" s="309">
        <f>+SUMIF('Monthly UF Model'!$I$7:$DY$7,'Monthly USD Model'!BX$7,'Monthly UF Model'!$I442:$DY442)*BX$22</f>
        <v>0</v>
      </c>
      <c r="BY52" s="309">
        <f>+SUMIF('Monthly UF Model'!$I$7:$DY$7,'Monthly USD Model'!BY$7,'Monthly UF Model'!$I442:$DY442)*BY$22</f>
        <v>0</v>
      </c>
      <c r="BZ52" s="309">
        <f>+SUMIF('Monthly UF Model'!$I$7:$DY$7,'Monthly USD Model'!BZ$7,'Monthly UF Model'!$I442:$DY442)*BZ$22</f>
        <v>0</v>
      </c>
      <c r="CA52" s="309">
        <f>+SUMIF('Monthly UF Model'!$I$7:$DY$7,'Monthly USD Model'!CA$7,'Monthly UF Model'!$I442:$DY442)*CA$22</f>
        <v>0</v>
      </c>
      <c r="CB52" s="309">
        <f>+SUMIF('Monthly UF Model'!$I$7:$DY$7,'Monthly USD Model'!CB$7,'Monthly UF Model'!$I442:$DY442)*CB$22</f>
        <v>0</v>
      </c>
      <c r="CC52" s="309">
        <f>+SUMIF('Monthly UF Model'!$I$7:$DY$7,'Monthly USD Model'!CC$7,'Monthly UF Model'!$I442:$DY442)*CC$22</f>
        <v>0</v>
      </c>
      <c r="CD52" s="309">
        <f>+SUMIF('Monthly UF Model'!$I$7:$DY$7,'Monthly USD Model'!CD$7,'Monthly UF Model'!$I442:$DY442)*CD$22</f>
        <v>0</v>
      </c>
      <c r="CE52" s="309">
        <f>+SUMIF('Monthly UF Model'!$I$7:$DY$7,'Monthly USD Model'!CE$7,'Monthly UF Model'!$I442:$DY442)*CE$22</f>
        <v>-19134009.863393314</v>
      </c>
      <c r="CF52" s="309">
        <f>+SUMIF('Monthly UF Model'!$I$7:$DY$7,'Monthly USD Model'!CF$7,'Monthly UF Model'!$I442:$DY442)*CF$22</f>
        <v>0</v>
      </c>
      <c r="CG52" s="309">
        <f>+SUMIF('Monthly UF Model'!$I$7:$DY$7,'Monthly USD Model'!CG$7,'Monthly UF Model'!$I442:$DY442)*CG$22</f>
        <v>0</v>
      </c>
      <c r="CH52" s="309">
        <f>+SUMIF('Monthly UF Model'!$I$7:$DY$7,'Monthly USD Model'!CH$7,'Monthly UF Model'!$I442:$DY442)*CH$22</f>
        <v>0</v>
      </c>
      <c r="CI52" s="309">
        <f>+SUMIF('Monthly UF Model'!$I$7:$DY$7,'Monthly USD Model'!CI$7,'Monthly UF Model'!$I442:$DY442)*CI$22</f>
        <v>0</v>
      </c>
      <c r="CJ52" s="309">
        <f>+SUMIF('Monthly UF Model'!$I$7:$DY$7,'Monthly USD Model'!CJ$7,'Monthly UF Model'!$I442:$DY442)*CJ$22</f>
        <v>0</v>
      </c>
      <c r="CK52" s="309">
        <f>+SUMIF('Monthly UF Model'!$I$7:$DY$7,'Monthly USD Model'!CK$7,'Monthly UF Model'!$I442:$DY442)*CK$22</f>
        <v>0</v>
      </c>
      <c r="CL52" s="309">
        <f>+SUMIF('Monthly UF Model'!$I$7:$DY$7,'Monthly USD Model'!CL$7,'Monthly UF Model'!$I442:$DY442)*CL$22</f>
        <v>0</v>
      </c>
      <c r="CM52" s="309">
        <f>+SUMIF('Monthly UF Model'!$I$7:$DY$7,'Monthly USD Model'!CM$7,'Monthly UF Model'!$I442:$DY442)*CM$22</f>
        <v>0</v>
      </c>
      <c r="CN52" s="309">
        <f>+SUMIF('Monthly UF Model'!$I$7:$DY$7,'Monthly USD Model'!CN$7,'Monthly UF Model'!$I442:$DY442)*CN$22</f>
        <v>0</v>
      </c>
      <c r="CO52" s="309">
        <f>+SUMIF('Monthly UF Model'!$I$7:$DY$7,'Monthly USD Model'!CO$7,'Monthly UF Model'!$I442:$DY442)*CO$22</f>
        <v>0</v>
      </c>
      <c r="CP52" s="309">
        <f>+SUMIF('Monthly UF Model'!$I$7:$DY$7,'Monthly USD Model'!CP$7,'Monthly UF Model'!$I442:$DY442)*CP$22</f>
        <v>0</v>
      </c>
      <c r="CQ52" s="309">
        <f>+SUMIF('Monthly UF Model'!$I$7:$DY$7,'Monthly USD Model'!CQ$7,'Monthly UF Model'!$I442:$DY442)*CQ$22</f>
        <v>0</v>
      </c>
      <c r="CR52" s="309">
        <f>+SUMIF('Monthly UF Model'!$I$7:$DY$7,'Monthly USD Model'!CR$7,'Monthly UF Model'!$I442:$DY442)*CR$22</f>
        <v>0</v>
      </c>
      <c r="CS52" s="309">
        <f>+SUMIF('Monthly UF Model'!$I$7:$DY$7,'Monthly USD Model'!CS$7,'Monthly UF Model'!$I442:$DY442)*CS$22</f>
        <v>0</v>
      </c>
      <c r="CT52" s="309">
        <f>+SUMIF('Monthly UF Model'!$I$7:$DY$7,'Monthly USD Model'!CT$7,'Monthly UF Model'!$I442:$DY442)*CT$22</f>
        <v>0</v>
      </c>
      <c r="CU52" s="309">
        <f>+SUMIF('Monthly UF Model'!$I$7:$DY$7,'Monthly USD Model'!CU$7,'Monthly UF Model'!$I442:$DY442)*CU$22</f>
        <v>0</v>
      </c>
      <c r="CV52" s="309">
        <f>+SUMIF('Monthly UF Model'!$I$7:$DY$7,'Monthly USD Model'!CV$7,'Monthly UF Model'!$I442:$DY442)*CV$22</f>
        <v>0</v>
      </c>
      <c r="CW52" s="309">
        <f>+SUMIF('Monthly UF Model'!$I$7:$DY$7,'Monthly USD Model'!CW$7,'Monthly UF Model'!$I442:$DY442)*CW$22</f>
        <v>0</v>
      </c>
      <c r="CX52" s="309">
        <f>+SUMIF('Monthly UF Model'!$I$7:$DY$7,'Monthly USD Model'!CX$7,'Monthly UF Model'!$I442:$DY442)*CX$22</f>
        <v>0</v>
      </c>
      <c r="CY52" s="309">
        <f>+SUMIF('Monthly UF Model'!$I$7:$DY$7,'Monthly USD Model'!CY$7,'Monthly UF Model'!$I442:$DY442)*CY$22</f>
        <v>0</v>
      </c>
      <c r="CZ52" s="309">
        <f>+SUMIF('Monthly UF Model'!$I$7:$DY$7,'Monthly USD Model'!CZ$7,'Monthly UF Model'!$I442:$DY442)*CZ$22</f>
        <v>0</v>
      </c>
      <c r="DA52" s="309">
        <f>+SUMIF('Monthly UF Model'!$I$7:$DY$7,'Monthly USD Model'!DA$7,'Monthly UF Model'!$I442:$DY442)*DA$22</f>
        <v>0</v>
      </c>
      <c r="DB52" s="309">
        <f>+SUMIF('Monthly UF Model'!$I$7:$DY$7,'Monthly USD Model'!DB$7,'Monthly UF Model'!$I442:$DY442)*DB$22</f>
        <v>0</v>
      </c>
      <c r="DC52" s="309">
        <f>+SUMIF('Monthly UF Model'!$I$7:$DY$7,'Monthly USD Model'!DC$7,'Monthly UF Model'!$I442:$DY442)*DC$22</f>
        <v>0</v>
      </c>
      <c r="DD52" s="309">
        <f>+SUMIF('Monthly UF Model'!$I$7:$DY$7,'Monthly USD Model'!DD$7,'Monthly UF Model'!$I442:$DY442)*DD$22</f>
        <v>0</v>
      </c>
      <c r="DE52" s="309">
        <f>+SUMIF('Monthly UF Model'!$I$7:$DY$7,'Monthly USD Model'!DE$7,'Monthly UF Model'!$I442:$DY442)*DE$22</f>
        <v>0</v>
      </c>
      <c r="DF52" s="309">
        <f>+SUMIF('Monthly UF Model'!$I$7:$DY$7,'Monthly USD Model'!DF$7,'Monthly UF Model'!$I442:$DY442)*DF$22</f>
        <v>0</v>
      </c>
      <c r="DG52" s="309">
        <f>+SUMIF('Monthly UF Model'!$I$7:$DY$7,'Monthly USD Model'!DG$7,'Monthly UF Model'!$I442:$DY442)*DG$22</f>
        <v>0</v>
      </c>
      <c r="DH52" s="309">
        <f>+SUMIF('Monthly UF Model'!$I$7:$DY$7,'Monthly USD Model'!DH$7,'Monthly UF Model'!$I442:$DY442)*DH$22</f>
        <v>0</v>
      </c>
      <c r="DI52" s="309">
        <f>+SUMIF('Monthly UF Model'!$I$7:$DY$7,'Monthly USD Model'!DI$7,'Monthly UF Model'!$I442:$DY442)*DI$22</f>
        <v>0</v>
      </c>
      <c r="DJ52" s="309">
        <f>+SUMIF('Monthly UF Model'!$I$7:$DY$7,'Monthly USD Model'!DJ$7,'Monthly UF Model'!$I442:$DY442)*DJ$22</f>
        <v>0</v>
      </c>
      <c r="DK52" s="309">
        <f>+SUMIF('Monthly UF Model'!$I$7:$DY$7,'Monthly USD Model'!DK$7,'Monthly UF Model'!$I442:$DY442)*DK$22</f>
        <v>0</v>
      </c>
      <c r="DL52" s="309">
        <f>+SUMIF('Monthly UF Model'!$I$7:$DY$7,'Monthly USD Model'!DL$7,'Monthly UF Model'!$I442:$DY442)*DL$22</f>
        <v>0</v>
      </c>
      <c r="DM52" s="309">
        <f>+SUMIF('Monthly UF Model'!$I$7:$DY$7,'Monthly USD Model'!DM$7,'Monthly UF Model'!$I442:$DY442)*DM$22</f>
        <v>0</v>
      </c>
      <c r="DN52" s="309">
        <f>+SUMIF('Monthly UF Model'!$I$7:$DY$7,'Monthly USD Model'!DN$7,'Monthly UF Model'!$I442:$DY442)*DN$22</f>
        <v>0</v>
      </c>
      <c r="DO52" s="309">
        <f>+SUMIF('Monthly UF Model'!$I$7:$DY$7,'Monthly USD Model'!DO$7,'Monthly UF Model'!$I442:$DY442)*DO$22</f>
        <v>0</v>
      </c>
      <c r="DP52" s="309">
        <f>+SUMIF('Monthly UF Model'!$I$7:$DY$7,'Monthly USD Model'!DP$7,'Monthly UF Model'!$I442:$DY442)*DP$22</f>
        <v>0</v>
      </c>
      <c r="DQ52" s="309">
        <f>+SUMIF('Monthly UF Model'!$I$7:$DY$7,'Monthly USD Model'!DQ$7,'Monthly UF Model'!$I442:$DY442)*DQ$22</f>
        <v>0</v>
      </c>
      <c r="DR52" s="309">
        <f>+SUMIF('Monthly UF Model'!$I$7:$DY$7,'Monthly USD Model'!DR$7,'Monthly UF Model'!$I442:$DY442)*DR$22</f>
        <v>0</v>
      </c>
      <c r="DS52" s="309">
        <f>+SUMIF('Monthly UF Model'!$I$7:$DY$7,'Monthly USD Model'!DS$7,'Monthly UF Model'!$I442:$DY442)*DS$22</f>
        <v>0</v>
      </c>
      <c r="DT52" s="309">
        <f>+SUMIF('Monthly UF Model'!$I$7:$DY$7,'Monthly USD Model'!DT$7,'Monthly UF Model'!$I442:$DY442)*DT$22</f>
        <v>0</v>
      </c>
      <c r="DU52" s="309">
        <f>+SUMIF('Monthly UF Model'!$I$7:$DY$7,'Monthly USD Model'!DU$7,'Monthly UF Model'!$I442:$DY442)*DU$22</f>
        <v>0</v>
      </c>
      <c r="DV52" s="309">
        <f>+SUMIF('Monthly UF Model'!$I$7:$DY$7,'Monthly USD Model'!DV$7,'Monthly UF Model'!$I442:$DY442)*DV$22</f>
        <v>0</v>
      </c>
      <c r="DW52" s="309">
        <f>+SUMIF('Monthly UF Model'!$I$7:$DY$7,'Monthly USD Model'!DW$7,'Monthly UF Model'!$I442:$DY442)*DW$22</f>
        <v>0</v>
      </c>
      <c r="DX52" s="309">
        <f>+SUMIF('Monthly UF Model'!$I$7:$DY$7,'Monthly USD Model'!DX$7,'Monthly UF Model'!$I442:$DY442)*DX$22</f>
        <v>0</v>
      </c>
    </row>
    <row r="53" spans="1:128" s="3" customFormat="1" ht="11.4" outlineLevel="1" thickBot="1" x14ac:dyDescent="0.3">
      <c r="B53" s="125" t="s">
        <v>430</v>
      </c>
      <c r="G53" s="351">
        <f t="shared" si="25"/>
        <v>-2037210.3614525937</v>
      </c>
      <c r="H53" s="819">
        <f>+SUMIF('Monthly UF Model'!$I$7:$DY$7,'Monthly USD Model'!H$7,'Monthly UF Model'!$I443:$DY443)*H$22</f>
        <v>0</v>
      </c>
      <c r="I53" s="819">
        <f>+SUMIF('Monthly UF Model'!$I$7:$DY$7,'Monthly USD Model'!I$7,'Monthly UF Model'!$I443:$DY443)*I$22</f>
        <v>0</v>
      </c>
      <c r="J53" s="819">
        <f>+SUMIF('Monthly UF Model'!$I$7:$DY$7,'Monthly USD Model'!J$7,'Monthly UF Model'!$I443:$DY443)*J$22</f>
        <v>0</v>
      </c>
      <c r="K53" s="819">
        <f>+SUMIF('Monthly UF Model'!$I$7:$DY$7,'Monthly USD Model'!K$7,'Monthly UF Model'!$I443:$DY443)*K$22</f>
        <v>0</v>
      </c>
      <c r="L53" s="819">
        <f>+SUMIF('Monthly UF Model'!$I$7:$DY$7,'Monthly USD Model'!L$7,'Monthly UF Model'!$I443:$DY443)*L$22</f>
        <v>0</v>
      </c>
      <c r="M53" s="819">
        <f>+SUMIF('Monthly UF Model'!$I$7:$DY$7,'Monthly USD Model'!M$7,'Monthly UF Model'!$I443:$DY443)*M$22</f>
        <v>0</v>
      </c>
      <c r="N53" s="819">
        <f>+SUMIF('Monthly UF Model'!$I$7:$DY$7,'Monthly USD Model'!N$7,'Monthly UF Model'!$I443:$DY443)*N$22</f>
        <v>0</v>
      </c>
      <c r="O53" s="819">
        <f>+SUMIF('Monthly UF Model'!$I$7:$DY$7,'Monthly USD Model'!O$7,'Monthly UF Model'!$I443:$DY443)*O$22</f>
        <v>0</v>
      </c>
      <c r="P53" s="819">
        <f>+SUMIF('Monthly UF Model'!$I$7:$DY$7,'Monthly USD Model'!P$7,'Monthly UF Model'!$I443:$DY443)*P$22</f>
        <v>0</v>
      </c>
      <c r="Q53" s="819">
        <f>+SUMIF('Monthly UF Model'!$I$7:$DY$7,'Monthly USD Model'!Q$7,'Monthly UF Model'!$I443:$DY443)*Q$22</f>
        <v>0</v>
      </c>
      <c r="R53" s="819">
        <f>+SUMIF('Monthly UF Model'!$I$7:$DY$7,'Monthly USD Model'!R$7,'Monthly UF Model'!$I443:$DY443)*R$22</f>
        <v>0</v>
      </c>
      <c r="S53" s="819">
        <f>+SUMIF('Monthly UF Model'!$I$7:$DY$7,'Monthly USD Model'!S$7,'Monthly UF Model'!$I443:$DY443)*S$22</f>
        <v>0</v>
      </c>
      <c r="T53" s="819">
        <f>+SUMIF('Monthly UF Model'!$I$7:$DY$7,'Monthly USD Model'!T$7,'Monthly UF Model'!$I443:$DY443)*T$22</f>
        <v>0</v>
      </c>
      <c r="U53" s="819">
        <f>+SUMIF('Monthly UF Model'!$I$7:$DY$7,'Monthly USD Model'!U$7,'Monthly UF Model'!$I443:$DY443)*U$22</f>
        <v>0</v>
      </c>
      <c r="V53" s="819">
        <f>+SUMIF('Monthly UF Model'!$I$7:$DY$7,'Monthly USD Model'!V$7,'Monthly UF Model'!$I443:$DY443)*V$22</f>
        <v>0</v>
      </c>
      <c r="W53" s="819">
        <f>+SUMIF('Monthly UF Model'!$I$7:$DY$7,'Monthly USD Model'!W$7,'Monthly UF Model'!$I443:$DY443)*W$22</f>
        <v>0</v>
      </c>
      <c r="X53" s="819">
        <f>+SUMIF('Monthly UF Model'!$I$7:$DY$7,'Monthly USD Model'!X$7,'Monthly UF Model'!$I443:$DY443)*X$22</f>
        <v>0</v>
      </c>
      <c r="Y53" s="819">
        <f>+SUMIF('Monthly UF Model'!$I$7:$DY$7,'Monthly USD Model'!Y$7,'Monthly UF Model'!$I443:$DY443)*Y$22</f>
        <v>0</v>
      </c>
      <c r="Z53" s="819">
        <f>+SUMIF('Monthly UF Model'!$I$7:$DY$7,'Monthly USD Model'!Z$7,'Monthly UF Model'!$I443:$DY443)*Z$22</f>
        <v>0</v>
      </c>
      <c r="AA53" s="819">
        <f>+SUMIF('Monthly UF Model'!$I$7:$DY$7,'Monthly USD Model'!AA$7,'Monthly UF Model'!$I443:$DY443)*AA$22</f>
        <v>0</v>
      </c>
      <c r="AB53" s="819">
        <f>+SUMIF('Monthly UF Model'!$I$7:$DY$7,'Monthly USD Model'!AB$7,'Monthly UF Model'!$I443:$DY443)*AB$22</f>
        <v>0</v>
      </c>
      <c r="AC53" s="819">
        <f>+SUMIF('Monthly UF Model'!$I$7:$DY$7,'Monthly USD Model'!AC$7,'Monthly UF Model'!$I443:$DY443)*AC$22</f>
        <v>0</v>
      </c>
      <c r="AD53" s="819">
        <f>+SUMIF('Monthly UF Model'!$I$7:$DY$7,'Monthly USD Model'!AD$7,'Monthly UF Model'!$I443:$DY443)*AD$22</f>
        <v>0</v>
      </c>
      <c r="AE53" s="819">
        <f>+SUMIF('Monthly UF Model'!$I$7:$DY$7,'Monthly USD Model'!AE$7,'Monthly UF Model'!$I443:$DY443)*AE$22</f>
        <v>-41229.639037454799</v>
      </c>
      <c r="AF53" s="819">
        <f>+SUMIF('Monthly UF Model'!$I$7:$DY$7,'Monthly USD Model'!AF$7,'Monthly UF Model'!$I443:$DY443)*AF$22</f>
        <v>-8913.0071353764743</v>
      </c>
      <c r="AG53" s="819">
        <f>+SUMIF('Monthly UF Model'!$I$7:$DY$7,'Monthly USD Model'!AG$7,'Monthly UF Model'!$I443:$DY443)*AG$22</f>
        <v>-3632.4910558416163</v>
      </c>
      <c r="AH53" s="819">
        <f>+SUMIF('Monthly UF Model'!$I$7:$DY$7,'Monthly USD Model'!AH$7,'Monthly UF Model'!$I443:$DY443)*AH$22</f>
        <v>-3081.0299771808031</v>
      </c>
      <c r="AI53" s="819">
        <f>+SUMIF('Monthly UF Model'!$I$7:$DY$7,'Monthly USD Model'!AI$7,'Monthly UF Model'!$I443:$DY443)*AI$22</f>
        <v>-3194.3825827939081</v>
      </c>
      <c r="AJ53" s="819">
        <f>+SUMIF('Monthly UF Model'!$I$7:$DY$7,'Monthly USD Model'!AJ$7,'Monthly UF Model'!$I443:$DY443)*AJ$22</f>
        <v>-4480.7220944658875</v>
      </c>
      <c r="AK53" s="819">
        <f>+SUMIF('Monthly UF Model'!$I$7:$DY$7,'Monthly USD Model'!AK$7,'Monthly UF Model'!$I443:$DY443)*AK$22</f>
        <v>-3271.2332868203762</v>
      </c>
      <c r="AL53" s="819">
        <f>+SUMIF('Monthly UF Model'!$I$7:$DY$7,'Monthly USD Model'!AL$7,'Monthly UF Model'!$I443:$DY443)*AL$22</f>
        <v>-2894.8888079877111</v>
      </c>
      <c r="AM53" s="819">
        <f>+SUMIF('Monthly UF Model'!$I$7:$DY$7,'Monthly USD Model'!AM$7,'Monthly UF Model'!$I443:$DY443)*AM$22</f>
        <v>-12.002767684253303</v>
      </c>
      <c r="AN53" s="819">
        <f>+SUMIF('Monthly UF Model'!$I$7:$DY$7,'Monthly USD Model'!AN$7,'Monthly UF Model'!$I443:$DY443)*AN$22</f>
        <v>-12.366540345005783</v>
      </c>
      <c r="AO53" s="819">
        <f>+SUMIF('Monthly UF Model'!$I$7:$DY$7,'Monthly USD Model'!AO$7,'Monthly UF Model'!$I443:$DY443)*AO$22</f>
        <v>-24.606171296976822</v>
      </c>
      <c r="AP53" s="819">
        <f>+SUMIF('Monthly UF Model'!$I$7:$DY$7,'Monthly USD Model'!AP$7,'Monthly UF Model'!$I443:$DY443)*AP$22</f>
        <v>0</v>
      </c>
      <c r="AQ53" s="819">
        <f>+SUMIF('Monthly UF Model'!$I$7:$DY$7,'Monthly USD Model'!AQ$7,'Monthly UF Model'!$I443:$DY443)*AQ$22</f>
        <v>0</v>
      </c>
      <c r="AR53" s="819">
        <f>+SUMIF('Monthly UF Model'!$I$7:$DY$7,'Monthly USD Model'!AR$7,'Monthly UF Model'!$I443:$DY443)*AR$22</f>
        <v>-71656.178380669502</v>
      </c>
      <c r="AS53" s="819">
        <f>+SUMIF('Monthly UF Model'!$I$7:$DY$7,'Monthly USD Model'!AS$7,'Monthly UF Model'!$I443:$DY443)*AS$22</f>
        <v>-10495.664361471587</v>
      </c>
      <c r="AT53" s="819">
        <f>+SUMIF('Monthly UF Model'!$I$7:$DY$7,'Monthly USD Model'!AT$7,'Monthly UF Model'!$I443:$DY443)*AT$22</f>
        <v>-6864.7951857986927</v>
      </c>
      <c r="AU53" s="819">
        <f>+SUMIF('Monthly UF Model'!$I$7:$DY$7,'Monthly USD Model'!AU$7,'Monthly UF Model'!$I443:$DY443)*AU$22</f>
        <v>-12159.641154884428</v>
      </c>
      <c r="AV53" s="819">
        <f>+SUMIF('Monthly UF Model'!$I$7:$DY$7,'Monthly USD Model'!AV$7,'Monthly UF Model'!$I443:$DY443)*AV$22</f>
        <v>-18194.677492851362</v>
      </c>
      <c r="AW53" s="819">
        <f>+SUMIF('Monthly UF Model'!$I$7:$DY$7,'Monthly USD Model'!AW$7,'Monthly UF Model'!$I443:$DY443)*AW$22</f>
        <v>-12562.252564826847</v>
      </c>
      <c r="AX53" s="819">
        <f>+SUMIF('Monthly UF Model'!$I$7:$DY$7,'Monthly USD Model'!AX$7,'Monthly UF Model'!$I443:$DY443)*AX$22</f>
        <v>-6959.7561314188852</v>
      </c>
      <c r="AY53" s="819">
        <f>+SUMIF('Monthly UF Model'!$I$7:$DY$7,'Monthly USD Model'!AY$7,'Monthly UF Model'!$I443:$DY443)*AY$22</f>
        <v>-15769.703930070917</v>
      </c>
      <c r="AZ53" s="819">
        <f>+SUMIF('Monthly UF Model'!$I$7:$DY$7,'Monthly USD Model'!AZ$7,'Monthly UF Model'!$I443:$DY443)*AZ$22</f>
        <v>-16771.05939149543</v>
      </c>
      <c r="BA53" s="819">
        <f>+SUMIF('Monthly UF Model'!$I$7:$DY$7,'Monthly USD Model'!BA$7,'Monthly UF Model'!$I443:$DY443)*BA$22</f>
        <v>-23621.432131976937</v>
      </c>
      <c r="BB53" s="819">
        <f>+SUMIF('Monthly UF Model'!$I$7:$DY$7,'Monthly USD Model'!BB$7,'Monthly UF Model'!$I443:$DY443)*BB$22</f>
        <v>-5989.738672432205</v>
      </c>
      <c r="BC53" s="819">
        <f>+SUMIF('Monthly UF Model'!$I$7:$DY$7,'Monthly USD Model'!BC$7,'Monthly UF Model'!$I443:$DY443)*BC$22</f>
        <v>0</v>
      </c>
      <c r="BD53" s="819">
        <f>+SUMIF('Monthly UF Model'!$I$7:$DY$7,'Monthly USD Model'!BD$7,'Monthly UF Model'!$I443:$DY443)*BD$22</f>
        <v>-87154.766546373139</v>
      </c>
      <c r="BE53" s="819">
        <f>+SUMIF('Monthly UF Model'!$I$7:$DY$7,'Monthly USD Model'!BE$7,'Monthly UF Model'!$I443:$DY443)*BE$22</f>
        <v>-12824.040870547629</v>
      </c>
      <c r="BF53" s="819">
        <f>+SUMIF('Monthly UF Model'!$I$7:$DY$7,'Monthly USD Model'!BF$7,'Monthly UF Model'!$I443:$DY443)*BF$22</f>
        <v>-8382.5348678785267</v>
      </c>
      <c r="BG53" s="819">
        <f>+SUMIF('Monthly UF Model'!$I$7:$DY$7,'Monthly USD Model'!BG$7,'Monthly UF Model'!$I443:$DY443)*BG$22</f>
        <v>-29547.949560246991</v>
      </c>
      <c r="BH53" s="819">
        <f>+SUMIF('Monthly UF Model'!$I$7:$DY$7,'Monthly USD Model'!BH$7,'Monthly UF Model'!$I443:$DY443)*BH$22</f>
        <v>-23561.997648885277</v>
      </c>
      <c r="BI53" s="819">
        <f>+SUMIF('Monthly UF Model'!$I$7:$DY$7,'Monthly USD Model'!BI$7,'Monthly UF Model'!$I443:$DY443)*BI$22</f>
        <v>-19293.286827660548</v>
      </c>
      <c r="BJ53" s="819">
        <f>+SUMIF('Monthly UF Model'!$I$7:$DY$7,'Monthly USD Model'!BJ$7,'Monthly UF Model'!$I443:$DY443)*BJ$22</f>
        <v>-21674.540118908481</v>
      </c>
      <c r="BK53" s="819">
        <f>+SUMIF('Monthly UF Model'!$I$7:$DY$7,'Monthly USD Model'!BK$7,'Monthly UF Model'!$I443:$DY443)*BK$22</f>
        <v>-5578.826262579094</v>
      </c>
      <c r="BL53" s="819">
        <f>+SUMIF('Monthly UF Model'!$I$7:$DY$7,'Monthly USD Model'!BL$7,'Monthly UF Model'!$I443:$DY443)*BL$22</f>
        <v>-25207.966015539907</v>
      </c>
      <c r="BM53" s="819">
        <f>+SUMIF('Monthly UF Model'!$I$7:$DY$7,'Monthly USD Model'!BM$7,'Monthly UF Model'!$I443:$DY443)*BM$22</f>
        <v>-21403.107710034019</v>
      </c>
      <c r="BN53" s="819">
        <f>+SUMIF('Monthly UF Model'!$I$7:$DY$7,'Monthly USD Model'!BN$7,'Monthly UF Model'!$I443:$DY443)*BN$22</f>
        <v>-11808.242083781352</v>
      </c>
      <c r="BO53" s="819">
        <f>+SUMIF('Monthly UF Model'!$I$7:$DY$7,'Monthly USD Model'!BO$7,'Monthly UF Model'!$I443:$DY443)*BO$22</f>
        <v>-5866.0167099341352</v>
      </c>
      <c r="BP53" s="819">
        <f>+SUMIF('Monthly UF Model'!$I$7:$DY$7,'Monthly USD Model'!BP$7,'Monthly UF Model'!$I443:$DY443)*BP$22</f>
        <v>-89132.795031055895</v>
      </c>
      <c r="BQ53" s="819">
        <f>+SUMIF('Monthly UF Model'!$I$7:$DY$7,'Monthly USD Model'!BQ$7,'Monthly UF Model'!$I443:$DY443)*BQ$22</f>
        <v>0</v>
      </c>
      <c r="BR53" s="819">
        <f>+SUMIF('Monthly UF Model'!$I$7:$DY$7,'Monthly USD Model'!BR$7,'Monthly UF Model'!$I443:$DY443)*BR$22</f>
        <v>-40105.107651540246</v>
      </c>
      <c r="BS53" s="819">
        <f>+SUMIF('Monthly UF Model'!$I$7:$DY$7,'Monthly USD Model'!BS$7,'Monthly UF Model'!$I443:$DY443)*BS$22</f>
        <v>-79433.936777931609</v>
      </c>
      <c r="BT53" s="819">
        <f>+SUMIF('Monthly UF Model'!$I$7:$DY$7,'Monthly USD Model'!BT$7,'Monthly UF Model'!$I443:$DY443)*BT$22</f>
        <v>-124000.15124896744</v>
      </c>
      <c r="BU53" s="819">
        <f>+SUMIF('Monthly UF Model'!$I$7:$DY$7,'Monthly USD Model'!BU$7,'Monthly UF Model'!$I443:$DY443)*BU$22</f>
        <v>-161137.64857321591</v>
      </c>
      <c r="BV53" s="819">
        <f>+SUMIF('Monthly UF Model'!$I$7:$DY$7,'Monthly USD Model'!BV$7,'Monthly UF Model'!$I443:$DY443)*BV$22</f>
        <v>-162771.20179394921</v>
      </c>
      <c r="BW53" s="819">
        <f>+SUMIF('Monthly UF Model'!$I$7:$DY$7,'Monthly USD Model'!BW$7,'Monthly UF Model'!$I443:$DY443)*BW$22</f>
        <v>-35843.885430570976</v>
      </c>
      <c r="BX53" s="819">
        <f>+SUMIF('Monthly UF Model'!$I$7:$DY$7,'Monthly USD Model'!BX$7,'Monthly UF Model'!$I443:$DY443)*BX$22</f>
        <v>0</v>
      </c>
      <c r="BY53" s="819">
        <f>+SUMIF('Monthly UF Model'!$I$7:$DY$7,'Monthly USD Model'!BY$7,'Monthly UF Model'!$I443:$DY443)*BY$22</f>
        <v>0</v>
      </c>
      <c r="BZ53" s="819">
        <f>+SUMIF('Monthly UF Model'!$I$7:$DY$7,'Monthly USD Model'!BZ$7,'Monthly UF Model'!$I443:$DY443)*BZ$22</f>
        <v>0</v>
      </c>
      <c r="CA53" s="819">
        <f>+SUMIF('Monthly UF Model'!$I$7:$DY$7,'Monthly USD Model'!CA$7,'Monthly UF Model'!$I443:$DY443)*CA$22</f>
        <v>-443522.90675117372</v>
      </c>
      <c r="CB53" s="819">
        <f>+SUMIF('Monthly UF Model'!$I$7:$DY$7,'Monthly USD Model'!CB$7,'Monthly UF Model'!$I443:$DY443)*CB$22</f>
        <v>0</v>
      </c>
      <c r="CC53" s="819">
        <f>+SUMIF('Monthly UF Model'!$I$7:$DY$7,'Monthly USD Model'!CC$7,'Monthly UF Model'!$I443:$DY443)*CC$22</f>
        <v>0</v>
      </c>
      <c r="CD53" s="819">
        <f>+SUMIF('Monthly UF Model'!$I$7:$DY$7,'Monthly USD Model'!CD$7,'Monthly UF Model'!$I443:$DY443)*CD$22</f>
        <v>0</v>
      </c>
      <c r="CE53" s="819">
        <f>+SUMIF('Monthly UF Model'!$I$7:$DY$7,'Monthly USD Model'!CE$7,'Monthly UF Model'!$I443:$DY443)*CE$22</f>
        <v>-357168.18411667511</v>
      </c>
      <c r="CF53" s="819">
        <f>+SUMIF('Monthly UF Model'!$I$7:$DY$7,'Monthly USD Model'!CF$7,'Monthly UF Model'!$I443:$DY443)*CF$22</f>
        <v>0</v>
      </c>
      <c r="CG53" s="819">
        <f>+SUMIF('Monthly UF Model'!$I$7:$DY$7,'Monthly USD Model'!CG$7,'Monthly UF Model'!$I443:$DY443)*CG$22</f>
        <v>0</v>
      </c>
      <c r="CH53" s="819">
        <f>+SUMIF('Monthly UF Model'!$I$7:$DY$7,'Monthly USD Model'!CH$7,'Monthly UF Model'!$I443:$DY443)*CH$22</f>
        <v>0</v>
      </c>
      <c r="CI53" s="819">
        <f>+SUMIF('Monthly UF Model'!$I$7:$DY$7,'Monthly USD Model'!CI$7,'Monthly UF Model'!$I443:$DY443)*CI$22</f>
        <v>0</v>
      </c>
      <c r="CJ53" s="819">
        <f>+SUMIF('Monthly UF Model'!$I$7:$DY$7,'Monthly USD Model'!CJ$7,'Monthly UF Model'!$I443:$DY443)*CJ$22</f>
        <v>0</v>
      </c>
      <c r="CK53" s="819">
        <f>+SUMIF('Monthly UF Model'!$I$7:$DY$7,'Monthly USD Model'!CK$7,'Monthly UF Model'!$I443:$DY443)*CK$22</f>
        <v>0</v>
      </c>
      <c r="CL53" s="819">
        <f>+SUMIF('Monthly UF Model'!$I$7:$DY$7,'Monthly USD Model'!CL$7,'Monthly UF Model'!$I443:$DY443)*CL$22</f>
        <v>0</v>
      </c>
      <c r="CM53" s="819">
        <f>+SUMIF('Monthly UF Model'!$I$7:$DY$7,'Monthly USD Model'!CM$7,'Monthly UF Model'!$I443:$DY443)*CM$22</f>
        <v>0</v>
      </c>
      <c r="CN53" s="819">
        <f>+SUMIF('Monthly UF Model'!$I$7:$DY$7,'Monthly USD Model'!CN$7,'Monthly UF Model'!$I443:$DY443)*CN$22</f>
        <v>0</v>
      </c>
      <c r="CO53" s="819">
        <f>+SUMIF('Monthly UF Model'!$I$7:$DY$7,'Monthly USD Model'!CO$7,'Monthly UF Model'!$I443:$DY443)*CO$22</f>
        <v>0</v>
      </c>
      <c r="CP53" s="819">
        <f>+SUMIF('Monthly UF Model'!$I$7:$DY$7,'Monthly USD Model'!CP$7,'Monthly UF Model'!$I443:$DY443)*CP$22</f>
        <v>0</v>
      </c>
      <c r="CQ53" s="819">
        <f>+SUMIF('Monthly UF Model'!$I$7:$DY$7,'Monthly USD Model'!CQ$7,'Monthly UF Model'!$I443:$DY443)*CQ$22</f>
        <v>0</v>
      </c>
      <c r="CR53" s="819">
        <f>+SUMIF('Monthly UF Model'!$I$7:$DY$7,'Monthly USD Model'!CR$7,'Monthly UF Model'!$I443:$DY443)*CR$22</f>
        <v>0</v>
      </c>
      <c r="CS53" s="819">
        <f>+SUMIF('Monthly UF Model'!$I$7:$DY$7,'Monthly USD Model'!CS$7,'Monthly UF Model'!$I443:$DY443)*CS$22</f>
        <v>0</v>
      </c>
      <c r="CT53" s="819">
        <f>+SUMIF('Monthly UF Model'!$I$7:$DY$7,'Monthly USD Model'!CT$7,'Monthly UF Model'!$I443:$DY443)*CT$22</f>
        <v>0</v>
      </c>
      <c r="CU53" s="819">
        <f>+SUMIF('Monthly UF Model'!$I$7:$DY$7,'Monthly USD Model'!CU$7,'Monthly UF Model'!$I443:$DY443)*CU$22</f>
        <v>0</v>
      </c>
      <c r="CV53" s="819">
        <f>+SUMIF('Monthly UF Model'!$I$7:$DY$7,'Monthly USD Model'!CV$7,'Monthly UF Model'!$I443:$DY443)*CV$22</f>
        <v>0</v>
      </c>
      <c r="CW53" s="819">
        <f>+SUMIF('Monthly UF Model'!$I$7:$DY$7,'Monthly USD Model'!CW$7,'Monthly UF Model'!$I443:$DY443)*CW$22</f>
        <v>0</v>
      </c>
      <c r="CX53" s="819">
        <f>+SUMIF('Monthly UF Model'!$I$7:$DY$7,'Monthly USD Model'!CX$7,'Monthly UF Model'!$I443:$DY443)*CX$22</f>
        <v>0</v>
      </c>
      <c r="CY53" s="819">
        <f>+SUMIF('Monthly UF Model'!$I$7:$DY$7,'Monthly USD Model'!CY$7,'Monthly UF Model'!$I443:$DY443)*CY$22</f>
        <v>0</v>
      </c>
      <c r="CZ53" s="819">
        <f>+SUMIF('Monthly UF Model'!$I$7:$DY$7,'Monthly USD Model'!CZ$7,'Monthly UF Model'!$I443:$DY443)*CZ$22</f>
        <v>0</v>
      </c>
      <c r="DA53" s="819">
        <f>+SUMIF('Monthly UF Model'!$I$7:$DY$7,'Monthly USD Model'!DA$7,'Monthly UF Model'!$I443:$DY443)*DA$22</f>
        <v>0</v>
      </c>
      <c r="DB53" s="819">
        <f>+SUMIF('Monthly UF Model'!$I$7:$DY$7,'Monthly USD Model'!DB$7,'Monthly UF Model'!$I443:$DY443)*DB$22</f>
        <v>0</v>
      </c>
      <c r="DC53" s="819">
        <f>+SUMIF('Monthly UF Model'!$I$7:$DY$7,'Monthly USD Model'!DC$7,'Monthly UF Model'!$I443:$DY443)*DC$22</f>
        <v>0</v>
      </c>
      <c r="DD53" s="819">
        <f>+SUMIF('Monthly UF Model'!$I$7:$DY$7,'Monthly USD Model'!DD$7,'Monthly UF Model'!$I443:$DY443)*DD$22</f>
        <v>0</v>
      </c>
      <c r="DE53" s="819">
        <f>+SUMIF('Monthly UF Model'!$I$7:$DY$7,'Monthly USD Model'!DE$7,'Monthly UF Model'!$I443:$DY443)*DE$22</f>
        <v>0</v>
      </c>
      <c r="DF53" s="819">
        <f>+SUMIF('Monthly UF Model'!$I$7:$DY$7,'Monthly USD Model'!DF$7,'Monthly UF Model'!$I443:$DY443)*DF$22</f>
        <v>0</v>
      </c>
      <c r="DG53" s="819">
        <f>+SUMIF('Monthly UF Model'!$I$7:$DY$7,'Monthly USD Model'!DG$7,'Monthly UF Model'!$I443:$DY443)*DG$22</f>
        <v>0</v>
      </c>
      <c r="DH53" s="819">
        <f>+SUMIF('Monthly UF Model'!$I$7:$DY$7,'Monthly USD Model'!DH$7,'Monthly UF Model'!$I443:$DY443)*DH$22</f>
        <v>0</v>
      </c>
      <c r="DI53" s="819">
        <f>+SUMIF('Monthly UF Model'!$I$7:$DY$7,'Monthly USD Model'!DI$7,'Monthly UF Model'!$I443:$DY443)*DI$22</f>
        <v>0</v>
      </c>
      <c r="DJ53" s="819">
        <f>+SUMIF('Monthly UF Model'!$I$7:$DY$7,'Monthly USD Model'!DJ$7,'Monthly UF Model'!$I443:$DY443)*DJ$22</f>
        <v>0</v>
      </c>
      <c r="DK53" s="819">
        <f>+SUMIF('Monthly UF Model'!$I$7:$DY$7,'Monthly USD Model'!DK$7,'Monthly UF Model'!$I443:$DY443)*DK$22</f>
        <v>0</v>
      </c>
      <c r="DL53" s="819">
        <f>+SUMIF('Monthly UF Model'!$I$7:$DY$7,'Monthly USD Model'!DL$7,'Monthly UF Model'!$I443:$DY443)*DL$22</f>
        <v>0</v>
      </c>
      <c r="DM53" s="819">
        <f>+SUMIF('Monthly UF Model'!$I$7:$DY$7,'Monthly USD Model'!DM$7,'Monthly UF Model'!$I443:$DY443)*DM$22</f>
        <v>0</v>
      </c>
      <c r="DN53" s="819">
        <f>+SUMIF('Monthly UF Model'!$I$7:$DY$7,'Monthly USD Model'!DN$7,'Monthly UF Model'!$I443:$DY443)*DN$22</f>
        <v>0</v>
      </c>
      <c r="DO53" s="819">
        <f>+SUMIF('Monthly UF Model'!$I$7:$DY$7,'Monthly USD Model'!DO$7,'Monthly UF Model'!$I443:$DY443)*DO$22</f>
        <v>0</v>
      </c>
      <c r="DP53" s="819">
        <f>+SUMIF('Monthly UF Model'!$I$7:$DY$7,'Monthly USD Model'!DP$7,'Monthly UF Model'!$I443:$DY443)*DP$22</f>
        <v>0</v>
      </c>
      <c r="DQ53" s="819">
        <f>+SUMIF('Monthly UF Model'!$I$7:$DY$7,'Monthly USD Model'!DQ$7,'Monthly UF Model'!$I443:$DY443)*DQ$22</f>
        <v>0</v>
      </c>
      <c r="DR53" s="819">
        <f>+SUMIF('Monthly UF Model'!$I$7:$DY$7,'Monthly USD Model'!DR$7,'Monthly UF Model'!$I443:$DY443)*DR$22</f>
        <v>0</v>
      </c>
      <c r="DS53" s="819">
        <f>+SUMIF('Monthly UF Model'!$I$7:$DY$7,'Monthly USD Model'!DS$7,'Monthly UF Model'!$I443:$DY443)*DS$22</f>
        <v>0</v>
      </c>
      <c r="DT53" s="819">
        <f>+SUMIF('Monthly UF Model'!$I$7:$DY$7,'Monthly USD Model'!DT$7,'Monthly UF Model'!$I443:$DY443)*DT$22</f>
        <v>0</v>
      </c>
      <c r="DU53" s="819">
        <f>+SUMIF('Monthly UF Model'!$I$7:$DY$7,'Monthly USD Model'!DU$7,'Monthly UF Model'!$I443:$DY443)*DU$22</f>
        <v>0</v>
      </c>
      <c r="DV53" s="819">
        <f>+SUMIF('Monthly UF Model'!$I$7:$DY$7,'Monthly USD Model'!DV$7,'Monthly UF Model'!$I443:$DY443)*DV$22</f>
        <v>0</v>
      </c>
      <c r="DW53" s="819">
        <f>+SUMIF('Monthly UF Model'!$I$7:$DY$7,'Monthly USD Model'!DW$7,'Monthly UF Model'!$I443:$DY443)*DW$22</f>
        <v>0</v>
      </c>
      <c r="DX53" s="819">
        <f>+SUMIF('Monthly UF Model'!$I$7:$DY$7,'Monthly USD Model'!DX$7,'Monthly UF Model'!$I443:$DY443)*DX$22</f>
        <v>0</v>
      </c>
    </row>
    <row r="54" spans="1:128" s="3" customFormat="1" ht="12" outlineLevel="1" thickTop="1" thickBot="1" x14ac:dyDescent="0.35">
      <c r="B54" s="201" t="s">
        <v>22</v>
      </c>
      <c r="C54" s="206"/>
      <c r="D54" s="206"/>
      <c r="E54" s="206"/>
      <c r="F54" s="206"/>
      <c r="G54" s="351">
        <f t="shared" ca="1" si="25"/>
        <v>9403676.9437094145</v>
      </c>
      <c r="H54" s="174">
        <v>-1</v>
      </c>
      <c r="I54" s="174">
        <f>+SUM(I45:I53)+SUM(H45:H53)</f>
        <v>-6499842.6363186454</v>
      </c>
      <c r="J54" s="174">
        <f t="shared" ref="J54:AM54" si="26">+SUM(J45:J53)</f>
        <v>-38206.9307513893</v>
      </c>
      <c r="K54" s="174">
        <f t="shared" si="26"/>
        <v>-153622.87145070574</v>
      </c>
      <c r="L54" s="174">
        <f t="shared" si="26"/>
        <v>-22431.922515608025</v>
      </c>
      <c r="M54" s="174">
        <f t="shared" si="26"/>
        <v>-119112.77921037778</v>
      </c>
      <c r="N54" s="174">
        <f t="shared" si="26"/>
        <v>0</v>
      </c>
      <c r="O54" s="174">
        <f t="shared" si="26"/>
        <v>-29463.550400248951</v>
      </c>
      <c r="P54" s="174">
        <f t="shared" si="26"/>
        <v>-104599.41048004062</v>
      </c>
      <c r="Q54" s="174">
        <f t="shared" si="26"/>
        <v>-34512.995344224713</v>
      </c>
      <c r="R54" s="174">
        <f t="shared" si="26"/>
        <v>-74542.264501322818</v>
      </c>
      <c r="S54" s="174">
        <f t="shared" si="26"/>
        <v>-46194.338259557248</v>
      </c>
      <c r="T54" s="174">
        <f t="shared" si="26"/>
        <v>-9327.4406229347533</v>
      </c>
      <c r="U54" s="174">
        <f t="shared" si="26"/>
        <v>-107812.16691541208</v>
      </c>
      <c r="V54" s="174">
        <f t="shared" si="26"/>
        <v>-299978.5719559337</v>
      </c>
      <c r="W54" s="174">
        <f t="shared" si="26"/>
        <v>-51810.097411688905</v>
      </c>
      <c r="X54" s="174">
        <f t="shared" si="26"/>
        <v>-363985.3095863554</v>
      </c>
      <c r="Y54" s="174">
        <f t="shared" si="26"/>
        <v>-200009.05390222737</v>
      </c>
      <c r="Z54" s="174">
        <f t="shared" si="26"/>
        <v>-197428.67693354629</v>
      </c>
      <c r="AA54" s="174">
        <f t="shared" si="26"/>
        <v>-40486.633282394861</v>
      </c>
      <c r="AB54" s="174">
        <f t="shared" si="26"/>
        <v>-51831.564012876253</v>
      </c>
      <c r="AC54" s="174">
        <f t="shared" si="26"/>
        <v>-160224.01316122181</v>
      </c>
      <c r="AD54" s="174">
        <f t="shared" si="26"/>
        <v>-32850.389174788259</v>
      </c>
      <c r="AE54" s="174">
        <f>+SUM(AE45:AE53)</f>
        <v>52134.734554843213</v>
      </c>
      <c r="AF54" s="174">
        <f t="shared" si="26"/>
        <v>511222.05847735365</v>
      </c>
      <c r="AG54" s="174">
        <f t="shared" si="26"/>
        <v>52369.852444843622</v>
      </c>
      <c r="AH54" s="174">
        <f t="shared" si="26"/>
        <v>-317228.45263804542</v>
      </c>
      <c r="AI54" s="174">
        <f t="shared" si="26"/>
        <v>-60223.561217224771</v>
      </c>
      <c r="AJ54" s="174">
        <f t="shared" si="26"/>
        <v>138812.53201951485</v>
      </c>
      <c r="AK54" s="174">
        <f t="shared" si="26"/>
        <v>-28091.273383085176</v>
      </c>
      <c r="AL54" s="174">
        <f t="shared" si="26"/>
        <v>-19580.152731764221</v>
      </c>
      <c r="AM54" s="174">
        <f t="shared" si="26"/>
        <v>-86163.86107597666</v>
      </c>
      <c r="AN54" s="174">
        <f t="shared" ref="AN54:CY54" si="27">+SUM(AN45:AN53)</f>
        <v>-46585.879278635453</v>
      </c>
      <c r="AO54" s="174">
        <f t="shared" si="27"/>
        <v>813487.20248766348</v>
      </c>
      <c r="AP54" s="174">
        <f t="shared" si="27"/>
        <v>-64739.891209755442</v>
      </c>
      <c r="AQ54" s="174">
        <f t="shared" si="27"/>
        <v>-32015.432798235754</v>
      </c>
      <c r="AR54" s="174">
        <f t="shared" si="27"/>
        <v>-36702.543051270943</v>
      </c>
      <c r="AS54" s="174">
        <f t="shared" si="27"/>
        <v>-17573.52866800093</v>
      </c>
      <c r="AT54" s="174">
        <f t="shared" si="27"/>
        <v>90711.47174086007</v>
      </c>
      <c r="AU54" s="174">
        <f t="shared" si="27"/>
        <v>249045.79994938424</v>
      </c>
      <c r="AV54" s="174">
        <f t="shared" si="27"/>
        <v>-115264.64500566499</v>
      </c>
      <c r="AW54" s="174">
        <f t="shared" si="27"/>
        <v>749942.0733489634</v>
      </c>
      <c r="AX54" s="174">
        <f t="shared" si="27"/>
        <v>-740179.83394546749</v>
      </c>
      <c r="AY54" s="174">
        <f t="shared" si="27"/>
        <v>110288.46181049285</v>
      </c>
      <c r="AZ54" s="174">
        <f t="shared" si="27"/>
        <v>-77163.67297123943</v>
      </c>
      <c r="BA54" s="174">
        <f t="shared" si="27"/>
        <v>13970.985254756873</v>
      </c>
      <c r="BB54" s="174">
        <f t="shared" si="27"/>
        <v>678914.01422821498</v>
      </c>
      <c r="BC54" s="174">
        <f t="shared" si="27"/>
        <v>831485.58566793171</v>
      </c>
      <c r="BD54" s="174">
        <f t="shared" si="27"/>
        <v>-1271.7657554266625</v>
      </c>
      <c r="BE54" s="174">
        <f t="shared" si="27"/>
        <v>-124775.91226623733</v>
      </c>
      <c r="BF54" s="174">
        <f t="shared" si="27"/>
        <v>-157687.50260495819</v>
      </c>
      <c r="BG54" s="174">
        <f t="shared" si="27"/>
        <v>-4140.0016524452731</v>
      </c>
      <c r="BH54" s="174">
        <f t="shared" si="27"/>
        <v>-156100.24061608157</v>
      </c>
      <c r="BI54" s="174">
        <f t="shared" si="27"/>
        <v>-96919.198292765519</v>
      </c>
      <c r="BJ54" s="174">
        <f t="shared" si="27"/>
        <v>-155558.31757076032</v>
      </c>
      <c r="BK54" s="174">
        <f t="shared" si="27"/>
        <v>2043.5903429237496</v>
      </c>
      <c r="BL54" s="174">
        <f t="shared" si="27"/>
        <v>-72347.729863000146</v>
      </c>
      <c r="BM54" s="174">
        <f t="shared" ca="1" si="27"/>
        <v>-15220.348017006732</v>
      </c>
      <c r="BN54" s="174">
        <f t="shared" ca="1" si="27"/>
        <v>-9754.9833791776764</v>
      </c>
      <c r="BO54" s="174">
        <f t="shared" ca="1" si="27"/>
        <v>39164.573542263002</v>
      </c>
      <c r="BP54" s="174">
        <f t="shared" ca="1" si="27"/>
        <v>-66145.125450840016</v>
      </c>
      <c r="BQ54" s="174">
        <f t="shared" ca="1" si="27"/>
        <v>23845.322651864051</v>
      </c>
      <c r="BR54" s="174">
        <f t="shared" ca="1" si="27"/>
        <v>-1055.9828870861747</v>
      </c>
      <c r="BS54" s="174">
        <f t="shared" ca="1" si="27"/>
        <v>-55660.625520365182</v>
      </c>
      <c r="BT54" s="174">
        <f t="shared" ca="1" si="27"/>
        <v>-93291.100743446819</v>
      </c>
      <c r="BU54" s="174">
        <f t="shared" ca="1" si="27"/>
        <v>-113487.33328993598</v>
      </c>
      <c r="BV54" s="174">
        <f t="shared" ca="1" si="27"/>
        <v>-124453.54641721994</v>
      </c>
      <c r="BW54" s="174">
        <f t="shared" ca="1" si="27"/>
        <v>-25091.081536611149</v>
      </c>
      <c r="BX54" s="174">
        <f t="shared" ca="1" si="27"/>
        <v>36739.453189470281</v>
      </c>
      <c r="BY54" s="174">
        <f t="shared" ca="1" si="27"/>
        <v>127060.58090454499</v>
      </c>
      <c r="BZ54" s="174">
        <f t="shared" ca="1" si="27"/>
        <v>118318.23482616409</v>
      </c>
      <c r="CA54" s="174">
        <f t="shared" ca="1" si="27"/>
        <v>-319003.33803439443</v>
      </c>
      <c r="CB54" s="174">
        <f t="shared" ca="1" si="27"/>
        <v>130874.4399501357</v>
      </c>
      <c r="CC54" s="174">
        <f t="shared" ca="1" si="27"/>
        <v>137383.55905095421</v>
      </c>
      <c r="CD54" s="174">
        <f t="shared" ca="1" si="27"/>
        <v>144047.63883593984</v>
      </c>
      <c r="CE54" s="174">
        <f t="shared" ca="1" si="27"/>
        <v>15766772.481879981</v>
      </c>
      <c r="CF54" s="174">
        <f ca="1">+SUM(CF45:CF53)</f>
        <v>456793.77461397572</v>
      </c>
      <c r="CG54" s="174">
        <f t="shared" ca="1" si="27"/>
        <v>0</v>
      </c>
      <c r="CH54" s="174">
        <f ca="1">+SUM(CH45:CH53)</f>
        <v>0</v>
      </c>
      <c r="CI54" s="174">
        <f ca="1">+SUM(CI45:CI53)</f>
        <v>0</v>
      </c>
      <c r="CJ54" s="174">
        <f t="shared" ca="1" si="27"/>
        <v>0</v>
      </c>
      <c r="CK54" s="174">
        <f t="shared" ca="1" si="27"/>
        <v>0</v>
      </c>
      <c r="CL54" s="174">
        <f t="shared" ca="1" si="27"/>
        <v>0</v>
      </c>
      <c r="CM54" s="174">
        <f t="shared" ca="1" si="27"/>
        <v>0</v>
      </c>
      <c r="CN54" s="174">
        <f t="shared" ca="1" si="27"/>
        <v>0</v>
      </c>
      <c r="CO54" s="174">
        <f t="shared" ca="1" si="27"/>
        <v>0</v>
      </c>
      <c r="CP54" s="174">
        <f t="shared" ca="1" si="27"/>
        <v>0</v>
      </c>
      <c r="CQ54" s="174">
        <f t="shared" ca="1" si="27"/>
        <v>0</v>
      </c>
      <c r="CR54" s="174">
        <f t="shared" ca="1" si="27"/>
        <v>0</v>
      </c>
      <c r="CS54" s="174">
        <f t="shared" ca="1" si="27"/>
        <v>0</v>
      </c>
      <c r="CT54" s="174">
        <f t="shared" ca="1" si="27"/>
        <v>0</v>
      </c>
      <c r="CU54" s="174">
        <f t="shared" ca="1" si="27"/>
        <v>0</v>
      </c>
      <c r="CV54" s="174">
        <f t="shared" ca="1" si="27"/>
        <v>0</v>
      </c>
      <c r="CW54" s="174">
        <f t="shared" ca="1" si="27"/>
        <v>0</v>
      </c>
      <c r="CX54" s="174">
        <f t="shared" ca="1" si="27"/>
        <v>0</v>
      </c>
      <c r="CY54" s="174">
        <f t="shared" ca="1" si="27"/>
        <v>0</v>
      </c>
      <c r="CZ54" s="174">
        <f t="shared" ref="CZ54:DU54" ca="1" si="28">+SUM(CZ45:CZ53)</f>
        <v>0</v>
      </c>
      <c r="DA54" s="174">
        <f t="shared" ca="1" si="28"/>
        <v>0</v>
      </c>
      <c r="DB54" s="174">
        <f t="shared" ca="1" si="28"/>
        <v>0</v>
      </c>
      <c r="DC54" s="174">
        <f t="shared" ca="1" si="28"/>
        <v>0</v>
      </c>
      <c r="DD54" s="174">
        <f t="shared" ca="1" si="28"/>
        <v>0</v>
      </c>
      <c r="DE54" s="174">
        <f t="shared" ca="1" si="28"/>
        <v>0</v>
      </c>
      <c r="DF54" s="174">
        <f t="shared" ca="1" si="28"/>
        <v>0</v>
      </c>
      <c r="DG54" s="174">
        <f t="shared" ca="1" si="28"/>
        <v>0</v>
      </c>
      <c r="DH54" s="174">
        <f t="shared" ca="1" si="28"/>
        <v>0</v>
      </c>
      <c r="DI54" s="174">
        <f t="shared" ca="1" si="28"/>
        <v>0</v>
      </c>
      <c r="DJ54" s="174">
        <f t="shared" ca="1" si="28"/>
        <v>0</v>
      </c>
      <c r="DK54" s="174">
        <f t="shared" ca="1" si="28"/>
        <v>0</v>
      </c>
      <c r="DL54" s="174">
        <f t="shared" ca="1" si="28"/>
        <v>0</v>
      </c>
      <c r="DM54" s="174">
        <f t="shared" ca="1" si="28"/>
        <v>0</v>
      </c>
      <c r="DN54" s="174">
        <f t="shared" ca="1" si="28"/>
        <v>0</v>
      </c>
      <c r="DO54" s="174">
        <f t="shared" ca="1" si="28"/>
        <v>0</v>
      </c>
      <c r="DP54" s="174">
        <f t="shared" ca="1" si="28"/>
        <v>0</v>
      </c>
      <c r="DQ54" s="174">
        <f t="shared" ca="1" si="28"/>
        <v>0</v>
      </c>
      <c r="DR54" s="174">
        <f t="shared" ca="1" si="28"/>
        <v>0</v>
      </c>
      <c r="DS54" s="174">
        <f t="shared" ca="1" si="28"/>
        <v>0</v>
      </c>
      <c r="DT54" s="174">
        <f t="shared" ca="1" si="28"/>
        <v>0</v>
      </c>
      <c r="DU54" s="174">
        <f t="shared" ca="1" si="28"/>
        <v>0</v>
      </c>
      <c r="DV54" s="174">
        <f t="shared" ref="DV54:DX54" ca="1" si="29">+SUM(DV45:DV53)</f>
        <v>0</v>
      </c>
      <c r="DW54" s="174">
        <f t="shared" ca="1" si="29"/>
        <v>0</v>
      </c>
      <c r="DX54" s="174">
        <f t="shared" ca="1" si="29"/>
        <v>0</v>
      </c>
    </row>
    <row r="55" spans="1:128" s="111" customFormat="1" ht="11.4" outlineLevel="1" thickTop="1" x14ac:dyDescent="0.3">
      <c r="A55" s="3"/>
      <c r="B55" s="125" t="s">
        <v>437</v>
      </c>
      <c r="C55" s="3"/>
      <c r="D55" s="3"/>
      <c r="E55" s="3"/>
      <c r="F55" s="74"/>
      <c r="G55" s="74"/>
      <c r="H55" s="14">
        <f>+IF(H54&lt;0,SUM(G55,H54),G55)</f>
        <v>-1</v>
      </c>
      <c r="I55" s="14">
        <f t="shared" ref="I55:BT55" si="30">+IF(I54&lt;0,SUM(H55,I54),H55)</f>
        <v>-6499843.6363186454</v>
      </c>
      <c r="J55" s="14">
        <f t="shared" si="30"/>
        <v>-6538050.5670700343</v>
      </c>
      <c r="K55" s="14">
        <f t="shared" si="30"/>
        <v>-6691673.4385207398</v>
      </c>
      <c r="L55" s="14">
        <f t="shared" si="30"/>
        <v>-6714105.3610363482</v>
      </c>
      <c r="M55" s="14">
        <f t="shared" si="30"/>
        <v>-6833218.1402467256</v>
      </c>
      <c r="N55" s="14">
        <f t="shared" si="30"/>
        <v>-6833218.1402467256</v>
      </c>
      <c r="O55" s="14">
        <f t="shared" si="30"/>
        <v>-6862681.6906469744</v>
      </c>
      <c r="P55" s="14">
        <f t="shared" si="30"/>
        <v>-6967281.1011270154</v>
      </c>
      <c r="Q55" s="14">
        <f t="shared" si="30"/>
        <v>-7001794.0964712398</v>
      </c>
      <c r="R55" s="14">
        <f t="shared" si="30"/>
        <v>-7076336.3609725628</v>
      </c>
      <c r="S55" s="14">
        <f t="shared" si="30"/>
        <v>-7122530.6992321201</v>
      </c>
      <c r="T55" s="14">
        <f t="shared" si="30"/>
        <v>-7131858.1398550551</v>
      </c>
      <c r="U55" s="14">
        <f t="shared" si="30"/>
        <v>-7239670.3067704672</v>
      </c>
      <c r="V55" s="14">
        <f t="shared" si="30"/>
        <v>-7539648.8787264004</v>
      </c>
      <c r="W55" s="14">
        <f t="shared" si="30"/>
        <v>-7591458.9761380898</v>
      </c>
      <c r="X55" s="14">
        <f t="shared" si="30"/>
        <v>-7955444.2857244452</v>
      </c>
      <c r="Y55" s="14">
        <f t="shared" si="30"/>
        <v>-8155453.3396266727</v>
      </c>
      <c r="Z55" s="14">
        <f t="shared" si="30"/>
        <v>-8352882.0165602192</v>
      </c>
      <c r="AA55" s="14">
        <f t="shared" si="30"/>
        <v>-8393368.6498426143</v>
      </c>
      <c r="AB55" s="14">
        <f t="shared" si="30"/>
        <v>-8445200.2138554901</v>
      </c>
      <c r="AC55" s="14">
        <f t="shared" si="30"/>
        <v>-8605424.2270167116</v>
      </c>
      <c r="AD55" s="14">
        <f t="shared" si="30"/>
        <v>-8638274.6161914989</v>
      </c>
      <c r="AE55" s="14">
        <f t="shared" si="30"/>
        <v>-8638274.6161914989</v>
      </c>
      <c r="AF55" s="14">
        <f t="shared" si="30"/>
        <v>-8638274.6161914989</v>
      </c>
      <c r="AG55" s="14">
        <f t="shared" si="30"/>
        <v>-8638274.6161914989</v>
      </c>
      <c r="AH55" s="14">
        <f t="shared" si="30"/>
        <v>-8955503.0688295439</v>
      </c>
      <c r="AI55" s="14">
        <f t="shared" si="30"/>
        <v>-9015726.6300467681</v>
      </c>
      <c r="AJ55" s="14">
        <f t="shared" si="30"/>
        <v>-9015726.6300467681</v>
      </c>
      <c r="AK55" s="14">
        <f t="shared" si="30"/>
        <v>-9043817.9034298528</v>
      </c>
      <c r="AL55" s="14">
        <f t="shared" si="30"/>
        <v>-9063398.0561616179</v>
      </c>
      <c r="AM55" s="14">
        <f t="shared" si="30"/>
        <v>-9149561.9172375947</v>
      </c>
      <c r="AN55" s="14">
        <f t="shared" si="30"/>
        <v>-9196147.7965162303</v>
      </c>
      <c r="AO55" s="14">
        <f t="shared" si="30"/>
        <v>-9196147.7965162303</v>
      </c>
      <c r="AP55" s="14">
        <f t="shared" si="30"/>
        <v>-9260887.6877259854</v>
      </c>
      <c r="AQ55" s="14">
        <f t="shared" si="30"/>
        <v>-9292903.120524222</v>
      </c>
      <c r="AR55" s="14">
        <f t="shared" si="30"/>
        <v>-9329605.6635754928</v>
      </c>
      <c r="AS55" s="14">
        <f t="shared" si="30"/>
        <v>-9347179.1922434941</v>
      </c>
      <c r="AT55" s="14">
        <f t="shared" si="30"/>
        <v>-9347179.1922434941</v>
      </c>
      <c r="AU55" s="14">
        <f t="shared" si="30"/>
        <v>-9347179.1922434941</v>
      </c>
      <c r="AV55" s="14">
        <f t="shared" si="30"/>
        <v>-9462443.8372491598</v>
      </c>
      <c r="AW55" s="14">
        <f t="shared" si="30"/>
        <v>-9462443.8372491598</v>
      </c>
      <c r="AX55" s="14">
        <f t="shared" si="30"/>
        <v>-10202623.671194628</v>
      </c>
      <c r="AY55" s="14">
        <f t="shared" si="30"/>
        <v>-10202623.671194628</v>
      </c>
      <c r="AZ55" s="14">
        <f t="shared" si="30"/>
        <v>-10279787.344165867</v>
      </c>
      <c r="BA55" s="14">
        <f t="shared" si="30"/>
        <v>-10279787.344165867</v>
      </c>
      <c r="BB55" s="14">
        <f t="shared" si="30"/>
        <v>-10279787.344165867</v>
      </c>
      <c r="BC55" s="14">
        <f t="shared" si="30"/>
        <v>-10279787.344165867</v>
      </c>
      <c r="BD55" s="14">
        <f t="shared" si="30"/>
        <v>-10281059.109921293</v>
      </c>
      <c r="BE55" s="14">
        <f t="shared" si="30"/>
        <v>-10405835.022187531</v>
      </c>
      <c r="BF55" s="14">
        <f t="shared" si="30"/>
        <v>-10563522.524792489</v>
      </c>
      <c r="BG55" s="14">
        <f t="shared" si="30"/>
        <v>-10567662.526444934</v>
      </c>
      <c r="BH55" s="14">
        <f t="shared" si="30"/>
        <v>-10723762.767061016</v>
      </c>
      <c r="BI55" s="14">
        <f t="shared" si="30"/>
        <v>-10820681.965353781</v>
      </c>
      <c r="BJ55" s="14">
        <f t="shared" si="30"/>
        <v>-10976240.282924542</v>
      </c>
      <c r="BK55" s="14">
        <f t="shared" si="30"/>
        <v>-10976240.282924542</v>
      </c>
      <c r="BL55" s="14">
        <f t="shared" si="30"/>
        <v>-11048588.012787543</v>
      </c>
      <c r="BM55" s="14">
        <f t="shared" ca="1" si="30"/>
        <v>-11063808.36080455</v>
      </c>
      <c r="BN55" s="14">
        <f t="shared" ca="1" si="30"/>
        <v>-11073563.344183728</v>
      </c>
      <c r="BO55" s="14">
        <f t="shared" ca="1" si="30"/>
        <v>-11073563.344183728</v>
      </c>
      <c r="BP55" s="14">
        <f t="shared" ca="1" si="30"/>
        <v>-11139708.469634568</v>
      </c>
      <c r="BQ55" s="14">
        <f t="shared" ca="1" si="30"/>
        <v>-11139708.469634568</v>
      </c>
      <c r="BR55" s="14">
        <f t="shared" ca="1" si="30"/>
        <v>-11140764.452521654</v>
      </c>
      <c r="BS55" s="14">
        <f t="shared" ca="1" si="30"/>
        <v>-11196425.078042019</v>
      </c>
      <c r="BT55" s="14">
        <f t="shared" ca="1" si="30"/>
        <v>-11289716.178785466</v>
      </c>
      <c r="BU55" s="14">
        <f t="shared" ref="BU55:DX55" ca="1" si="31">+IF(BU54&lt;0,SUM(BT55,BU54),BT55)</f>
        <v>-11403203.512075402</v>
      </c>
      <c r="BV55" s="14">
        <f t="shared" ca="1" si="31"/>
        <v>-11527657.058492621</v>
      </c>
      <c r="BW55" s="14">
        <f t="shared" ca="1" si="31"/>
        <v>-11552748.140029233</v>
      </c>
      <c r="BX55" s="14">
        <f t="shared" ca="1" si="31"/>
        <v>-11552748.140029233</v>
      </c>
      <c r="BY55" s="14">
        <f t="shared" ca="1" si="31"/>
        <v>-11552748.140029233</v>
      </c>
      <c r="BZ55" s="14">
        <f t="shared" ca="1" si="31"/>
        <v>-11552748.140029233</v>
      </c>
      <c r="CA55" s="14">
        <f t="shared" ca="1" si="31"/>
        <v>-11871751.478063628</v>
      </c>
      <c r="CB55" s="14">
        <f t="shared" ca="1" si="31"/>
        <v>-11871751.478063628</v>
      </c>
      <c r="CC55" s="14">
        <f t="shared" ca="1" si="31"/>
        <v>-11871751.478063628</v>
      </c>
      <c r="CD55" s="14">
        <f t="shared" ca="1" si="31"/>
        <v>-11871751.478063628</v>
      </c>
      <c r="CE55" s="14">
        <f t="shared" ca="1" si="31"/>
        <v>-11871751.478063628</v>
      </c>
      <c r="CF55" s="14">
        <f t="shared" ca="1" si="31"/>
        <v>-11871751.478063628</v>
      </c>
      <c r="CG55" s="14">
        <f t="shared" ca="1" si="31"/>
        <v>-11871751.478063628</v>
      </c>
      <c r="CH55" s="14">
        <f ca="1">+IF(CH54&lt;0,SUM(CG55,CH54),CG55)</f>
        <v>-11871751.478063628</v>
      </c>
      <c r="CI55" s="14">
        <f ca="1">+IF(CI54&lt;0,SUM(CH55,CI54),CH55)</f>
        <v>-11871751.478063628</v>
      </c>
      <c r="CJ55" s="14">
        <f t="shared" ca="1" si="31"/>
        <v>-11871751.478063628</v>
      </c>
      <c r="CK55" s="14">
        <f t="shared" ca="1" si="31"/>
        <v>-11871751.478063628</v>
      </c>
      <c r="CL55" s="14">
        <f t="shared" ca="1" si="31"/>
        <v>-11871751.478063628</v>
      </c>
      <c r="CM55" s="14">
        <f t="shared" ca="1" si="31"/>
        <v>-11871751.478063628</v>
      </c>
      <c r="CN55" s="14">
        <f t="shared" ca="1" si="31"/>
        <v>-11871751.478063628</v>
      </c>
      <c r="CO55" s="14">
        <f t="shared" ca="1" si="31"/>
        <v>-11871751.478063628</v>
      </c>
      <c r="CP55" s="14">
        <f t="shared" ca="1" si="31"/>
        <v>-11871751.478063628</v>
      </c>
      <c r="CQ55" s="14">
        <f t="shared" ca="1" si="31"/>
        <v>-11871751.478063628</v>
      </c>
      <c r="CR55" s="14">
        <f t="shared" ca="1" si="31"/>
        <v>-11871751.478063628</v>
      </c>
      <c r="CS55" s="14">
        <f t="shared" ca="1" si="31"/>
        <v>-11871751.478063628</v>
      </c>
      <c r="CT55" s="14">
        <f t="shared" ca="1" si="31"/>
        <v>-11871751.478063628</v>
      </c>
      <c r="CU55" s="14">
        <f t="shared" ca="1" si="31"/>
        <v>-11871751.478063628</v>
      </c>
      <c r="CV55" s="14">
        <f t="shared" ca="1" si="31"/>
        <v>-11871751.478063628</v>
      </c>
      <c r="CW55" s="14">
        <f t="shared" ca="1" si="31"/>
        <v>-11871751.478063628</v>
      </c>
      <c r="CX55" s="14">
        <f t="shared" ca="1" si="31"/>
        <v>-11871751.478063628</v>
      </c>
      <c r="CY55" s="14">
        <f t="shared" ca="1" si="31"/>
        <v>-11871751.478063628</v>
      </c>
      <c r="CZ55" s="14">
        <f t="shared" ca="1" si="31"/>
        <v>-11871751.478063628</v>
      </c>
      <c r="DA55" s="14">
        <f t="shared" ca="1" si="31"/>
        <v>-11871751.478063628</v>
      </c>
      <c r="DB55" s="14">
        <f t="shared" ca="1" si="31"/>
        <v>-11871751.478063628</v>
      </c>
      <c r="DC55" s="14">
        <f t="shared" ca="1" si="31"/>
        <v>-11871751.478063628</v>
      </c>
      <c r="DD55" s="14">
        <f t="shared" ca="1" si="31"/>
        <v>-11871751.478063628</v>
      </c>
      <c r="DE55" s="14">
        <f t="shared" ca="1" si="31"/>
        <v>-11871751.478063628</v>
      </c>
      <c r="DF55" s="14">
        <f t="shared" ca="1" si="31"/>
        <v>-11871751.478063628</v>
      </c>
      <c r="DG55" s="14">
        <f t="shared" ca="1" si="31"/>
        <v>-11871751.478063628</v>
      </c>
      <c r="DH55" s="14">
        <f t="shared" ca="1" si="31"/>
        <v>-11871751.478063628</v>
      </c>
      <c r="DI55" s="14">
        <f t="shared" ca="1" si="31"/>
        <v>-11871751.478063628</v>
      </c>
      <c r="DJ55" s="14">
        <f t="shared" ca="1" si="31"/>
        <v>-11871751.478063628</v>
      </c>
      <c r="DK55" s="14">
        <f t="shared" ca="1" si="31"/>
        <v>-11871751.478063628</v>
      </c>
      <c r="DL55" s="14">
        <f t="shared" ca="1" si="31"/>
        <v>-11871751.478063628</v>
      </c>
      <c r="DM55" s="14">
        <f t="shared" ca="1" si="31"/>
        <v>-11871751.478063628</v>
      </c>
      <c r="DN55" s="14">
        <f t="shared" ca="1" si="31"/>
        <v>-11871751.478063628</v>
      </c>
      <c r="DO55" s="14">
        <f t="shared" ca="1" si="31"/>
        <v>-11871751.478063628</v>
      </c>
      <c r="DP55" s="14">
        <f t="shared" ca="1" si="31"/>
        <v>-11871751.478063628</v>
      </c>
      <c r="DQ55" s="14">
        <f t="shared" ca="1" si="31"/>
        <v>-11871751.478063628</v>
      </c>
      <c r="DR55" s="14">
        <f t="shared" ca="1" si="31"/>
        <v>-11871751.478063628</v>
      </c>
      <c r="DS55" s="14">
        <f t="shared" ca="1" si="31"/>
        <v>-11871751.478063628</v>
      </c>
      <c r="DT55" s="14">
        <f t="shared" ca="1" si="31"/>
        <v>-11871751.478063628</v>
      </c>
      <c r="DU55" s="14">
        <f t="shared" ca="1" si="31"/>
        <v>-11871751.478063628</v>
      </c>
      <c r="DV55" s="14">
        <f t="shared" ca="1" si="31"/>
        <v>-11871751.478063628</v>
      </c>
      <c r="DW55" s="14">
        <f t="shared" ca="1" si="31"/>
        <v>-11871751.478063628</v>
      </c>
      <c r="DX55" s="14">
        <f t="shared" ca="1" si="31"/>
        <v>-11871751.478063628</v>
      </c>
    </row>
    <row r="56" spans="1:128" s="3" customFormat="1" ht="10.8" outlineLevel="1" x14ac:dyDescent="0.3">
      <c r="C56" s="63"/>
      <c r="D56" s="63"/>
      <c r="E56" s="63"/>
      <c r="F56" s="147"/>
      <c r="G56" s="147"/>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c r="AV56" s="14"/>
      <c r="AW56" s="14"/>
      <c r="AX56" s="14"/>
      <c r="AY56" s="14"/>
      <c r="AZ56" s="14"/>
      <c r="BA56" s="14"/>
      <c r="BB56" s="14"/>
      <c r="BC56" s="14"/>
      <c r="BD56" s="14"/>
      <c r="BE56" s="14"/>
      <c r="BF56" s="14"/>
      <c r="BG56" s="14"/>
      <c r="BH56" s="14"/>
      <c r="BI56" s="14"/>
      <c r="BJ56" s="14"/>
      <c r="BK56" s="14"/>
      <c r="BL56" s="14"/>
      <c r="BM56" s="14"/>
      <c r="BN56" s="14"/>
      <c r="BO56" s="14"/>
      <c r="BP56" s="14"/>
      <c r="BQ56" s="14"/>
      <c r="BR56" s="14"/>
      <c r="BS56" s="14"/>
      <c r="BT56" s="14"/>
      <c r="BU56" s="14"/>
      <c r="BV56" s="14"/>
      <c r="BW56" s="14"/>
      <c r="BX56" s="14"/>
      <c r="BY56" s="14"/>
      <c r="BZ56" s="14"/>
      <c r="CA56" s="14"/>
      <c r="CB56" s="14"/>
      <c r="CC56" s="14"/>
      <c r="CD56" s="14"/>
      <c r="CE56" s="14"/>
      <c r="CF56" s="14"/>
      <c r="CG56" s="14"/>
      <c r="CH56" s="14"/>
      <c r="CI56" s="14"/>
      <c r="CJ56" s="14"/>
      <c r="CK56" s="14"/>
      <c r="CL56" s="14"/>
      <c r="CM56" s="14"/>
      <c r="CN56" s="14"/>
      <c r="CO56" s="14"/>
      <c r="CP56" s="14"/>
      <c r="CQ56" s="14"/>
      <c r="CR56" s="14"/>
      <c r="CS56" s="14"/>
      <c r="CT56" s="14"/>
      <c r="CU56" s="14"/>
      <c r="CV56" s="14"/>
      <c r="CW56" s="14"/>
      <c r="CX56" s="14"/>
      <c r="CY56" s="14"/>
      <c r="CZ56" s="14"/>
      <c r="DA56" s="14"/>
      <c r="DB56" s="14"/>
      <c r="DC56" s="14"/>
      <c r="DD56" s="14"/>
      <c r="DE56" s="14"/>
      <c r="DF56" s="14"/>
      <c r="DG56" s="14"/>
      <c r="DH56" s="14"/>
      <c r="DI56" s="14"/>
      <c r="DJ56" s="14"/>
      <c r="DK56" s="14"/>
      <c r="DL56" s="14"/>
      <c r="DM56" s="14"/>
      <c r="DN56" s="14"/>
      <c r="DO56" s="14"/>
      <c r="DP56" s="14"/>
      <c r="DQ56" s="14"/>
      <c r="DR56" s="14"/>
      <c r="DS56" s="14"/>
      <c r="DT56" s="14"/>
      <c r="DU56" s="14"/>
      <c r="DV56" s="14"/>
      <c r="DW56" s="14"/>
      <c r="DX56" s="14"/>
    </row>
    <row r="57" spans="1:128" s="111" customFormat="1" ht="10.8" outlineLevel="1" x14ac:dyDescent="0.3">
      <c r="A57" s="3"/>
      <c r="B57" s="574" t="s">
        <v>135</v>
      </c>
      <c r="C57" s="575"/>
      <c r="D57" s="575"/>
      <c r="E57" s="575"/>
      <c r="F57" s="576"/>
      <c r="G57" s="576"/>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c r="AQ57" s="14"/>
      <c r="AR57" s="14"/>
      <c r="AS57" s="14"/>
      <c r="AT57" s="14"/>
      <c r="AU57" s="14"/>
      <c r="AV57" s="14"/>
      <c r="AW57" s="14"/>
      <c r="AX57" s="14"/>
      <c r="AY57" s="14"/>
      <c r="AZ57" s="14"/>
      <c r="BA57" s="14"/>
      <c r="BB57" s="14"/>
      <c r="BC57" s="14"/>
      <c r="BD57" s="14"/>
      <c r="BE57" s="14"/>
      <c r="BF57" s="14"/>
      <c r="BG57" s="14"/>
      <c r="BH57" s="14"/>
      <c r="BI57" s="14"/>
      <c r="BJ57" s="14"/>
      <c r="BK57" s="14"/>
      <c r="BL57" s="14"/>
      <c r="BM57" s="14"/>
      <c r="BN57" s="14"/>
      <c r="BO57" s="14"/>
      <c r="BP57" s="14"/>
      <c r="BQ57" s="14"/>
      <c r="BR57" s="14"/>
      <c r="BS57" s="14"/>
      <c r="BT57" s="14"/>
      <c r="BU57" s="14"/>
      <c r="BV57" s="14"/>
      <c r="BW57" s="14"/>
      <c r="BX57" s="14"/>
      <c r="BY57" s="14"/>
      <c r="BZ57" s="14"/>
      <c r="CA57" s="14"/>
      <c r="CB57" s="14"/>
      <c r="CC57" s="14"/>
      <c r="CD57" s="14"/>
      <c r="CE57" s="14"/>
      <c r="CF57" s="14"/>
      <c r="CG57" s="14"/>
      <c r="CH57" s="14"/>
      <c r="CI57" s="14"/>
      <c r="CJ57" s="14"/>
      <c r="CK57" s="14"/>
      <c r="CL57" s="14"/>
      <c r="CM57" s="14"/>
      <c r="CN57" s="14"/>
      <c r="CO57" s="14"/>
      <c r="CP57" s="14"/>
      <c r="CQ57" s="14"/>
      <c r="CR57" s="14"/>
      <c r="CS57" s="14"/>
      <c r="CT57" s="14"/>
      <c r="CU57" s="14"/>
      <c r="CV57" s="14"/>
      <c r="CW57" s="14"/>
      <c r="CX57" s="14"/>
      <c r="CY57" s="14"/>
      <c r="CZ57" s="14"/>
      <c r="DA57" s="14"/>
      <c r="DB57" s="14"/>
      <c r="DC57" s="14"/>
      <c r="DD57" s="14"/>
      <c r="DE57" s="14"/>
      <c r="DF57" s="14"/>
      <c r="DG57" s="14"/>
      <c r="DH57" s="14"/>
      <c r="DI57" s="14"/>
      <c r="DJ57" s="14"/>
      <c r="DK57" s="14"/>
      <c r="DL57" s="14"/>
      <c r="DM57" s="14"/>
      <c r="DN57" s="14"/>
      <c r="DO57" s="14"/>
      <c r="DP57" s="14"/>
      <c r="DQ57" s="14"/>
      <c r="DR57" s="14"/>
      <c r="DS57" s="14"/>
      <c r="DT57" s="14"/>
      <c r="DU57" s="14"/>
      <c r="DV57" s="14"/>
      <c r="DW57" s="14"/>
      <c r="DX57" s="14"/>
    </row>
    <row r="58" spans="1:128" s="3" customFormat="1" ht="10.8" outlineLevel="1" x14ac:dyDescent="0.3">
      <c r="B58" s="577" t="s">
        <v>3</v>
      </c>
      <c r="C58" s="578"/>
      <c r="D58" s="575"/>
      <c r="E58" s="575"/>
      <c r="F58" s="579"/>
      <c r="G58" s="589">
        <f ca="1">+XIRR($H$54:$DX$54,$H$7:$DX$7)</f>
        <v>0.14288951754570012</v>
      </c>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c r="AQ58" s="14"/>
      <c r="AR58" s="14"/>
      <c r="AS58" s="14"/>
      <c r="AT58" s="14"/>
      <c r="AU58" s="14"/>
      <c r="AV58" s="14"/>
      <c r="AW58" s="14"/>
      <c r="AX58" s="14"/>
      <c r="AY58" s="14"/>
      <c r="AZ58" s="14"/>
      <c r="BA58" s="14"/>
      <c r="BB58" s="14"/>
      <c r="BC58" s="14"/>
      <c r="BD58" s="14"/>
      <c r="BE58" s="14"/>
      <c r="BF58" s="14"/>
      <c r="BG58" s="14"/>
      <c r="BH58" s="14"/>
      <c r="BI58" s="14"/>
      <c r="BJ58" s="14"/>
      <c r="BK58" s="14"/>
      <c r="BL58" s="14"/>
      <c r="BM58" s="14"/>
      <c r="BN58" s="14"/>
      <c r="BO58" s="14"/>
      <c r="BP58" s="14"/>
      <c r="BQ58" s="14"/>
      <c r="BR58" s="14"/>
      <c r="BS58" s="14"/>
      <c r="BT58" s="14"/>
      <c r="BU58" s="14"/>
      <c r="BV58" s="14"/>
      <c r="BW58" s="14"/>
      <c r="BX58" s="14"/>
      <c r="BY58" s="14"/>
      <c r="BZ58" s="14"/>
      <c r="CA58" s="14"/>
      <c r="CB58" s="14"/>
      <c r="CC58" s="14"/>
      <c r="CD58" s="14"/>
      <c r="CE58" s="14"/>
      <c r="CF58" s="14"/>
      <c r="CG58" s="14"/>
      <c r="CH58" s="14"/>
      <c r="CI58" s="14"/>
      <c r="CJ58" s="14"/>
      <c r="CK58" s="14"/>
      <c r="CL58" s="14"/>
      <c r="CM58" s="14"/>
      <c r="CN58" s="14"/>
      <c r="CO58" s="14"/>
      <c r="CP58" s="14"/>
      <c r="CQ58" s="14"/>
      <c r="CR58" s="14"/>
      <c r="CS58" s="14"/>
      <c r="CT58" s="14"/>
      <c r="CU58" s="14"/>
      <c r="CV58" s="14"/>
      <c r="CW58" s="14"/>
      <c r="CX58" s="14"/>
      <c r="CY58" s="14"/>
      <c r="CZ58" s="14"/>
      <c r="DA58" s="14"/>
      <c r="DB58" s="14"/>
      <c r="DC58" s="14"/>
      <c r="DD58" s="14"/>
      <c r="DE58" s="14"/>
      <c r="DF58" s="14"/>
      <c r="DG58" s="14"/>
      <c r="DH58" s="14"/>
      <c r="DI58" s="14"/>
      <c r="DJ58" s="14"/>
      <c r="DK58" s="14"/>
      <c r="DL58" s="14"/>
      <c r="DM58" s="14"/>
      <c r="DN58" s="14"/>
      <c r="DO58" s="14"/>
      <c r="DP58" s="14"/>
      <c r="DQ58" s="14"/>
      <c r="DR58" s="14"/>
      <c r="DS58" s="14"/>
      <c r="DT58" s="14"/>
      <c r="DU58" s="14"/>
      <c r="DV58" s="14"/>
      <c r="DW58" s="14"/>
      <c r="DX58" s="14"/>
    </row>
    <row r="59" spans="1:128" s="3" customFormat="1" ht="12.75" customHeight="1" outlineLevel="1" x14ac:dyDescent="0.25">
      <c r="B59" s="577" t="s">
        <v>4</v>
      </c>
      <c r="C59" s="580"/>
      <c r="D59" s="575"/>
      <c r="E59" s="575"/>
      <c r="F59" s="579"/>
      <c r="G59" s="581">
        <f ca="1">+G60/G61+1</f>
        <v>1.7921052728475095</v>
      </c>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14"/>
      <c r="DA59" s="14"/>
      <c r="DB59" s="14"/>
      <c r="DC59" s="14"/>
      <c r="DD59" s="14"/>
      <c r="DE59" s="14"/>
      <c r="DF59" s="14"/>
      <c r="DG59" s="14"/>
      <c r="DH59" s="14"/>
      <c r="DI59" s="14"/>
      <c r="DJ59" s="14"/>
      <c r="DK59" s="14"/>
      <c r="DL59" s="14"/>
      <c r="DM59" s="14"/>
      <c r="DN59" s="14"/>
      <c r="DO59" s="14"/>
      <c r="DP59" s="14"/>
      <c r="DQ59" s="14"/>
      <c r="DR59" s="14"/>
      <c r="DS59" s="14"/>
      <c r="DT59" s="14"/>
      <c r="DU59" s="14"/>
      <c r="DV59" s="14"/>
      <c r="DW59" s="14"/>
      <c r="DX59" s="14"/>
    </row>
    <row r="60" spans="1:128" s="3" customFormat="1" ht="12.75" customHeight="1" outlineLevel="1" x14ac:dyDescent="0.3">
      <c r="B60" s="577" t="s">
        <v>5</v>
      </c>
      <c r="C60" s="582"/>
      <c r="D60" s="575"/>
      <c r="E60" s="575"/>
      <c r="F60" s="579"/>
      <c r="G60" s="583">
        <f ca="1">+G54</f>
        <v>9403676.9437094145</v>
      </c>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c r="AQ60" s="14"/>
      <c r="AR60" s="14"/>
      <c r="AS60" s="14"/>
      <c r="AT60" s="14"/>
      <c r="AU60" s="14"/>
      <c r="AV60" s="14"/>
      <c r="AW60" s="14"/>
      <c r="AX60" s="14"/>
      <c r="AY60" s="14"/>
      <c r="AZ60" s="14"/>
      <c r="BA60" s="14"/>
      <c r="BB60" s="14"/>
      <c r="BC60" s="14"/>
      <c r="BD60" s="14"/>
      <c r="BE60" s="14"/>
      <c r="BF60" s="14"/>
      <c r="BG60" s="14"/>
      <c r="BH60" s="14"/>
      <c r="BI60" s="14"/>
      <c r="BJ60" s="14"/>
      <c r="BK60" s="14"/>
      <c r="BL60" s="14"/>
      <c r="BM60" s="14"/>
      <c r="BN60" s="14"/>
      <c r="BO60" s="14"/>
      <c r="BP60" s="14"/>
      <c r="BQ60" s="14"/>
      <c r="BR60" s="14"/>
      <c r="BS60" s="14"/>
      <c r="BT60" s="14"/>
      <c r="BU60" s="14"/>
      <c r="BV60" s="14"/>
      <c r="BW60" s="14"/>
      <c r="BX60" s="14"/>
      <c r="BY60" s="14"/>
      <c r="BZ60" s="14"/>
      <c r="CA60" s="14"/>
      <c r="CB60" s="14"/>
      <c r="CC60" s="14"/>
      <c r="CD60" s="14"/>
      <c r="CE60" s="14"/>
      <c r="CF60" s="14"/>
      <c r="CG60" s="14"/>
      <c r="CH60" s="14"/>
      <c r="CI60" s="14"/>
      <c r="CJ60" s="14"/>
      <c r="CK60" s="14"/>
      <c r="CL60" s="14"/>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row>
    <row r="61" spans="1:128" s="3" customFormat="1" ht="12.75" customHeight="1" outlineLevel="1" x14ac:dyDescent="0.3">
      <c r="B61" s="584" t="s">
        <v>21</v>
      </c>
      <c r="C61" s="585"/>
      <c r="D61" s="586"/>
      <c r="E61" s="586"/>
      <c r="F61" s="587"/>
      <c r="G61" s="588">
        <f ca="1">-MIN(H55:DX55)</f>
        <v>11871751.478063628</v>
      </c>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c r="AQ61" s="14"/>
      <c r="AR61" s="14"/>
      <c r="AS61" s="14"/>
      <c r="AT61" s="14"/>
      <c r="AU61" s="14"/>
      <c r="AV61" s="14"/>
      <c r="AW61" s="14"/>
      <c r="AX61" s="14"/>
      <c r="AY61" s="14"/>
      <c r="AZ61" s="14"/>
      <c r="BA61" s="14"/>
      <c r="BB61" s="14"/>
      <c r="BC61" s="14"/>
      <c r="BD61" s="14"/>
      <c r="BE61" s="14"/>
      <c r="BF61" s="14"/>
      <c r="BG61" s="14"/>
      <c r="BH61" s="14"/>
      <c r="BI61" s="14"/>
      <c r="BJ61" s="14"/>
      <c r="BK61" s="14"/>
      <c r="BL61" s="14"/>
      <c r="BM61" s="14"/>
      <c r="BN61" s="14"/>
      <c r="BO61" s="14"/>
      <c r="BP61" s="14"/>
      <c r="BQ61" s="14"/>
      <c r="BR61" s="14"/>
      <c r="BS61" s="14"/>
      <c r="BT61" s="14"/>
      <c r="BU61" s="14"/>
      <c r="BV61" s="14"/>
      <c r="BW61" s="14"/>
      <c r="BX61" s="14"/>
      <c r="BY61" s="14"/>
      <c r="BZ61" s="14"/>
      <c r="CA61" s="14"/>
      <c r="CB61" s="14"/>
      <c r="CC61" s="14"/>
      <c r="CD61" s="14"/>
      <c r="CE61" s="14"/>
      <c r="CF61" s="14"/>
      <c r="CG61" s="14"/>
      <c r="CH61" s="14"/>
      <c r="CI61" s="14"/>
      <c r="CJ61" s="14"/>
      <c r="CK61" s="14"/>
      <c r="CL61" s="14"/>
      <c r="CM61" s="14"/>
      <c r="CN61" s="14"/>
      <c r="CO61" s="14"/>
      <c r="CP61" s="14"/>
      <c r="CQ61" s="14"/>
      <c r="CR61" s="14"/>
      <c r="CS61" s="14"/>
      <c r="CT61" s="14"/>
      <c r="CU61" s="14"/>
      <c r="CV61" s="14"/>
      <c r="CW61" s="14"/>
      <c r="CX61" s="14"/>
      <c r="CY61" s="14"/>
      <c r="CZ61" s="14"/>
      <c r="DA61" s="14"/>
      <c r="DB61" s="14"/>
      <c r="DC61" s="14"/>
      <c r="DD61" s="14"/>
      <c r="DE61" s="14"/>
      <c r="DF61" s="14"/>
      <c r="DG61" s="14"/>
      <c r="DH61" s="14"/>
      <c r="DI61" s="14"/>
      <c r="DJ61" s="14"/>
      <c r="DK61" s="14"/>
      <c r="DL61" s="14"/>
      <c r="DM61" s="14"/>
      <c r="DN61" s="14"/>
      <c r="DO61" s="14"/>
      <c r="DP61" s="14"/>
      <c r="DQ61" s="14"/>
      <c r="DR61" s="14"/>
      <c r="DS61" s="14"/>
      <c r="DT61" s="14"/>
      <c r="DU61" s="14"/>
      <c r="DV61" s="14"/>
      <c r="DW61" s="14"/>
      <c r="DX61" s="14"/>
    </row>
    <row r="62" spans="1:128" s="3" customFormat="1" ht="10.8" outlineLevel="1" x14ac:dyDescent="0.3">
      <c r="F62" s="127"/>
      <c r="G62" s="35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14"/>
      <c r="BJ62" s="14"/>
      <c r="BK62" s="14"/>
      <c r="BL62" s="14"/>
      <c r="BM62" s="14"/>
      <c r="BN62" s="14"/>
      <c r="BO62" s="14"/>
      <c r="BP62" s="14"/>
      <c r="BQ62" s="14"/>
      <c r="BR62" s="14"/>
      <c r="BS62" s="14"/>
      <c r="BT62" s="14"/>
      <c r="BU62" s="14"/>
      <c r="BV62" s="14"/>
      <c r="BW62" s="14"/>
      <c r="BX62" s="14"/>
      <c r="BY62" s="14"/>
      <c r="BZ62" s="14"/>
      <c r="CA62" s="14"/>
      <c r="CB62" s="14"/>
      <c r="CC62" s="14"/>
      <c r="CD62" s="14"/>
      <c r="CE62" s="14"/>
      <c r="CF62" s="14"/>
      <c r="CG62" s="14"/>
      <c r="CH62" s="14"/>
      <c r="CI62" s="14"/>
      <c r="CJ62" s="14"/>
      <c r="CK62" s="14"/>
      <c r="CL62" s="14"/>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row>
    <row r="63" spans="1:128" s="111" customFormat="1" ht="10.8" x14ac:dyDescent="0.3">
      <c r="A63" s="3"/>
      <c r="B63" s="3"/>
      <c r="C63" s="3"/>
      <c r="D63" s="3"/>
      <c r="E63" s="3"/>
      <c r="F63" s="127"/>
      <c r="G63" s="127"/>
    </row>
    <row r="64" spans="1:128" s="3" customFormat="1" ht="12.75" customHeight="1" x14ac:dyDescent="0.3">
      <c r="F64" s="66"/>
      <c r="G64" s="66"/>
      <c r="H64" s="111"/>
      <c r="I64" s="111"/>
      <c r="J64" s="111"/>
      <c r="K64" s="111"/>
      <c r="L64" s="111"/>
      <c r="M64" s="111"/>
      <c r="N64" s="111"/>
      <c r="O64" s="111"/>
      <c r="P64" s="111"/>
      <c r="Q64" s="111"/>
      <c r="R64" s="111"/>
      <c r="S64" s="111"/>
      <c r="T64" s="111"/>
      <c r="U64" s="111"/>
      <c r="V64" s="111"/>
      <c r="W64" s="111"/>
      <c r="X64" s="111"/>
      <c r="Y64" s="111"/>
      <c r="Z64" s="111"/>
      <c r="AA64" s="111"/>
      <c r="AB64" s="111"/>
      <c r="AC64" s="111"/>
      <c r="AD64" s="111"/>
      <c r="AE64" s="111"/>
      <c r="AF64" s="111"/>
      <c r="AG64" s="111"/>
      <c r="AH64" s="111"/>
      <c r="AI64" s="111"/>
      <c r="AJ64" s="111"/>
      <c r="AK64" s="111"/>
      <c r="AL64" s="111"/>
      <c r="AM64" s="111"/>
      <c r="AN64" s="111"/>
      <c r="AO64" s="111"/>
      <c r="AP64" s="111"/>
      <c r="AQ64" s="111"/>
      <c r="AR64" s="111"/>
      <c r="AS64" s="111"/>
      <c r="AT64" s="111"/>
      <c r="AU64" s="111"/>
      <c r="AV64" s="111"/>
      <c r="AW64" s="111"/>
      <c r="AX64" s="111"/>
      <c r="AY64" s="111"/>
      <c r="AZ64" s="111"/>
      <c r="BA64" s="111"/>
      <c r="BB64" s="111"/>
      <c r="BC64" s="111"/>
      <c r="BD64" s="111"/>
      <c r="BE64" s="111"/>
      <c r="BF64" s="111"/>
      <c r="BG64" s="111"/>
      <c r="BH64" s="111"/>
      <c r="BI64" s="111"/>
      <c r="BJ64" s="111"/>
      <c r="BK64" s="111"/>
      <c r="BL64" s="111"/>
      <c r="BM64" s="111"/>
      <c r="BN64" s="111"/>
      <c r="BO64" s="111"/>
      <c r="BP64" s="111"/>
      <c r="BQ64" s="111"/>
      <c r="BR64" s="111"/>
      <c r="BS64" s="111"/>
      <c r="BT64" s="111"/>
      <c r="BU64" s="111"/>
      <c r="BV64" s="111"/>
      <c r="BW64" s="111"/>
      <c r="BX64" s="111"/>
      <c r="BY64" s="111"/>
      <c r="BZ64" s="111"/>
      <c r="CA64" s="111"/>
      <c r="CB64" s="111"/>
      <c r="CC64" s="111"/>
      <c r="CD64" s="111"/>
      <c r="CE64" s="111"/>
      <c r="CF64" s="111"/>
      <c r="CG64" s="111"/>
      <c r="CH64" s="111"/>
      <c r="CI64" s="111"/>
      <c r="CJ64" s="111"/>
      <c r="CK64" s="111"/>
      <c r="CL64" s="111"/>
      <c r="CM64" s="111"/>
      <c r="CN64" s="111"/>
      <c r="CO64" s="111"/>
      <c r="CP64" s="111"/>
      <c r="CQ64" s="111"/>
      <c r="CR64" s="111"/>
      <c r="CS64" s="111"/>
      <c r="CT64" s="111"/>
      <c r="CU64" s="111"/>
      <c r="CV64" s="111"/>
      <c r="CW64" s="111"/>
      <c r="CX64" s="111"/>
      <c r="CY64" s="111"/>
      <c r="CZ64" s="111"/>
      <c r="DA64" s="111"/>
      <c r="DB64" s="111"/>
      <c r="DC64" s="111"/>
      <c r="DD64" s="111"/>
      <c r="DE64" s="111"/>
      <c r="DF64" s="111"/>
      <c r="DG64" s="111"/>
      <c r="DH64" s="111"/>
      <c r="DI64" s="111"/>
      <c r="DJ64" s="111"/>
      <c r="DK64" s="111"/>
      <c r="DL64" s="111"/>
      <c r="DM64" s="111"/>
      <c r="DN64" s="111"/>
      <c r="DO64" s="111"/>
      <c r="DP64" s="111"/>
      <c r="DQ64" s="111"/>
      <c r="DR64" s="111"/>
      <c r="DS64" s="111"/>
      <c r="DT64" s="111"/>
      <c r="DU64" s="111"/>
      <c r="DV64" s="111"/>
      <c r="DW64" s="111"/>
      <c r="DX64" s="111"/>
    </row>
    <row r="65" spans="1:128" s="3" customFormat="1" ht="12.75" customHeight="1" x14ac:dyDescent="0.3">
      <c r="F65" s="66"/>
      <c r="G65" s="66"/>
      <c r="H65" s="111"/>
      <c r="I65" s="111"/>
      <c r="J65" s="111"/>
      <c r="K65" s="111"/>
      <c r="L65" s="111"/>
      <c r="M65" s="111"/>
      <c r="N65" s="111"/>
      <c r="O65" s="111"/>
      <c r="P65" s="111"/>
      <c r="Q65" s="111"/>
      <c r="R65" s="111"/>
      <c r="S65" s="111"/>
      <c r="T65" s="111"/>
      <c r="U65" s="111"/>
      <c r="V65" s="111"/>
      <c r="W65" s="111"/>
      <c r="X65" s="111"/>
      <c r="Y65" s="111"/>
      <c r="Z65" s="111"/>
      <c r="AA65" s="111"/>
      <c r="AB65" s="111"/>
      <c r="AC65" s="111"/>
      <c r="AD65" s="111"/>
      <c r="AE65" s="111"/>
      <c r="AF65" s="111"/>
      <c r="AG65" s="111"/>
      <c r="AH65" s="111"/>
      <c r="AI65" s="111"/>
      <c r="AJ65" s="111"/>
      <c r="AK65" s="111"/>
      <c r="AL65" s="111"/>
      <c r="AM65" s="111"/>
      <c r="AN65" s="111"/>
      <c r="AO65" s="111"/>
      <c r="AP65" s="111"/>
      <c r="AQ65" s="111"/>
      <c r="AR65" s="111"/>
      <c r="AS65" s="111"/>
      <c r="AT65" s="111"/>
      <c r="AU65" s="111"/>
      <c r="AV65" s="111"/>
      <c r="AW65" s="111"/>
      <c r="AX65" s="111"/>
      <c r="AY65" s="111"/>
      <c r="AZ65" s="111"/>
      <c r="BA65" s="111"/>
      <c r="BB65" s="111"/>
      <c r="BC65" s="111"/>
      <c r="BD65" s="111"/>
      <c r="BE65" s="111"/>
      <c r="BF65" s="111"/>
      <c r="BG65" s="111"/>
      <c r="BH65" s="111"/>
      <c r="BI65" s="111"/>
      <c r="BJ65" s="111"/>
      <c r="BK65" s="111"/>
      <c r="BL65" s="111"/>
      <c r="BM65" s="111"/>
      <c r="BN65" s="111"/>
      <c r="BO65" s="111"/>
      <c r="BP65" s="111"/>
      <c r="BQ65" s="111"/>
      <c r="BR65" s="111"/>
      <c r="BS65" s="111"/>
      <c r="BT65" s="111"/>
      <c r="BU65" s="111"/>
      <c r="BV65" s="111"/>
      <c r="BW65" s="111"/>
      <c r="BX65" s="111"/>
      <c r="BY65" s="111"/>
      <c r="BZ65" s="111"/>
      <c r="CA65" s="111"/>
      <c r="CB65" s="111"/>
      <c r="CC65" s="111"/>
      <c r="CD65" s="111"/>
      <c r="CE65" s="111"/>
      <c r="CF65" s="111"/>
      <c r="CG65" s="111"/>
      <c r="CH65" s="111"/>
      <c r="CI65" s="111"/>
      <c r="CJ65" s="111"/>
      <c r="CK65" s="111"/>
      <c r="CL65" s="111"/>
      <c r="CM65" s="111"/>
      <c r="CN65" s="111"/>
      <c r="CO65" s="111"/>
      <c r="CP65" s="111"/>
      <c r="CQ65" s="111"/>
      <c r="CR65" s="111"/>
      <c r="CS65" s="111"/>
      <c r="CT65" s="111"/>
      <c r="CU65" s="111"/>
      <c r="CV65" s="111"/>
      <c r="CW65" s="111"/>
      <c r="CX65" s="111"/>
      <c r="CY65" s="111"/>
      <c r="CZ65" s="111"/>
      <c r="DA65" s="111"/>
      <c r="DB65" s="111"/>
      <c r="DC65" s="111"/>
      <c r="DD65" s="111"/>
      <c r="DE65" s="111"/>
      <c r="DF65" s="111"/>
      <c r="DG65" s="111"/>
      <c r="DH65" s="111"/>
      <c r="DI65" s="111"/>
      <c r="DJ65" s="111"/>
      <c r="DK65" s="111"/>
      <c r="DL65" s="111"/>
      <c r="DM65" s="111"/>
      <c r="DN65" s="111"/>
      <c r="DO65" s="111"/>
      <c r="DP65" s="111"/>
      <c r="DQ65" s="111"/>
      <c r="DR65" s="111"/>
      <c r="DS65" s="111"/>
      <c r="DT65" s="111"/>
      <c r="DU65" s="111"/>
      <c r="DV65" s="111"/>
      <c r="DW65" s="111"/>
      <c r="DX65" s="111"/>
    </row>
    <row r="66" spans="1:128" s="3" customFormat="1" ht="12.75" customHeight="1" x14ac:dyDescent="0.3">
      <c r="F66" s="66"/>
      <c r="G66" s="66"/>
      <c r="H66" s="111"/>
      <c r="I66" s="111"/>
      <c r="J66" s="111"/>
      <c r="K66" s="111"/>
      <c r="L66" s="111"/>
      <c r="M66" s="111"/>
      <c r="N66" s="111"/>
      <c r="O66" s="111"/>
      <c r="P66" s="111"/>
      <c r="Q66" s="111"/>
      <c r="R66" s="111"/>
      <c r="S66" s="111"/>
      <c r="T66" s="111"/>
      <c r="U66" s="111"/>
      <c r="V66" s="111"/>
      <c r="W66" s="111"/>
      <c r="X66" s="111"/>
      <c r="Y66" s="111"/>
      <c r="Z66" s="111"/>
      <c r="AA66" s="111"/>
      <c r="AB66" s="111"/>
      <c r="AC66" s="111"/>
      <c r="AD66" s="111"/>
      <c r="AE66" s="111"/>
      <c r="AF66" s="111"/>
      <c r="AG66" s="111"/>
      <c r="AH66" s="111"/>
      <c r="AI66" s="111"/>
      <c r="AJ66" s="111"/>
      <c r="AK66" s="111"/>
      <c r="AL66" s="111"/>
      <c r="AM66" s="111"/>
      <c r="AN66" s="111"/>
      <c r="AO66" s="111"/>
      <c r="AP66" s="111"/>
      <c r="AQ66" s="111"/>
      <c r="AR66" s="111"/>
      <c r="AS66" s="111"/>
      <c r="AT66" s="111"/>
      <c r="AU66" s="111"/>
      <c r="AV66" s="111"/>
      <c r="AW66" s="111"/>
      <c r="AX66" s="111"/>
      <c r="AY66" s="111"/>
      <c r="AZ66" s="111"/>
      <c r="BA66" s="111"/>
      <c r="BB66" s="111"/>
      <c r="BC66" s="111"/>
      <c r="BD66" s="111"/>
      <c r="BE66" s="111"/>
      <c r="BF66" s="111"/>
      <c r="BG66" s="111"/>
      <c r="BH66" s="111"/>
      <c r="BI66" s="111"/>
      <c r="BJ66" s="111"/>
      <c r="BK66" s="111"/>
      <c r="BL66" s="111"/>
      <c r="BM66" s="111"/>
      <c r="BN66" s="111"/>
      <c r="BO66" s="111"/>
      <c r="BP66" s="111"/>
      <c r="BQ66" s="111"/>
      <c r="BR66" s="111"/>
      <c r="BS66" s="111"/>
      <c r="BT66" s="111"/>
      <c r="BU66" s="111"/>
      <c r="BV66" s="111"/>
      <c r="BW66" s="111"/>
      <c r="BX66" s="111"/>
      <c r="BY66" s="111"/>
      <c r="BZ66" s="111"/>
      <c r="CA66" s="111"/>
      <c r="CB66" s="111"/>
      <c r="CC66" s="111"/>
      <c r="CD66" s="111"/>
      <c r="CE66" s="111"/>
      <c r="CF66" s="111"/>
      <c r="CG66" s="111"/>
      <c r="CH66" s="111"/>
      <c r="CI66" s="111"/>
      <c r="CJ66" s="111"/>
      <c r="CK66" s="111"/>
      <c r="CL66" s="111"/>
      <c r="CM66" s="111"/>
      <c r="CN66" s="111"/>
      <c r="CO66" s="111"/>
      <c r="CP66" s="111"/>
      <c r="CQ66" s="111"/>
      <c r="CR66" s="111"/>
      <c r="CS66" s="111"/>
      <c r="CT66" s="111"/>
      <c r="CU66" s="111"/>
      <c r="CV66" s="111"/>
      <c r="CW66" s="111"/>
      <c r="CX66" s="111"/>
      <c r="CY66" s="111"/>
      <c r="CZ66" s="111"/>
      <c r="DA66" s="111"/>
      <c r="DB66" s="111"/>
      <c r="DC66" s="111"/>
      <c r="DD66" s="111"/>
      <c r="DE66" s="111"/>
      <c r="DF66" s="111"/>
      <c r="DG66" s="111"/>
      <c r="DH66" s="111"/>
      <c r="DI66" s="111"/>
      <c r="DJ66" s="111"/>
      <c r="DK66" s="111"/>
      <c r="DL66" s="111"/>
      <c r="DM66" s="111"/>
      <c r="DN66" s="111"/>
      <c r="DO66" s="111"/>
      <c r="DP66" s="111"/>
      <c r="DQ66" s="111"/>
      <c r="DR66" s="111"/>
      <c r="DS66" s="111"/>
      <c r="DT66" s="111"/>
      <c r="DU66" s="111"/>
      <c r="DV66" s="111"/>
      <c r="DW66" s="111"/>
      <c r="DX66" s="111"/>
    </row>
    <row r="67" spans="1:128" s="3" customFormat="1" ht="12.75" customHeight="1" x14ac:dyDescent="0.3">
      <c r="F67" s="66"/>
      <c r="G67" s="66"/>
      <c r="H67" s="111"/>
      <c r="I67" s="111"/>
      <c r="J67" s="111"/>
      <c r="K67" s="111"/>
      <c r="L67" s="111"/>
      <c r="M67" s="111"/>
      <c r="N67" s="111"/>
      <c r="O67" s="111"/>
      <c r="P67" s="111"/>
      <c r="Q67" s="111"/>
      <c r="R67" s="111"/>
      <c r="S67" s="111"/>
      <c r="T67" s="111"/>
      <c r="U67" s="111"/>
      <c r="V67" s="111"/>
      <c r="W67" s="111"/>
      <c r="X67" s="111"/>
      <c r="Y67" s="111"/>
      <c r="Z67" s="111"/>
      <c r="AA67" s="111"/>
      <c r="AB67" s="111"/>
      <c r="AC67" s="111"/>
      <c r="AD67" s="111"/>
      <c r="AE67" s="111"/>
      <c r="AF67" s="111"/>
      <c r="AG67" s="111"/>
      <c r="AH67" s="111"/>
      <c r="AI67" s="111"/>
      <c r="AJ67" s="111"/>
      <c r="AK67" s="111"/>
      <c r="AL67" s="111"/>
      <c r="AM67" s="111"/>
      <c r="AN67" s="111"/>
      <c r="AO67" s="111"/>
      <c r="AP67" s="111"/>
      <c r="AQ67" s="111"/>
      <c r="AR67" s="111"/>
      <c r="AS67" s="111"/>
      <c r="AT67" s="111"/>
      <c r="AU67" s="111"/>
      <c r="AV67" s="111"/>
      <c r="AW67" s="111"/>
      <c r="AX67" s="111"/>
      <c r="AY67" s="111"/>
      <c r="AZ67" s="111"/>
      <c r="BA67" s="111"/>
      <c r="BB67" s="111"/>
      <c r="BC67" s="111"/>
      <c r="BD67" s="111"/>
      <c r="BE67" s="111"/>
      <c r="BF67" s="111"/>
      <c r="BG67" s="111"/>
      <c r="BH67" s="111"/>
      <c r="BI67" s="111"/>
      <c r="BJ67" s="111"/>
      <c r="BK67" s="111"/>
      <c r="BL67" s="111"/>
      <c r="BM67" s="111"/>
      <c r="BN67" s="111"/>
      <c r="BO67" s="111"/>
      <c r="BP67" s="111"/>
      <c r="BQ67" s="111"/>
      <c r="BR67" s="111"/>
      <c r="BS67" s="111"/>
      <c r="BT67" s="111"/>
      <c r="BU67" s="111"/>
      <c r="BV67" s="111"/>
      <c r="BW67" s="111"/>
      <c r="BX67" s="111"/>
      <c r="BY67" s="111"/>
      <c r="BZ67" s="111"/>
      <c r="CA67" s="111"/>
      <c r="CB67" s="111"/>
      <c r="CC67" s="111"/>
      <c r="CD67" s="111"/>
      <c r="CE67" s="111"/>
      <c r="CF67" s="111"/>
      <c r="CG67" s="111"/>
      <c r="CH67" s="111"/>
      <c r="CI67" s="111"/>
      <c r="CJ67" s="111"/>
      <c r="CK67" s="111"/>
      <c r="CL67" s="111"/>
      <c r="CM67" s="111"/>
      <c r="CN67" s="111"/>
      <c r="CO67" s="111"/>
      <c r="CP67" s="111"/>
      <c r="CQ67" s="111"/>
      <c r="CR67" s="111"/>
      <c r="CS67" s="111"/>
      <c r="CT67" s="111"/>
      <c r="CU67" s="111"/>
      <c r="CV67" s="111"/>
      <c r="CW67" s="111"/>
      <c r="CX67" s="111"/>
      <c r="CY67" s="111"/>
      <c r="CZ67" s="111"/>
      <c r="DA67" s="111"/>
      <c r="DB67" s="111"/>
      <c r="DC67" s="111"/>
      <c r="DD67" s="111"/>
      <c r="DE67" s="111"/>
      <c r="DF67" s="111"/>
      <c r="DG67" s="111"/>
      <c r="DH67" s="111"/>
      <c r="DI67" s="111"/>
      <c r="DJ67" s="111"/>
      <c r="DK67" s="111"/>
      <c r="DL67" s="111"/>
      <c r="DM67" s="111"/>
      <c r="DN67" s="111"/>
      <c r="DO67" s="111"/>
      <c r="DP67" s="111"/>
      <c r="DQ67" s="111"/>
      <c r="DR67" s="111"/>
      <c r="DS67" s="111"/>
      <c r="DT67" s="111"/>
      <c r="DU67" s="111"/>
      <c r="DV67" s="111"/>
      <c r="DW67" s="111"/>
      <c r="DX67" s="111"/>
    </row>
    <row r="68" spans="1:128" s="3" customFormat="1" ht="12.75" customHeight="1" x14ac:dyDescent="0.3">
      <c r="F68" s="66"/>
      <c r="G68" s="66"/>
      <c r="H68" s="111"/>
      <c r="I68" s="111"/>
      <c r="J68" s="111"/>
      <c r="K68" s="111"/>
      <c r="L68" s="111"/>
      <c r="M68" s="111"/>
      <c r="N68" s="111"/>
      <c r="O68" s="111"/>
      <c r="P68" s="111"/>
      <c r="Q68" s="111"/>
      <c r="R68" s="111"/>
      <c r="S68" s="111"/>
      <c r="T68" s="111"/>
      <c r="U68" s="111"/>
      <c r="V68" s="111"/>
      <c r="W68" s="111"/>
      <c r="X68" s="111"/>
      <c r="Y68" s="111"/>
      <c r="Z68" s="111"/>
      <c r="AA68" s="111"/>
      <c r="AB68" s="111"/>
      <c r="AC68" s="111"/>
      <c r="AD68" s="111"/>
      <c r="AE68" s="111"/>
      <c r="AF68" s="111"/>
      <c r="AG68" s="111"/>
      <c r="AH68" s="111"/>
      <c r="AI68" s="111"/>
      <c r="AJ68" s="111"/>
      <c r="AK68" s="111"/>
      <c r="AL68" s="111"/>
      <c r="AM68" s="111"/>
      <c r="AN68" s="111"/>
      <c r="AO68" s="111"/>
      <c r="AP68" s="111"/>
      <c r="AQ68" s="111"/>
      <c r="AR68" s="111"/>
      <c r="AS68" s="111"/>
      <c r="AT68" s="111"/>
      <c r="AU68" s="111"/>
      <c r="AV68" s="111"/>
      <c r="AW68" s="111"/>
      <c r="AX68" s="111"/>
      <c r="AY68" s="111"/>
      <c r="AZ68" s="111"/>
      <c r="BA68" s="111"/>
      <c r="BB68" s="111"/>
      <c r="BC68" s="111"/>
      <c r="BD68" s="111"/>
      <c r="BE68" s="111"/>
      <c r="BF68" s="111"/>
      <c r="BG68" s="111"/>
      <c r="BH68" s="111"/>
      <c r="BI68" s="111"/>
      <c r="BJ68" s="111"/>
      <c r="BK68" s="111"/>
      <c r="BL68" s="111"/>
      <c r="BM68" s="111"/>
      <c r="BN68" s="111"/>
      <c r="BO68" s="111"/>
      <c r="BP68" s="111"/>
      <c r="BQ68" s="111"/>
      <c r="BR68" s="111"/>
      <c r="BS68" s="111"/>
      <c r="BT68" s="111"/>
      <c r="BU68" s="111"/>
      <c r="BV68" s="111"/>
      <c r="BW68" s="111"/>
      <c r="BX68" s="111"/>
      <c r="BY68" s="111"/>
      <c r="BZ68" s="111"/>
      <c r="CA68" s="111"/>
      <c r="CB68" s="111"/>
      <c r="CC68" s="111"/>
      <c r="CD68" s="111"/>
      <c r="CE68" s="111"/>
      <c r="CF68" s="111"/>
      <c r="CG68" s="111"/>
      <c r="CH68" s="111"/>
      <c r="CI68" s="111"/>
      <c r="CJ68" s="111"/>
      <c r="CK68" s="111"/>
      <c r="CL68" s="111"/>
      <c r="CM68" s="111"/>
      <c r="CN68" s="111"/>
      <c r="CO68" s="111"/>
      <c r="CP68" s="111"/>
      <c r="CQ68" s="111"/>
      <c r="CR68" s="111"/>
      <c r="CS68" s="111"/>
      <c r="CT68" s="111"/>
      <c r="CU68" s="111"/>
      <c r="CV68" s="111"/>
      <c r="CW68" s="111"/>
      <c r="CX68" s="111"/>
      <c r="CY68" s="111"/>
      <c r="CZ68" s="111"/>
      <c r="DA68" s="111"/>
      <c r="DB68" s="111"/>
      <c r="DC68" s="111"/>
      <c r="DD68" s="111"/>
      <c r="DE68" s="111"/>
      <c r="DF68" s="111"/>
      <c r="DG68" s="111"/>
      <c r="DH68" s="111"/>
      <c r="DI68" s="111"/>
      <c r="DJ68" s="111"/>
      <c r="DK68" s="111"/>
      <c r="DL68" s="111"/>
      <c r="DM68" s="111"/>
      <c r="DN68" s="111"/>
      <c r="DO68" s="111"/>
      <c r="DP68" s="111"/>
      <c r="DQ68" s="111"/>
      <c r="DR68" s="111"/>
      <c r="DS68" s="111"/>
      <c r="DT68" s="111"/>
      <c r="DU68" s="111"/>
      <c r="DV68" s="111"/>
      <c r="DW68" s="111"/>
      <c r="DX68" s="111"/>
    </row>
    <row r="69" spans="1:128" s="3" customFormat="1" ht="12.75" customHeight="1" x14ac:dyDescent="0.3">
      <c r="F69" s="66"/>
      <c r="G69" s="66"/>
      <c r="H69" s="111"/>
      <c r="I69" s="111"/>
      <c r="J69" s="111"/>
      <c r="K69" s="111"/>
      <c r="L69" s="111"/>
      <c r="M69" s="111"/>
      <c r="N69" s="111"/>
      <c r="O69" s="111"/>
      <c r="P69" s="111"/>
      <c r="Q69" s="111"/>
      <c r="R69" s="111"/>
      <c r="S69" s="111"/>
      <c r="T69" s="111"/>
      <c r="U69" s="111"/>
      <c r="V69" s="111"/>
      <c r="W69" s="111"/>
      <c r="X69" s="111"/>
      <c r="Y69" s="111"/>
      <c r="Z69" s="111"/>
      <c r="AA69" s="111"/>
      <c r="AB69" s="111"/>
      <c r="AC69" s="111"/>
      <c r="AD69" s="111"/>
      <c r="AE69" s="111"/>
      <c r="AF69" s="111"/>
      <c r="AG69" s="111"/>
      <c r="AH69" s="111"/>
      <c r="AI69" s="111"/>
      <c r="AJ69" s="111"/>
      <c r="AK69" s="111"/>
      <c r="AL69" s="111"/>
      <c r="AM69" s="111"/>
      <c r="AN69" s="111"/>
      <c r="AO69" s="111"/>
      <c r="AP69" s="111"/>
      <c r="AQ69" s="111"/>
      <c r="AR69" s="111"/>
      <c r="AS69" s="111"/>
      <c r="AT69" s="111"/>
      <c r="AU69" s="111"/>
      <c r="AV69" s="111"/>
      <c r="AW69" s="111"/>
      <c r="AX69" s="111"/>
      <c r="AY69" s="111"/>
      <c r="AZ69" s="111"/>
      <c r="BA69" s="111"/>
      <c r="BB69" s="111"/>
      <c r="BC69" s="111"/>
      <c r="BD69" s="111"/>
      <c r="BE69" s="111"/>
      <c r="BF69" s="111"/>
      <c r="BG69" s="111"/>
      <c r="BH69" s="111"/>
      <c r="BI69" s="111"/>
      <c r="BJ69" s="111"/>
      <c r="BK69" s="111"/>
      <c r="BL69" s="111"/>
      <c r="BM69" s="111"/>
      <c r="BN69" s="111"/>
      <c r="BO69" s="111"/>
      <c r="BP69" s="111"/>
      <c r="BQ69" s="111"/>
      <c r="BR69" s="111"/>
      <c r="BS69" s="111"/>
      <c r="BT69" s="111"/>
      <c r="BU69" s="111"/>
      <c r="BV69" s="111"/>
      <c r="BW69" s="111"/>
      <c r="BX69" s="111"/>
      <c r="BY69" s="111"/>
      <c r="BZ69" s="111"/>
      <c r="CA69" s="111"/>
      <c r="CB69" s="111"/>
      <c r="CC69" s="111"/>
      <c r="CD69" s="111"/>
      <c r="CE69" s="111"/>
      <c r="CF69" s="111"/>
      <c r="CG69" s="111"/>
      <c r="CH69" s="111"/>
      <c r="CI69" s="111"/>
      <c r="CJ69" s="111"/>
      <c r="CK69" s="111"/>
      <c r="CL69" s="111"/>
      <c r="CM69" s="111"/>
      <c r="CN69" s="111"/>
      <c r="CO69" s="111"/>
      <c r="CP69" s="111"/>
      <c r="CQ69" s="111"/>
      <c r="CR69" s="111"/>
      <c r="CS69" s="111"/>
      <c r="CT69" s="111"/>
      <c r="CU69" s="111"/>
      <c r="CV69" s="111"/>
      <c r="CW69" s="111"/>
      <c r="CX69" s="111"/>
      <c r="CY69" s="111"/>
      <c r="CZ69" s="111"/>
      <c r="DA69" s="111"/>
      <c r="DB69" s="111"/>
      <c r="DC69" s="111"/>
      <c r="DD69" s="111"/>
      <c r="DE69" s="111"/>
      <c r="DF69" s="111"/>
      <c r="DG69" s="111"/>
      <c r="DH69" s="111"/>
      <c r="DI69" s="111"/>
      <c r="DJ69" s="111"/>
      <c r="DK69" s="111"/>
      <c r="DL69" s="111"/>
      <c r="DM69" s="111"/>
      <c r="DN69" s="111"/>
      <c r="DO69" s="111"/>
      <c r="DP69" s="111"/>
      <c r="DQ69" s="111"/>
      <c r="DR69" s="111"/>
      <c r="DS69" s="111"/>
      <c r="DT69" s="111"/>
      <c r="DU69" s="111"/>
      <c r="DV69" s="111"/>
      <c r="DW69" s="111"/>
      <c r="DX69" s="111"/>
    </row>
    <row r="70" spans="1:128" s="3" customFormat="1" ht="12.75" customHeight="1" x14ac:dyDescent="0.3">
      <c r="F70" s="66"/>
      <c r="G70" s="66"/>
      <c r="H70" s="111"/>
      <c r="I70" s="111"/>
      <c r="J70" s="111"/>
      <c r="K70" s="111"/>
      <c r="L70" s="111"/>
      <c r="M70" s="111"/>
      <c r="N70" s="111"/>
      <c r="O70" s="111"/>
      <c r="P70" s="111"/>
      <c r="Q70" s="111"/>
      <c r="R70" s="111"/>
      <c r="S70" s="111"/>
      <c r="T70" s="111"/>
      <c r="U70" s="111"/>
      <c r="V70" s="111"/>
      <c r="W70" s="111"/>
      <c r="X70" s="111"/>
      <c r="Y70" s="111"/>
      <c r="Z70" s="111"/>
      <c r="AA70" s="111"/>
      <c r="AB70" s="111"/>
      <c r="AC70" s="111"/>
      <c r="AD70" s="111"/>
      <c r="AE70" s="111"/>
      <c r="AF70" s="111"/>
      <c r="AG70" s="111"/>
      <c r="AH70" s="111"/>
      <c r="AI70" s="111"/>
      <c r="AJ70" s="111"/>
      <c r="AK70" s="111"/>
      <c r="AL70" s="111"/>
      <c r="AM70" s="111"/>
      <c r="AN70" s="111"/>
      <c r="AO70" s="111"/>
      <c r="AP70" s="111"/>
      <c r="AQ70" s="111"/>
      <c r="AR70" s="111"/>
      <c r="AS70" s="111"/>
      <c r="AT70" s="111"/>
      <c r="AU70" s="111"/>
      <c r="AV70" s="111"/>
      <c r="AW70" s="111"/>
      <c r="AX70" s="111"/>
      <c r="AY70" s="111"/>
      <c r="AZ70" s="111"/>
      <c r="BA70" s="111"/>
      <c r="BB70" s="111"/>
      <c r="BC70" s="111"/>
      <c r="BD70" s="111"/>
      <c r="BE70" s="111"/>
      <c r="BF70" s="111"/>
      <c r="BG70" s="111"/>
      <c r="BH70" s="111"/>
      <c r="BI70" s="111"/>
      <c r="BJ70" s="111"/>
      <c r="BK70" s="111"/>
      <c r="BL70" s="111"/>
      <c r="BM70" s="111"/>
      <c r="BN70" s="111"/>
      <c r="BO70" s="111"/>
      <c r="BP70" s="111"/>
      <c r="BQ70" s="111"/>
      <c r="BR70" s="111"/>
      <c r="BS70" s="111"/>
      <c r="BT70" s="111"/>
      <c r="BU70" s="111"/>
      <c r="BV70" s="111"/>
      <c r="BW70" s="111"/>
      <c r="BX70" s="111"/>
      <c r="BY70" s="111"/>
      <c r="BZ70" s="111"/>
      <c r="CA70" s="111"/>
      <c r="CB70" s="111"/>
      <c r="CC70" s="111"/>
      <c r="CD70" s="111"/>
      <c r="CE70" s="111"/>
      <c r="CF70" s="111"/>
      <c r="CG70" s="111"/>
      <c r="CH70" s="111"/>
      <c r="CI70" s="111"/>
      <c r="CJ70" s="111"/>
      <c r="CK70" s="111"/>
      <c r="CL70" s="111"/>
      <c r="CM70" s="111"/>
      <c r="CN70" s="111"/>
      <c r="CO70" s="111"/>
      <c r="CP70" s="111"/>
      <c r="CQ70" s="111"/>
      <c r="CR70" s="111"/>
      <c r="CS70" s="111"/>
      <c r="CT70" s="111"/>
      <c r="CU70" s="111"/>
      <c r="CV70" s="111"/>
      <c r="CW70" s="111"/>
      <c r="CX70" s="111"/>
      <c r="CY70" s="111"/>
      <c r="CZ70" s="111"/>
      <c r="DA70" s="111"/>
      <c r="DB70" s="111"/>
      <c r="DC70" s="111"/>
      <c r="DD70" s="111"/>
      <c r="DE70" s="111"/>
      <c r="DF70" s="111"/>
      <c r="DG70" s="111"/>
      <c r="DH70" s="111"/>
      <c r="DI70" s="111"/>
      <c r="DJ70" s="111"/>
      <c r="DK70" s="111"/>
      <c r="DL70" s="111"/>
      <c r="DM70" s="111"/>
      <c r="DN70" s="111"/>
      <c r="DO70" s="111"/>
      <c r="DP70" s="111"/>
      <c r="DQ70" s="111"/>
      <c r="DR70" s="111"/>
      <c r="DS70" s="111"/>
      <c r="DT70" s="111"/>
      <c r="DU70" s="111"/>
      <c r="DV70" s="111"/>
      <c r="DW70" s="111"/>
      <c r="DX70" s="111"/>
    </row>
    <row r="71" spans="1:128" s="3" customFormat="1" ht="12.75" customHeight="1" x14ac:dyDescent="0.3">
      <c r="A71" s="13"/>
      <c r="F71" s="66"/>
      <c r="G71" s="66"/>
      <c r="H71" s="111"/>
      <c r="I71" s="111"/>
      <c r="J71" s="111"/>
      <c r="K71" s="111"/>
      <c r="L71" s="111"/>
      <c r="M71" s="111"/>
      <c r="N71" s="111"/>
      <c r="O71" s="111"/>
      <c r="P71" s="111"/>
      <c r="Q71" s="111"/>
      <c r="R71" s="111"/>
      <c r="S71" s="111"/>
      <c r="T71" s="111"/>
      <c r="U71" s="111"/>
      <c r="V71" s="111"/>
      <c r="W71" s="111"/>
      <c r="X71" s="111"/>
      <c r="Y71" s="111"/>
      <c r="Z71" s="111"/>
      <c r="AA71" s="111"/>
      <c r="AB71" s="111"/>
      <c r="AC71" s="111"/>
      <c r="AD71" s="111"/>
      <c r="AE71" s="111"/>
      <c r="AF71" s="111"/>
      <c r="AG71" s="111"/>
      <c r="AH71" s="111"/>
      <c r="AI71" s="111"/>
      <c r="AJ71" s="111"/>
      <c r="AK71" s="111"/>
      <c r="AL71" s="111"/>
      <c r="AM71" s="111"/>
      <c r="AN71" s="111"/>
      <c r="AO71" s="111"/>
      <c r="AP71" s="111"/>
      <c r="AQ71" s="111"/>
      <c r="AR71" s="111"/>
      <c r="AS71" s="111"/>
      <c r="AT71" s="111"/>
      <c r="AU71" s="111"/>
      <c r="AV71" s="111"/>
      <c r="AW71" s="111"/>
      <c r="AX71" s="111"/>
      <c r="AY71" s="111"/>
      <c r="AZ71" s="111"/>
      <c r="BA71" s="111"/>
      <c r="BB71" s="111"/>
      <c r="BC71" s="111"/>
      <c r="BD71" s="111"/>
      <c r="BE71" s="111"/>
      <c r="BF71" s="111"/>
      <c r="BG71" s="111"/>
      <c r="BH71" s="111"/>
      <c r="BI71" s="111"/>
      <c r="BJ71" s="111"/>
      <c r="BK71" s="111"/>
      <c r="BL71" s="111"/>
      <c r="BM71" s="111"/>
      <c r="BN71" s="111"/>
      <c r="BO71" s="111"/>
      <c r="BP71" s="111"/>
      <c r="BQ71" s="111"/>
      <c r="BR71" s="111"/>
      <c r="BS71" s="111"/>
      <c r="BT71" s="111"/>
      <c r="BU71" s="111"/>
      <c r="BV71" s="111"/>
      <c r="BW71" s="111"/>
      <c r="BX71" s="111"/>
      <c r="BY71" s="111"/>
      <c r="BZ71" s="111"/>
      <c r="CA71" s="111"/>
      <c r="CB71" s="111"/>
      <c r="CC71" s="111"/>
      <c r="CD71" s="111"/>
      <c r="CE71" s="111"/>
      <c r="CF71" s="111"/>
      <c r="CG71" s="111"/>
      <c r="CH71" s="111"/>
      <c r="CI71" s="111"/>
      <c r="CJ71" s="111"/>
      <c r="CK71" s="111"/>
      <c r="CL71" s="111"/>
      <c r="CM71" s="111"/>
      <c r="CN71" s="111"/>
      <c r="CO71" s="111"/>
      <c r="CP71" s="111"/>
      <c r="CQ71" s="111"/>
      <c r="CR71" s="111"/>
      <c r="CS71" s="111"/>
      <c r="CT71" s="111"/>
      <c r="CU71" s="111"/>
      <c r="CV71" s="111"/>
      <c r="CW71" s="111"/>
      <c r="CX71" s="111"/>
      <c r="CY71" s="111"/>
      <c r="CZ71" s="111"/>
      <c r="DA71" s="111"/>
      <c r="DB71" s="111"/>
      <c r="DC71" s="111"/>
      <c r="DD71" s="111"/>
      <c r="DE71" s="111"/>
      <c r="DF71" s="111"/>
      <c r="DG71" s="111"/>
      <c r="DH71" s="111"/>
      <c r="DI71" s="111"/>
      <c r="DJ71" s="111"/>
      <c r="DK71" s="111"/>
      <c r="DL71" s="111"/>
      <c r="DM71" s="111"/>
      <c r="DN71" s="111"/>
      <c r="DO71" s="111"/>
      <c r="DP71" s="111"/>
      <c r="DQ71" s="111"/>
      <c r="DR71" s="111"/>
      <c r="DS71" s="111"/>
      <c r="DT71" s="111"/>
      <c r="DU71" s="111"/>
      <c r="DV71" s="111"/>
      <c r="DW71" s="111"/>
      <c r="DX71" s="111"/>
    </row>
    <row r="72" spans="1:128" s="3" customFormat="1" ht="12.75" customHeight="1" x14ac:dyDescent="0.3">
      <c r="A72" s="83"/>
      <c r="F72" s="66"/>
      <c r="G72" s="66"/>
      <c r="H72" s="111"/>
      <c r="I72" s="111"/>
      <c r="J72" s="111"/>
      <c r="K72" s="111"/>
      <c r="L72" s="111"/>
      <c r="M72" s="111"/>
      <c r="N72" s="111"/>
      <c r="O72" s="111"/>
      <c r="P72" s="111"/>
      <c r="Q72" s="111"/>
      <c r="R72" s="111"/>
      <c r="S72" s="111"/>
      <c r="T72" s="111"/>
      <c r="U72" s="111"/>
      <c r="V72" s="111"/>
      <c r="W72" s="111"/>
      <c r="X72" s="111"/>
      <c r="Y72" s="111"/>
      <c r="Z72" s="111"/>
      <c r="AA72" s="111"/>
      <c r="AB72" s="111"/>
      <c r="AC72" s="111"/>
      <c r="AD72" s="111"/>
      <c r="AE72" s="111"/>
      <c r="AF72" s="111"/>
      <c r="AG72" s="111"/>
      <c r="AH72" s="111"/>
      <c r="AI72" s="111"/>
      <c r="AJ72" s="111"/>
      <c r="AK72" s="111"/>
      <c r="AL72" s="111"/>
      <c r="AM72" s="111"/>
      <c r="AN72" s="111"/>
      <c r="AO72" s="111"/>
      <c r="AP72" s="111"/>
      <c r="AQ72" s="111"/>
      <c r="AR72" s="111"/>
      <c r="AS72" s="111"/>
      <c r="AT72" s="111"/>
      <c r="AU72" s="111"/>
      <c r="AV72" s="111"/>
      <c r="AW72" s="111"/>
      <c r="AX72" s="111"/>
      <c r="AY72" s="111"/>
      <c r="AZ72" s="111"/>
      <c r="BA72" s="111"/>
      <c r="BB72" s="111"/>
      <c r="BC72" s="111"/>
      <c r="BD72" s="111"/>
      <c r="BE72" s="111"/>
      <c r="BF72" s="111"/>
      <c r="BG72" s="111"/>
      <c r="BH72" s="111"/>
      <c r="BI72" s="111"/>
      <c r="BJ72" s="111"/>
      <c r="BK72" s="111"/>
      <c r="BL72" s="111"/>
      <c r="BM72" s="111"/>
      <c r="BN72" s="111"/>
      <c r="BO72" s="111"/>
      <c r="BP72" s="111"/>
      <c r="BQ72" s="111"/>
      <c r="BR72" s="111"/>
      <c r="BS72" s="111"/>
      <c r="BT72" s="111"/>
      <c r="BU72" s="111"/>
      <c r="BV72" s="111"/>
      <c r="BW72" s="111"/>
      <c r="BX72" s="111"/>
      <c r="BY72" s="111"/>
      <c r="BZ72" s="111"/>
      <c r="CA72" s="111"/>
      <c r="CB72" s="111"/>
      <c r="CC72" s="111"/>
      <c r="CD72" s="111"/>
      <c r="CE72" s="111"/>
      <c r="CF72" s="111"/>
      <c r="CG72" s="111"/>
      <c r="CH72" s="111"/>
      <c r="CI72" s="111"/>
      <c r="CJ72" s="111"/>
      <c r="CK72" s="111"/>
      <c r="CL72" s="111"/>
      <c r="CM72" s="111"/>
      <c r="CN72" s="111"/>
      <c r="CO72" s="111"/>
      <c r="CP72" s="111"/>
      <c r="CQ72" s="111"/>
      <c r="CR72" s="111"/>
      <c r="CS72" s="111"/>
      <c r="CT72" s="111"/>
      <c r="CU72" s="111"/>
      <c r="CV72" s="111"/>
      <c r="CW72" s="111"/>
      <c r="CX72" s="111"/>
      <c r="CY72" s="111"/>
      <c r="CZ72" s="111"/>
      <c r="DA72" s="111"/>
      <c r="DB72" s="111"/>
      <c r="DC72" s="111"/>
      <c r="DD72" s="111"/>
      <c r="DE72" s="111"/>
      <c r="DF72" s="111"/>
      <c r="DG72" s="111"/>
      <c r="DH72" s="111"/>
      <c r="DI72" s="111"/>
      <c r="DJ72" s="111"/>
      <c r="DK72" s="111"/>
      <c r="DL72" s="111"/>
      <c r="DM72" s="111"/>
      <c r="DN72" s="111"/>
      <c r="DO72" s="111"/>
      <c r="DP72" s="111"/>
      <c r="DQ72" s="111"/>
      <c r="DR72" s="111"/>
      <c r="DS72" s="111"/>
      <c r="DT72" s="111"/>
      <c r="DU72" s="111"/>
      <c r="DV72" s="111"/>
      <c r="DW72" s="111"/>
      <c r="DX72" s="111"/>
    </row>
    <row r="73" spans="1:128" s="3" customFormat="1" ht="12.75" customHeight="1" x14ac:dyDescent="0.3">
      <c r="A73" s="85"/>
      <c r="F73" s="66"/>
      <c r="G73" s="66"/>
      <c r="H73" s="111"/>
      <c r="I73" s="111"/>
      <c r="J73" s="111"/>
      <c r="K73" s="111"/>
      <c r="L73" s="111"/>
      <c r="M73" s="111"/>
      <c r="N73" s="111"/>
      <c r="O73" s="111"/>
      <c r="P73" s="111"/>
      <c r="Q73" s="111"/>
      <c r="R73" s="111"/>
      <c r="S73" s="111"/>
      <c r="T73" s="111"/>
      <c r="U73" s="111"/>
      <c r="V73" s="111"/>
      <c r="W73" s="111"/>
      <c r="X73" s="111"/>
      <c r="Y73" s="111"/>
      <c r="Z73" s="111"/>
      <c r="AA73" s="111"/>
      <c r="AB73" s="111"/>
      <c r="AC73" s="111"/>
      <c r="AD73" s="111"/>
      <c r="AE73" s="111"/>
      <c r="AF73" s="111"/>
      <c r="AG73" s="111"/>
      <c r="AH73" s="111"/>
      <c r="AI73" s="111"/>
      <c r="AJ73" s="111"/>
      <c r="AK73" s="111"/>
      <c r="AL73" s="111"/>
      <c r="AM73" s="111"/>
      <c r="AN73" s="111"/>
      <c r="AO73" s="111"/>
      <c r="AP73" s="111"/>
      <c r="AQ73" s="111"/>
      <c r="AR73" s="111"/>
      <c r="AS73" s="111"/>
      <c r="AT73" s="111"/>
      <c r="AU73" s="111"/>
      <c r="AV73" s="111"/>
      <c r="AW73" s="111"/>
      <c r="AX73" s="111"/>
      <c r="AY73" s="111"/>
      <c r="AZ73" s="111"/>
      <c r="BA73" s="111"/>
      <c r="BB73" s="111"/>
      <c r="BC73" s="111"/>
      <c r="BD73" s="111"/>
      <c r="BE73" s="111"/>
      <c r="BF73" s="111"/>
      <c r="BG73" s="111"/>
      <c r="BH73" s="111"/>
      <c r="BI73" s="111"/>
      <c r="BJ73" s="111"/>
      <c r="BK73" s="111"/>
      <c r="BL73" s="111"/>
      <c r="BM73" s="111"/>
      <c r="BN73" s="111"/>
      <c r="BO73" s="111"/>
      <c r="BP73" s="111"/>
      <c r="BQ73" s="111"/>
      <c r="BR73" s="111"/>
      <c r="BS73" s="111"/>
      <c r="BT73" s="111"/>
      <c r="BU73" s="111"/>
      <c r="BV73" s="111"/>
      <c r="BW73" s="111"/>
      <c r="BX73" s="111"/>
      <c r="BY73" s="111"/>
      <c r="BZ73" s="111"/>
      <c r="CA73" s="111"/>
      <c r="CB73" s="111"/>
      <c r="CC73" s="111"/>
      <c r="CD73" s="111"/>
      <c r="CE73" s="111"/>
      <c r="CF73" s="111"/>
      <c r="CG73" s="111"/>
      <c r="CH73" s="111"/>
      <c r="CI73" s="111"/>
      <c r="CJ73" s="111"/>
      <c r="CK73" s="111"/>
      <c r="CL73" s="111"/>
      <c r="CM73" s="111"/>
      <c r="CN73" s="111"/>
      <c r="CO73" s="111"/>
      <c r="CP73" s="111"/>
      <c r="CQ73" s="111"/>
      <c r="CR73" s="111"/>
      <c r="CS73" s="111"/>
      <c r="CT73" s="111"/>
      <c r="CU73" s="111"/>
      <c r="CV73" s="111"/>
      <c r="CW73" s="111"/>
      <c r="CX73" s="111"/>
      <c r="CY73" s="111"/>
      <c r="CZ73" s="111"/>
      <c r="DA73" s="111"/>
      <c r="DB73" s="111"/>
      <c r="DC73" s="111"/>
      <c r="DD73" s="111"/>
      <c r="DE73" s="111"/>
      <c r="DF73" s="111"/>
      <c r="DG73" s="111"/>
      <c r="DH73" s="111"/>
      <c r="DI73" s="111"/>
      <c r="DJ73" s="111"/>
      <c r="DK73" s="111"/>
      <c r="DL73" s="111"/>
      <c r="DM73" s="111"/>
      <c r="DN73" s="111"/>
      <c r="DO73" s="111"/>
      <c r="DP73" s="111"/>
      <c r="DQ73" s="111"/>
      <c r="DR73" s="111"/>
      <c r="DS73" s="111"/>
      <c r="DT73" s="111"/>
      <c r="DU73" s="111"/>
      <c r="DV73" s="111"/>
      <c r="DW73" s="111"/>
      <c r="DX73" s="111"/>
    </row>
    <row r="74" spans="1:128" s="3" customFormat="1" ht="12.75" customHeight="1" x14ac:dyDescent="0.3">
      <c r="A74" s="85"/>
      <c r="F74" s="66"/>
      <c r="G74" s="66"/>
      <c r="H74" s="111"/>
      <c r="I74" s="111"/>
      <c r="J74" s="111"/>
      <c r="K74" s="111"/>
      <c r="L74" s="111"/>
      <c r="M74" s="111"/>
      <c r="N74" s="111"/>
      <c r="O74" s="111"/>
      <c r="P74" s="111"/>
      <c r="Q74" s="111"/>
      <c r="R74" s="111"/>
      <c r="S74" s="111"/>
      <c r="T74" s="111"/>
      <c r="U74" s="111"/>
      <c r="V74" s="111"/>
      <c r="W74" s="111"/>
      <c r="X74" s="111"/>
      <c r="Y74" s="111"/>
      <c r="Z74" s="111"/>
      <c r="AA74" s="111"/>
      <c r="AB74" s="111"/>
      <c r="AC74" s="111"/>
      <c r="AD74" s="111"/>
      <c r="AE74" s="111"/>
      <c r="AF74" s="111"/>
      <c r="AG74" s="111"/>
      <c r="AH74" s="111"/>
      <c r="AI74" s="111"/>
      <c r="AJ74" s="111"/>
      <c r="AK74" s="111"/>
      <c r="AL74" s="111"/>
      <c r="AM74" s="111"/>
      <c r="AN74" s="111"/>
      <c r="AO74" s="111"/>
      <c r="AP74" s="111"/>
      <c r="AQ74" s="111"/>
      <c r="AR74" s="111"/>
      <c r="AS74" s="111"/>
      <c r="AT74" s="111"/>
      <c r="AU74" s="111"/>
      <c r="AV74" s="111"/>
      <c r="AW74" s="111"/>
      <c r="AX74" s="111"/>
      <c r="AY74" s="111"/>
      <c r="AZ74" s="111"/>
      <c r="BA74" s="111"/>
      <c r="BB74" s="111"/>
      <c r="BC74" s="111"/>
      <c r="BD74" s="111"/>
      <c r="BE74" s="111"/>
      <c r="BF74" s="111"/>
      <c r="BG74" s="111"/>
      <c r="BH74" s="111"/>
      <c r="BI74" s="111"/>
      <c r="BJ74" s="111"/>
      <c r="BK74" s="111"/>
      <c r="BL74" s="111"/>
      <c r="BM74" s="111"/>
      <c r="BN74" s="111"/>
      <c r="BO74" s="111"/>
      <c r="BP74" s="111"/>
      <c r="BQ74" s="111"/>
      <c r="BR74" s="111"/>
      <c r="BS74" s="111"/>
      <c r="BT74" s="111"/>
      <c r="BU74" s="111"/>
      <c r="BV74" s="111"/>
      <c r="BW74" s="111"/>
      <c r="BX74" s="111"/>
      <c r="BY74" s="111"/>
      <c r="BZ74" s="111"/>
      <c r="CA74" s="111"/>
      <c r="CB74" s="111"/>
      <c r="CC74" s="111"/>
      <c r="CD74" s="111"/>
      <c r="CE74" s="111"/>
      <c r="CF74" s="111"/>
      <c r="CG74" s="111"/>
      <c r="CH74" s="111"/>
      <c r="CI74" s="111"/>
      <c r="CJ74" s="111"/>
      <c r="CK74" s="111"/>
      <c r="CL74" s="111"/>
      <c r="CM74" s="111"/>
      <c r="CN74" s="111"/>
      <c r="CO74" s="111"/>
      <c r="CP74" s="111"/>
      <c r="CQ74" s="111"/>
      <c r="CR74" s="111"/>
      <c r="CS74" s="111"/>
      <c r="CT74" s="111"/>
      <c r="CU74" s="111"/>
      <c r="CV74" s="111"/>
      <c r="CW74" s="111"/>
      <c r="CX74" s="111"/>
      <c r="CY74" s="111"/>
      <c r="CZ74" s="111"/>
      <c r="DA74" s="111"/>
      <c r="DB74" s="111"/>
      <c r="DC74" s="111"/>
      <c r="DD74" s="111"/>
      <c r="DE74" s="111"/>
      <c r="DF74" s="111"/>
      <c r="DG74" s="111"/>
      <c r="DH74" s="111"/>
      <c r="DI74" s="111"/>
      <c r="DJ74" s="111"/>
      <c r="DK74" s="111"/>
      <c r="DL74" s="111"/>
      <c r="DM74" s="111"/>
      <c r="DN74" s="111"/>
      <c r="DO74" s="111"/>
      <c r="DP74" s="111"/>
      <c r="DQ74" s="111"/>
      <c r="DR74" s="111"/>
      <c r="DS74" s="111"/>
      <c r="DT74" s="111"/>
      <c r="DU74" s="111"/>
      <c r="DV74" s="111"/>
      <c r="DW74" s="111"/>
      <c r="DX74" s="111"/>
    </row>
    <row r="75" spans="1:128" s="3" customFormat="1" ht="12.75" customHeight="1" x14ac:dyDescent="0.3">
      <c r="A75" s="85"/>
      <c r="F75" s="66"/>
      <c r="G75" s="66"/>
      <c r="H75" s="111"/>
      <c r="I75" s="111"/>
      <c r="J75" s="111"/>
      <c r="K75" s="111"/>
      <c r="L75" s="111"/>
      <c r="M75" s="111"/>
      <c r="N75" s="111"/>
      <c r="O75" s="111"/>
      <c r="P75" s="111"/>
      <c r="Q75" s="111"/>
      <c r="R75" s="111"/>
      <c r="S75" s="111"/>
      <c r="T75" s="111"/>
      <c r="U75" s="111"/>
      <c r="V75" s="111"/>
      <c r="W75" s="111"/>
      <c r="X75" s="111"/>
      <c r="Y75" s="111"/>
      <c r="Z75" s="111"/>
      <c r="AA75" s="111"/>
      <c r="AB75" s="111"/>
      <c r="AC75" s="111"/>
      <c r="AD75" s="111"/>
      <c r="AE75" s="111"/>
      <c r="AF75" s="111"/>
      <c r="AG75" s="111"/>
      <c r="AH75" s="111"/>
      <c r="AI75" s="111"/>
      <c r="AJ75" s="111"/>
      <c r="AK75" s="111"/>
      <c r="AL75" s="111"/>
      <c r="AM75" s="111"/>
      <c r="AN75" s="111"/>
      <c r="AO75" s="111"/>
      <c r="AP75" s="111"/>
      <c r="AQ75" s="111"/>
      <c r="AR75" s="111"/>
      <c r="AS75" s="111"/>
      <c r="AT75" s="111"/>
      <c r="AU75" s="111"/>
      <c r="AV75" s="111"/>
      <c r="AW75" s="111"/>
      <c r="AX75" s="111"/>
      <c r="AY75" s="111"/>
      <c r="AZ75" s="111"/>
      <c r="BA75" s="111"/>
      <c r="BB75" s="111"/>
      <c r="BC75" s="111"/>
      <c r="BD75" s="111"/>
      <c r="BE75" s="111"/>
      <c r="BF75" s="111"/>
      <c r="BG75" s="111"/>
      <c r="BH75" s="111"/>
      <c r="BI75" s="111"/>
      <c r="BJ75" s="111"/>
      <c r="BK75" s="111"/>
      <c r="BL75" s="111"/>
      <c r="BM75" s="111"/>
      <c r="BN75" s="111"/>
      <c r="BO75" s="111"/>
      <c r="BP75" s="111"/>
      <c r="BQ75" s="111"/>
      <c r="BR75" s="111"/>
      <c r="BS75" s="111"/>
      <c r="BT75" s="111"/>
      <c r="BU75" s="111"/>
      <c r="BV75" s="111"/>
      <c r="BW75" s="111"/>
      <c r="BX75" s="111"/>
      <c r="BY75" s="111"/>
      <c r="BZ75" s="111"/>
      <c r="CA75" s="111"/>
      <c r="CB75" s="111"/>
      <c r="CC75" s="111"/>
      <c r="CD75" s="111"/>
      <c r="CE75" s="111"/>
      <c r="CF75" s="111"/>
      <c r="CG75" s="111"/>
      <c r="CH75" s="111"/>
      <c r="CI75" s="111"/>
      <c r="CJ75" s="111"/>
      <c r="CK75" s="111"/>
      <c r="CL75" s="111"/>
      <c r="CM75" s="111"/>
      <c r="CN75" s="111"/>
      <c r="CO75" s="111"/>
      <c r="CP75" s="111"/>
      <c r="CQ75" s="111"/>
      <c r="CR75" s="111"/>
      <c r="CS75" s="111"/>
      <c r="CT75" s="111"/>
      <c r="CU75" s="111"/>
      <c r="CV75" s="111"/>
      <c r="CW75" s="111"/>
      <c r="CX75" s="111"/>
      <c r="CY75" s="111"/>
      <c r="CZ75" s="111"/>
      <c r="DA75" s="111"/>
      <c r="DB75" s="111"/>
      <c r="DC75" s="111"/>
      <c r="DD75" s="111"/>
      <c r="DE75" s="111"/>
      <c r="DF75" s="111"/>
      <c r="DG75" s="111"/>
      <c r="DH75" s="111"/>
      <c r="DI75" s="111"/>
      <c r="DJ75" s="111"/>
      <c r="DK75" s="111"/>
      <c r="DL75" s="111"/>
      <c r="DM75" s="111"/>
      <c r="DN75" s="111"/>
      <c r="DO75" s="111"/>
      <c r="DP75" s="111"/>
      <c r="DQ75" s="111"/>
      <c r="DR75" s="111"/>
      <c r="DS75" s="111"/>
      <c r="DT75" s="111"/>
      <c r="DU75" s="111"/>
      <c r="DV75" s="111"/>
      <c r="DW75" s="111"/>
      <c r="DX75" s="111"/>
    </row>
    <row r="76" spans="1:128" s="3" customFormat="1" ht="12.75" customHeight="1" x14ac:dyDescent="0.3">
      <c r="A76" s="85"/>
      <c r="F76" s="66"/>
      <c r="G76" s="66"/>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c r="AH76" s="111"/>
      <c r="AI76" s="111"/>
      <c r="AJ76" s="111"/>
      <c r="AK76" s="111"/>
      <c r="AL76" s="111"/>
      <c r="AM76" s="111"/>
      <c r="AN76" s="111"/>
      <c r="AO76" s="111"/>
      <c r="AP76" s="111"/>
      <c r="AQ76" s="111"/>
      <c r="AR76" s="111"/>
      <c r="AS76" s="111"/>
      <c r="AT76" s="111"/>
      <c r="AU76" s="111"/>
      <c r="AV76" s="111"/>
      <c r="AW76" s="111"/>
      <c r="AX76" s="111"/>
      <c r="AY76" s="111"/>
      <c r="AZ76" s="111"/>
      <c r="BA76" s="111"/>
      <c r="BB76" s="111"/>
      <c r="BC76" s="111"/>
      <c r="BD76" s="111"/>
      <c r="BE76" s="111"/>
      <c r="BF76" s="111"/>
      <c r="BG76" s="111"/>
      <c r="BH76" s="111"/>
      <c r="BI76" s="111"/>
      <c r="BJ76" s="111"/>
      <c r="BK76" s="111"/>
      <c r="BL76" s="111"/>
      <c r="BM76" s="111"/>
      <c r="BN76" s="111"/>
      <c r="BO76" s="111"/>
      <c r="BP76" s="111"/>
      <c r="BQ76" s="111"/>
      <c r="BR76" s="111"/>
      <c r="BS76" s="111"/>
      <c r="BT76" s="111"/>
      <c r="BU76" s="111"/>
      <c r="BV76" s="111"/>
      <c r="BW76" s="111"/>
      <c r="BX76" s="111"/>
      <c r="BY76" s="111"/>
      <c r="BZ76" s="111"/>
      <c r="CA76" s="111"/>
      <c r="CB76" s="111"/>
      <c r="CC76" s="111"/>
      <c r="CD76" s="111"/>
      <c r="CE76" s="111"/>
      <c r="CF76" s="111"/>
      <c r="CG76" s="111"/>
      <c r="CH76" s="111"/>
      <c r="CI76" s="111"/>
      <c r="CJ76" s="111"/>
      <c r="CK76" s="111"/>
      <c r="CL76" s="111"/>
      <c r="CM76" s="111"/>
      <c r="CN76" s="111"/>
      <c r="CO76" s="111"/>
      <c r="CP76" s="111"/>
      <c r="CQ76" s="111"/>
      <c r="CR76" s="111"/>
      <c r="CS76" s="111"/>
      <c r="CT76" s="111"/>
      <c r="CU76" s="111"/>
      <c r="CV76" s="111"/>
      <c r="CW76" s="111"/>
      <c r="CX76" s="111"/>
      <c r="CY76" s="111"/>
      <c r="CZ76" s="111"/>
      <c r="DA76" s="111"/>
      <c r="DB76" s="111"/>
      <c r="DC76" s="111"/>
      <c r="DD76" s="111"/>
      <c r="DE76" s="111"/>
      <c r="DF76" s="111"/>
      <c r="DG76" s="111"/>
      <c r="DH76" s="111"/>
      <c r="DI76" s="111"/>
      <c r="DJ76" s="111"/>
      <c r="DK76" s="111"/>
      <c r="DL76" s="111"/>
      <c r="DM76" s="111"/>
      <c r="DN76" s="111"/>
      <c r="DO76" s="111"/>
      <c r="DP76" s="111"/>
      <c r="DQ76" s="111"/>
      <c r="DR76" s="111"/>
      <c r="DS76" s="111"/>
      <c r="DT76" s="111"/>
      <c r="DU76" s="111"/>
      <c r="DV76" s="111"/>
      <c r="DW76" s="111"/>
      <c r="DX76" s="111"/>
    </row>
    <row r="77" spans="1:128" s="3" customFormat="1" ht="12.75" customHeight="1" x14ac:dyDescent="0.3">
      <c r="F77" s="66"/>
      <c r="G77" s="66"/>
      <c r="H77" s="111"/>
      <c r="I77" s="111"/>
      <c r="J77" s="111"/>
      <c r="K77" s="111"/>
      <c r="L77" s="111"/>
      <c r="M77" s="111"/>
      <c r="N77" s="111"/>
      <c r="O77" s="111"/>
      <c r="P77" s="111"/>
      <c r="Q77" s="111"/>
      <c r="R77" s="111"/>
      <c r="S77" s="111"/>
      <c r="T77" s="111"/>
      <c r="U77" s="111"/>
      <c r="V77" s="111"/>
      <c r="W77" s="111"/>
      <c r="X77" s="111"/>
      <c r="Y77" s="111"/>
      <c r="Z77" s="111"/>
      <c r="AA77" s="111"/>
      <c r="AB77" s="111"/>
      <c r="AC77" s="111"/>
      <c r="AD77" s="111"/>
      <c r="AE77" s="111"/>
      <c r="AF77" s="111"/>
      <c r="AG77" s="111"/>
      <c r="AH77" s="111"/>
      <c r="AI77" s="111"/>
      <c r="AJ77" s="111"/>
      <c r="AK77" s="111"/>
      <c r="AL77" s="111"/>
      <c r="AM77" s="111"/>
      <c r="AN77" s="111"/>
      <c r="AO77" s="111"/>
      <c r="AP77" s="111"/>
      <c r="AQ77" s="111"/>
      <c r="AR77" s="111"/>
      <c r="AS77" s="111"/>
      <c r="AT77" s="111"/>
      <c r="AU77" s="111"/>
      <c r="AV77" s="111"/>
      <c r="AW77" s="111"/>
      <c r="AX77" s="111"/>
      <c r="AY77" s="111"/>
      <c r="AZ77" s="111"/>
      <c r="BA77" s="111"/>
      <c r="BB77" s="111"/>
      <c r="BC77" s="111"/>
      <c r="BD77" s="111"/>
      <c r="BE77" s="111"/>
      <c r="BF77" s="111"/>
      <c r="BG77" s="111"/>
      <c r="BH77" s="111"/>
      <c r="BI77" s="111"/>
      <c r="BJ77" s="111"/>
      <c r="BK77" s="111"/>
      <c r="BL77" s="111"/>
      <c r="BM77" s="111"/>
      <c r="BN77" s="111"/>
      <c r="BO77" s="111"/>
      <c r="BP77" s="111"/>
      <c r="BQ77" s="111"/>
      <c r="BR77" s="111"/>
      <c r="BS77" s="111"/>
      <c r="BT77" s="111"/>
      <c r="BU77" s="111"/>
      <c r="BV77" s="111"/>
      <c r="BW77" s="111"/>
      <c r="BX77" s="111"/>
      <c r="BY77" s="111"/>
      <c r="BZ77" s="111"/>
      <c r="CA77" s="111"/>
      <c r="CB77" s="111"/>
      <c r="CC77" s="111"/>
      <c r="CD77" s="111"/>
      <c r="CE77" s="111"/>
      <c r="CF77" s="111"/>
      <c r="CG77" s="111"/>
      <c r="CH77" s="111"/>
      <c r="CI77" s="111"/>
      <c r="CJ77" s="111"/>
      <c r="CK77" s="111"/>
      <c r="CL77" s="111"/>
      <c r="CM77" s="111"/>
      <c r="CN77" s="111"/>
      <c r="CO77" s="111"/>
      <c r="CP77" s="111"/>
      <c r="CQ77" s="111"/>
      <c r="CR77" s="111"/>
      <c r="CS77" s="111"/>
      <c r="CT77" s="111"/>
      <c r="CU77" s="111"/>
      <c r="CV77" s="111"/>
      <c r="CW77" s="111"/>
      <c r="CX77" s="111"/>
      <c r="CY77" s="111"/>
      <c r="CZ77" s="111"/>
      <c r="DA77" s="111"/>
      <c r="DB77" s="111"/>
      <c r="DC77" s="111"/>
      <c r="DD77" s="111"/>
      <c r="DE77" s="111"/>
      <c r="DF77" s="111"/>
      <c r="DG77" s="111"/>
      <c r="DH77" s="111"/>
      <c r="DI77" s="111"/>
      <c r="DJ77" s="111"/>
      <c r="DK77" s="111"/>
      <c r="DL77" s="111"/>
      <c r="DM77" s="111"/>
      <c r="DN77" s="111"/>
      <c r="DO77" s="111"/>
      <c r="DP77" s="111"/>
      <c r="DQ77" s="111"/>
      <c r="DR77" s="111"/>
      <c r="DS77" s="111"/>
      <c r="DT77" s="111"/>
      <c r="DU77" s="111"/>
      <c r="DV77" s="111"/>
      <c r="DW77" s="111"/>
      <c r="DX77" s="111"/>
    </row>
    <row r="78" spans="1:128" s="3" customFormat="1" ht="12.75" customHeight="1" x14ac:dyDescent="0.3">
      <c r="A78" s="13"/>
      <c r="F78" s="66"/>
      <c r="G78" s="66"/>
      <c r="H78" s="111"/>
      <c r="I78" s="111"/>
      <c r="J78" s="111"/>
      <c r="K78" s="111"/>
      <c r="L78" s="111"/>
      <c r="M78" s="111"/>
      <c r="N78" s="111"/>
      <c r="O78" s="111"/>
      <c r="P78" s="111"/>
      <c r="Q78" s="111"/>
      <c r="R78" s="111"/>
      <c r="S78" s="111"/>
      <c r="T78" s="111"/>
      <c r="U78" s="111"/>
      <c r="V78" s="111"/>
      <c r="W78" s="111"/>
      <c r="X78" s="111"/>
      <c r="Y78" s="111"/>
      <c r="Z78" s="111"/>
      <c r="AA78" s="111"/>
      <c r="AB78" s="111"/>
      <c r="AC78" s="111"/>
      <c r="AD78" s="111"/>
      <c r="AE78" s="111"/>
      <c r="AF78" s="111"/>
      <c r="AG78" s="111"/>
      <c r="AH78" s="111"/>
      <c r="AI78" s="111"/>
      <c r="AJ78" s="111"/>
      <c r="AK78" s="111"/>
      <c r="AL78" s="111"/>
      <c r="AM78" s="111"/>
      <c r="AN78" s="111"/>
      <c r="AO78" s="111"/>
      <c r="AP78" s="111"/>
      <c r="AQ78" s="111"/>
      <c r="AR78" s="111"/>
      <c r="AS78" s="111"/>
      <c r="AT78" s="111"/>
      <c r="AU78" s="111"/>
      <c r="AV78" s="111"/>
      <c r="AW78" s="111"/>
      <c r="AX78" s="111"/>
      <c r="AY78" s="111"/>
      <c r="AZ78" s="111"/>
      <c r="BA78" s="111"/>
      <c r="BB78" s="111"/>
      <c r="BC78" s="111"/>
      <c r="BD78" s="111"/>
      <c r="BE78" s="111"/>
      <c r="BF78" s="111"/>
      <c r="BG78" s="111"/>
      <c r="BH78" s="111"/>
      <c r="BI78" s="111"/>
      <c r="BJ78" s="111"/>
      <c r="BK78" s="111"/>
      <c r="BL78" s="111"/>
      <c r="BM78" s="111"/>
      <c r="BN78" s="111"/>
      <c r="BO78" s="111"/>
      <c r="BP78" s="111"/>
      <c r="BQ78" s="111"/>
      <c r="BR78" s="111"/>
      <c r="BS78" s="111"/>
      <c r="BT78" s="111"/>
      <c r="BU78" s="111"/>
      <c r="BV78" s="111"/>
      <c r="BW78" s="111"/>
      <c r="BX78" s="111"/>
      <c r="BY78" s="111"/>
      <c r="BZ78" s="111"/>
      <c r="CA78" s="111"/>
      <c r="CB78" s="111"/>
      <c r="CC78" s="111"/>
      <c r="CD78" s="111"/>
      <c r="CE78" s="111"/>
      <c r="CF78" s="111"/>
      <c r="CG78" s="111"/>
      <c r="CH78" s="111"/>
      <c r="CI78" s="111"/>
      <c r="CJ78" s="111"/>
      <c r="CK78" s="111"/>
      <c r="CL78" s="111"/>
      <c r="CM78" s="111"/>
      <c r="CN78" s="111"/>
      <c r="CO78" s="111"/>
      <c r="CP78" s="111"/>
      <c r="CQ78" s="111"/>
      <c r="CR78" s="111"/>
      <c r="CS78" s="111"/>
      <c r="CT78" s="111"/>
      <c r="CU78" s="111"/>
      <c r="CV78" s="111"/>
      <c r="CW78" s="111"/>
      <c r="CX78" s="111"/>
      <c r="CY78" s="111"/>
      <c r="CZ78" s="111"/>
      <c r="DA78" s="111"/>
      <c r="DB78" s="111"/>
      <c r="DC78" s="111"/>
      <c r="DD78" s="111"/>
      <c r="DE78" s="111"/>
      <c r="DF78" s="111"/>
      <c r="DG78" s="111"/>
      <c r="DH78" s="111"/>
      <c r="DI78" s="111"/>
      <c r="DJ78" s="111"/>
      <c r="DK78" s="111"/>
      <c r="DL78" s="111"/>
      <c r="DM78" s="111"/>
      <c r="DN78" s="111"/>
      <c r="DO78" s="111"/>
      <c r="DP78" s="111"/>
      <c r="DQ78" s="111"/>
      <c r="DR78" s="111"/>
      <c r="DS78" s="111"/>
      <c r="DT78" s="111"/>
      <c r="DU78" s="111"/>
      <c r="DV78" s="111"/>
      <c r="DW78" s="111"/>
      <c r="DX78" s="111"/>
    </row>
    <row r="79" spans="1:128" s="3" customFormat="1" ht="12.75" customHeight="1" x14ac:dyDescent="0.3">
      <c r="A79" s="85"/>
      <c r="F79" s="66"/>
      <c r="G79" s="66"/>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111"/>
      <c r="AI79" s="111"/>
      <c r="AJ79" s="111"/>
      <c r="AK79" s="111"/>
      <c r="AL79" s="111"/>
      <c r="AM79" s="111"/>
      <c r="AN79" s="111"/>
      <c r="AO79" s="111"/>
      <c r="AP79" s="111"/>
      <c r="AQ79" s="111"/>
      <c r="AR79" s="111"/>
      <c r="AS79" s="111"/>
      <c r="AT79" s="111"/>
      <c r="AU79" s="111"/>
      <c r="AV79" s="111"/>
      <c r="AW79" s="111"/>
      <c r="AX79" s="111"/>
      <c r="AY79" s="111"/>
      <c r="AZ79" s="111"/>
      <c r="BA79" s="111"/>
      <c r="BB79" s="111"/>
      <c r="BC79" s="111"/>
      <c r="BD79" s="111"/>
      <c r="BE79" s="111"/>
      <c r="BF79" s="111"/>
      <c r="BG79" s="111"/>
      <c r="BH79" s="111"/>
      <c r="BI79" s="111"/>
      <c r="BJ79" s="111"/>
      <c r="BK79" s="111"/>
      <c r="BL79" s="111"/>
      <c r="BM79" s="111"/>
      <c r="BN79" s="111"/>
      <c r="BO79" s="111"/>
      <c r="BP79" s="111"/>
      <c r="BQ79" s="111"/>
      <c r="BR79" s="111"/>
      <c r="BS79" s="111"/>
      <c r="BT79" s="111"/>
      <c r="BU79" s="111"/>
      <c r="BV79" s="111"/>
      <c r="BW79" s="111"/>
      <c r="BX79" s="111"/>
      <c r="BY79" s="111"/>
      <c r="BZ79" s="111"/>
      <c r="CA79" s="111"/>
      <c r="CB79" s="111"/>
      <c r="CC79" s="111"/>
      <c r="CD79" s="111"/>
      <c r="CE79" s="111"/>
      <c r="CF79" s="111"/>
      <c r="CG79" s="111"/>
      <c r="CH79" s="111"/>
      <c r="CI79" s="111"/>
      <c r="CJ79" s="111"/>
      <c r="CK79" s="111"/>
      <c r="CL79" s="111"/>
      <c r="CM79" s="111"/>
      <c r="CN79" s="111"/>
      <c r="CO79" s="111"/>
      <c r="CP79" s="111"/>
      <c r="CQ79" s="111"/>
      <c r="CR79" s="111"/>
      <c r="CS79" s="111"/>
      <c r="CT79" s="111"/>
      <c r="CU79" s="111"/>
      <c r="CV79" s="111"/>
      <c r="CW79" s="111"/>
      <c r="CX79" s="111"/>
      <c r="CY79" s="111"/>
      <c r="CZ79" s="111"/>
      <c r="DA79" s="111"/>
      <c r="DB79" s="111"/>
      <c r="DC79" s="111"/>
      <c r="DD79" s="111"/>
      <c r="DE79" s="111"/>
      <c r="DF79" s="111"/>
      <c r="DG79" s="111"/>
      <c r="DH79" s="111"/>
      <c r="DI79" s="111"/>
      <c r="DJ79" s="111"/>
      <c r="DK79" s="111"/>
      <c r="DL79" s="111"/>
      <c r="DM79" s="111"/>
      <c r="DN79" s="111"/>
      <c r="DO79" s="111"/>
      <c r="DP79" s="111"/>
      <c r="DQ79" s="111"/>
      <c r="DR79" s="111"/>
      <c r="DS79" s="111"/>
      <c r="DT79" s="111"/>
      <c r="DU79" s="111"/>
      <c r="DV79" s="111"/>
      <c r="DW79" s="111"/>
      <c r="DX79" s="111"/>
    </row>
    <row r="80" spans="1:128" s="3" customFormat="1" ht="12.75" customHeight="1" x14ac:dyDescent="0.3">
      <c r="A80" s="85"/>
      <c r="F80" s="66"/>
      <c r="G80" s="66"/>
      <c r="H80" s="111"/>
      <c r="I80" s="111"/>
      <c r="J80" s="111"/>
      <c r="K80" s="111"/>
      <c r="L80" s="111"/>
      <c r="M80" s="111"/>
      <c r="N80" s="111"/>
      <c r="O80" s="111"/>
      <c r="P80" s="111"/>
      <c r="Q80" s="111"/>
      <c r="R80" s="111"/>
      <c r="S80" s="111"/>
      <c r="T80" s="111"/>
      <c r="U80" s="111"/>
      <c r="V80" s="111"/>
      <c r="W80" s="111"/>
      <c r="X80" s="111"/>
      <c r="Y80" s="111"/>
      <c r="Z80" s="111"/>
      <c r="AA80" s="111"/>
      <c r="AB80" s="111"/>
      <c r="AC80" s="111"/>
      <c r="AD80" s="111"/>
      <c r="AE80" s="111"/>
      <c r="AF80" s="111"/>
      <c r="AG80" s="111"/>
      <c r="AH80" s="111"/>
      <c r="AI80" s="111"/>
      <c r="AJ80" s="111"/>
      <c r="AK80" s="111"/>
      <c r="AL80" s="111"/>
      <c r="AM80" s="111"/>
      <c r="AN80" s="111"/>
      <c r="AO80" s="111"/>
      <c r="AP80" s="111"/>
      <c r="AQ80" s="111"/>
      <c r="AR80" s="111"/>
      <c r="AS80" s="111"/>
      <c r="AT80" s="111"/>
      <c r="AU80" s="111"/>
      <c r="AV80" s="111"/>
      <c r="AW80" s="111"/>
      <c r="AX80" s="111"/>
      <c r="AY80" s="111"/>
      <c r="AZ80" s="111"/>
      <c r="BA80" s="111"/>
      <c r="BB80" s="111"/>
      <c r="BC80" s="111"/>
      <c r="BD80" s="111"/>
      <c r="BE80" s="111"/>
      <c r="BF80" s="111"/>
      <c r="BG80" s="111"/>
      <c r="BH80" s="111"/>
      <c r="BI80" s="111"/>
      <c r="BJ80" s="111"/>
      <c r="BK80" s="111"/>
      <c r="BL80" s="111"/>
      <c r="BM80" s="111"/>
      <c r="BN80" s="111"/>
      <c r="BO80" s="111"/>
      <c r="BP80" s="111"/>
      <c r="BQ80" s="111"/>
      <c r="BR80" s="111"/>
      <c r="BS80" s="111"/>
      <c r="BT80" s="111"/>
      <c r="BU80" s="111"/>
      <c r="BV80" s="111"/>
      <c r="BW80" s="111"/>
      <c r="BX80" s="111"/>
      <c r="BY80" s="111"/>
      <c r="BZ80" s="111"/>
      <c r="CA80" s="111"/>
      <c r="CB80" s="111"/>
      <c r="CC80" s="111"/>
      <c r="CD80" s="111"/>
      <c r="CE80" s="111"/>
      <c r="CF80" s="111"/>
      <c r="CG80" s="111"/>
      <c r="CH80" s="111"/>
      <c r="CI80" s="111"/>
      <c r="CJ80" s="111"/>
      <c r="CK80" s="111"/>
      <c r="CL80" s="111"/>
      <c r="CM80" s="111"/>
      <c r="CN80" s="111"/>
      <c r="CO80" s="111"/>
      <c r="CP80" s="111"/>
      <c r="CQ80" s="111"/>
      <c r="CR80" s="111"/>
      <c r="CS80" s="111"/>
      <c r="CT80" s="111"/>
      <c r="CU80" s="111"/>
      <c r="CV80" s="111"/>
      <c r="CW80" s="111"/>
      <c r="CX80" s="111"/>
      <c r="CY80" s="111"/>
      <c r="CZ80" s="111"/>
      <c r="DA80" s="111"/>
      <c r="DB80" s="111"/>
      <c r="DC80" s="111"/>
      <c r="DD80" s="111"/>
      <c r="DE80" s="111"/>
      <c r="DF80" s="111"/>
      <c r="DG80" s="111"/>
      <c r="DH80" s="111"/>
      <c r="DI80" s="111"/>
      <c r="DJ80" s="111"/>
      <c r="DK80" s="111"/>
      <c r="DL80" s="111"/>
      <c r="DM80" s="111"/>
      <c r="DN80" s="111"/>
      <c r="DO80" s="111"/>
      <c r="DP80" s="111"/>
      <c r="DQ80" s="111"/>
      <c r="DR80" s="111"/>
      <c r="DS80" s="111"/>
      <c r="DT80" s="111"/>
      <c r="DU80" s="111"/>
      <c r="DV80" s="111"/>
      <c r="DW80" s="111"/>
      <c r="DX80" s="111"/>
    </row>
    <row r="81" spans="1:128" s="3" customFormat="1" ht="12.75" customHeight="1" x14ac:dyDescent="0.3">
      <c r="A81" s="85"/>
      <c r="F81" s="66"/>
      <c r="G81" s="66"/>
      <c r="H81" s="111"/>
      <c r="I81" s="111"/>
      <c r="J81" s="111"/>
      <c r="K81" s="111"/>
      <c r="L81" s="111"/>
      <c r="M81" s="111"/>
      <c r="N81" s="111"/>
      <c r="O81" s="111"/>
      <c r="P81" s="111"/>
      <c r="Q81" s="111"/>
      <c r="R81" s="111"/>
      <c r="S81" s="111"/>
      <c r="T81" s="111"/>
      <c r="U81" s="111"/>
      <c r="V81" s="111"/>
      <c r="W81" s="111"/>
      <c r="X81" s="111"/>
      <c r="Y81" s="111"/>
      <c r="Z81" s="111"/>
      <c r="AA81" s="111"/>
      <c r="AB81" s="111"/>
      <c r="AC81" s="111"/>
      <c r="AD81" s="111"/>
      <c r="AE81" s="111"/>
      <c r="AF81" s="111"/>
      <c r="AG81" s="111"/>
      <c r="AH81" s="111"/>
      <c r="AI81" s="111"/>
      <c r="AJ81" s="111"/>
      <c r="AK81" s="111"/>
      <c r="AL81" s="111"/>
      <c r="AM81" s="111"/>
      <c r="AN81" s="111"/>
      <c r="AO81" s="111"/>
      <c r="AP81" s="111"/>
      <c r="AQ81" s="111"/>
      <c r="AR81" s="111"/>
      <c r="AS81" s="111"/>
      <c r="AT81" s="111"/>
      <c r="AU81" s="111"/>
      <c r="AV81" s="111"/>
      <c r="AW81" s="111"/>
      <c r="AX81" s="111"/>
      <c r="AY81" s="111"/>
      <c r="AZ81" s="111"/>
      <c r="BA81" s="111"/>
      <c r="BB81" s="111"/>
      <c r="BC81" s="111"/>
      <c r="BD81" s="111"/>
      <c r="BE81" s="111"/>
      <c r="BF81" s="111"/>
      <c r="BG81" s="111"/>
      <c r="BH81" s="111"/>
      <c r="BI81" s="111"/>
      <c r="BJ81" s="111"/>
      <c r="BK81" s="111"/>
      <c r="BL81" s="111"/>
      <c r="BM81" s="111"/>
      <c r="BN81" s="111"/>
      <c r="BO81" s="111"/>
      <c r="BP81" s="111"/>
      <c r="BQ81" s="111"/>
      <c r="BR81" s="111"/>
      <c r="BS81" s="111"/>
      <c r="BT81" s="111"/>
      <c r="BU81" s="111"/>
      <c r="BV81" s="111"/>
      <c r="BW81" s="111"/>
      <c r="BX81" s="111"/>
      <c r="BY81" s="111"/>
      <c r="BZ81" s="111"/>
      <c r="CA81" s="111"/>
      <c r="CB81" s="111"/>
      <c r="CC81" s="111"/>
      <c r="CD81" s="111"/>
      <c r="CE81" s="111"/>
      <c r="CF81" s="111"/>
      <c r="CG81" s="111"/>
      <c r="CH81" s="111"/>
      <c r="CI81" s="111"/>
      <c r="CJ81" s="111"/>
      <c r="CK81" s="111"/>
      <c r="CL81" s="111"/>
      <c r="CM81" s="111"/>
      <c r="CN81" s="111"/>
      <c r="CO81" s="111"/>
      <c r="CP81" s="111"/>
      <c r="CQ81" s="111"/>
      <c r="CR81" s="111"/>
      <c r="CS81" s="111"/>
      <c r="CT81" s="111"/>
      <c r="CU81" s="111"/>
      <c r="CV81" s="111"/>
      <c r="CW81" s="111"/>
      <c r="CX81" s="111"/>
      <c r="CY81" s="111"/>
      <c r="CZ81" s="111"/>
      <c r="DA81" s="111"/>
      <c r="DB81" s="111"/>
      <c r="DC81" s="111"/>
      <c r="DD81" s="111"/>
      <c r="DE81" s="111"/>
      <c r="DF81" s="111"/>
      <c r="DG81" s="111"/>
      <c r="DH81" s="111"/>
      <c r="DI81" s="111"/>
      <c r="DJ81" s="111"/>
      <c r="DK81" s="111"/>
      <c r="DL81" s="111"/>
      <c r="DM81" s="111"/>
      <c r="DN81" s="111"/>
      <c r="DO81" s="111"/>
      <c r="DP81" s="111"/>
      <c r="DQ81" s="111"/>
      <c r="DR81" s="111"/>
      <c r="DS81" s="111"/>
      <c r="DT81" s="111"/>
      <c r="DU81" s="111"/>
      <c r="DV81" s="111"/>
      <c r="DW81" s="111"/>
      <c r="DX81" s="111"/>
    </row>
    <row r="82" spans="1:128" s="3" customFormat="1" ht="12.75" customHeight="1" x14ac:dyDescent="0.3">
      <c r="A82" s="85"/>
      <c r="F82" s="66"/>
      <c r="G82" s="66"/>
      <c r="H82" s="111"/>
      <c r="I82" s="111"/>
      <c r="J82" s="111"/>
      <c r="K82" s="111"/>
      <c r="L82" s="111"/>
      <c r="M82" s="111"/>
      <c r="N82" s="111"/>
      <c r="O82" s="111"/>
      <c r="P82" s="111"/>
      <c r="Q82" s="111"/>
      <c r="R82" s="111"/>
      <c r="S82" s="111"/>
      <c r="T82" s="111"/>
      <c r="U82" s="111"/>
      <c r="V82" s="111"/>
      <c r="W82" s="111"/>
      <c r="X82" s="111"/>
      <c r="Y82" s="111"/>
      <c r="Z82" s="111"/>
      <c r="AA82" s="111"/>
      <c r="AB82" s="111"/>
      <c r="AC82" s="111"/>
      <c r="AD82" s="111"/>
      <c r="AE82" s="111"/>
      <c r="AF82" s="111"/>
      <c r="AG82" s="111"/>
      <c r="AH82" s="111"/>
      <c r="AI82" s="111"/>
      <c r="AJ82" s="111"/>
      <c r="AK82" s="111"/>
      <c r="AL82" s="111"/>
      <c r="AM82" s="111"/>
      <c r="AN82" s="111"/>
      <c r="AO82" s="111"/>
      <c r="AP82" s="111"/>
      <c r="AQ82" s="111"/>
      <c r="AR82" s="111"/>
      <c r="AS82" s="111"/>
      <c r="AT82" s="111"/>
      <c r="AU82" s="111"/>
      <c r="AV82" s="111"/>
      <c r="AW82" s="111"/>
      <c r="AX82" s="111"/>
      <c r="AY82" s="111"/>
      <c r="AZ82" s="111"/>
      <c r="BA82" s="111"/>
      <c r="BB82" s="111"/>
      <c r="BC82" s="111"/>
      <c r="BD82" s="111"/>
      <c r="BE82" s="111"/>
      <c r="BF82" s="111"/>
      <c r="BG82" s="111"/>
      <c r="BH82" s="111"/>
      <c r="BI82" s="111"/>
      <c r="BJ82" s="111"/>
      <c r="BK82" s="111"/>
      <c r="BL82" s="111"/>
      <c r="BM82" s="111"/>
      <c r="BN82" s="111"/>
      <c r="BO82" s="111"/>
      <c r="BP82" s="111"/>
      <c r="BQ82" s="111"/>
      <c r="BR82" s="111"/>
      <c r="BS82" s="111"/>
      <c r="BT82" s="111"/>
      <c r="BU82" s="111"/>
      <c r="BV82" s="111"/>
      <c r="BW82" s="111"/>
      <c r="BX82" s="111"/>
      <c r="BY82" s="111"/>
      <c r="BZ82" s="111"/>
      <c r="CA82" s="111"/>
      <c r="CB82" s="111"/>
      <c r="CC82" s="111"/>
      <c r="CD82" s="111"/>
      <c r="CE82" s="111"/>
      <c r="CF82" s="111"/>
      <c r="CG82" s="111"/>
      <c r="CH82" s="111"/>
      <c r="CI82" s="111"/>
      <c r="CJ82" s="111"/>
      <c r="CK82" s="111"/>
      <c r="CL82" s="111"/>
      <c r="CM82" s="111"/>
      <c r="CN82" s="111"/>
      <c r="CO82" s="111"/>
      <c r="CP82" s="111"/>
      <c r="CQ82" s="111"/>
      <c r="CR82" s="111"/>
      <c r="CS82" s="111"/>
      <c r="CT82" s="111"/>
      <c r="CU82" s="111"/>
      <c r="CV82" s="111"/>
      <c r="CW82" s="111"/>
      <c r="CX82" s="111"/>
      <c r="CY82" s="111"/>
      <c r="CZ82" s="111"/>
      <c r="DA82" s="111"/>
      <c r="DB82" s="111"/>
      <c r="DC82" s="111"/>
      <c r="DD82" s="111"/>
      <c r="DE82" s="111"/>
      <c r="DF82" s="111"/>
      <c r="DG82" s="111"/>
      <c r="DH82" s="111"/>
      <c r="DI82" s="111"/>
      <c r="DJ82" s="111"/>
      <c r="DK82" s="111"/>
      <c r="DL82" s="111"/>
      <c r="DM82" s="111"/>
      <c r="DN82" s="111"/>
      <c r="DO82" s="111"/>
      <c r="DP82" s="111"/>
      <c r="DQ82" s="111"/>
      <c r="DR82" s="111"/>
      <c r="DS82" s="111"/>
      <c r="DT82" s="111"/>
      <c r="DU82" s="111"/>
      <c r="DV82" s="111"/>
      <c r="DW82" s="111"/>
      <c r="DX82" s="111"/>
    </row>
    <row r="83" spans="1:128" s="3" customFormat="1" ht="12.75" customHeight="1" x14ac:dyDescent="0.3">
      <c r="A83" s="85"/>
      <c r="F83" s="66"/>
      <c r="G83" s="66"/>
      <c r="H83" s="111"/>
      <c r="I83" s="111"/>
      <c r="J83" s="111"/>
      <c r="K83" s="111"/>
      <c r="L83" s="111"/>
      <c r="M83" s="111"/>
      <c r="N83" s="111"/>
      <c r="O83" s="111"/>
      <c r="P83" s="111"/>
      <c r="Q83" s="111"/>
      <c r="R83" s="111"/>
      <c r="S83" s="111"/>
      <c r="T83" s="111"/>
      <c r="U83" s="111"/>
      <c r="V83" s="111"/>
      <c r="W83" s="111"/>
      <c r="X83" s="111"/>
      <c r="Y83" s="111"/>
      <c r="Z83" s="111"/>
      <c r="AA83" s="111"/>
      <c r="AB83" s="111"/>
      <c r="AC83" s="111"/>
      <c r="AD83" s="111"/>
      <c r="AE83" s="111"/>
      <c r="AF83" s="111"/>
      <c r="AG83" s="111"/>
      <c r="AH83" s="111"/>
      <c r="AI83" s="111"/>
      <c r="AJ83" s="111"/>
      <c r="AK83" s="111"/>
      <c r="AL83" s="111"/>
      <c r="AM83" s="111"/>
      <c r="AN83" s="111"/>
      <c r="AO83" s="111"/>
      <c r="AP83" s="111"/>
      <c r="AQ83" s="111"/>
      <c r="AR83" s="111"/>
      <c r="AS83" s="111"/>
      <c r="AT83" s="111"/>
      <c r="AU83" s="111"/>
      <c r="AV83" s="111"/>
      <c r="AW83" s="111"/>
      <c r="AX83" s="111"/>
      <c r="AY83" s="111"/>
      <c r="AZ83" s="111"/>
      <c r="BA83" s="111"/>
      <c r="BB83" s="111"/>
      <c r="BC83" s="111"/>
      <c r="BD83" s="111"/>
      <c r="BE83" s="111"/>
      <c r="BF83" s="111"/>
      <c r="BG83" s="111"/>
      <c r="BH83" s="111"/>
      <c r="BI83" s="111"/>
      <c r="BJ83" s="111"/>
      <c r="BK83" s="111"/>
      <c r="BL83" s="111"/>
      <c r="BM83" s="111"/>
      <c r="BN83" s="111"/>
      <c r="BO83" s="111"/>
      <c r="BP83" s="111"/>
      <c r="BQ83" s="111"/>
      <c r="BR83" s="111"/>
      <c r="BS83" s="111"/>
      <c r="BT83" s="111"/>
      <c r="BU83" s="111"/>
      <c r="BV83" s="111"/>
      <c r="BW83" s="111"/>
      <c r="BX83" s="111"/>
      <c r="BY83" s="111"/>
      <c r="BZ83" s="111"/>
      <c r="CA83" s="111"/>
      <c r="CB83" s="111"/>
      <c r="CC83" s="111"/>
      <c r="CD83" s="111"/>
      <c r="CE83" s="111"/>
      <c r="CF83" s="111"/>
      <c r="CG83" s="111"/>
      <c r="CH83" s="111"/>
      <c r="CI83" s="111"/>
      <c r="CJ83" s="111"/>
      <c r="CK83" s="111"/>
      <c r="CL83" s="111"/>
      <c r="CM83" s="111"/>
      <c r="CN83" s="111"/>
      <c r="CO83" s="111"/>
      <c r="CP83" s="111"/>
      <c r="CQ83" s="111"/>
      <c r="CR83" s="111"/>
      <c r="CS83" s="111"/>
      <c r="CT83" s="111"/>
      <c r="CU83" s="111"/>
      <c r="CV83" s="111"/>
      <c r="CW83" s="111"/>
      <c r="CX83" s="111"/>
      <c r="CY83" s="111"/>
      <c r="CZ83" s="111"/>
      <c r="DA83" s="111"/>
      <c r="DB83" s="111"/>
      <c r="DC83" s="111"/>
      <c r="DD83" s="111"/>
      <c r="DE83" s="111"/>
      <c r="DF83" s="111"/>
      <c r="DG83" s="111"/>
      <c r="DH83" s="111"/>
      <c r="DI83" s="111"/>
      <c r="DJ83" s="111"/>
      <c r="DK83" s="111"/>
      <c r="DL83" s="111"/>
      <c r="DM83" s="111"/>
      <c r="DN83" s="111"/>
      <c r="DO83" s="111"/>
      <c r="DP83" s="111"/>
      <c r="DQ83" s="111"/>
      <c r="DR83" s="111"/>
      <c r="DS83" s="111"/>
      <c r="DT83" s="111"/>
      <c r="DU83" s="111"/>
      <c r="DV83" s="111"/>
      <c r="DW83" s="111"/>
      <c r="DX83" s="111"/>
    </row>
    <row r="84" spans="1:128" s="3" customFormat="1" ht="12.75" customHeight="1" x14ac:dyDescent="0.3">
      <c r="A84" s="85"/>
      <c r="F84" s="66"/>
      <c r="G84" s="66"/>
      <c r="H84" s="111"/>
      <c r="I84" s="111"/>
      <c r="J84" s="111"/>
      <c r="K84" s="111"/>
      <c r="L84" s="111"/>
      <c r="M84" s="111"/>
      <c r="N84" s="111"/>
      <c r="O84" s="111"/>
      <c r="P84" s="111"/>
      <c r="Q84" s="111"/>
      <c r="R84" s="111"/>
      <c r="S84" s="111"/>
      <c r="T84" s="111"/>
      <c r="U84" s="111"/>
      <c r="V84" s="111"/>
      <c r="W84" s="111"/>
      <c r="X84" s="111"/>
      <c r="Y84" s="111"/>
      <c r="Z84" s="111"/>
      <c r="AA84" s="111"/>
      <c r="AB84" s="111"/>
      <c r="AC84" s="111"/>
      <c r="AD84" s="111"/>
      <c r="AE84" s="111"/>
      <c r="AF84" s="111"/>
      <c r="AG84" s="111"/>
      <c r="AH84" s="111"/>
      <c r="AI84" s="111"/>
      <c r="AJ84" s="111"/>
      <c r="AK84" s="111"/>
      <c r="AL84" s="111"/>
      <c r="AM84" s="111"/>
      <c r="AN84" s="111"/>
      <c r="AO84" s="111"/>
      <c r="AP84" s="111"/>
      <c r="AQ84" s="111"/>
      <c r="AR84" s="111"/>
      <c r="AS84" s="111"/>
      <c r="AT84" s="111"/>
      <c r="AU84" s="111"/>
      <c r="AV84" s="111"/>
      <c r="AW84" s="111"/>
      <c r="AX84" s="111"/>
      <c r="AY84" s="111"/>
      <c r="AZ84" s="111"/>
      <c r="BA84" s="111"/>
      <c r="BB84" s="111"/>
      <c r="BC84" s="111"/>
      <c r="BD84" s="111"/>
      <c r="BE84" s="111"/>
      <c r="BF84" s="111"/>
      <c r="BG84" s="111"/>
      <c r="BH84" s="111"/>
      <c r="BI84" s="111"/>
      <c r="BJ84" s="111"/>
      <c r="BK84" s="111"/>
      <c r="BL84" s="111"/>
      <c r="BM84" s="111"/>
      <c r="BN84" s="111"/>
      <c r="BO84" s="111"/>
      <c r="BP84" s="111"/>
      <c r="BQ84" s="111"/>
      <c r="BR84" s="111"/>
      <c r="BS84" s="111"/>
      <c r="BT84" s="111"/>
      <c r="BU84" s="111"/>
      <c r="BV84" s="111"/>
      <c r="BW84" s="111"/>
      <c r="BX84" s="111"/>
      <c r="BY84" s="111"/>
      <c r="BZ84" s="111"/>
      <c r="CA84" s="111"/>
      <c r="CB84" s="111"/>
      <c r="CC84" s="111"/>
      <c r="CD84" s="111"/>
      <c r="CE84" s="111"/>
      <c r="CF84" s="111"/>
      <c r="CG84" s="111"/>
      <c r="CH84" s="111"/>
      <c r="CI84" s="111"/>
      <c r="CJ84" s="111"/>
      <c r="CK84" s="111"/>
      <c r="CL84" s="111"/>
      <c r="CM84" s="111"/>
      <c r="CN84" s="111"/>
      <c r="CO84" s="111"/>
      <c r="CP84" s="111"/>
      <c r="CQ84" s="111"/>
      <c r="CR84" s="111"/>
      <c r="CS84" s="111"/>
      <c r="CT84" s="111"/>
      <c r="CU84" s="111"/>
      <c r="CV84" s="111"/>
      <c r="CW84" s="111"/>
      <c r="CX84" s="111"/>
      <c r="CY84" s="111"/>
      <c r="CZ84" s="111"/>
      <c r="DA84" s="111"/>
      <c r="DB84" s="111"/>
      <c r="DC84" s="111"/>
      <c r="DD84" s="111"/>
      <c r="DE84" s="111"/>
      <c r="DF84" s="111"/>
      <c r="DG84" s="111"/>
      <c r="DH84" s="111"/>
      <c r="DI84" s="111"/>
      <c r="DJ84" s="111"/>
      <c r="DK84" s="111"/>
      <c r="DL84" s="111"/>
      <c r="DM84" s="111"/>
      <c r="DN84" s="111"/>
      <c r="DO84" s="111"/>
      <c r="DP84" s="111"/>
      <c r="DQ84" s="111"/>
      <c r="DR84" s="111"/>
      <c r="DS84" s="111"/>
      <c r="DT84" s="111"/>
      <c r="DU84" s="111"/>
      <c r="DV84" s="111"/>
      <c r="DW84" s="111"/>
      <c r="DX84" s="111"/>
    </row>
    <row r="85" spans="1:128" s="3" customFormat="1" ht="12.75" customHeight="1" x14ac:dyDescent="0.3">
      <c r="A85" s="85"/>
      <c r="F85" s="66"/>
      <c r="G85" s="66"/>
      <c r="H85" s="111"/>
      <c r="I85" s="111"/>
      <c r="J85" s="111"/>
      <c r="K85" s="111"/>
      <c r="L85" s="111"/>
      <c r="M85" s="111"/>
      <c r="N85" s="111"/>
      <c r="O85" s="111"/>
      <c r="P85" s="111"/>
      <c r="Q85" s="111"/>
      <c r="R85" s="111"/>
      <c r="S85" s="111"/>
      <c r="T85" s="111"/>
      <c r="U85" s="111"/>
      <c r="V85" s="111"/>
      <c r="W85" s="111"/>
      <c r="X85" s="111"/>
      <c r="Y85" s="111"/>
      <c r="Z85" s="111"/>
      <c r="AA85" s="111"/>
      <c r="AB85" s="111"/>
      <c r="AC85" s="111"/>
      <c r="AD85" s="111"/>
      <c r="AE85" s="111"/>
      <c r="AF85" s="111"/>
      <c r="AG85" s="111"/>
      <c r="AH85" s="111"/>
      <c r="AI85" s="111"/>
      <c r="AJ85" s="111"/>
      <c r="AK85" s="111"/>
      <c r="AL85" s="111"/>
      <c r="AM85" s="111"/>
      <c r="AN85" s="111"/>
      <c r="AO85" s="111"/>
      <c r="AP85" s="111"/>
      <c r="AQ85" s="111"/>
      <c r="AR85" s="111"/>
      <c r="AS85" s="111"/>
      <c r="AT85" s="111"/>
      <c r="AU85" s="111"/>
      <c r="AV85" s="111"/>
      <c r="AW85" s="111"/>
      <c r="AX85" s="111"/>
      <c r="AY85" s="111"/>
      <c r="AZ85" s="111"/>
      <c r="BA85" s="111"/>
      <c r="BB85" s="111"/>
      <c r="BC85" s="111"/>
      <c r="BD85" s="111"/>
      <c r="BE85" s="111"/>
      <c r="BF85" s="111"/>
      <c r="BG85" s="111"/>
      <c r="BH85" s="111"/>
      <c r="BI85" s="111"/>
      <c r="BJ85" s="111"/>
      <c r="BK85" s="111"/>
      <c r="BL85" s="111"/>
      <c r="BM85" s="111"/>
      <c r="BN85" s="111"/>
      <c r="BO85" s="111"/>
      <c r="BP85" s="111"/>
      <c r="BQ85" s="111"/>
      <c r="BR85" s="111"/>
      <c r="BS85" s="111"/>
      <c r="BT85" s="111"/>
      <c r="BU85" s="111"/>
      <c r="BV85" s="111"/>
      <c r="BW85" s="111"/>
      <c r="BX85" s="111"/>
      <c r="BY85" s="111"/>
      <c r="BZ85" s="111"/>
      <c r="CA85" s="111"/>
      <c r="CB85" s="111"/>
      <c r="CC85" s="111"/>
      <c r="CD85" s="111"/>
      <c r="CE85" s="111"/>
      <c r="CF85" s="111"/>
      <c r="CG85" s="111"/>
      <c r="CH85" s="111"/>
      <c r="CI85" s="111"/>
      <c r="CJ85" s="111"/>
      <c r="CK85" s="111"/>
      <c r="CL85" s="111"/>
      <c r="CM85" s="111"/>
      <c r="CN85" s="111"/>
      <c r="CO85" s="111"/>
      <c r="CP85" s="111"/>
      <c r="CQ85" s="111"/>
      <c r="CR85" s="111"/>
      <c r="CS85" s="111"/>
      <c r="CT85" s="111"/>
      <c r="CU85" s="111"/>
      <c r="CV85" s="111"/>
      <c r="CW85" s="111"/>
      <c r="CX85" s="111"/>
      <c r="CY85" s="111"/>
      <c r="CZ85" s="111"/>
      <c r="DA85" s="111"/>
      <c r="DB85" s="111"/>
      <c r="DC85" s="111"/>
      <c r="DD85" s="111"/>
      <c r="DE85" s="111"/>
      <c r="DF85" s="111"/>
      <c r="DG85" s="111"/>
      <c r="DH85" s="111"/>
      <c r="DI85" s="111"/>
      <c r="DJ85" s="111"/>
      <c r="DK85" s="111"/>
      <c r="DL85" s="111"/>
      <c r="DM85" s="111"/>
      <c r="DN85" s="111"/>
      <c r="DO85" s="111"/>
      <c r="DP85" s="111"/>
      <c r="DQ85" s="111"/>
      <c r="DR85" s="111"/>
      <c r="DS85" s="111"/>
      <c r="DT85" s="111"/>
      <c r="DU85" s="111"/>
      <c r="DV85" s="111"/>
      <c r="DW85" s="111"/>
      <c r="DX85" s="111"/>
    </row>
    <row r="86" spans="1:128" s="3" customFormat="1" ht="12.75" customHeight="1" x14ac:dyDescent="0.3">
      <c r="A86" s="85"/>
      <c r="F86" s="66"/>
      <c r="G86" s="66"/>
      <c r="H86" s="111"/>
      <c r="I86" s="111"/>
      <c r="J86" s="111"/>
      <c r="K86" s="111"/>
      <c r="L86" s="111"/>
      <c r="M86" s="111"/>
      <c r="N86" s="111"/>
      <c r="O86" s="111"/>
      <c r="P86" s="111"/>
      <c r="Q86" s="111"/>
      <c r="R86" s="111"/>
      <c r="S86" s="111"/>
      <c r="T86" s="111"/>
      <c r="U86" s="111"/>
      <c r="V86" s="111"/>
      <c r="W86" s="111"/>
      <c r="X86" s="111"/>
      <c r="Y86" s="111"/>
      <c r="Z86" s="111"/>
      <c r="AA86" s="111"/>
      <c r="AB86" s="111"/>
      <c r="AC86" s="111"/>
      <c r="AD86" s="111"/>
      <c r="AE86" s="111"/>
      <c r="AF86" s="111"/>
      <c r="AG86" s="111"/>
      <c r="AH86" s="111"/>
      <c r="AI86" s="111"/>
      <c r="AJ86" s="111"/>
      <c r="AK86" s="111"/>
      <c r="AL86" s="111"/>
      <c r="AM86" s="111"/>
      <c r="AN86" s="111"/>
      <c r="AO86" s="111"/>
      <c r="AP86" s="111"/>
      <c r="AQ86" s="111"/>
      <c r="AR86" s="111"/>
      <c r="AS86" s="111"/>
      <c r="AT86" s="111"/>
      <c r="AU86" s="111"/>
      <c r="AV86" s="111"/>
      <c r="AW86" s="111"/>
      <c r="AX86" s="111"/>
      <c r="AY86" s="111"/>
      <c r="AZ86" s="111"/>
      <c r="BA86" s="111"/>
      <c r="BB86" s="111"/>
      <c r="BC86" s="111"/>
      <c r="BD86" s="111"/>
      <c r="BE86" s="111"/>
      <c r="BF86" s="111"/>
      <c r="BG86" s="111"/>
      <c r="BH86" s="111"/>
      <c r="BI86" s="111"/>
      <c r="BJ86" s="111"/>
      <c r="BK86" s="111"/>
      <c r="BL86" s="111"/>
      <c r="BM86" s="111"/>
      <c r="BN86" s="111"/>
      <c r="BO86" s="111"/>
      <c r="BP86" s="111"/>
      <c r="BQ86" s="111"/>
      <c r="BR86" s="111"/>
      <c r="BS86" s="111"/>
      <c r="BT86" s="111"/>
      <c r="BU86" s="111"/>
      <c r="BV86" s="111"/>
      <c r="BW86" s="111"/>
      <c r="BX86" s="111"/>
      <c r="BY86" s="111"/>
      <c r="BZ86" s="111"/>
      <c r="CA86" s="111"/>
      <c r="CB86" s="111"/>
      <c r="CC86" s="111"/>
      <c r="CD86" s="111"/>
      <c r="CE86" s="111"/>
      <c r="CF86" s="111"/>
      <c r="CG86" s="111"/>
      <c r="CH86" s="111"/>
      <c r="CI86" s="111"/>
      <c r="CJ86" s="111"/>
      <c r="CK86" s="111"/>
      <c r="CL86" s="111"/>
      <c r="CM86" s="111"/>
      <c r="CN86" s="111"/>
      <c r="CO86" s="111"/>
      <c r="CP86" s="111"/>
      <c r="CQ86" s="111"/>
      <c r="CR86" s="111"/>
      <c r="CS86" s="111"/>
      <c r="CT86" s="111"/>
      <c r="CU86" s="111"/>
      <c r="CV86" s="111"/>
      <c r="CW86" s="111"/>
      <c r="CX86" s="111"/>
      <c r="CY86" s="111"/>
      <c r="CZ86" s="111"/>
      <c r="DA86" s="111"/>
      <c r="DB86" s="111"/>
      <c r="DC86" s="111"/>
      <c r="DD86" s="111"/>
      <c r="DE86" s="111"/>
      <c r="DF86" s="111"/>
      <c r="DG86" s="111"/>
      <c r="DH86" s="111"/>
      <c r="DI86" s="111"/>
      <c r="DJ86" s="111"/>
      <c r="DK86" s="111"/>
      <c r="DL86" s="111"/>
      <c r="DM86" s="111"/>
      <c r="DN86" s="111"/>
      <c r="DO86" s="111"/>
      <c r="DP86" s="111"/>
      <c r="DQ86" s="111"/>
      <c r="DR86" s="111"/>
      <c r="DS86" s="111"/>
      <c r="DT86" s="111"/>
      <c r="DU86" s="111"/>
      <c r="DV86" s="111"/>
      <c r="DW86" s="111"/>
      <c r="DX86" s="111"/>
    </row>
    <row r="87" spans="1:128" s="3" customFormat="1" ht="12.75" customHeight="1" x14ac:dyDescent="0.3">
      <c r="A87" s="85"/>
      <c r="F87" s="66"/>
      <c r="G87" s="66"/>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11"/>
      <c r="BY87" s="111"/>
      <c r="BZ87" s="111"/>
      <c r="CA87" s="111"/>
      <c r="CB87" s="111"/>
      <c r="CC87" s="111"/>
      <c r="CD87" s="111"/>
      <c r="CE87" s="111"/>
      <c r="CF87" s="111"/>
      <c r="CG87" s="111"/>
      <c r="CH87" s="111"/>
      <c r="CI87" s="111"/>
      <c r="CJ87" s="111"/>
      <c r="CK87" s="111"/>
      <c r="CL87" s="111"/>
      <c r="CM87" s="111"/>
      <c r="CN87" s="111"/>
      <c r="CO87" s="111"/>
      <c r="CP87" s="111"/>
      <c r="CQ87" s="111"/>
      <c r="CR87" s="111"/>
      <c r="CS87" s="111"/>
      <c r="CT87" s="111"/>
      <c r="CU87" s="111"/>
      <c r="CV87" s="111"/>
      <c r="CW87" s="111"/>
      <c r="CX87" s="111"/>
      <c r="CY87" s="111"/>
      <c r="CZ87" s="111"/>
      <c r="DA87" s="111"/>
      <c r="DB87" s="111"/>
      <c r="DC87" s="111"/>
      <c r="DD87" s="111"/>
      <c r="DE87" s="111"/>
      <c r="DF87" s="111"/>
      <c r="DG87" s="111"/>
      <c r="DH87" s="111"/>
      <c r="DI87" s="111"/>
      <c r="DJ87" s="111"/>
      <c r="DK87" s="111"/>
      <c r="DL87" s="111"/>
      <c r="DM87" s="111"/>
      <c r="DN87" s="111"/>
      <c r="DO87" s="111"/>
      <c r="DP87" s="111"/>
      <c r="DQ87" s="111"/>
      <c r="DR87" s="111"/>
      <c r="DS87" s="111"/>
      <c r="DT87" s="111"/>
      <c r="DU87" s="111"/>
      <c r="DV87" s="111"/>
      <c r="DW87" s="111"/>
      <c r="DX87" s="111"/>
    </row>
    <row r="88" spans="1:128" s="3" customFormat="1" ht="12.75" customHeight="1" x14ac:dyDescent="0.3">
      <c r="A88" s="85"/>
      <c r="F88" s="66"/>
      <c r="G88" s="66"/>
      <c r="H88" s="111"/>
      <c r="I88" s="111"/>
      <c r="J88" s="111"/>
      <c r="K88" s="111"/>
      <c r="L88" s="111"/>
      <c r="M88" s="111"/>
      <c r="N88" s="111"/>
      <c r="O88" s="111"/>
      <c r="P88" s="111"/>
      <c r="Q88" s="111"/>
      <c r="R88" s="111"/>
      <c r="S88" s="111"/>
      <c r="T88" s="111"/>
      <c r="U88" s="111"/>
      <c r="V88" s="111"/>
      <c r="W88" s="111"/>
      <c r="X88" s="111"/>
      <c r="Y88" s="111"/>
      <c r="Z88" s="111"/>
      <c r="AA88" s="111"/>
      <c r="AB88" s="111"/>
      <c r="AC88" s="111"/>
      <c r="AD88" s="111"/>
      <c r="AE88" s="111"/>
      <c r="AF88" s="111"/>
      <c r="AG88" s="111"/>
      <c r="AH88" s="111"/>
      <c r="AI88" s="111"/>
      <c r="AJ88" s="111"/>
      <c r="AK88" s="111"/>
      <c r="AL88" s="111"/>
      <c r="AM88" s="111"/>
      <c r="AN88" s="111"/>
      <c r="AO88" s="111"/>
      <c r="AP88" s="111"/>
      <c r="AQ88" s="111"/>
      <c r="AR88" s="111"/>
      <c r="AS88" s="111"/>
      <c r="AT88" s="111"/>
      <c r="AU88" s="111"/>
      <c r="AV88" s="111"/>
      <c r="AW88" s="111"/>
      <c r="AX88" s="111"/>
      <c r="AY88" s="111"/>
      <c r="AZ88" s="111"/>
      <c r="BA88" s="111"/>
      <c r="BB88" s="111"/>
      <c r="BC88" s="111"/>
      <c r="BD88" s="111"/>
      <c r="BE88" s="111"/>
      <c r="BF88" s="111"/>
      <c r="BG88" s="111"/>
      <c r="BH88" s="111"/>
      <c r="BI88" s="111"/>
      <c r="BJ88" s="111"/>
      <c r="BK88" s="111"/>
      <c r="BL88" s="111"/>
      <c r="BM88" s="111"/>
      <c r="BN88" s="111"/>
      <c r="BO88" s="111"/>
      <c r="BP88" s="111"/>
      <c r="BQ88" s="111"/>
      <c r="BR88" s="111"/>
      <c r="BS88" s="111"/>
      <c r="BT88" s="111"/>
      <c r="BU88" s="111"/>
      <c r="BV88" s="111"/>
      <c r="BW88" s="111"/>
      <c r="BX88" s="111"/>
      <c r="BY88" s="111"/>
      <c r="BZ88" s="111"/>
      <c r="CA88" s="111"/>
      <c r="CB88" s="111"/>
      <c r="CC88" s="111"/>
      <c r="CD88" s="111"/>
      <c r="CE88" s="111"/>
      <c r="CF88" s="111"/>
      <c r="CG88" s="111"/>
      <c r="CH88" s="111"/>
      <c r="CI88" s="111"/>
      <c r="CJ88" s="111"/>
      <c r="CK88" s="111"/>
      <c r="CL88" s="111"/>
      <c r="CM88" s="111"/>
      <c r="CN88" s="111"/>
      <c r="CO88" s="111"/>
      <c r="CP88" s="111"/>
      <c r="CQ88" s="111"/>
      <c r="CR88" s="111"/>
      <c r="CS88" s="111"/>
      <c r="CT88" s="111"/>
      <c r="CU88" s="111"/>
      <c r="CV88" s="111"/>
      <c r="CW88" s="111"/>
      <c r="CX88" s="111"/>
      <c r="CY88" s="111"/>
      <c r="CZ88" s="111"/>
      <c r="DA88" s="111"/>
      <c r="DB88" s="111"/>
      <c r="DC88" s="111"/>
      <c r="DD88" s="111"/>
      <c r="DE88" s="111"/>
      <c r="DF88" s="111"/>
      <c r="DG88" s="111"/>
      <c r="DH88" s="111"/>
      <c r="DI88" s="111"/>
      <c r="DJ88" s="111"/>
      <c r="DK88" s="111"/>
      <c r="DL88" s="111"/>
      <c r="DM88" s="111"/>
      <c r="DN88" s="111"/>
      <c r="DO88" s="111"/>
      <c r="DP88" s="111"/>
      <c r="DQ88" s="111"/>
      <c r="DR88" s="111"/>
      <c r="DS88" s="111"/>
      <c r="DT88" s="111"/>
      <c r="DU88" s="111"/>
      <c r="DV88" s="111"/>
      <c r="DW88" s="111"/>
      <c r="DX88" s="111"/>
    </row>
    <row r="89" spans="1:128" s="3" customFormat="1" ht="12.75" customHeight="1" x14ac:dyDescent="0.3">
      <c r="A89" s="85"/>
      <c r="F89" s="66"/>
      <c r="G89" s="66"/>
      <c r="H89" s="111"/>
      <c r="I89" s="111"/>
      <c r="J89" s="111"/>
      <c r="K89" s="111"/>
      <c r="L89" s="111"/>
      <c r="M89" s="111"/>
      <c r="N89" s="111"/>
      <c r="O89" s="111"/>
      <c r="P89" s="111"/>
      <c r="Q89" s="111"/>
      <c r="R89" s="111"/>
      <c r="S89" s="111"/>
      <c r="T89" s="111"/>
      <c r="U89" s="111"/>
      <c r="V89" s="111"/>
      <c r="W89" s="111"/>
      <c r="X89" s="111"/>
      <c r="Y89" s="111"/>
      <c r="Z89" s="111"/>
      <c r="AA89" s="111"/>
      <c r="AB89" s="111"/>
      <c r="AC89" s="111"/>
      <c r="AD89" s="111"/>
      <c r="AE89" s="111"/>
      <c r="AF89" s="111"/>
      <c r="AG89" s="111"/>
      <c r="AH89" s="111"/>
      <c r="AI89" s="111"/>
      <c r="AJ89" s="111"/>
      <c r="AK89" s="111"/>
      <c r="AL89" s="111"/>
      <c r="AM89" s="111"/>
      <c r="AN89" s="111"/>
      <c r="AO89" s="111"/>
      <c r="AP89" s="111"/>
      <c r="AQ89" s="111"/>
      <c r="AR89" s="111"/>
      <c r="AS89" s="111"/>
      <c r="AT89" s="111"/>
      <c r="AU89" s="111"/>
      <c r="AV89" s="111"/>
      <c r="AW89" s="111"/>
      <c r="AX89" s="111"/>
      <c r="AY89" s="111"/>
      <c r="AZ89" s="111"/>
      <c r="BA89" s="111"/>
      <c r="BB89" s="111"/>
      <c r="BC89" s="111"/>
      <c r="BD89" s="111"/>
      <c r="BE89" s="111"/>
      <c r="BF89" s="111"/>
      <c r="BG89" s="111"/>
      <c r="BH89" s="111"/>
      <c r="BI89" s="111"/>
      <c r="BJ89" s="111"/>
      <c r="BK89" s="111"/>
      <c r="BL89" s="111"/>
      <c r="BM89" s="111"/>
      <c r="BN89" s="111"/>
      <c r="BO89" s="111"/>
      <c r="BP89" s="111"/>
      <c r="BQ89" s="111"/>
      <c r="BR89" s="111"/>
      <c r="BS89" s="111"/>
      <c r="BT89" s="111"/>
      <c r="BU89" s="111"/>
      <c r="BV89" s="111"/>
      <c r="BW89" s="111"/>
      <c r="BX89" s="111"/>
      <c r="BY89" s="111"/>
      <c r="BZ89" s="111"/>
      <c r="CA89" s="111"/>
      <c r="CB89" s="111"/>
      <c r="CC89" s="111"/>
      <c r="CD89" s="111"/>
      <c r="CE89" s="111"/>
      <c r="CF89" s="111"/>
      <c r="CG89" s="111"/>
      <c r="CH89" s="111"/>
      <c r="CI89" s="111"/>
      <c r="CJ89" s="111"/>
      <c r="CK89" s="111"/>
      <c r="CL89" s="111"/>
      <c r="CM89" s="111"/>
      <c r="CN89" s="111"/>
      <c r="CO89" s="111"/>
      <c r="CP89" s="111"/>
      <c r="CQ89" s="111"/>
      <c r="CR89" s="111"/>
      <c r="CS89" s="111"/>
      <c r="CT89" s="111"/>
      <c r="CU89" s="111"/>
      <c r="CV89" s="111"/>
      <c r="CW89" s="111"/>
      <c r="CX89" s="111"/>
      <c r="CY89" s="111"/>
      <c r="CZ89" s="111"/>
      <c r="DA89" s="111"/>
      <c r="DB89" s="111"/>
      <c r="DC89" s="111"/>
      <c r="DD89" s="111"/>
      <c r="DE89" s="111"/>
      <c r="DF89" s="111"/>
      <c r="DG89" s="111"/>
      <c r="DH89" s="111"/>
      <c r="DI89" s="111"/>
      <c r="DJ89" s="111"/>
      <c r="DK89" s="111"/>
      <c r="DL89" s="111"/>
      <c r="DM89" s="111"/>
      <c r="DN89" s="111"/>
      <c r="DO89" s="111"/>
      <c r="DP89" s="111"/>
      <c r="DQ89" s="111"/>
      <c r="DR89" s="111"/>
      <c r="DS89" s="111"/>
      <c r="DT89" s="111"/>
      <c r="DU89" s="111"/>
      <c r="DV89" s="111"/>
      <c r="DW89" s="111"/>
      <c r="DX89" s="111"/>
    </row>
    <row r="90" spans="1:128" s="3" customFormat="1" ht="12.75" customHeight="1" x14ac:dyDescent="0.3">
      <c r="A90" s="85"/>
      <c r="F90" s="66"/>
      <c r="G90" s="66"/>
      <c r="H90" s="111"/>
      <c r="I90" s="111"/>
      <c r="J90" s="111"/>
      <c r="K90" s="111"/>
      <c r="L90" s="111"/>
      <c r="M90" s="111"/>
      <c r="N90" s="111"/>
      <c r="O90" s="111"/>
      <c r="P90" s="111"/>
      <c r="Q90" s="111"/>
      <c r="R90" s="111"/>
      <c r="S90" s="111"/>
      <c r="T90" s="111"/>
      <c r="U90" s="111"/>
      <c r="V90" s="111"/>
      <c r="W90" s="111"/>
      <c r="X90" s="111"/>
      <c r="Y90" s="111"/>
      <c r="Z90" s="111"/>
      <c r="AA90" s="111"/>
      <c r="AB90" s="111"/>
      <c r="AC90" s="111"/>
      <c r="AD90" s="111"/>
      <c r="AE90" s="111"/>
      <c r="AF90" s="111"/>
      <c r="AG90" s="111"/>
      <c r="AH90" s="111"/>
      <c r="AI90" s="111"/>
      <c r="AJ90" s="111"/>
      <c r="AK90" s="111"/>
      <c r="AL90" s="111"/>
      <c r="AM90" s="111"/>
      <c r="AN90" s="111"/>
      <c r="AO90" s="111"/>
      <c r="AP90" s="111"/>
      <c r="AQ90" s="111"/>
      <c r="AR90" s="111"/>
      <c r="AS90" s="111"/>
      <c r="AT90" s="111"/>
      <c r="AU90" s="111"/>
      <c r="AV90" s="111"/>
      <c r="AW90" s="111"/>
      <c r="AX90" s="111"/>
      <c r="AY90" s="111"/>
      <c r="AZ90" s="111"/>
      <c r="BA90" s="111"/>
      <c r="BB90" s="111"/>
      <c r="BC90" s="111"/>
      <c r="BD90" s="111"/>
      <c r="BE90" s="111"/>
      <c r="BF90" s="111"/>
      <c r="BG90" s="111"/>
      <c r="BH90" s="111"/>
      <c r="BI90" s="111"/>
      <c r="BJ90" s="111"/>
      <c r="BK90" s="111"/>
      <c r="BL90" s="111"/>
      <c r="BM90" s="111"/>
      <c r="BN90" s="111"/>
      <c r="BO90" s="111"/>
      <c r="BP90" s="111"/>
      <c r="BQ90" s="111"/>
      <c r="BR90" s="111"/>
      <c r="BS90" s="111"/>
      <c r="BT90" s="111"/>
      <c r="BU90" s="111"/>
      <c r="BV90" s="111"/>
      <c r="BW90" s="111"/>
      <c r="BX90" s="111"/>
      <c r="BY90" s="111"/>
      <c r="BZ90" s="111"/>
      <c r="CA90" s="111"/>
      <c r="CB90" s="111"/>
      <c r="CC90" s="111"/>
      <c r="CD90" s="111"/>
      <c r="CE90" s="111"/>
      <c r="CF90" s="111"/>
      <c r="CG90" s="111"/>
      <c r="CH90" s="111"/>
      <c r="CI90" s="111"/>
      <c r="CJ90" s="111"/>
      <c r="CK90" s="111"/>
      <c r="CL90" s="111"/>
      <c r="CM90" s="111"/>
      <c r="CN90" s="111"/>
      <c r="CO90" s="111"/>
      <c r="CP90" s="111"/>
      <c r="CQ90" s="111"/>
      <c r="CR90" s="111"/>
      <c r="CS90" s="111"/>
      <c r="CT90" s="111"/>
      <c r="CU90" s="111"/>
      <c r="CV90" s="111"/>
      <c r="CW90" s="111"/>
      <c r="CX90" s="111"/>
      <c r="CY90" s="111"/>
      <c r="CZ90" s="111"/>
      <c r="DA90" s="111"/>
      <c r="DB90" s="111"/>
      <c r="DC90" s="111"/>
      <c r="DD90" s="111"/>
      <c r="DE90" s="111"/>
      <c r="DF90" s="111"/>
      <c r="DG90" s="111"/>
      <c r="DH90" s="111"/>
      <c r="DI90" s="111"/>
      <c r="DJ90" s="111"/>
      <c r="DK90" s="111"/>
      <c r="DL90" s="111"/>
      <c r="DM90" s="111"/>
      <c r="DN90" s="111"/>
      <c r="DO90" s="111"/>
      <c r="DP90" s="111"/>
      <c r="DQ90" s="111"/>
      <c r="DR90" s="111"/>
      <c r="DS90" s="111"/>
      <c r="DT90" s="111"/>
      <c r="DU90" s="111"/>
      <c r="DV90" s="111"/>
      <c r="DW90" s="111"/>
      <c r="DX90" s="111"/>
    </row>
    <row r="91" spans="1:128" s="3" customFormat="1" ht="12.75" customHeight="1" x14ac:dyDescent="0.3">
      <c r="A91" s="85"/>
      <c r="F91" s="66"/>
      <c r="G91" s="66"/>
      <c r="H91" s="111"/>
      <c r="I91" s="111"/>
      <c r="J91" s="111"/>
      <c r="K91" s="111"/>
      <c r="L91" s="111"/>
      <c r="M91" s="111"/>
      <c r="N91" s="111"/>
      <c r="O91" s="111"/>
      <c r="P91" s="111"/>
      <c r="Q91" s="111"/>
      <c r="R91" s="111"/>
      <c r="S91" s="111"/>
      <c r="T91" s="111"/>
      <c r="U91" s="111"/>
      <c r="V91" s="111"/>
      <c r="W91" s="111"/>
      <c r="X91" s="111"/>
      <c r="Y91" s="111"/>
      <c r="Z91" s="111"/>
      <c r="AA91" s="111"/>
      <c r="AB91" s="111"/>
      <c r="AC91" s="111"/>
      <c r="AD91" s="111"/>
      <c r="AE91" s="111"/>
      <c r="AF91" s="111"/>
      <c r="AG91" s="111"/>
      <c r="AH91" s="111"/>
      <c r="AI91" s="111"/>
      <c r="AJ91" s="111"/>
      <c r="AK91" s="111"/>
      <c r="AL91" s="111"/>
      <c r="AM91" s="111"/>
      <c r="AN91" s="111"/>
      <c r="AO91" s="111"/>
      <c r="AP91" s="111"/>
      <c r="AQ91" s="111"/>
      <c r="AR91" s="111"/>
      <c r="AS91" s="111"/>
      <c r="AT91" s="111"/>
      <c r="AU91" s="111"/>
      <c r="AV91" s="111"/>
      <c r="AW91" s="111"/>
      <c r="AX91" s="111"/>
      <c r="AY91" s="111"/>
      <c r="AZ91" s="111"/>
      <c r="BA91" s="111"/>
      <c r="BB91" s="111"/>
      <c r="BC91" s="111"/>
      <c r="BD91" s="111"/>
      <c r="BE91" s="111"/>
      <c r="BF91" s="111"/>
      <c r="BG91" s="111"/>
      <c r="BH91" s="111"/>
      <c r="BI91" s="111"/>
      <c r="BJ91" s="111"/>
      <c r="BK91" s="111"/>
      <c r="BL91" s="111"/>
      <c r="BM91" s="111"/>
      <c r="BN91" s="111"/>
      <c r="BO91" s="111"/>
      <c r="BP91" s="111"/>
      <c r="BQ91" s="111"/>
      <c r="BR91" s="111"/>
      <c r="BS91" s="111"/>
      <c r="BT91" s="111"/>
      <c r="BU91" s="111"/>
      <c r="BV91" s="111"/>
      <c r="BW91" s="111"/>
      <c r="BX91" s="111"/>
      <c r="BY91" s="111"/>
      <c r="BZ91" s="111"/>
      <c r="CA91" s="111"/>
      <c r="CB91" s="111"/>
      <c r="CC91" s="111"/>
      <c r="CD91" s="111"/>
      <c r="CE91" s="111"/>
      <c r="CF91" s="111"/>
      <c r="CG91" s="111"/>
      <c r="CH91" s="111"/>
      <c r="CI91" s="111"/>
      <c r="CJ91" s="111"/>
      <c r="CK91" s="111"/>
      <c r="CL91" s="111"/>
      <c r="CM91" s="111"/>
      <c r="CN91" s="111"/>
      <c r="CO91" s="111"/>
      <c r="CP91" s="111"/>
      <c r="CQ91" s="111"/>
      <c r="CR91" s="111"/>
      <c r="CS91" s="111"/>
      <c r="CT91" s="111"/>
      <c r="CU91" s="111"/>
      <c r="CV91" s="111"/>
      <c r="CW91" s="111"/>
      <c r="CX91" s="111"/>
      <c r="CY91" s="111"/>
      <c r="CZ91" s="111"/>
      <c r="DA91" s="111"/>
      <c r="DB91" s="111"/>
      <c r="DC91" s="111"/>
      <c r="DD91" s="111"/>
      <c r="DE91" s="111"/>
      <c r="DF91" s="111"/>
      <c r="DG91" s="111"/>
      <c r="DH91" s="111"/>
      <c r="DI91" s="111"/>
      <c r="DJ91" s="111"/>
      <c r="DK91" s="111"/>
      <c r="DL91" s="111"/>
      <c r="DM91" s="111"/>
      <c r="DN91" s="111"/>
      <c r="DO91" s="111"/>
      <c r="DP91" s="111"/>
      <c r="DQ91" s="111"/>
      <c r="DR91" s="111"/>
      <c r="DS91" s="111"/>
      <c r="DT91" s="111"/>
      <c r="DU91" s="111"/>
      <c r="DV91" s="111"/>
      <c r="DW91" s="111"/>
      <c r="DX91" s="111"/>
    </row>
    <row r="92" spans="1:128" s="3" customFormat="1" ht="12.75" customHeight="1" x14ac:dyDescent="0.3">
      <c r="A92" s="85"/>
      <c r="F92" s="66"/>
      <c r="G92" s="66"/>
      <c r="H92" s="111"/>
      <c r="I92" s="111"/>
      <c r="J92" s="111"/>
      <c r="K92" s="111"/>
      <c r="L92" s="111"/>
      <c r="M92" s="111"/>
      <c r="N92" s="111"/>
      <c r="O92" s="111"/>
      <c r="P92" s="111"/>
      <c r="Q92" s="111"/>
      <c r="R92" s="111"/>
      <c r="S92" s="111"/>
      <c r="T92" s="111"/>
      <c r="U92" s="111"/>
      <c r="V92" s="111"/>
      <c r="W92" s="111"/>
      <c r="X92" s="111"/>
      <c r="Y92" s="111"/>
      <c r="Z92" s="111"/>
      <c r="AA92" s="111"/>
      <c r="AB92" s="111"/>
      <c r="AC92" s="111"/>
      <c r="AD92" s="111"/>
      <c r="AE92" s="111"/>
      <c r="AF92" s="111"/>
      <c r="AG92" s="111"/>
      <c r="AH92" s="111"/>
      <c r="AI92" s="111"/>
      <c r="AJ92" s="111"/>
      <c r="AK92" s="111"/>
      <c r="AL92" s="111"/>
      <c r="AM92" s="111"/>
      <c r="AN92" s="111"/>
      <c r="AO92" s="111"/>
      <c r="AP92" s="111"/>
      <c r="AQ92" s="111"/>
      <c r="AR92" s="111"/>
      <c r="AS92" s="111"/>
      <c r="AT92" s="111"/>
      <c r="AU92" s="111"/>
      <c r="AV92" s="111"/>
      <c r="AW92" s="111"/>
      <c r="AX92" s="111"/>
      <c r="AY92" s="111"/>
      <c r="AZ92" s="111"/>
      <c r="BA92" s="111"/>
      <c r="BB92" s="111"/>
      <c r="BC92" s="111"/>
      <c r="BD92" s="111"/>
      <c r="BE92" s="111"/>
      <c r="BF92" s="111"/>
      <c r="BG92" s="111"/>
      <c r="BH92" s="111"/>
      <c r="BI92" s="111"/>
      <c r="BJ92" s="111"/>
      <c r="BK92" s="111"/>
      <c r="BL92" s="111"/>
      <c r="BM92" s="111"/>
      <c r="BN92" s="111"/>
      <c r="BO92" s="111"/>
      <c r="BP92" s="111"/>
      <c r="BQ92" s="111"/>
      <c r="BR92" s="111"/>
      <c r="BS92" s="111"/>
      <c r="BT92" s="111"/>
      <c r="BU92" s="111"/>
      <c r="BV92" s="111"/>
      <c r="BW92" s="111"/>
      <c r="BX92" s="111"/>
      <c r="BY92" s="111"/>
      <c r="BZ92" s="111"/>
      <c r="CA92" s="111"/>
      <c r="CB92" s="111"/>
      <c r="CC92" s="111"/>
      <c r="CD92" s="111"/>
      <c r="CE92" s="111"/>
      <c r="CF92" s="111"/>
      <c r="CG92" s="111"/>
      <c r="CH92" s="111"/>
      <c r="CI92" s="111"/>
      <c r="CJ92" s="111"/>
      <c r="CK92" s="111"/>
      <c r="CL92" s="111"/>
      <c r="CM92" s="111"/>
      <c r="CN92" s="111"/>
      <c r="CO92" s="111"/>
      <c r="CP92" s="111"/>
      <c r="CQ92" s="111"/>
      <c r="CR92" s="111"/>
      <c r="CS92" s="111"/>
      <c r="CT92" s="111"/>
      <c r="CU92" s="111"/>
      <c r="CV92" s="111"/>
      <c r="CW92" s="111"/>
      <c r="CX92" s="111"/>
      <c r="CY92" s="111"/>
      <c r="CZ92" s="111"/>
      <c r="DA92" s="111"/>
      <c r="DB92" s="111"/>
      <c r="DC92" s="111"/>
      <c r="DD92" s="111"/>
      <c r="DE92" s="111"/>
      <c r="DF92" s="111"/>
      <c r="DG92" s="111"/>
      <c r="DH92" s="111"/>
      <c r="DI92" s="111"/>
      <c r="DJ92" s="111"/>
      <c r="DK92" s="111"/>
      <c r="DL92" s="111"/>
      <c r="DM92" s="111"/>
      <c r="DN92" s="111"/>
      <c r="DO92" s="111"/>
      <c r="DP92" s="111"/>
      <c r="DQ92" s="111"/>
      <c r="DR92" s="111"/>
      <c r="DS92" s="111"/>
      <c r="DT92" s="111"/>
      <c r="DU92" s="111"/>
      <c r="DV92" s="111"/>
      <c r="DW92" s="111"/>
      <c r="DX92" s="111"/>
    </row>
    <row r="93" spans="1:128" s="3" customFormat="1" ht="12.75" customHeight="1" x14ac:dyDescent="0.3">
      <c r="A93" s="85"/>
      <c r="F93" s="66"/>
      <c r="G93" s="66"/>
      <c r="H93" s="111"/>
      <c r="I93" s="111"/>
      <c r="J93" s="111"/>
      <c r="K93" s="111"/>
      <c r="L93" s="111"/>
      <c r="M93" s="111"/>
      <c r="N93" s="111"/>
      <c r="O93" s="111"/>
      <c r="P93" s="111"/>
      <c r="Q93" s="111"/>
      <c r="R93" s="111"/>
      <c r="S93" s="111"/>
      <c r="T93" s="111"/>
      <c r="U93" s="111"/>
      <c r="V93" s="111"/>
      <c r="W93" s="111"/>
      <c r="X93" s="111"/>
      <c r="Y93" s="111"/>
      <c r="Z93" s="111"/>
      <c r="AA93" s="111"/>
      <c r="AB93" s="111"/>
      <c r="AC93" s="111"/>
      <c r="AD93" s="111"/>
      <c r="AE93" s="111"/>
      <c r="AF93" s="111"/>
      <c r="AG93" s="111"/>
      <c r="AH93" s="111"/>
      <c r="AI93" s="111"/>
      <c r="AJ93" s="111"/>
      <c r="AK93" s="111"/>
      <c r="AL93" s="111"/>
      <c r="AM93" s="111"/>
      <c r="AN93" s="111"/>
      <c r="AO93" s="111"/>
      <c r="AP93" s="111"/>
      <c r="AQ93" s="111"/>
      <c r="AR93" s="111"/>
      <c r="AS93" s="111"/>
      <c r="AT93" s="111"/>
      <c r="AU93" s="111"/>
      <c r="AV93" s="111"/>
      <c r="AW93" s="111"/>
      <c r="AX93" s="111"/>
      <c r="AY93" s="111"/>
      <c r="AZ93" s="111"/>
      <c r="BA93" s="111"/>
      <c r="BB93" s="111"/>
      <c r="BC93" s="111"/>
      <c r="BD93" s="111"/>
      <c r="BE93" s="111"/>
      <c r="BF93" s="111"/>
      <c r="BG93" s="111"/>
      <c r="BH93" s="111"/>
      <c r="BI93" s="111"/>
      <c r="BJ93" s="111"/>
      <c r="BK93" s="111"/>
      <c r="BL93" s="111"/>
      <c r="BM93" s="111"/>
      <c r="BN93" s="111"/>
      <c r="BO93" s="111"/>
      <c r="BP93" s="111"/>
      <c r="BQ93" s="111"/>
      <c r="BR93" s="111"/>
      <c r="BS93" s="111"/>
      <c r="BT93" s="111"/>
      <c r="BU93" s="111"/>
      <c r="BV93" s="111"/>
      <c r="BW93" s="111"/>
      <c r="BX93" s="111"/>
      <c r="BY93" s="111"/>
      <c r="BZ93" s="111"/>
      <c r="CA93" s="111"/>
      <c r="CB93" s="111"/>
      <c r="CC93" s="111"/>
      <c r="CD93" s="111"/>
      <c r="CE93" s="111"/>
      <c r="CF93" s="111"/>
      <c r="CG93" s="111"/>
      <c r="CH93" s="111"/>
      <c r="CI93" s="111"/>
      <c r="CJ93" s="111"/>
      <c r="CK93" s="111"/>
      <c r="CL93" s="111"/>
      <c r="CM93" s="111"/>
      <c r="CN93" s="111"/>
      <c r="CO93" s="111"/>
      <c r="CP93" s="111"/>
      <c r="CQ93" s="111"/>
      <c r="CR93" s="111"/>
      <c r="CS93" s="111"/>
      <c r="CT93" s="111"/>
      <c r="CU93" s="111"/>
      <c r="CV93" s="111"/>
      <c r="CW93" s="111"/>
      <c r="CX93" s="111"/>
      <c r="CY93" s="111"/>
      <c r="CZ93" s="111"/>
      <c r="DA93" s="111"/>
      <c r="DB93" s="111"/>
      <c r="DC93" s="111"/>
      <c r="DD93" s="111"/>
      <c r="DE93" s="111"/>
      <c r="DF93" s="111"/>
      <c r="DG93" s="111"/>
      <c r="DH93" s="111"/>
      <c r="DI93" s="111"/>
      <c r="DJ93" s="111"/>
      <c r="DK93" s="111"/>
      <c r="DL93" s="111"/>
      <c r="DM93" s="111"/>
      <c r="DN93" s="111"/>
      <c r="DO93" s="111"/>
      <c r="DP93" s="111"/>
      <c r="DQ93" s="111"/>
      <c r="DR93" s="111"/>
      <c r="DS93" s="111"/>
      <c r="DT93" s="111"/>
      <c r="DU93" s="111"/>
      <c r="DV93" s="111"/>
      <c r="DW93" s="111"/>
      <c r="DX93" s="111"/>
    </row>
    <row r="94" spans="1:128" s="3" customFormat="1" ht="12.75" customHeight="1" x14ac:dyDescent="0.3">
      <c r="A94" s="85"/>
      <c r="F94" s="66"/>
      <c r="G94" s="66"/>
      <c r="H94" s="111"/>
      <c r="I94" s="111"/>
      <c r="J94" s="111"/>
      <c r="K94" s="111"/>
      <c r="L94" s="111"/>
      <c r="M94" s="111"/>
      <c r="N94" s="111"/>
      <c r="O94" s="111"/>
      <c r="P94" s="111"/>
      <c r="Q94" s="111"/>
      <c r="R94" s="111"/>
      <c r="S94" s="111"/>
      <c r="T94" s="111"/>
      <c r="U94" s="111"/>
      <c r="V94" s="111"/>
      <c r="W94" s="111"/>
      <c r="X94" s="111"/>
      <c r="Y94" s="111"/>
      <c r="Z94" s="111"/>
      <c r="AA94" s="111"/>
      <c r="AB94" s="111"/>
      <c r="AC94" s="111"/>
      <c r="AD94" s="111"/>
      <c r="AE94" s="111"/>
      <c r="AF94" s="111"/>
      <c r="AG94" s="111"/>
      <c r="AH94" s="111"/>
      <c r="AI94" s="111"/>
      <c r="AJ94" s="111"/>
      <c r="AK94" s="111"/>
      <c r="AL94" s="111"/>
      <c r="AM94" s="111"/>
      <c r="AN94" s="111"/>
      <c r="AO94" s="111"/>
      <c r="AP94" s="111"/>
      <c r="AQ94" s="111"/>
      <c r="AR94" s="111"/>
      <c r="AS94" s="111"/>
      <c r="AT94" s="111"/>
      <c r="AU94" s="111"/>
      <c r="AV94" s="111"/>
      <c r="AW94" s="111"/>
      <c r="AX94" s="111"/>
      <c r="AY94" s="111"/>
      <c r="AZ94" s="111"/>
      <c r="BA94" s="111"/>
      <c r="BB94" s="111"/>
      <c r="BC94" s="111"/>
      <c r="BD94" s="111"/>
      <c r="BE94" s="111"/>
      <c r="BF94" s="111"/>
      <c r="BG94" s="111"/>
      <c r="BH94" s="111"/>
      <c r="BI94" s="111"/>
      <c r="BJ94" s="111"/>
      <c r="BK94" s="111"/>
      <c r="BL94" s="111"/>
      <c r="BM94" s="111"/>
      <c r="BN94" s="111"/>
      <c r="BO94" s="111"/>
      <c r="BP94" s="111"/>
      <c r="BQ94" s="111"/>
      <c r="BR94" s="111"/>
      <c r="BS94" s="111"/>
      <c r="BT94" s="111"/>
      <c r="BU94" s="111"/>
      <c r="BV94" s="111"/>
      <c r="BW94" s="111"/>
      <c r="BX94" s="111"/>
      <c r="BY94" s="111"/>
      <c r="BZ94" s="111"/>
      <c r="CA94" s="111"/>
      <c r="CB94" s="111"/>
      <c r="CC94" s="111"/>
      <c r="CD94" s="111"/>
      <c r="CE94" s="111"/>
      <c r="CF94" s="111"/>
      <c r="CG94" s="111"/>
      <c r="CH94" s="111"/>
      <c r="CI94" s="111"/>
      <c r="CJ94" s="111"/>
      <c r="CK94" s="111"/>
      <c r="CL94" s="111"/>
      <c r="CM94" s="111"/>
      <c r="CN94" s="111"/>
      <c r="CO94" s="111"/>
      <c r="CP94" s="111"/>
      <c r="CQ94" s="111"/>
      <c r="CR94" s="111"/>
      <c r="CS94" s="111"/>
      <c r="CT94" s="111"/>
      <c r="CU94" s="111"/>
      <c r="CV94" s="111"/>
      <c r="CW94" s="111"/>
      <c r="CX94" s="111"/>
      <c r="CY94" s="111"/>
      <c r="CZ94" s="111"/>
      <c r="DA94" s="111"/>
      <c r="DB94" s="111"/>
      <c r="DC94" s="111"/>
      <c r="DD94" s="111"/>
      <c r="DE94" s="111"/>
      <c r="DF94" s="111"/>
      <c r="DG94" s="111"/>
      <c r="DH94" s="111"/>
      <c r="DI94" s="111"/>
      <c r="DJ94" s="111"/>
      <c r="DK94" s="111"/>
      <c r="DL94" s="111"/>
      <c r="DM94" s="111"/>
      <c r="DN94" s="111"/>
      <c r="DO94" s="111"/>
      <c r="DP94" s="111"/>
      <c r="DQ94" s="111"/>
      <c r="DR94" s="111"/>
      <c r="DS94" s="111"/>
      <c r="DT94" s="111"/>
      <c r="DU94" s="111"/>
      <c r="DV94" s="111"/>
      <c r="DW94" s="111"/>
      <c r="DX94" s="111"/>
    </row>
    <row r="95" spans="1:128" s="3" customFormat="1" ht="12.75" customHeight="1" x14ac:dyDescent="0.3">
      <c r="A95" s="85"/>
      <c r="F95" s="66"/>
      <c r="G95" s="66"/>
      <c r="H95" s="111"/>
      <c r="I95" s="111"/>
      <c r="J95" s="111"/>
      <c r="K95" s="111"/>
      <c r="L95" s="111"/>
      <c r="M95" s="111"/>
      <c r="N95" s="111"/>
      <c r="O95" s="111"/>
      <c r="P95" s="111"/>
      <c r="Q95" s="111"/>
      <c r="R95" s="111"/>
      <c r="S95" s="111"/>
      <c r="T95" s="111"/>
      <c r="U95" s="111"/>
      <c r="V95" s="111"/>
      <c r="W95" s="111"/>
      <c r="X95" s="111"/>
      <c r="Y95" s="111"/>
      <c r="Z95" s="111"/>
      <c r="AA95" s="111"/>
      <c r="AB95" s="111"/>
      <c r="AC95" s="111"/>
      <c r="AD95" s="111"/>
      <c r="AE95" s="111"/>
      <c r="AF95" s="111"/>
      <c r="AG95" s="111"/>
      <c r="AH95" s="111"/>
      <c r="AI95" s="111"/>
      <c r="AJ95" s="111"/>
      <c r="AK95" s="111"/>
      <c r="AL95" s="111"/>
      <c r="AM95" s="111"/>
      <c r="AN95" s="111"/>
      <c r="AO95" s="111"/>
      <c r="AP95" s="111"/>
      <c r="AQ95" s="111"/>
      <c r="AR95" s="111"/>
      <c r="AS95" s="111"/>
      <c r="AT95" s="111"/>
      <c r="AU95" s="111"/>
      <c r="AV95" s="111"/>
      <c r="AW95" s="111"/>
      <c r="AX95" s="111"/>
      <c r="AY95" s="111"/>
      <c r="AZ95" s="111"/>
      <c r="BA95" s="111"/>
      <c r="BB95" s="111"/>
      <c r="BC95" s="111"/>
      <c r="BD95" s="111"/>
      <c r="BE95" s="111"/>
      <c r="BF95" s="111"/>
      <c r="BG95" s="111"/>
      <c r="BH95" s="111"/>
      <c r="BI95" s="111"/>
      <c r="BJ95" s="111"/>
      <c r="BK95" s="111"/>
      <c r="BL95" s="111"/>
      <c r="BM95" s="111"/>
      <c r="BN95" s="111"/>
      <c r="BO95" s="111"/>
      <c r="BP95" s="111"/>
      <c r="BQ95" s="111"/>
      <c r="BR95" s="111"/>
      <c r="BS95" s="111"/>
      <c r="BT95" s="111"/>
      <c r="BU95" s="111"/>
      <c r="BV95" s="111"/>
      <c r="BW95" s="111"/>
      <c r="BX95" s="111"/>
      <c r="BY95" s="111"/>
      <c r="BZ95" s="111"/>
      <c r="CA95" s="111"/>
      <c r="CB95" s="111"/>
      <c r="CC95" s="111"/>
      <c r="CD95" s="111"/>
      <c r="CE95" s="111"/>
      <c r="CF95" s="111"/>
      <c r="CG95" s="111"/>
      <c r="CH95" s="111"/>
      <c r="CI95" s="111"/>
      <c r="CJ95" s="111"/>
      <c r="CK95" s="111"/>
      <c r="CL95" s="111"/>
      <c r="CM95" s="111"/>
      <c r="CN95" s="111"/>
      <c r="CO95" s="111"/>
      <c r="CP95" s="111"/>
      <c r="CQ95" s="111"/>
      <c r="CR95" s="111"/>
      <c r="CS95" s="111"/>
      <c r="CT95" s="111"/>
      <c r="CU95" s="111"/>
      <c r="CV95" s="111"/>
      <c r="CW95" s="111"/>
      <c r="CX95" s="111"/>
      <c r="CY95" s="111"/>
      <c r="CZ95" s="111"/>
      <c r="DA95" s="111"/>
      <c r="DB95" s="111"/>
      <c r="DC95" s="111"/>
      <c r="DD95" s="111"/>
      <c r="DE95" s="111"/>
      <c r="DF95" s="111"/>
      <c r="DG95" s="111"/>
      <c r="DH95" s="111"/>
      <c r="DI95" s="111"/>
      <c r="DJ95" s="111"/>
      <c r="DK95" s="111"/>
      <c r="DL95" s="111"/>
      <c r="DM95" s="111"/>
      <c r="DN95" s="111"/>
      <c r="DO95" s="111"/>
      <c r="DP95" s="111"/>
      <c r="DQ95" s="111"/>
      <c r="DR95" s="111"/>
      <c r="DS95" s="111"/>
      <c r="DT95" s="111"/>
      <c r="DU95" s="111"/>
      <c r="DV95" s="111"/>
      <c r="DW95" s="111"/>
      <c r="DX95" s="111"/>
    </row>
    <row r="96" spans="1:128" s="3" customFormat="1" ht="12.75" customHeight="1" x14ac:dyDescent="0.3">
      <c r="A96" s="85"/>
      <c r="F96" s="66"/>
      <c r="G96" s="66"/>
      <c r="H96" s="111"/>
      <c r="I96" s="111"/>
      <c r="J96" s="111"/>
      <c r="K96" s="111"/>
      <c r="L96" s="111"/>
      <c r="M96" s="111"/>
      <c r="N96" s="111"/>
      <c r="O96" s="111"/>
      <c r="P96" s="111"/>
      <c r="Q96" s="111"/>
      <c r="R96" s="111"/>
      <c r="S96" s="111"/>
      <c r="T96" s="111"/>
      <c r="U96" s="111"/>
      <c r="V96" s="111"/>
      <c r="W96" s="111"/>
      <c r="X96" s="111"/>
      <c r="Y96" s="111"/>
      <c r="Z96" s="111"/>
      <c r="AA96" s="111"/>
      <c r="AB96" s="111"/>
      <c r="AC96" s="111"/>
      <c r="AD96" s="111"/>
      <c r="AE96" s="111"/>
      <c r="AF96" s="111"/>
      <c r="AG96" s="111"/>
      <c r="AH96" s="111"/>
      <c r="AI96" s="111"/>
      <c r="AJ96" s="111"/>
      <c r="AK96" s="111"/>
      <c r="AL96" s="111"/>
      <c r="AM96" s="111"/>
      <c r="AN96" s="111"/>
      <c r="AO96" s="111"/>
      <c r="AP96" s="111"/>
      <c r="AQ96" s="111"/>
      <c r="AR96" s="111"/>
      <c r="AS96" s="111"/>
      <c r="AT96" s="111"/>
      <c r="AU96" s="111"/>
      <c r="AV96" s="111"/>
      <c r="AW96" s="111"/>
      <c r="AX96" s="111"/>
      <c r="AY96" s="111"/>
      <c r="AZ96" s="111"/>
      <c r="BA96" s="111"/>
      <c r="BB96" s="111"/>
      <c r="BC96" s="111"/>
      <c r="BD96" s="111"/>
      <c r="BE96" s="111"/>
      <c r="BF96" s="111"/>
      <c r="BG96" s="111"/>
      <c r="BH96" s="111"/>
      <c r="BI96" s="111"/>
      <c r="BJ96" s="111"/>
      <c r="BK96" s="111"/>
      <c r="BL96" s="111"/>
      <c r="BM96" s="111"/>
      <c r="BN96" s="111"/>
      <c r="BO96" s="111"/>
      <c r="BP96" s="111"/>
      <c r="BQ96" s="111"/>
      <c r="BR96" s="111"/>
      <c r="BS96" s="111"/>
      <c r="BT96" s="111"/>
      <c r="BU96" s="111"/>
      <c r="BV96" s="111"/>
      <c r="BW96" s="111"/>
      <c r="BX96" s="111"/>
      <c r="BY96" s="111"/>
      <c r="BZ96" s="111"/>
      <c r="CA96" s="111"/>
      <c r="CB96" s="111"/>
      <c r="CC96" s="111"/>
      <c r="CD96" s="111"/>
      <c r="CE96" s="111"/>
      <c r="CF96" s="111"/>
      <c r="CG96" s="111"/>
      <c r="CH96" s="111"/>
      <c r="CI96" s="111"/>
      <c r="CJ96" s="111"/>
      <c r="CK96" s="111"/>
      <c r="CL96" s="111"/>
      <c r="CM96" s="111"/>
      <c r="CN96" s="111"/>
      <c r="CO96" s="111"/>
      <c r="CP96" s="111"/>
      <c r="CQ96" s="111"/>
      <c r="CR96" s="111"/>
      <c r="CS96" s="111"/>
      <c r="CT96" s="111"/>
      <c r="CU96" s="111"/>
      <c r="CV96" s="111"/>
      <c r="CW96" s="111"/>
      <c r="CX96" s="111"/>
      <c r="CY96" s="111"/>
      <c r="CZ96" s="111"/>
      <c r="DA96" s="111"/>
      <c r="DB96" s="111"/>
      <c r="DC96" s="111"/>
      <c r="DD96" s="111"/>
      <c r="DE96" s="111"/>
      <c r="DF96" s="111"/>
      <c r="DG96" s="111"/>
      <c r="DH96" s="111"/>
      <c r="DI96" s="111"/>
      <c r="DJ96" s="111"/>
      <c r="DK96" s="111"/>
      <c r="DL96" s="111"/>
      <c r="DM96" s="111"/>
      <c r="DN96" s="111"/>
      <c r="DO96" s="111"/>
      <c r="DP96" s="111"/>
      <c r="DQ96" s="111"/>
      <c r="DR96" s="111"/>
      <c r="DS96" s="111"/>
      <c r="DT96" s="111"/>
      <c r="DU96" s="111"/>
      <c r="DV96" s="111"/>
      <c r="DW96" s="111"/>
      <c r="DX96" s="111"/>
    </row>
    <row r="97" spans="1:128" s="3" customFormat="1" ht="12.75" customHeight="1" x14ac:dyDescent="0.3">
      <c r="A97" s="85"/>
      <c r="F97" s="66"/>
      <c r="G97" s="66"/>
      <c r="H97" s="111"/>
      <c r="I97" s="111"/>
      <c r="J97" s="111"/>
      <c r="K97" s="111"/>
      <c r="L97" s="111"/>
      <c r="M97" s="111"/>
      <c r="N97" s="111"/>
      <c r="O97" s="111"/>
      <c r="P97" s="111"/>
      <c r="Q97" s="111"/>
      <c r="R97" s="111"/>
      <c r="S97" s="111"/>
      <c r="T97" s="111"/>
      <c r="U97" s="111"/>
      <c r="V97" s="111"/>
      <c r="W97" s="111"/>
      <c r="X97" s="111"/>
      <c r="Y97" s="111"/>
      <c r="Z97" s="111"/>
      <c r="AA97" s="111"/>
      <c r="AB97" s="111"/>
      <c r="AC97" s="111"/>
      <c r="AD97" s="111"/>
      <c r="AE97" s="111"/>
      <c r="AF97" s="111"/>
      <c r="AG97" s="111"/>
      <c r="AH97" s="111"/>
      <c r="AI97" s="111"/>
      <c r="AJ97" s="111"/>
      <c r="AK97" s="111"/>
      <c r="AL97" s="111"/>
      <c r="AM97" s="111"/>
      <c r="AN97" s="111"/>
      <c r="AO97" s="111"/>
      <c r="AP97" s="111"/>
      <c r="AQ97" s="111"/>
      <c r="AR97" s="111"/>
      <c r="AS97" s="111"/>
      <c r="AT97" s="111"/>
      <c r="AU97" s="111"/>
      <c r="AV97" s="111"/>
      <c r="AW97" s="111"/>
      <c r="AX97" s="111"/>
      <c r="AY97" s="111"/>
      <c r="AZ97" s="111"/>
      <c r="BA97" s="111"/>
      <c r="BB97" s="111"/>
      <c r="BC97" s="111"/>
      <c r="BD97" s="111"/>
      <c r="BE97" s="111"/>
      <c r="BF97" s="111"/>
      <c r="BG97" s="111"/>
      <c r="BH97" s="111"/>
      <c r="BI97" s="111"/>
      <c r="BJ97" s="111"/>
      <c r="BK97" s="111"/>
      <c r="BL97" s="111"/>
      <c r="BM97" s="111"/>
      <c r="BN97" s="111"/>
      <c r="BO97" s="111"/>
      <c r="BP97" s="111"/>
      <c r="BQ97" s="111"/>
      <c r="BR97" s="111"/>
      <c r="BS97" s="111"/>
      <c r="BT97" s="111"/>
      <c r="BU97" s="111"/>
      <c r="BV97" s="111"/>
      <c r="BW97" s="111"/>
      <c r="BX97" s="111"/>
      <c r="BY97" s="111"/>
      <c r="BZ97" s="111"/>
      <c r="CA97" s="111"/>
      <c r="CB97" s="111"/>
      <c r="CC97" s="111"/>
      <c r="CD97" s="111"/>
      <c r="CE97" s="111"/>
      <c r="CF97" s="111"/>
      <c r="CG97" s="111"/>
      <c r="CH97" s="111"/>
      <c r="CI97" s="111"/>
      <c r="CJ97" s="111"/>
      <c r="CK97" s="111"/>
      <c r="CL97" s="111"/>
      <c r="CM97" s="111"/>
      <c r="CN97" s="111"/>
      <c r="CO97" s="111"/>
      <c r="CP97" s="111"/>
      <c r="CQ97" s="111"/>
      <c r="CR97" s="111"/>
      <c r="CS97" s="111"/>
      <c r="CT97" s="111"/>
      <c r="CU97" s="111"/>
      <c r="CV97" s="111"/>
      <c r="CW97" s="111"/>
      <c r="CX97" s="111"/>
      <c r="CY97" s="111"/>
      <c r="CZ97" s="111"/>
      <c r="DA97" s="111"/>
      <c r="DB97" s="111"/>
      <c r="DC97" s="111"/>
      <c r="DD97" s="111"/>
      <c r="DE97" s="111"/>
      <c r="DF97" s="111"/>
      <c r="DG97" s="111"/>
      <c r="DH97" s="111"/>
      <c r="DI97" s="111"/>
      <c r="DJ97" s="111"/>
      <c r="DK97" s="111"/>
      <c r="DL97" s="111"/>
      <c r="DM97" s="111"/>
      <c r="DN97" s="111"/>
      <c r="DO97" s="111"/>
      <c r="DP97" s="111"/>
      <c r="DQ97" s="111"/>
      <c r="DR97" s="111"/>
      <c r="DS97" s="111"/>
      <c r="DT97" s="111"/>
      <c r="DU97" s="111"/>
      <c r="DV97" s="111"/>
      <c r="DW97" s="111"/>
      <c r="DX97" s="111"/>
    </row>
    <row r="98" spans="1:128" s="3" customFormat="1" ht="12.75" customHeight="1" x14ac:dyDescent="0.3">
      <c r="A98" s="85"/>
      <c r="F98" s="66"/>
      <c r="G98" s="66"/>
      <c r="H98" s="111"/>
      <c r="I98" s="111"/>
      <c r="J98" s="111"/>
      <c r="K98" s="111"/>
      <c r="L98" s="111"/>
      <c r="M98" s="111"/>
      <c r="N98" s="111"/>
      <c r="O98" s="111"/>
      <c r="P98" s="111"/>
      <c r="Q98" s="111"/>
      <c r="R98" s="111"/>
      <c r="S98" s="111"/>
      <c r="T98" s="111"/>
      <c r="U98" s="111"/>
      <c r="V98" s="111"/>
      <c r="W98" s="111"/>
      <c r="X98" s="111"/>
      <c r="Y98" s="111"/>
      <c r="Z98" s="111"/>
      <c r="AA98" s="111"/>
      <c r="AB98" s="111"/>
      <c r="AC98" s="111"/>
      <c r="AD98" s="111"/>
      <c r="AE98" s="111"/>
      <c r="AF98" s="111"/>
      <c r="AG98" s="111"/>
      <c r="AH98" s="111"/>
      <c r="AI98" s="111"/>
      <c r="AJ98" s="111"/>
      <c r="AK98" s="111"/>
      <c r="AL98" s="111"/>
      <c r="AM98" s="111"/>
      <c r="AN98" s="111"/>
      <c r="AO98" s="111"/>
      <c r="AP98" s="111"/>
      <c r="AQ98" s="111"/>
      <c r="AR98" s="111"/>
      <c r="AS98" s="111"/>
      <c r="AT98" s="111"/>
      <c r="AU98" s="111"/>
      <c r="AV98" s="111"/>
      <c r="AW98" s="111"/>
      <c r="AX98" s="111"/>
      <c r="AY98" s="111"/>
      <c r="AZ98" s="111"/>
      <c r="BA98" s="111"/>
      <c r="BB98" s="111"/>
      <c r="BC98" s="111"/>
      <c r="BD98" s="111"/>
      <c r="BE98" s="111"/>
      <c r="BF98" s="111"/>
      <c r="BG98" s="111"/>
      <c r="BH98" s="111"/>
      <c r="BI98" s="111"/>
      <c r="BJ98" s="111"/>
      <c r="BK98" s="111"/>
      <c r="BL98" s="111"/>
      <c r="BM98" s="111"/>
      <c r="BN98" s="111"/>
      <c r="BO98" s="111"/>
      <c r="BP98" s="111"/>
      <c r="BQ98" s="111"/>
      <c r="BR98" s="111"/>
      <c r="BS98" s="111"/>
      <c r="BT98" s="111"/>
      <c r="BU98" s="111"/>
      <c r="BV98" s="111"/>
      <c r="BW98" s="111"/>
      <c r="BX98" s="111"/>
      <c r="BY98" s="111"/>
      <c r="BZ98" s="111"/>
      <c r="CA98" s="111"/>
      <c r="CB98" s="111"/>
      <c r="CC98" s="111"/>
      <c r="CD98" s="111"/>
      <c r="CE98" s="111"/>
      <c r="CF98" s="111"/>
      <c r="CG98" s="111"/>
      <c r="CH98" s="111"/>
      <c r="CI98" s="111"/>
      <c r="CJ98" s="111"/>
      <c r="CK98" s="111"/>
      <c r="CL98" s="111"/>
      <c r="CM98" s="111"/>
      <c r="CN98" s="111"/>
      <c r="CO98" s="111"/>
      <c r="CP98" s="111"/>
      <c r="CQ98" s="111"/>
      <c r="CR98" s="111"/>
      <c r="CS98" s="111"/>
      <c r="CT98" s="111"/>
      <c r="CU98" s="111"/>
      <c r="CV98" s="111"/>
      <c r="CW98" s="111"/>
      <c r="CX98" s="111"/>
      <c r="CY98" s="111"/>
      <c r="CZ98" s="111"/>
      <c r="DA98" s="111"/>
      <c r="DB98" s="111"/>
      <c r="DC98" s="111"/>
      <c r="DD98" s="111"/>
      <c r="DE98" s="111"/>
      <c r="DF98" s="111"/>
      <c r="DG98" s="111"/>
      <c r="DH98" s="111"/>
      <c r="DI98" s="111"/>
      <c r="DJ98" s="111"/>
      <c r="DK98" s="111"/>
      <c r="DL98" s="111"/>
      <c r="DM98" s="111"/>
      <c r="DN98" s="111"/>
      <c r="DO98" s="111"/>
      <c r="DP98" s="111"/>
      <c r="DQ98" s="111"/>
      <c r="DR98" s="111"/>
      <c r="DS98" s="111"/>
      <c r="DT98" s="111"/>
      <c r="DU98" s="111"/>
      <c r="DV98" s="111"/>
      <c r="DW98" s="111"/>
      <c r="DX98" s="111"/>
    </row>
    <row r="99" spans="1:128" s="3" customFormat="1" ht="12.75" customHeight="1" x14ac:dyDescent="0.3">
      <c r="A99" s="85"/>
      <c r="F99" s="66"/>
      <c r="G99" s="66"/>
      <c r="H99" s="111"/>
      <c r="I99" s="111"/>
      <c r="J99" s="111"/>
      <c r="K99" s="111"/>
      <c r="L99" s="111"/>
      <c r="M99" s="111"/>
      <c r="N99" s="111"/>
      <c r="O99" s="111"/>
      <c r="P99" s="111"/>
      <c r="Q99" s="111"/>
      <c r="R99" s="111"/>
      <c r="S99" s="111"/>
      <c r="T99" s="111"/>
      <c r="U99" s="111"/>
      <c r="V99" s="111"/>
      <c r="W99" s="111"/>
      <c r="X99" s="111"/>
      <c r="Y99" s="111"/>
      <c r="Z99" s="111"/>
      <c r="AA99" s="111"/>
      <c r="AB99" s="111"/>
      <c r="AC99" s="111"/>
      <c r="AD99" s="111"/>
      <c r="AE99" s="111"/>
      <c r="AF99" s="111"/>
      <c r="AG99" s="111"/>
      <c r="AH99" s="111"/>
      <c r="AI99" s="111"/>
      <c r="AJ99" s="111"/>
      <c r="AK99" s="111"/>
      <c r="AL99" s="111"/>
      <c r="AM99" s="111"/>
      <c r="AN99" s="111"/>
      <c r="AO99" s="111"/>
      <c r="AP99" s="111"/>
      <c r="AQ99" s="111"/>
      <c r="AR99" s="111"/>
      <c r="AS99" s="111"/>
      <c r="AT99" s="111"/>
      <c r="AU99" s="111"/>
      <c r="AV99" s="111"/>
      <c r="AW99" s="111"/>
      <c r="AX99" s="111"/>
      <c r="AY99" s="111"/>
      <c r="AZ99" s="111"/>
      <c r="BA99" s="111"/>
      <c r="BB99" s="111"/>
      <c r="BC99" s="111"/>
      <c r="BD99" s="111"/>
      <c r="BE99" s="111"/>
      <c r="BF99" s="111"/>
      <c r="BG99" s="111"/>
      <c r="BH99" s="111"/>
      <c r="BI99" s="111"/>
      <c r="BJ99" s="111"/>
      <c r="BK99" s="111"/>
      <c r="BL99" s="111"/>
      <c r="BM99" s="111"/>
      <c r="BN99" s="111"/>
      <c r="BO99" s="111"/>
      <c r="BP99" s="111"/>
      <c r="BQ99" s="111"/>
      <c r="BR99" s="111"/>
      <c r="BS99" s="111"/>
      <c r="BT99" s="111"/>
      <c r="BU99" s="111"/>
      <c r="BV99" s="111"/>
      <c r="BW99" s="111"/>
      <c r="BX99" s="111"/>
      <c r="BY99" s="111"/>
      <c r="BZ99" s="111"/>
      <c r="CA99" s="111"/>
      <c r="CB99" s="111"/>
      <c r="CC99" s="111"/>
      <c r="CD99" s="111"/>
      <c r="CE99" s="111"/>
      <c r="CF99" s="111"/>
      <c r="CG99" s="111"/>
      <c r="CH99" s="111"/>
      <c r="CI99" s="111"/>
      <c r="CJ99" s="111"/>
      <c r="CK99" s="111"/>
      <c r="CL99" s="111"/>
      <c r="CM99" s="111"/>
      <c r="CN99" s="111"/>
      <c r="CO99" s="111"/>
      <c r="CP99" s="111"/>
      <c r="CQ99" s="111"/>
      <c r="CR99" s="111"/>
      <c r="CS99" s="111"/>
      <c r="CT99" s="111"/>
      <c r="CU99" s="111"/>
      <c r="CV99" s="111"/>
      <c r="CW99" s="111"/>
      <c r="CX99" s="111"/>
      <c r="CY99" s="111"/>
      <c r="CZ99" s="111"/>
      <c r="DA99" s="111"/>
      <c r="DB99" s="111"/>
      <c r="DC99" s="111"/>
      <c r="DD99" s="111"/>
      <c r="DE99" s="111"/>
      <c r="DF99" s="111"/>
      <c r="DG99" s="111"/>
      <c r="DH99" s="111"/>
      <c r="DI99" s="111"/>
      <c r="DJ99" s="111"/>
      <c r="DK99" s="111"/>
      <c r="DL99" s="111"/>
      <c r="DM99" s="111"/>
      <c r="DN99" s="111"/>
      <c r="DO99" s="111"/>
      <c r="DP99" s="111"/>
      <c r="DQ99" s="111"/>
      <c r="DR99" s="111"/>
      <c r="DS99" s="111"/>
      <c r="DT99" s="111"/>
      <c r="DU99" s="111"/>
      <c r="DV99" s="111"/>
      <c r="DW99" s="111"/>
      <c r="DX99" s="111"/>
    </row>
    <row r="100" spans="1:128" s="3" customFormat="1" ht="12.75" customHeight="1" x14ac:dyDescent="0.3">
      <c r="A100" s="85"/>
      <c r="F100" s="66"/>
      <c r="G100" s="66"/>
      <c r="H100" s="111"/>
      <c r="I100" s="111"/>
      <c r="J100" s="111"/>
      <c r="K100" s="111"/>
      <c r="L100" s="111"/>
      <c r="M100" s="111"/>
      <c r="N100" s="111"/>
      <c r="O100" s="111"/>
      <c r="P100" s="111"/>
      <c r="Q100" s="111"/>
      <c r="R100" s="111"/>
      <c r="S100" s="111"/>
      <c r="T100" s="111"/>
      <c r="U100" s="111"/>
      <c r="V100" s="111"/>
      <c r="W100" s="111"/>
      <c r="X100" s="111"/>
      <c r="Y100" s="111"/>
      <c r="Z100" s="111"/>
      <c r="AA100" s="111"/>
      <c r="AB100" s="111"/>
      <c r="AC100" s="111"/>
      <c r="AD100" s="111"/>
      <c r="AE100" s="111"/>
      <c r="AF100" s="111"/>
      <c r="AG100" s="111"/>
      <c r="AH100" s="111"/>
      <c r="AI100" s="111"/>
      <c r="AJ100" s="111"/>
      <c r="AK100" s="111"/>
      <c r="AL100" s="111"/>
      <c r="AM100" s="111"/>
      <c r="AN100" s="111"/>
      <c r="AO100" s="111"/>
      <c r="AP100" s="111"/>
      <c r="AQ100" s="111"/>
      <c r="AR100" s="111"/>
      <c r="AS100" s="111"/>
      <c r="AT100" s="111"/>
      <c r="AU100" s="111"/>
      <c r="AV100" s="111"/>
      <c r="AW100" s="111"/>
      <c r="AX100" s="111"/>
      <c r="AY100" s="111"/>
      <c r="AZ100" s="111"/>
      <c r="BA100" s="111"/>
      <c r="BB100" s="111"/>
      <c r="BC100" s="111"/>
      <c r="BD100" s="111"/>
      <c r="BE100" s="111"/>
      <c r="BF100" s="111"/>
      <c r="BG100" s="111"/>
      <c r="BH100" s="111"/>
      <c r="BI100" s="111"/>
      <c r="BJ100" s="111"/>
      <c r="BK100" s="111"/>
      <c r="BL100" s="111"/>
      <c r="BM100" s="111"/>
      <c r="BN100" s="111"/>
      <c r="BO100" s="111"/>
      <c r="BP100" s="111"/>
      <c r="BQ100" s="111"/>
      <c r="BR100" s="111"/>
      <c r="BS100" s="111"/>
      <c r="BT100" s="111"/>
      <c r="BU100" s="111"/>
      <c r="BV100" s="111"/>
      <c r="BW100" s="111"/>
      <c r="BX100" s="111"/>
      <c r="BY100" s="111"/>
      <c r="BZ100" s="111"/>
      <c r="CA100" s="111"/>
      <c r="CB100" s="111"/>
      <c r="CC100" s="111"/>
      <c r="CD100" s="111"/>
      <c r="CE100" s="111"/>
      <c r="CF100" s="111"/>
      <c r="CG100" s="111"/>
      <c r="CH100" s="111"/>
      <c r="CI100" s="111"/>
      <c r="CJ100" s="111"/>
      <c r="CK100" s="111"/>
      <c r="CL100" s="111"/>
      <c r="CM100" s="111"/>
      <c r="CN100" s="111"/>
      <c r="CO100" s="111"/>
      <c r="CP100" s="111"/>
      <c r="CQ100" s="111"/>
      <c r="CR100" s="111"/>
      <c r="CS100" s="111"/>
      <c r="CT100" s="111"/>
      <c r="CU100" s="111"/>
      <c r="CV100" s="111"/>
      <c r="CW100" s="111"/>
      <c r="CX100" s="111"/>
      <c r="CY100" s="111"/>
      <c r="CZ100" s="111"/>
      <c r="DA100" s="111"/>
      <c r="DB100" s="111"/>
      <c r="DC100" s="111"/>
      <c r="DD100" s="111"/>
      <c r="DE100" s="111"/>
      <c r="DF100" s="111"/>
      <c r="DG100" s="111"/>
      <c r="DH100" s="111"/>
      <c r="DI100" s="111"/>
      <c r="DJ100" s="111"/>
      <c r="DK100" s="111"/>
      <c r="DL100" s="111"/>
      <c r="DM100" s="111"/>
      <c r="DN100" s="111"/>
      <c r="DO100" s="111"/>
      <c r="DP100" s="111"/>
      <c r="DQ100" s="111"/>
      <c r="DR100" s="111"/>
      <c r="DS100" s="111"/>
      <c r="DT100" s="111"/>
      <c r="DU100" s="111"/>
      <c r="DV100" s="111"/>
      <c r="DW100" s="111"/>
      <c r="DX100" s="111"/>
    </row>
    <row r="101" spans="1:128" s="3" customFormat="1" ht="12.75" customHeight="1" x14ac:dyDescent="0.3">
      <c r="A101" s="85"/>
      <c r="F101" s="66"/>
      <c r="G101" s="66"/>
      <c r="H101" s="111"/>
      <c r="I101" s="111"/>
      <c r="J101" s="111"/>
      <c r="K101" s="111"/>
      <c r="L101" s="111"/>
      <c r="M101" s="111"/>
      <c r="N101" s="111"/>
      <c r="O101" s="111"/>
      <c r="P101" s="111"/>
      <c r="Q101" s="111"/>
      <c r="R101" s="111"/>
      <c r="S101" s="111"/>
      <c r="T101" s="111"/>
      <c r="U101" s="111"/>
      <c r="V101" s="111"/>
      <c r="W101" s="111"/>
      <c r="X101" s="111"/>
      <c r="Y101" s="111"/>
      <c r="Z101" s="111"/>
      <c r="AA101" s="111"/>
      <c r="AB101" s="111"/>
      <c r="AC101" s="111"/>
      <c r="AD101" s="111"/>
      <c r="AE101" s="111"/>
      <c r="AF101" s="111"/>
      <c r="AG101" s="111"/>
      <c r="AH101" s="111"/>
      <c r="AI101" s="111"/>
      <c r="AJ101" s="111"/>
      <c r="AK101" s="111"/>
      <c r="AL101" s="111"/>
      <c r="AM101" s="111"/>
      <c r="AN101" s="111"/>
      <c r="AO101" s="111"/>
      <c r="AP101" s="111"/>
      <c r="AQ101" s="111"/>
      <c r="AR101" s="111"/>
      <c r="AS101" s="111"/>
      <c r="AT101" s="111"/>
      <c r="AU101" s="111"/>
      <c r="AV101" s="111"/>
      <c r="AW101" s="111"/>
      <c r="AX101" s="111"/>
      <c r="AY101" s="111"/>
      <c r="AZ101" s="111"/>
      <c r="BA101" s="111"/>
      <c r="BB101" s="111"/>
      <c r="BC101" s="111"/>
      <c r="BD101" s="111"/>
      <c r="BE101" s="111"/>
      <c r="BF101" s="111"/>
      <c r="BG101" s="111"/>
      <c r="BH101" s="111"/>
      <c r="BI101" s="111"/>
      <c r="BJ101" s="111"/>
      <c r="BK101" s="111"/>
      <c r="BL101" s="111"/>
      <c r="BM101" s="111"/>
      <c r="BN101" s="111"/>
      <c r="BO101" s="111"/>
      <c r="BP101" s="111"/>
      <c r="BQ101" s="111"/>
      <c r="BR101" s="111"/>
      <c r="BS101" s="111"/>
      <c r="BT101" s="111"/>
      <c r="BU101" s="111"/>
      <c r="BV101" s="111"/>
      <c r="BW101" s="111"/>
      <c r="BX101" s="111"/>
      <c r="BY101" s="111"/>
      <c r="BZ101" s="111"/>
      <c r="CA101" s="111"/>
      <c r="CB101" s="111"/>
      <c r="CC101" s="111"/>
      <c r="CD101" s="111"/>
      <c r="CE101" s="111"/>
      <c r="CF101" s="111"/>
      <c r="CG101" s="111"/>
      <c r="CH101" s="111"/>
      <c r="CI101" s="111"/>
      <c r="CJ101" s="111"/>
      <c r="CK101" s="111"/>
      <c r="CL101" s="111"/>
      <c r="CM101" s="111"/>
      <c r="CN101" s="111"/>
      <c r="CO101" s="111"/>
      <c r="CP101" s="111"/>
      <c r="CQ101" s="111"/>
      <c r="CR101" s="111"/>
      <c r="CS101" s="111"/>
      <c r="CT101" s="111"/>
      <c r="CU101" s="111"/>
      <c r="CV101" s="111"/>
      <c r="CW101" s="111"/>
      <c r="CX101" s="111"/>
      <c r="CY101" s="111"/>
      <c r="CZ101" s="111"/>
      <c r="DA101" s="111"/>
      <c r="DB101" s="111"/>
      <c r="DC101" s="111"/>
      <c r="DD101" s="111"/>
      <c r="DE101" s="111"/>
      <c r="DF101" s="111"/>
      <c r="DG101" s="111"/>
      <c r="DH101" s="111"/>
      <c r="DI101" s="111"/>
      <c r="DJ101" s="111"/>
      <c r="DK101" s="111"/>
      <c r="DL101" s="111"/>
      <c r="DM101" s="111"/>
      <c r="DN101" s="111"/>
      <c r="DO101" s="111"/>
      <c r="DP101" s="111"/>
      <c r="DQ101" s="111"/>
      <c r="DR101" s="111"/>
      <c r="DS101" s="111"/>
      <c r="DT101" s="111"/>
      <c r="DU101" s="111"/>
      <c r="DV101" s="111"/>
      <c r="DW101" s="111"/>
      <c r="DX101" s="111"/>
    </row>
    <row r="102" spans="1:128" s="3" customFormat="1" ht="12.75" customHeight="1" x14ac:dyDescent="0.3">
      <c r="A102" s="85"/>
      <c r="F102" s="66"/>
      <c r="G102" s="66"/>
      <c r="H102" s="111"/>
      <c r="I102" s="111"/>
      <c r="J102" s="111"/>
      <c r="K102" s="111"/>
      <c r="L102" s="111"/>
      <c r="M102" s="111"/>
      <c r="N102" s="111"/>
      <c r="O102" s="111"/>
      <c r="P102" s="111"/>
      <c r="Q102" s="111"/>
      <c r="R102" s="111"/>
      <c r="S102" s="111"/>
      <c r="T102" s="111"/>
      <c r="U102" s="111"/>
      <c r="V102" s="111"/>
      <c r="W102" s="111"/>
      <c r="X102" s="111"/>
      <c r="Y102" s="111"/>
      <c r="Z102" s="111"/>
      <c r="AA102" s="111"/>
      <c r="AB102" s="111"/>
      <c r="AC102" s="111"/>
      <c r="AD102" s="111"/>
      <c r="AE102" s="111"/>
      <c r="AF102" s="111"/>
      <c r="AG102" s="111"/>
      <c r="AH102" s="111"/>
      <c r="AI102" s="111"/>
      <c r="AJ102" s="111"/>
      <c r="AK102" s="111"/>
      <c r="AL102" s="111"/>
      <c r="AM102" s="111"/>
      <c r="AN102" s="111"/>
      <c r="AO102" s="111"/>
      <c r="AP102" s="111"/>
      <c r="AQ102" s="111"/>
      <c r="AR102" s="111"/>
      <c r="AS102" s="111"/>
      <c r="AT102" s="111"/>
      <c r="AU102" s="111"/>
      <c r="AV102" s="111"/>
      <c r="AW102" s="111"/>
      <c r="AX102" s="111"/>
      <c r="AY102" s="111"/>
      <c r="AZ102" s="111"/>
      <c r="BA102" s="111"/>
      <c r="BB102" s="111"/>
      <c r="BC102" s="111"/>
      <c r="BD102" s="111"/>
      <c r="BE102" s="111"/>
      <c r="BF102" s="111"/>
      <c r="BG102" s="111"/>
      <c r="BH102" s="111"/>
      <c r="BI102" s="111"/>
      <c r="BJ102" s="111"/>
      <c r="BK102" s="111"/>
      <c r="BL102" s="111"/>
      <c r="BM102" s="111"/>
      <c r="BN102" s="111"/>
      <c r="BO102" s="111"/>
      <c r="BP102" s="111"/>
      <c r="BQ102" s="111"/>
      <c r="BR102" s="111"/>
      <c r="BS102" s="111"/>
      <c r="BT102" s="111"/>
      <c r="BU102" s="111"/>
      <c r="BV102" s="111"/>
      <c r="BW102" s="111"/>
      <c r="BX102" s="111"/>
      <c r="BY102" s="111"/>
      <c r="BZ102" s="111"/>
      <c r="CA102" s="111"/>
      <c r="CB102" s="111"/>
      <c r="CC102" s="111"/>
      <c r="CD102" s="111"/>
      <c r="CE102" s="111"/>
      <c r="CF102" s="111"/>
      <c r="CG102" s="111"/>
      <c r="CH102" s="111"/>
      <c r="CI102" s="111"/>
      <c r="CJ102" s="111"/>
      <c r="CK102" s="111"/>
      <c r="CL102" s="111"/>
      <c r="CM102" s="111"/>
      <c r="CN102" s="111"/>
      <c r="CO102" s="111"/>
      <c r="CP102" s="111"/>
      <c r="CQ102" s="111"/>
      <c r="CR102" s="111"/>
      <c r="CS102" s="111"/>
      <c r="CT102" s="111"/>
      <c r="CU102" s="111"/>
      <c r="CV102" s="111"/>
      <c r="CW102" s="111"/>
      <c r="CX102" s="111"/>
      <c r="CY102" s="111"/>
      <c r="CZ102" s="111"/>
      <c r="DA102" s="111"/>
      <c r="DB102" s="111"/>
      <c r="DC102" s="111"/>
      <c r="DD102" s="111"/>
      <c r="DE102" s="111"/>
      <c r="DF102" s="111"/>
      <c r="DG102" s="111"/>
      <c r="DH102" s="111"/>
      <c r="DI102" s="111"/>
      <c r="DJ102" s="111"/>
      <c r="DK102" s="111"/>
      <c r="DL102" s="111"/>
      <c r="DM102" s="111"/>
      <c r="DN102" s="111"/>
      <c r="DO102" s="111"/>
      <c r="DP102" s="111"/>
      <c r="DQ102" s="111"/>
      <c r="DR102" s="111"/>
      <c r="DS102" s="111"/>
      <c r="DT102" s="111"/>
      <c r="DU102" s="111"/>
      <c r="DV102" s="111"/>
      <c r="DW102" s="111"/>
      <c r="DX102" s="111"/>
    </row>
    <row r="103" spans="1:128" s="3" customFormat="1" ht="12.75" customHeight="1" x14ac:dyDescent="0.3">
      <c r="A103" s="85"/>
      <c r="F103" s="66"/>
      <c r="G103" s="66"/>
      <c r="H103" s="111"/>
      <c r="I103" s="111"/>
      <c r="J103" s="111"/>
      <c r="K103" s="111"/>
      <c r="L103" s="111"/>
      <c r="M103" s="111"/>
      <c r="N103" s="111"/>
      <c r="O103" s="111"/>
      <c r="P103" s="111"/>
      <c r="Q103" s="111"/>
      <c r="R103" s="111"/>
      <c r="S103" s="111"/>
      <c r="T103" s="111"/>
      <c r="U103" s="111"/>
      <c r="V103" s="111"/>
      <c r="W103" s="111"/>
      <c r="X103" s="111"/>
      <c r="Y103" s="111"/>
      <c r="Z103" s="111"/>
      <c r="AA103" s="111"/>
      <c r="AB103" s="111"/>
      <c r="AC103" s="111"/>
      <c r="AD103" s="111"/>
      <c r="AE103" s="111"/>
      <c r="AF103" s="111"/>
      <c r="AG103" s="111"/>
      <c r="AH103" s="111"/>
      <c r="AI103" s="111"/>
      <c r="AJ103" s="111"/>
      <c r="AK103" s="111"/>
      <c r="AL103" s="111"/>
      <c r="AM103" s="111"/>
      <c r="AN103" s="111"/>
      <c r="AO103" s="111"/>
      <c r="AP103" s="111"/>
      <c r="AQ103" s="111"/>
      <c r="AR103" s="111"/>
      <c r="AS103" s="111"/>
      <c r="AT103" s="111"/>
      <c r="AU103" s="111"/>
      <c r="AV103" s="111"/>
      <c r="AW103" s="111"/>
      <c r="AX103" s="111"/>
      <c r="AY103" s="111"/>
      <c r="AZ103" s="111"/>
      <c r="BA103" s="111"/>
      <c r="BB103" s="111"/>
      <c r="BC103" s="111"/>
      <c r="BD103" s="111"/>
      <c r="BE103" s="111"/>
      <c r="BF103" s="111"/>
      <c r="BG103" s="111"/>
      <c r="BH103" s="111"/>
      <c r="BI103" s="111"/>
      <c r="BJ103" s="111"/>
      <c r="BK103" s="111"/>
      <c r="BL103" s="111"/>
      <c r="BM103" s="111"/>
      <c r="BN103" s="111"/>
      <c r="BO103" s="111"/>
      <c r="BP103" s="111"/>
      <c r="BQ103" s="111"/>
      <c r="BR103" s="111"/>
      <c r="BS103" s="111"/>
      <c r="BT103" s="111"/>
      <c r="BU103" s="111"/>
      <c r="BV103" s="111"/>
      <c r="BW103" s="111"/>
      <c r="BX103" s="111"/>
      <c r="BY103" s="111"/>
      <c r="BZ103" s="111"/>
      <c r="CA103" s="111"/>
      <c r="CB103" s="111"/>
      <c r="CC103" s="111"/>
      <c r="CD103" s="111"/>
      <c r="CE103" s="111"/>
      <c r="CF103" s="111"/>
      <c r="CG103" s="111"/>
      <c r="CH103" s="111"/>
      <c r="CI103" s="111"/>
      <c r="CJ103" s="111"/>
      <c r="CK103" s="111"/>
      <c r="CL103" s="111"/>
      <c r="CM103" s="111"/>
      <c r="CN103" s="111"/>
      <c r="CO103" s="111"/>
      <c r="CP103" s="111"/>
      <c r="CQ103" s="111"/>
      <c r="CR103" s="111"/>
      <c r="CS103" s="111"/>
      <c r="CT103" s="111"/>
      <c r="CU103" s="111"/>
      <c r="CV103" s="111"/>
      <c r="CW103" s="111"/>
      <c r="CX103" s="111"/>
      <c r="CY103" s="111"/>
      <c r="CZ103" s="111"/>
      <c r="DA103" s="111"/>
      <c r="DB103" s="111"/>
      <c r="DC103" s="111"/>
      <c r="DD103" s="111"/>
      <c r="DE103" s="111"/>
      <c r="DF103" s="111"/>
      <c r="DG103" s="111"/>
      <c r="DH103" s="111"/>
      <c r="DI103" s="111"/>
      <c r="DJ103" s="111"/>
      <c r="DK103" s="111"/>
      <c r="DL103" s="111"/>
      <c r="DM103" s="111"/>
      <c r="DN103" s="111"/>
      <c r="DO103" s="111"/>
      <c r="DP103" s="111"/>
      <c r="DQ103" s="111"/>
      <c r="DR103" s="111"/>
      <c r="DS103" s="111"/>
      <c r="DT103" s="111"/>
      <c r="DU103" s="111"/>
      <c r="DV103" s="111"/>
      <c r="DW103" s="111"/>
      <c r="DX103" s="111"/>
    </row>
    <row r="104" spans="1:128" s="3" customFormat="1" ht="12.75" customHeight="1" x14ac:dyDescent="0.3">
      <c r="A104" s="85"/>
      <c r="F104" s="66"/>
      <c r="G104" s="66"/>
      <c r="H104" s="111"/>
      <c r="I104" s="111"/>
      <c r="J104" s="111"/>
      <c r="K104" s="111"/>
      <c r="L104" s="111"/>
      <c r="M104" s="111"/>
      <c r="N104" s="111"/>
      <c r="O104" s="111"/>
      <c r="P104" s="111"/>
      <c r="Q104" s="111"/>
      <c r="R104" s="111"/>
      <c r="S104" s="111"/>
      <c r="T104" s="111"/>
      <c r="U104" s="111"/>
      <c r="V104" s="111"/>
      <c r="W104" s="111"/>
      <c r="X104" s="111"/>
      <c r="Y104" s="111"/>
      <c r="Z104" s="111"/>
      <c r="AA104" s="111"/>
      <c r="AB104" s="111"/>
      <c r="AC104" s="111"/>
      <c r="AD104" s="111"/>
      <c r="AE104" s="111"/>
      <c r="AF104" s="111"/>
      <c r="AG104" s="111"/>
      <c r="AH104" s="111"/>
      <c r="AI104" s="111"/>
      <c r="AJ104" s="111"/>
      <c r="AK104" s="111"/>
      <c r="AL104" s="111"/>
      <c r="AM104" s="111"/>
      <c r="AN104" s="111"/>
      <c r="AO104" s="111"/>
      <c r="AP104" s="111"/>
      <c r="AQ104" s="111"/>
      <c r="AR104" s="111"/>
      <c r="AS104" s="111"/>
      <c r="AT104" s="111"/>
      <c r="AU104" s="111"/>
      <c r="AV104" s="111"/>
      <c r="AW104" s="111"/>
      <c r="AX104" s="111"/>
      <c r="AY104" s="111"/>
      <c r="AZ104" s="111"/>
      <c r="BA104" s="111"/>
      <c r="BB104" s="111"/>
      <c r="BC104" s="111"/>
      <c r="BD104" s="111"/>
      <c r="BE104" s="111"/>
      <c r="BF104" s="111"/>
      <c r="BG104" s="111"/>
      <c r="BH104" s="111"/>
      <c r="BI104" s="111"/>
      <c r="BJ104" s="111"/>
      <c r="BK104" s="111"/>
      <c r="BL104" s="111"/>
      <c r="BM104" s="111"/>
      <c r="BN104" s="111"/>
      <c r="BO104" s="111"/>
      <c r="BP104" s="111"/>
      <c r="BQ104" s="111"/>
      <c r="BR104" s="111"/>
      <c r="BS104" s="111"/>
      <c r="BT104" s="111"/>
      <c r="BU104" s="111"/>
      <c r="BV104" s="111"/>
      <c r="BW104" s="111"/>
      <c r="BX104" s="111"/>
      <c r="BY104" s="111"/>
      <c r="BZ104" s="111"/>
      <c r="CA104" s="111"/>
      <c r="CB104" s="111"/>
      <c r="CC104" s="111"/>
      <c r="CD104" s="111"/>
      <c r="CE104" s="111"/>
      <c r="CF104" s="111"/>
      <c r="CG104" s="111"/>
      <c r="CH104" s="111"/>
      <c r="CI104" s="111"/>
      <c r="CJ104" s="111"/>
      <c r="CK104" s="111"/>
      <c r="CL104" s="111"/>
      <c r="CM104" s="111"/>
      <c r="CN104" s="111"/>
      <c r="CO104" s="111"/>
      <c r="CP104" s="111"/>
      <c r="CQ104" s="111"/>
      <c r="CR104" s="111"/>
      <c r="CS104" s="111"/>
      <c r="CT104" s="111"/>
      <c r="CU104" s="111"/>
      <c r="CV104" s="111"/>
      <c r="CW104" s="111"/>
      <c r="CX104" s="111"/>
      <c r="CY104" s="111"/>
      <c r="CZ104" s="111"/>
      <c r="DA104" s="111"/>
      <c r="DB104" s="111"/>
      <c r="DC104" s="111"/>
      <c r="DD104" s="111"/>
      <c r="DE104" s="111"/>
      <c r="DF104" s="111"/>
      <c r="DG104" s="111"/>
      <c r="DH104" s="111"/>
      <c r="DI104" s="111"/>
      <c r="DJ104" s="111"/>
      <c r="DK104" s="111"/>
      <c r="DL104" s="111"/>
      <c r="DM104" s="111"/>
      <c r="DN104" s="111"/>
      <c r="DO104" s="111"/>
      <c r="DP104" s="111"/>
      <c r="DQ104" s="111"/>
      <c r="DR104" s="111"/>
      <c r="DS104" s="111"/>
      <c r="DT104" s="111"/>
      <c r="DU104" s="111"/>
      <c r="DV104" s="111"/>
      <c r="DW104" s="111"/>
      <c r="DX104" s="111"/>
    </row>
    <row r="105" spans="1:128" s="3" customFormat="1" ht="12.75" customHeight="1" x14ac:dyDescent="0.3">
      <c r="A105" s="85"/>
      <c r="F105" s="66"/>
      <c r="G105" s="66"/>
      <c r="H105" s="111"/>
      <c r="I105" s="111"/>
      <c r="J105" s="111"/>
      <c r="K105" s="111"/>
      <c r="L105" s="111"/>
      <c r="M105" s="111"/>
      <c r="N105" s="111"/>
      <c r="O105" s="111"/>
      <c r="P105" s="111"/>
      <c r="Q105" s="111"/>
      <c r="R105" s="111"/>
      <c r="S105" s="111"/>
      <c r="T105" s="111"/>
      <c r="U105" s="111"/>
      <c r="V105" s="111"/>
      <c r="W105" s="111"/>
      <c r="X105" s="111"/>
      <c r="Y105" s="111"/>
      <c r="Z105" s="111"/>
      <c r="AA105" s="111"/>
      <c r="AB105" s="111"/>
      <c r="AC105" s="111"/>
      <c r="AD105" s="111"/>
      <c r="AE105" s="111"/>
      <c r="AF105" s="111"/>
      <c r="AG105" s="111"/>
      <c r="AH105" s="111"/>
      <c r="AI105" s="111"/>
      <c r="AJ105" s="111"/>
      <c r="AK105" s="111"/>
      <c r="AL105" s="111"/>
      <c r="AM105" s="111"/>
      <c r="AN105" s="111"/>
      <c r="AO105" s="111"/>
      <c r="AP105" s="111"/>
      <c r="AQ105" s="111"/>
      <c r="AR105" s="111"/>
      <c r="AS105" s="111"/>
      <c r="AT105" s="111"/>
      <c r="AU105" s="111"/>
      <c r="AV105" s="111"/>
      <c r="AW105" s="111"/>
      <c r="AX105" s="111"/>
      <c r="AY105" s="111"/>
      <c r="AZ105" s="111"/>
      <c r="BA105" s="111"/>
      <c r="BB105" s="111"/>
      <c r="BC105" s="111"/>
      <c r="BD105" s="111"/>
      <c r="BE105" s="111"/>
      <c r="BF105" s="111"/>
      <c r="BG105" s="111"/>
      <c r="BH105" s="111"/>
      <c r="BI105" s="111"/>
      <c r="BJ105" s="111"/>
      <c r="BK105" s="111"/>
      <c r="BL105" s="111"/>
      <c r="BM105" s="111"/>
      <c r="BN105" s="111"/>
      <c r="BO105" s="111"/>
      <c r="BP105" s="111"/>
      <c r="BQ105" s="111"/>
      <c r="BR105" s="111"/>
      <c r="BS105" s="111"/>
      <c r="BT105" s="111"/>
      <c r="BU105" s="111"/>
      <c r="BV105" s="111"/>
      <c r="BW105" s="111"/>
      <c r="BX105" s="111"/>
      <c r="BY105" s="111"/>
      <c r="BZ105" s="111"/>
      <c r="CA105" s="111"/>
      <c r="CB105" s="111"/>
      <c r="CC105" s="111"/>
      <c r="CD105" s="111"/>
      <c r="CE105" s="111"/>
      <c r="CF105" s="111"/>
      <c r="CG105" s="111"/>
      <c r="CH105" s="111"/>
      <c r="CI105" s="111"/>
      <c r="CJ105" s="111"/>
      <c r="CK105" s="111"/>
      <c r="CL105" s="111"/>
      <c r="CM105" s="111"/>
      <c r="CN105" s="111"/>
      <c r="CO105" s="111"/>
      <c r="CP105" s="111"/>
      <c r="CQ105" s="111"/>
      <c r="CR105" s="111"/>
      <c r="CS105" s="111"/>
      <c r="CT105" s="111"/>
      <c r="CU105" s="111"/>
      <c r="CV105" s="111"/>
      <c r="CW105" s="111"/>
      <c r="CX105" s="111"/>
      <c r="CY105" s="111"/>
      <c r="CZ105" s="111"/>
      <c r="DA105" s="111"/>
      <c r="DB105" s="111"/>
      <c r="DC105" s="111"/>
      <c r="DD105" s="111"/>
      <c r="DE105" s="111"/>
      <c r="DF105" s="111"/>
      <c r="DG105" s="111"/>
      <c r="DH105" s="111"/>
      <c r="DI105" s="111"/>
      <c r="DJ105" s="111"/>
      <c r="DK105" s="111"/>
      <c r="DL105" s="111"/>
      <c r="DM105" s="111"/>
      <c r="DN105" s="111"/>
      <c r="DO105" s="111"/>
      <c r="DP105" s="111"/>
      <c r="DQ105" s="111"/>
      <c r="DR105" s="111"/>
      <c r="DS105" s="111"/>
      <c r="DT105" s="111"/>
      <c r="DU105" s="111"/>
      <c r="DV105" s="111"/>
      <c r="DW105" s="111"/>
      <c r="DX105" s="111"/>
    </row>
    <row r="106" spans="1:128" s="3" customFormat="1" ht="12.75" customHeight="1" x14ac:dyDescent="0.3">
      <c r="A106" s="85"/>
      <c r="F106" s="66"/>
      <c r="G106" s="66"/>
      <c r="H106" s="111"/>
      <c r="I106" s="111"/>
      <c r="J106" s="111"/>
      <c r="K106" s="111"/>
      <c r="L106" s="111"/>
      <c r="M106" s="111"/>
      <c r="N106" s="111"/>
      <c r="O106" s="111"/>
      <c r="P106" s="111"/>
      <c r="Q106" s="111"/>
      <c r="R106" s="111"/>
      <c r="S106" s="111"/>
      <c r="T106" s="111"/>
      <c r="U106" s="111"/>
      <c r="V106" s="111"/>
      <c r="W106" s="111"/>
      <c r="X106" s="111"/>
      <c r="Y106" s="111"/>
      <c r="Z106" s="111"/>
      <c r="AA106" s="111"/>
      <c r="AB106" s="111"/>
      <c r="AC106" s="111"/>
      <c r="AD106" s="111"/>
      <c r="AE106" s="111"/>
      <c r="AF106" s="111"/>
      <c r="AG106" s="111"/>
      <c r="AH106" s="111"/>
      <c r="AI106" s="111"/>
      <c r="AJ106" s="111"/>
      <c r="AK106" s="111"/>
      <c r="AL106" s="111"/>
      <c r="AM106" s="111"/>
      <c r="AN106" s="111"/>
      <c r="AO106" s="111"/>
      <c r="AP106" s="111"/>
      <c r="AQ106" s="111"/>
      <c r="AR106" s="111"/>
      <c r="AS106" s="111"/>
      <c r="AT106" s="111"/>
      <c r="AU106" s="111"/>
      <c r="AV106" s="111"/>
      <c r="AW106" s="111"/>
      <c r="AX106" s="111"/>
      <c r="AY106" s="111"/>
      <c r="AZ106" s="111"/>
      <c r="BA106" s="111"/>
      <c r="BB106" s="111"/>
      <c r="BC106" s="111"/>
      <c r="BD106" s="111"/>
      <c r="BE106" s="111"/>
      <c r="BF106" s="111"/>
      <c r="BG106" s="111"/>
      <c r="BH106" s="111"/>
      <c r="BI106" s="111"/>
      <c r="BJ106" s="111"/>
      <c r="BK106" s="111"/>
      <c r="BL106" s="111"/>
      <c r="BM106" s="111"/>
      <c r="BN106" s="111"/>
      <c r="BO106" s="111"/>
      <c r="BP106" s="111"/>
      <c r="BQ106" s="111"/>
      <c r="BR106" s="111"/>
      <c r="BS106" s="111"/>
      <c r="BT106" s="111"/>
      <c r="BU106" s="111"/>
      <c r="BV106" s="111"/>
      <c r="BW106" s="111"/>
      <c r="BX106" s="111"/>
      <c r="BY106" s="111"/>
      <c r="BZ106" s="111"/>
      <c r="CA106" s="111"/>
      <c r="CB106" s="111"/>
      <c r="CC106" s="111"/>
      <c r="CD106" s="111"/>
      <c r="CE106" s="111"/>
      <c r="CF106" s="111"/>
      <c r="CG106" s="111"/>
      <c r="CH106" s="111"/>
      <c r="CI106" s="111"/>
      <c r="CJ106" s="111"/>
      <c r="CK106" s="111"/>
      <c r="CL106" s="111"/>
      <c r="CM106" s="111"/>
      <c r="CN106" s="111"/>
      <c r="CO106" s="111"/>
      <c r="CP106" s="111"/>
      <c r="CQ106" s="111"/>
      <c r="CR106" s="111"/>
      <c r="CS106" s="111"/>
      <c r="CT106" s="111"/>
      <c r="CU106" s="111"/>
      <c r="CV106" s="111"/>
      <c r="CW106" s="111"/>
      <c r="CX106" s="111"/>
      <c r="CY106" s="111"/>
      <c r="CZ106" s="111"/>
      <c r="DA106" s="111"/>
      <c r="DB106" s="111"/>
      <c r="DC106" s="111"/>
      <c r="DD106" s="111"/>
      <c r="DE106" s="111"/>
      <c r="DF106" s="111"/>
      <c r="DG106" s="111"/>
      <c r="DH106" s="111"/>
      <c r="DI106" s="111"/>
      <c r="DJ106" s="111"/>
      <c r="DK106" s="111"/>
      <c r="DL106" s="111"/>
      <c r="DM106" s="111"/>
      <c r="DN106" s="111"/>
      <c r="DO106" s="111"/>
      <c r="DP106" s="111"/>
      <c r="DQ106" s="111"/>
      <c r="DR106" s="111"/>
      <c r="DS106" s="111"/>
      <c r="DT106" s="111"/>
      <c r="DU106" s="111"/>
      <c r="DV106" s="111"/>
      <c r="DW106" s="111"/>
      <c r="DX106" s="111"/>
    </row>
    <row r="107" spans="1:128" s="3" customFormat="1" ht="12.75" customHeight="1" x14ac:dyDescent="0.3">
      <c r="A107" s="85"/>
      <c r="F107" s="66"/>
      <c r="G107" s="66"/>
      <c r="H107" s="111"/>
      <c r="I107" s="111"/>
      <c r="J107" s="111"/>
      <c r="K107" s="111"/>
      <c r="L107" s="111"/>
      <c r="M107" s="111"/>
      <c r="N107" s="111"/>
      <c r="O107" s="111"/>
      <c r="P107" s="111"/>
      <c r="Q107" s="111"/>
      <c r="R107" s="111"/>
      <c r="S107" s="111"/>
      <c r="T107" s="111"/>
      <c r="U107" s="111"/>
      <c r="V107" s="111"/>
      <c r="W107" s="111"/>
      <c r="X107" s="111"/>
      <c r="Y107" s="111"/>
      <c r="Z107" s="111"/>
      <c r="AA107" s="111"/>
      <c r="AB107" s="111"/>
      <c r="AC107" s="111"/>
      <c r="AD107" s="111"/>
      <c r="AE107" s="111"/>
      <c r="AF107" s="111"/>
      <c r="AG107" s="111"/>
      <c r="AH107" s="111"/>
      <c r="AI107" s="111"/>
      <c r="AJ107" s="111"/>
      <c r="AK107" s="111"/>
      <c r="AL107" s="111"/>
      <c r="AM107" s="111"/>
      <c r="AN107" s="111"/>
      <c r="AO107" s="111"/>
      <c r="AP107" s="111"/>
      <c r="AQ107" s="111"/>
      <c r="AR107" s="111"/>
      <c r="AS107" s="111"/>
      <c r="AT107" s="111"/>
      <c r="AU107" s="111"/>
      <c r="AV107" s="111"/>
      <c r="AW107" s="111"/>
      <c r="AX107" s="111"/>
      <c r="AY107" s="111"/>
      <c r="AZ107" s="111"/>
      <c r="BA107" s="111"/>
      <c r="BB107" s="111"/>
      <c r="BC107" s="111"/>
      <c r="BD107" s="111"/>
      <c r="BE107" s="111"/>
      <c r="BF107" s="111"/>
      <c r="BG107" s="111"/>
      <c r="BH107" s="111"/>
      <c r="BI107" s="111"/>
      <c r="BJ107" s="111"/>
      <c r="BK107" s="111"/>
      <c r="BL107" s="111"/>
      <c r="BM107" s="111"/>
      <c r="BN107" s="111"/>
      <c r="BO107" s="111"/>
      <c r="BP107" s="111"/>
      <c r="BQ107" s="111"/>
      <c r="BR107" s="111"/>
      <c r="BS107" s="111"/>
      <c r="BT107" s="111"/>
      <c r="BU107" s="111"/>
      <c r="BV107" s="111"/>
      <c r="BW107" s="111"/>
      <c r="BX107" s="111"/>
      <c r="BY107" s="111"/>
      <c r="BZ107" s="111"/>
      <c r="CA107" s="111"/>
      <c r="CB107" s="111"/>
      <c r="CC107" s="111"/>
      <c r="CD107" s="111"/>
      <c r="CE107" s="111"/>
      <c r="CF107" s="111"/>
      <c r="CG107" s="111"/>
      <c r="CH107" s="111"/>
      <c r="CI107" s="111"/>
      <c r="CJ107" s="111"/>
      <c r="CK107" s="111"/>
      <c r="CL107" s="111"/>
      <c r="CM107" s="111"/>
      <c r="CN107" s="111"/>
      <c r="CO107" s="111"/>
      <c r="CP107" s="111"/>
      <c r="CQ107" s="111"/>
      <c r="CR107" s="111"/>
      <c r="CS107" s="111"/>
      <c r="CT107" s="111"/>
      <c r="CU107" s="111"/>
      <c r="CV107" s="111"/>
      <c r="CW107" s="111"/>
      <c r="CX107" s="111"/>
      <c r="CY107" s="111"/>
      <c r="CZ107" s="111"/>
      <c r="DA107" s="111"/>
      <c r="DB107" s="111"/>
      <c r="DC107" s="111"/>
      <c r="DD107" s="111"/>
      <c r="DE107" s="111"/>
      <c r="DF107" s="111"/>
      <c r="DG107" s="111"/>
      <c r="DH107" s="111"/>
      <c r="DI107" s="111"/>
      <c r="DJ107" s="111"/>
      <c r="DK107" s="111"/>
      <c r="DL107" s="111"/>
      <c r="DM107" s="111"/>
      <c r="DN107" s="111"/>
      <c r="DO107" s="111"/>
      <c r="DP107" s="111"/>
      <c r="DQ107" s="111"/>
      <c r="DR107" s="111"/>
      <c r="DS107" s="111"/>
      <c r="DT107" s="111"/>
      <c r="DU107" s="111"/>
      <c r="DV107" s="111"/>
      <c r="DW107" s="111"/>
      <c r="DX107" s="111"/>
    </row>
    <row r="108" spans="1:128" s="3" customFormat="1" ht="12.75" customHeight="1" x14ac:dyDescent="0.3">
      <c r="A108" s="85"/>
      <c r="F108" s="66"/>
      <c r="G108" s="66"/>
      <c r="H108" s="111"/>
      <c r="I108" s="111"/>
      <c r="J108" s="111"/>
      <c r="K108" s="111"/>
      <c r="L108" s="111"/>
      <c r="M108" s="111"/>
      <c r="N108" s="111"/>
      <c r="O108" s="111"/>
      <c r="P108" s="111"/>
      <c r="Q108" s="111"/>
      <c r="R108" s="111"/>
      <c r="S108" s="111"/>
      <c r="T108" s="111"/>
      <c r="U108" s="111"/>
      <c r="V108" s="111"/>
      <c r="W108" s="111"/>
      <c r="X108" s="111"/>
      <c r="Y108" s="111"/>
      <c r="Z108" s="111"/>
      <c r="AA108" s="111"/>
      <c r="AB108" s="111"/>
      <c r="AC108" s="111"/>
      <c r="AD108" s="111"/>
      <c r="AE108" s="111"/>
      <c r="AF108" s="111"/>
      <c r="AG108" s="111"/>
      <c r="AH108" s="111"/>
      <c r="AI108" s="111"/>
      <c r="AJ108" s="111"/>
      <c r="AK108" s="111"/>
      <c r="AL108" s="111"/>
      <c r="AM108" s="111"/>
      <c r="AN108" s="111"/>
      <c r="AO108" s="111"/>
      <c r="AP108" s="111"/>
      <c r="AQ108" s="111"/>
      <c r="AR108" s="111"/>
      <c r="AS108" s="111"/>
      <c r="AT108" s="111"/>
      <c r="AU108" s="111"/>
      <c r="AV108" s="111"/>
      <c r="AW108" s="111"/>
      <c r="AX108" s="111"/>
      <c r="AY108" s="111"/>
      <c r="AZ108" s="111"/>
      <c r="BA108" s="111"/>
      <c r="BB108" s="111"/>
      <c r="BC108" s="111"/>
      <c r="BD108" s="111"/>
      <c r="BE108" s="111"/>
      <c r="BF108" s="111"/>
      <c r="BG108" s="111"/>
      <c r="BH108" s="111"/>
      <c r="BI108" s="111"/>
      <c r="BJ108" s="111"/>
      <c r="BK108" s="111"/>
      <c r="BL108" s="111"/>
      <c r="BM108" s="111"/>
      <c r="BN108" s="111"/>
      <c r="BO108" s="111"/>
      <c r="BP108" s="111"/>
      <c r="BQ108" s="111"/>
      <c r="BR108" s="111"/>
      <c r="BS108" s="111"/>
      <c r="BT108" s="111"/>
      <c r="BU108" s="111"/>
      <c r="BV108" s="111"/>
      <c r="BW108" s="111"/>
      <c r="BX108" s="111"/>
      <c r="BY108" s="111"/>
      <c r="BZ108" s="111"/>
      <c r="CA108" s="111"/>
      <c r="CB108" s="111"/>
      <c r="CC108" s="111"/>
      <c r="CD108" s="111"/>
      <c r="CE108" s="111"/>
      <c r="CF108" s="111"/>
      <c r="CG108" s="111"/>
      <c r="CH108" s="111"/>
      <c r="CI108" s="111"/>
      <c r="CJ108" s="111"/>
      <c r="CK108" s="111"/>
      <c r="CL108" s="111"/>
      <c r="CM108" s="111"/>
      <c r="CN108" s="111"/>
      <c r="CO108" s="111"/>
      <c r="CP108" s="111"/>
      <c r="CQ108" s="111"/>
      <c r="CR108" s="111"/>
      <c r="CS108" s="111"/>
      <c r="CT108" s="111"/>
      <c r="CU108" s="111"/>
      <c r="CV108" s="111"/>
      <c r="CW108" s="111"/>
      <c r="CX108" s="111"/>
      <c r="CY108" s="111"/>
      <c r="CZ108" s="111"/>
      <c r="DA108" s="111"/>
      <c r="DB108" s="111"/>
      <c r="DC108" s="111"/>
      <c r="DD108" s="111"/>
      <c r="DE108" s="111"/>
      <c r="DF108" s="111"/>
      <c r="DG108" s="111"/>
      <c r="DH108" s="111"/>
      <c r="DI108" s="111"/>
      <c r="DJ108" s="111"/>
      <c r="DK108" s="111"/>
      <c r="DL108" s="111"/>
      <c r="DM108" s="111"/>
      <c r="DN108" s="111"/>
      <c r="DO108" s="111"/>
      <c r="DP108" s="111"/>
      <c r="DQ108" s="111"/>
      <c r="DR108" s="111"/>
      <c r="DS108" s="111"/>
      <c r="DT108" s="111"/>
      <c r="DU108" s="111"/>
      <c r="DV108" s="111"/>
      <c r="DW108" s="111"/>
      <c r="DX108" s="111"/>
    </row>
    <row r="109" spans="1:128" s="3" customFormat="1" ht="12.75" customHeight="1" x14ac:dyDescent="0.3">
      <c r="A109" s="85"/>
      <c r="F109" s="66"/>
      <c r="G109" s="66"/>
      <c r="H109" s="111"/>
      <c r="I109" s="111"/>
      <c r="J109" s="111"/>
      <c r="K109" s="111"/>
      <c r="L109" s="111"/>
      <c r="M109" s="111"/>
      <c r="N109" s="111"/>
      <c r="O109" s="111"/>
      <c r="P109" s="111"/>
      <c r="Q109" s="111"/>
      <c r="R109" s="111"/>
      <c r="S109" s="111"/>
      <c r="T109" s="111"/>
      <c r="U109" s="111"/>
      <c r="V109" s="111"/>
      <c r="W109" s="111"/>
      <c r="X109" s="111"/>
      <c r="Y109" s="111"/>
      <c r="Z109" s="111"/>
      <c r="AA109" s="111"/>
      <c r="AB109" s="111"/>
      <c r="AC109" s="111"/>
      <c r="AD109" s="111"/>
      <c r="AE109" s="111"/>
      <c r="AF109" s="111"/>
      <c r="AG109" s="111"/>
      <c r="AH109" s="111"/>
      <c r="AI109" s="111"/>
      <c r="AJ109" s="111"/>
      <c r="AK109" s="111"/>
      <c r="AL109" s="111"/>
      <c r="AM109" s="111"/>
      <c r="AN109" s="111"/>
      <c r="AO109" s="111"/>
      <c r="AP109" s="111"/>
      <c r="AQ109" s="111"/>
      <c r="AR109" s="111"/>
      <c r="AS109" s="111"/>
      <c r="AT109" s="111"/>
      <c r="AU109" s="111"/>
      <c r="AV109" s="111"/>
      <c r="AW109" s="111"/>
      <c r="AX109" s="111"/>
      <c r="AY109" s="111"/>
      <c r="AZ109" s="111"/>
      <c r="BA109" s="111"/>
      <c r="BB109" s="111"/>
      <c r="BC109" s="111"/>
      <c r="BD109" s="111"/>
      <c r="BE109" s="111"/>
      <c r="BF109" s="111"/>
      <c r="BG109" s="111"/>
      <c r="BH109" s="111"/>
      <c r="BI109" s="111"/>
      <c r="BJ109" s="111"/>
      <c r="BK109" s="111"/>
      <c r="BL109" s="111"/>
      <c r="BM109" s="111"/>
      <c r="BN109" s="111"/>
      <c r="BO109" s="111"/>
      <c r="BP109" s="111"/>
      <c r="BQ109" s="111"/>
      <c r="BR109" s="111"/>
      <c r="BS109" s="111"/>
      <c r="BT109" s="111"/>
      <c r="BU109" s="111"/>
      <c r="BV109" s="111"/>
      <c r="BW109" s="111"/>
      <c r="BX109" s="111"/>
      <c r="BY109" s="111"/>
      <c r="BZ109" s="111"/>
      <c r="CA109" s="111"/>
      <c r="CB109" s="111"/>
      <c r="CC109" s="111"/>
      <c r="CD109" s="111"/>
      <c r="CE109" s="111"/>
      <c r="CF109" s="111"/>
      <c r="CG109" s="111"/>
      <c r="CH109" s="111"/>
      <c r="CI109" s="111"/>
      <c r="CJ109" s="111"/>
      <c r="CK109" s="111"/>
      <c r="CL109" s="111"/>
      <c r="CM109" s="111"/>
      <c r="CN109" s="111"/>
      <c r="CO109" s="111"/>
      <c r="CP109" s="111"/>
      <c r="CQ109" s="111"/>
      <c r="CR109" s="111"/>
      <c r="CS109" s="111"/>
      <c r="CT109" s="111"/>
      <c r="CU109" s="111"/>
      <c r="CV109" s="111"/>
      <c r="CW109" s="111"/>
      <c r="CX109" s="111"/>
      <c r="CY109" s="111"/>
      <c r="CZ109" s="111"/>
      <c r="DA109" s="111"/>
      <c r="DB109" s="111"/>
      <c r="DC109" s="111"/>
      <c r="DD109" s="111"/>
      <c r="DE109" s="111"/>
      <c r="DF109" s="111"/>
      <c r="DG109" s="111"/>
      <c r="DH109" s="111"/>
      <c r="DI109" s="111"/>
      <c r="DJ109" s="111"/>
      <c r="DK109" s="111"/>
      <c r="DL109" s="111"/>
      <c r="DM109" s="111"/>
      <c r="DN109" s="111"/>
      <c r="DO109" s="111"/>
      <c r="DP109" s="111"/>
      <c r="DQ109" s="111"/>
      <c r="DR109" s="111"/>
      <c r="DS109" s="111"/>
      <c r="DT109" s="111"/>
      <c r="DU109" s="111"/>
      <c r="DV109" s="111"/>
      <c r="DW109" s="111"/>
      <c r="DX109" s="111"/>
    </row>
    <row r="110" spans="1:128" s="3" customFormat="1" ht="12.75" customHeight="1" x14ac:dyDescent="0.3">
      <c r="A110" s="85"/>
      <c r="F110" s="66"/>
      <c r="G110" s="66"/>
      <c r="H110" s="111"/>
      <c r="I110" s="111"/>
      <c r="J110" s="111"/>
      <c r="K110" s="111"/>
      <c r="L110" s="111"/>
      <c r="M110" s="111"/>
      <c r="N110" s="111"/>
      <c r="O110" s="111"/>
      <c r="P110" s="111"/>
      <c r="Q110" s="111"/>
      <c r="R110" s="111"/>
      <c r="S110" s="111"/>
      <c r="T110" s="111"/>
      <c r="U110" s="111"/>
      <c r="V110" s="111"/>
      <c r="W110" s="111"/>
      <c r="X110" s="111"/>
      <c r="Y110" s="111"/>
      <c r="Z110" s="111"/>
      <c r="AA110" s="111"/>
      <c r="AB110" s="111"/>
      <c r="AC110" s="111"/>
      <c r="AD110" s="111"/>
      <c r="AE110" s="111"/>
      <c r="AF110" s="111"/>
      <c r="AG110" s="111"/>
      <c r="AH110" s="111"/>
      <c r="AI110" s="111"/>
      <c r="AJ110" s="111"/>
      <c r="AK110" s="111"/>
      <c r="AL110" s="111"/>
      <c r="AM110" s="111"/>
      <c r="AN110" s="111"/>
      <c r="AO110" s="111"/>
      <c r="AP110" s="111"/>
      <c r="AQ110" s="111"/>
      <c r="AR110" s="111"/>
      <c r="AS110" s="111"/>
      <c r="AT110" s="111"/>
      <c r="AU110" s="111"/>
      <c r="AV110" s="111"/>
      <c r="AW110" s="111"/>
      <c r="AX110" s="111"/>
      <c r="AY110" s="111"/>
      <c r="AZ110" s="111"/>
      <c r="BA110" s="111"/>
      <c r="BB110" s="111"/>
      <c r="BC110" s="111"/>
      <c r="BD110" s="111"/>
      <c r="BE110" s="111"/>
      <c r="BF110" s="111"/>
      <c r="BG110" s="111"/>
      <c r="BH110" s="111"/>
      <c r="BI110" s="111"/>
      <c r="BJ110" s="111"/>
      <c r="BK110" s="111"/>
      <c r="BL110" s="111"/>
      <c r="BM110" s="111"/>
      <c r="BN110" s="111"/>
      <c r="BO110" s="111"/>
      <c r="BP110" s="111"/>
      <c r="BQ110" s="111"/>
      <c r="BR110" s="111"/>
      <c r="BS110" s="111"/>
      <c r="BT110" s="111"/>
      <c r="BU110" s="111"/>
      <c r="BV110" s="111"/>
      <c r="BW110" s="111"/>
      <c r="BX110" s="111"/>
      <c r="BY110" s="111"/>
      <c r="BZ110" s="111"/>
      <c r="CA110" s="111"/>
      <c r="CB110" s="111"/>
      <c r="CC110" s="111"/>
      <c r="CD110" s="111"/>
      <c r="CE110" s="111"/>
      <c r="CF110" s="111"/>
      <c r="CG110" s="111"/>
      <c r="CH110" s="111"/>
      <c r="CI110" s="111"/>
      <c r="CJ110" s="111"/>
      <c r="CK110" s="111"/>
      <c r="CL110" s="111"/>
      <c r="CM110" s="111"/>
      <c r="CN110" s="111"/>
      <c r="CO110" s="111"/>
      <c r="CP110" s="111"/>
      <c r="CQ110" s="111"/>
      <c r="CR110" s="111"/>
      <c r="CS110" s="111"/>
      <c r="CT110" s="111"/>
      <c r="CU110" s="111"/>
      <c r="CV110" s="111"/>
      <c r="CW110" s="111"/>
      <c r="CX110" s="111"/>
      <c r="CY110" s="111"/>
      <c r="CZ110" s="111"/>
      <c r="DA110" s="111"/>
      <c r="DB110" s="111"/>
      <c r="DC110" s="111"/>
      <c r="DD110" s="111"/>
      <c r="DE110" s="111"/>
      <c r="DF110" s="111"/>
      <c r="DG110" s="111"/>
      <c r="DH110" s="111"/>
      <c r="DI110" s="111"/>
      <c r="DJ110" s="111"/>
      <c r="DK110" s="111"/>
      <c r="DL110" s="111"/>
      <c r="DM110" s="111"/>
      <c r="DN110" s="111"/>
      <c r="DO110" s="111"/>
      <c r="DP110" s="111"/>
      <c r="DQ110" s="111"/>
      <c r="DR110" s="111"/>
      <c r="DS110" s="111"/>
      <c r="DT110" s="111"/>
      <c r="DU110" s="111"/>
      <c r="DV110" s="111"/>
      <c r="DW110" s="111"/>
      <c r="DX110" s="111"/>
    </row>
    <row r="111" spans="1:128" s="3" customFormat="1" ht="12.75" customHeight="1" x14ac:dyDescent="0.3">
      <c r="A111" s="85"/>
      <c r="F111" s="66"/>
      <c r="G111" s="66"/>
      <c r="H111" s="111"/>
      <c r="I111" s="111"/>
      <c r="J111" s="111"/>
      <c r="K111" s="111"/>
      <c r="L111" s="111"/>
      <c r="M111" s="111"/>
      <c r="N111" s="111"/>
      <c r="O111" s="111"/>
      <c r="P111" s="111"/>
      <c r="Q111" s="111"/>
      <c r="R111" s="111"/>
      <c r="S111" s="111"/>
      <c r="T111" s="111"/>
      <c r="U111" s="111"/>
      <c r="V111" s="111"/>
      <c r="W111" s="111"/>
      <c r="X111" s="111"/>
      <c r="Y111" s="111"/>
      <c r="Z111" s="111"/>
      <c r="AA111" s="111"/>
      <c r="AB111" s="111"/>
      <c r="AC111" s="111"/>
      <c r="AD111" s="111"/>
      <c r="AE111" s="111"/>
      <c r="AF111" s="111"/>
      <c r="AG111" s="111"/>
      <c r="AH111" s="111"/>
      <c r="AI111" s="111"/>
      <c r="AJ111" s="111"/>
      <c r="AK111" s="111"/>
      <c r="AL111" s="111"/>
      <c r="AM111" s="111"/>
      <c r="AN111" s="111"/>
      <c r="AO111" s="111"/>
      <c r="AP111" s="111"/>
      <c r="AQ111" s="111"/>
      <c r="AR111" s="111"/>
      <c r="AS111" s="111"/>
      <c r="AT111" s="111"/>
      <c r="AU111" s="111"/>
      <c r="AV111" s="111"/>
      <c r="AW111" s="111"/>
      <c r="AX111" s="111"/>
      <c r="AY111" s="111"/>
      <c r="AZ111" s="111"/>
      <c r="BA111" s="111"/>
      <c r="BB111" s="111"/>
      <c r="BC111" s="111"/>
      <c r="BD111" s="111"/>
      <c r="BE111" s="111"/>
      <c r="BF111" s="111"/>
      <c r="BG111" s="111"/>
      <c r="BH111" s="111"/>
      <c r="BI111" s="111"/>
      <c r="BJ111" s="111"/>
      <c r="BK111" s="111"/>
      <c r="BL111" s="111"/>
      <c r="BM111" s="111"/>
      <c r="BN111" s="111"/>
      <c r="BO111" s="111"/>
      <c r="BP111" s="111"/>
      <c r="BQ111" s="111"/>
      <c r="BR111" s="111"/>
      <c r="BS111" s="111"/>
      <c r="BT111" s="111"/>
      <c r="BU111" s="111"/>
      <c r="BV111" s="111"/>
      <c r="BW111" s="111"/>
      <c r="BX111" s="111"/>
      <c r="BY111" s="111"/>
      <c r="BZ111" s="111"/>
      <c r="CA111" s="111"/>
      <c r="CB111" s="111"/>
      <c r="CC111" s="111"/>
      <c r="CD111" s="111"/>
      <c r="CE111" s="111"/>
      <c r="CF111" s="111"/>
      <c r="CG111" s="111"/>
      <c r="CH111" s="111"/>
      <c r="CI111" s="111"/>
      <c r="CJ111" s="111"/>
      <c r="CK111" s="111"/>
      <c r="CL111" s="111"/>
      <c r="CM111" s="111"/>
      <c r="CN111" s="111"/>
      <c r="CO111" s="111"/>
      <c r="CP111" s="111"/>
      <c r="CQ111" s="111"/>
      <c r="CR111" s="111"/>
      <c r="CS111" s="111"/>
      <c r="CT111" s="111"/>
      <c r="CU111" s="111"/>
      <c r="CV111" s="111"/>
      <c r="CW111" s="111"/>
      <c r="CX111" s="111"/>
      <c r="CY111" s="111"/>
      <c r="CZ111" s="111"/>
      <c r="DA111" s="111"/>
      <c r="DB111" s="111"/>
      <c r="DC111" s="111"/>
      <c r="DD111" s="111"/>
      <c r="DE111" s="111"/>
      <c r="DF111" s="111"/>
      <c r="DG111" s="111"/>
      <c r="DH111" s="111"/>
      <c r="DI111" s="111"/>
      <c r="DJ111" s="111"/>
      <c r="DK111" s="111"/>
      <c r="DL111" s="111"/>
      <c r="DM111" s="111"/>
      <c r="DN111" s="111"/>
      <c r="DO111" s="111"/>
      <c r="DP111" s="111"/>
      <c r="DQ111" s="111"/>
      <c r="DR111" s="111"/>
      <c r="DS111" s="111"/>
      <c r="DT111" s="111"/>
      <c r="DU111" s="111"/>
      <c r="DV111" s="111"/>
      <c r="DW111" s="111"/>
      <c r="DX111" s="111"/>
    </row>
    <row r="112" spans="1:128" s="3" customFormat="1" ht="12.75" customHeight="1" x14ac:dyDescent="0.3">
      <c r="A112" s="85"/>
      <c r="F112" s="66"/>
      <c r="G112" s="66"/>
      <c r="H112" s="111"/>
      <c r="I112" s="111"/>
      <c r="J112" s="111"/>
      <c r="K112" s="111"/>
      <c r="L112" s="111"/>
      <c r="M112" s="111"/>
      <c r="N112" s="111"/>
      <c r="O112" s="111"/>
      <c r="P112" s="111"/>
      <c r="Q112" s="111"/>
      <c r="R112" s="111"/>
      <c r="S112" s="111"/>
      <c r="T112" s="111"/>
      <c r="U112" s="111"/>
      <c r="V112" s="111"/>
      <c r="W112" s="111"/>
      <c r="X112" s="111"/>
      <c r="Y112" s="111"/>
      <c r="Z112" s="111"/>
      <c r="AA112" s="111"/>
      <c r="AB112" s="111"/>
      <c r="AC112" s="111"/>
      <c r="AD112" s="111"/>
      <c r="AE112" s="111"/>
      <c r="AF112" s="111"/>
      <c r="AG112" s="111"/>
      <c r="AH112" s="111"/>
      <c r="AI112" s="111"/>
      <c r="AJ112" s="111"/>
      <c r="AK112" s="111"/>
      <c r="AL112" s="111"/>
      <c r="AM112" s="111"/>
      <c r="AN112" s="111"/>
      <c r="AO112" s="111"/>
      <c r="AP112" s="111"/>
      <c r="AQ112" s="111"/>
      <c r="AR112" s="111"/>
      <c r="AS112" s="111"/>
      <c r="AT112" s="111"/>
      <c r="AU112" s="111"/>
      <c r="AV112" s="111"/>
      <c r="AW112" s="111"/>
      <c r="AX112" s="111"/>
      <c r="AY112" s="111"/>
      <c r="AZ112" s="111"/>
      <c r="BA112" s="111"/>
      <c r="BB112" s="111"/>
      <c r="BC112" s="111"/>
      <c r="BD112" s="111"/>
      <c r="BE112" s="111"/>
      <c r="BF112" s="111"/>
      <c r="BG112" s="111"/>
      <c r="BH112" s="111"/>
      <c r="BI112" s="111"/>
      <c r="BJ112" s="111"/>
      <c r="BK112" s="111"/>
      <c r="BL112" s="111"/>
      <c r="BM112" s="111"/>
      <c r="BN112" s="111"/>
      <c r="BO112" s="111"/>
      <c r="BP112" s="111"/>
      <c r="BQ112" s="111"/>
      <c r="BR112" s="111"/>
      <c r="BS112" s="111"/>
      <c r="BT112" s="111"/>
      <c r="BU112" s="111"/>
      <c r="BV112" s="111"/>
      <c r="BW112" s="111"/>
      <c r="BX112" s="111"/>
      <c r="BY112" s="111"/>
      <c r="BZ112" s="111"/>
      <c r="CA112" s="111"/>
      <c r="CB112" s="111"/>
      <c r="CC112" s="111"/>
      <c r="CD112" s="111"/>
      <c r="CE112" s="111"/>
      <c r="CF112" s="111"/>
      <c r="CG112" s="111"/>
      <c r="CH112" s="111"/>
      <c r="CI112" s="111"/>
      <c r="CJ112" s="111"/>
      <c r="CK112" s="111"/>
      <c r="CL112" s="111"/>
      <c r="CM112" s="111"/>
      <c r="CN112" s="111"/>
      <c r="CO112" s="111"/>
      <c r="CP112" s="111"/>
      <c r="CQ112" s="111"/>
      <c r="CR112" s="111"/>
      <c r="CS112" s="111"/>
      <c r="CT112" s="111"/>
      <c r="CU112" s="111"/>
      <c r="CV112" s="111"/>
      <c r="CW112" s="111"/>
      <c r="CX112" s="111"/>
      <c r="CY112" s="111"/>
      <c r="CZ112" s="111"/>
      <c r="DA112" s="111"/>
      <c r="DB112" s="111"/>
      <c r="DC112" s="111"/>
      <c r="DD112" s="111"/>
      <c r="DE112" s="111"/>
      <c r="DF112" s="111"/>
      <c r="DG112" s="111"/>
      <c r="DH112" s="111"/>
      <c r="DI112" s="111"/>
      <c r="DJ112" s="111"/>
      <c r="DK112" s="111"/>
      <c r="DL112" s="111"/>
      <c r="DM112" s="111"/>
      <c r="DN112" s="111"/>
      <c r="DO112" s="111"/>
      <c r="DP112" s="111"/>
      <c r="DQ112" s="111"/>
      <c r="DR112" s="111"/>
      <c r="DS112" s="111"/>
      <c r="DT112" s="111"/>
      <c r="DU112" s="111"/>
      <c r="DV112" s="111"/>
      <c r="DW112" s="111"/>
      <c r="DX112" s="111"/>
    </row>
    <row r="113" spans="1:128" s="3" customFormat="1" ht="12.75" customHeight="1" x14ac:dyDescent="0.3">
      <c r="A113" s="85"/>
      <c r="F113" s="66"/>
      <c r="G113" s="66"/>
      <c r="H113" s="111"/>
      <c r="I113" s="111"/>
      <c r="J113" s="111"/>
      <c r="K113" s="111"/>
      <c r="L113" s="111"/>
      <c r="M113" s="111"/>
      <c r="N113" s="111"/>
      <c r="O113" s="111"/>
      <c r="P113" s="111"/>
      <c r="Q113" s="111"/>
      <c r="R113" s="111"/>
      <c r="S113" s="111"/>
      <c r="T113" s="111"/>
      <c r="U113" s="111"/>
      <c r="V113" s="111"/>
      <c r="W113" s="111"/>
      <c r="X113" s="111"/>
      <c r="Y113" s="111"/>
      <c r="Z113" s="111"/>
      <c r="AA113" s="111"/>
      <c r="AB113" s="111"/>
      <c r="AC113" s="111"/>
      <c r="AD113" s="111"/>
      <c r="AE113" s="111"/>
      <c r="AF113" s="111"/>
      <c r="AG113" s="111"/>
      <c r="AH113" s="111"/>
      <c r="AI113" s="111"/>
      <c r="AJ113" s="111"/>
      <c r="AK113" s="111"/>
      <c r="AL113" s="111"/>
      <c r="AM113" s="111"/>
      <c r="AN113" s="111"/>
      <c r="AO113" s="111"/>
      <c r="AP113" s="111"/>
      <c r="AQ113" s="111"/>
      <c r="AR113" s="111"/>
      <c r="AS113" s="111"/>
      <c r="AT113" s="111"/>
      <c r="AU113" s="111"/>
      <c r="AV113" s="111"/>
      <c r="AW113" s="111"/>
      <c r="AX113" s="111"/>
      <c r="AY113" s="111"/>
      <c r="AZ113" s="111"/>
      <c r="BA113" s="111"/>
      <c r="BB113" s="111"/>
      <c r="BC113" s="111"/>
      <c r="BD113" s="111"/>
      <c r="BE113" s="111"/>
      <c r="BF113" s="111"/>
      <c r="BG113" s="111"/>
      <c r="BH113" s="111"/>
      <c r="BI113" s="111"/>
      <c r="BJ113" s="111"/>
      <c r="BK113" s="111"/>
      <c r="BL113" s="111"/>
      <c r="BM113" s="111"/>
      <c r="BN113" s="111"/>
      <c r="BO113" s="111"/>
      <c r="BP113" s="111"/>
      <c r="BQ113" s="111"/>
      <c r="BR113" s="111"/>
      <c r="BS113" s="111"/>
      <c r="BT113" s="111"/>
      <c r="BU113" s="111"/>
      <c r="BV113" s="111"/>
      <c r="BW113" s="111"/>
      <c r="BX113" s="111"/>
      <c r="BY113" s="111"/>
      <c r="BZ113" s="111"/>
      <c r="CA113" s="111"/>
      <c r="CB113" s="111"/>
      <c r="CC113" s="111"/>
      <c r="CD113" s="111"/>
      <c r="CE113" s="111"/>
      <c r="CF113" s="111"/>
      <c r="CG113" s="111"/>
      <c r="CH113" s="111"/>
      <c r="CI113" s="111"/>
      <c r="CJ113" s="111"/>
      <c r="CK113" s="111"/>
      <c r="CL113" s="111"/>
      <c r="CM113" s="111"/>
      <c r="CN113" s="111"/>
      <c r="CO113" s="111"/>
      <c r="CP113" s="111"/>
      <c r="CQ113" s="111"/>
      <c r="CR113" s="111"/>
      <c r="CS113" s="111"/>
      <c r="CT113" s="111"/>
      <c r="CU113" s="111"/>
      <c r="CV113" s="111"/>
      <c r="CW113" s="111"/>
      <c r="CX113" s="111"/>
      <c r="CY113" s="111"/>
      <c r="CZ113" s="111"/>
      <c r="DA113" s="111"/>
      <c r="DB113" s="111"/>
      <c r="DC113" s="111"/>
      <c r="DD113" s="111"/>
      <c r="DE113" s="111"/>
      <c r="DF113" s="111"/>
      <c r="DG113" s="111"/>
      <c r="DH113" s="111"/>
      <c r="DI113" s="111"/>
      <c r="DJ113" s="111"/>
      <c r="DK113" s="111"/>
      <c r="DL113" s="111"/>
      <c r="DM113" s="111"/>
      <c r="DN113" s="111"/>
      <c r="DO113" s="111"/>
      <c r="DP113" s="111"/>
      <c r="DQ113" s="111"/>
      <c r="DR113" s="111"/>
      <c r="DS113" s="111"/>
      <c r="DT113" s="111"/>
      <c r="DU113" s="111"/>
      <c r="DV113" s="111"/>
      <c r="DW113" s="111"/>
      <c r="DX113" s="111"/>
    </row>
    <row r="114" spans="1:128" s="3" customFormat="1" ht="12.75" customHeight="1" x14ac:dyDescent="0.3">
      <c r="A114" s="85"/>
      <c r="F114" s="66"/>
      <c r="G114" s="66"/>
      <c r="H114" s="111"/>
      <c r="I114" s="111"/>
      <c r="J114" s="111"/>
      <c r="K114" s="111"/>
      <c r="L114" s="111"/>
      <c r="M114" s="111"/>
      <c r="N114" s="111"/>
      <c r="O114" s="111"/>
      <c r="P114" s="111"/>
      <c r="Q114" s="111"/>
      <c r="R114" s="111"/>
      <c r="S114" s="111"/>
      <c r="T114" s="111"/>
      <c r="U114" s="111"/>
      <c r="V114" s="111"/>
      <c r="W114" s="111"/>
      <c r="X114" s="111"/>
      <c r="Y114" s="111"/>
      <c r="Z114" s="111"/>
      <c r="AA114" s="111"/>
      <c r="AB114" s="111"/>
      <c r="AC114" s="111"/>
      <c r="AD114" s="111"/>
      <c r="AE114" s="111"/>
      <c r="AF114" s="111"/>
      <c r="AG114" s="111"/>
      <c r="AH114" s="111"/>
      <c r="AI114" s="111"/>
      <c r="AJ114" s="111"/>
      <c r="AK114" s="111"/>
      <c r="AL114" s="111"/>
      <c r="AM114" s="111"/>
      <c r="AN114" s="111"/>
      <c r="AO114" s="111"/>
      <c r="AP114" s="111"/>
      <c r="AQ114" s="111"/>
      <c r="AR114" s="111"/>
      <c r="AS114" s="111"/>
      <c r="AT114" s="111"/>
      <c r="AU114" s="111"/>
      <c r="AV114" s="111"/>
      <c r="AW114" s="111"/>
      <c r="AX114" s="111"/>
      <c r="AY114" s="111"/>
      <c r="AZ114" s="111"/>
      <c r="BA114" s="111"/>
      <c r="BB114" s="111"/>
      <c r="BC114" s="111"/>
      <c r="BD114" s="111"/>
      <c r="BE114" s="111"/>
      <c r="BF114" s="111"/>
      <c r="BG114" s="111"/>
      <c r="BH114" s="111"/>
      <c r="BI114" s="111"/>
      <c r="BJ114" s="111"/>
      <c r="BK114" s="111"/>
      <c r="BL114" s="111"/>
      <c r="BM114" s="111"/>
      <c r="BN114" s="111"/>
      <c r="BO114" s="111"/>
      <c r="BP114" s="111"/>
      <c r="BQ114" s="111"/>
      <c r="BR114" s="111"/>
      <c r="BS114" s="111"/>
      <c r="BT114" s="111"/>
      <c r="BU114" s="111"/>
      <c r="BV114" s="111"/>
      <c r="BW114" s="111"/>
      <c r="BX114" s="111"/>
      <c r="BY114" s="111"/>
      <c r="BZ114" s="111"/>
      <c r="CA114" s="111"/>
      <c r="CB114" s="111"/>
      <c r="CC114" s="111"/>
      <c r="CD114" s="111"/>
      <c r="CE114" s="111"/>
      <c r="CF114" s="111"/>
      <c r="CG114" s="111"/>
      <c r="CH114" s="111"/>
      <c r="CI114" s="111"/>
      <c r="CJ114" s="111"/>
      <c r="CK114" s="111"/>
      <c r="CL114" s="111"/>
      <c r="CM114" s="111"/>
      <c r="CN114" s="111"/>
      <c r="CO114" s="111"/>
      <c r="CP114" s="111"/>
      <c r="CQ114" s="111"/>
      <c r="CR114" s="111"/>
      <c r="CS114" s="111"/>
      <c r="CT114" s="111"/>
      <c r="CU114" s="111"/>
      <c r="CV114" s="111"/>
      <c r="CW114" s="111"/>
      <c r="CX114" s="111"/>
      <c r="CY114" s="111"/>
      <c r="CZ114" s="111"/>
      <c r="DA114" s="111"/>
      <c r="DB114" s="111"/>
      <c r="DC114" s="111"/>
      <c r="DD114" s="111"/>
      <c r="DE114" s="111"/>
      <c r="DF114" s="111"/>
      <c r="DG114" s="111"/>
      <c r="DH114" s="111"/>
      <c r="DI114" s="111"/>
      <c r="DJ114" s="111"/>
      <c r="DK114" s="111"/>
      <c r="DL114" s="111"/>
      <c r="DM114" s="111"/>
      <c r="DN114" s="111"/>
      <c r="DO114" s="111"/>
      <c r="DP114" s="111"/>
      <c r="DQ114" s="111"/>
      <c r="DR114" s="111"/>
      <c r="DS114" s="111"/>
      <c r="DT114" s="111"/>
      <c r="DU114" s="111"/>
      <c r="DV114" s="111"/>
      <c r="DW114" s="111"/>
      <c r="DX114" s="111"/>
    </row>
    <row r="115" spans="1:128" s="3" customFormat="1" ht="12.75" customHeight="1" x14ac:dyDescent="0.3">
      <c r="A115" s="85"/>
      <c r="F115" s="66"/>
      <c r="G115" s="66"/>
      <c r="H115" s="111"/>
      <c r="I115" s="111"/>
      <c r="J115" s="111"/>
      <c r="K115" s="111"/>
      <c r="L115" s="111"/>
      <c r="M115" s="111"/>
      <c r="N115" s="111"/>
      <c r="O115" s="111"/>
      <c r="P115" s="111"/>
      <c r="Q115" s="111"/>
      <c r="R115" s="111"/>
      <c r="S115" s="111"/>
      <c r="T115" s="111"/>
      <c r="U115" s="111"/>
      <c r="V115" s="111"/>
      <c r="W115" s="111"/>
      <c r="X115" s="111"/>
      <c r="Y115" s="111"/>
      <c r="Z115" s="111"/>
      <c r="AA115" s="111"/>
      <c r="AB115" s="111"/>
      <c r="AC115" s="111"/>
      <c r="AD115" s="111"/>
      <c r="AE115" s="111"/>
      <c r="AF115" s="111"/>
      <c r="AG115" s="111"/>
      <c r="AH115" s="111"/>
      <c r="AI115" s="111"/>
      <c r="AJ115" s="111"/>
      <c r="AK115" s="111"/>
      <c r="AL115" s="111"/>
      <c r="AM115" s="111"/>
      <c r="AN115" s="111"/>
      <c r="AO115" s="111"/>
      <c r="AP115" s="111"/>
      <c r="AQ115" s="111"/>
      <c r="AR115" s="111"/>
      <c r="AS115" s="111"/>
      <c r="AT115" s="111"/>
      <c r="AU115" s="111"/>
      <c r="AV115" s="111"/>
      <c r="AW115" s="111"/>
      <c r="AX115" s="111"/>
      <c r="AY115" s="111"/>
      <c r="AZ115" s="111"/>
      <c r="BA115" s="111"/>
      <c r="BB115" s="111"/>
      <c r="BC115" s="111"/>
      <c r="BD115" s="111"/>
      <c r="BE115" s="111"/>
      <c r="BF115" s="111"/>
      <c r="BG115" s="111"/>
      <c r="BH115" s="111"/>
      <c r="BI115" s="111"/>
      <c r="BJ115" s="111"/>
      <c r="BK115" s="111"/>
      <c r="BL115" s="111"/>
      <c r="BM115" s="111"/>
      <c r="BN115" s="111"/>
      <c r="BO115" s="111"/>
      <c r="BP115" s="111"/>
      <c r="BQ115" s="111"/>
      <c r="BR115" s="111"/>
      <c r="BS115" s="111"/>
      <c r="BT115" s="111"/>
      <c r="BU115" s="111"/>
      <c r="BV115" s="111"/>
      <c r="BW115" s="111"/>
      <c r="BX115" s="111"/>
      <c r="BY115" s="111"/>
      <c r="BZ115" s="111"/>
      <c r="CA115" s="111"/>
      <c r="CB115" s="111"/>
      <c r="CC115" s="111"/>
      <c r="CD115" s="111"/>
      <c r="CE115" s="111"/>
      <c r="CF115" s="111"/>
      <c r="CG115" s="111"/>
      <c r="CH115" s="111"/>
      <c r="CI115" s="111"/>
      <c r="CJ115" s="111"/>
      <c r="CK115" s="111"/>
      <c r="CL115" s="111"/>
      <c r="CM115" s="111"/>
      <c r="CN115" s="111"/>
      <c r="CO115" s="111"/>
      <c r="CP115" s="111"/>
      <c r="CQ115" s="111"/>
      <c r="CR115" s="111"/>
      <c r="CS115" s="111"/>
      <c r="CT115" s="111"/>
      <c r="CU115" s="111"/>
      <c r="CV115" s="111"/>
      <c r="CW115" s="111"/>
      <c r="CX115" s="111"/>
      <c r="CY115" s="111"/>
      <c r="CZ115" s="111"/>
      <c r="DA115" s="111"/>
      <c r="DB115" s="111"/>
      <c r="DC115" s="111"/>
      <c r="DD115" s="111"/>
      <c r="DE115" s="111"/>
      <c r="DF115" s="111"/>
      <c r="DG115" s="111"/>
      <c r="DH115" s="111"/>
      <c r="DI115" s="111"/>
      <c r="DJ115" s="111"/>
      <c r="DK115" s="111"/>
      <c r="DL115" s="111"/>
      <c r="DM115" s="111"/>
      <c r="DN115" s="111"/>
      <c r="DO115" s="111"/>
      <c r="DP115" s="111"/>
      <c r="DQ115" s="111"/>
      <c r="DR115" s="111"/>
      <c r="DS115" s="111"/>
      <c r="DT115" s="111"/>
      <c r="DU115" s="111"/>
      <c r="DV115" s="111"/>
      <c r="DW115" s="111"/>
      <c r="DX115" s="111"/>
    </row>
    <row r="116" spans="1:128" s="3" customFormat="1" ht="12.75" customHeight="1" x14ac:dyDescent="0.3">
      <c r="A116" s="85"/>
      <c r="F116" s="66"/>
      <c r="G116" s="66"/>
      <c r="H116" s="111"/>
      <c r="I116" s="111"/>
      <c r="J116" s="111"/>
      <c r="K116" s="111"/>
      <c r="L116" s="111"/>
      <c r="M116" s="111"/>
      <c r="N116" s="111"/>
      <c r="O116" s="111"/>
      <c r="P116" s="111"/>
      <c r="Q116" s="111"/>
      <c r="R116" s="111"/>
      <c r="S116" s="111"/>
      <c r="T116" s="111"/>
      <c r="U116" s="111"/>
      <c r="V116" s="111"/>
      <c r="W116" s="111"/>
      <c r="X116" s="111"/>
      <c r="Y116" s="111"/>
      <c r="Z116" s="111"/>
      <c r="AA116" s="111"/>
      <c r="AB116" s="111"/>
      <c r="AC116" s="111"/>
      <c r="AD116" s="111"/>
      <c r="AE116" s="111"/>
      <c r="AF116" s="111"/>
      <c r="AG116" s="111"/>
      <c r="AH116" s="111"/>
      <c r="AI116" s="111"/>
      <c r="AJ116" s="111"/>
      <c r="AK116" s="111"/>
      <c r="AL116" s="111"/>
      <c r="AM116" s="111"/>
      <c r="AN116" s="111"/>
      <c r="AO116" s="111"/>
      <c r="AP116" s="111"/>
      <c r="AQ116" s="111"/>
      <c r="AR116" s="111"/>
      <c r="AS116" s="111"/>
      <c r="AT116" s="111"/>
      <c r="AU116" s="111"/>
      <c r="AV116" s="111"/>
      <c r="AW116" s="111"/>
      <c r="AX116" s="111"/>
      <c r="AY116" s="111"/>
      <c r="AZ116" s="111"/>
      <c r="BA116" s="111"/>
      <c r="BB116" s="111"/>
      <c r="BC116" s="111"/>
      <c r="BD116" s="111"/>
      <c r="BE116" s="111"/>
      <c r="BF116" s="111"/>
      <c r="BG116" s="111"/>
      <c r="BH116" s="111"/>
      <c r="BI116" s="111"/>
      <c r="BJ116" s="111"/>
      <c r="BK116" s="111"/>
      <c r="BL116" s="111"/>
      <c r="BM116" s="111"/>
      <c r="BN116" s="111"/>
      <c r="BO116" s="111"/>
      <c r="BP116" s="111"/>
      <c r="BQ116" s="111"/>
      <c r="BR116" s="111"/>
      <c r="BS116" s="111"/>
      <c r="BT116" s="111"/>
      <c r="BU116" s="111"/>
      <c r="BV116" s="111"/>
      <c r="BW116" s="111"/>
      <c r="BX116" s="111"/>
      <c r="BY116" s="111"/>
      <c r="BZ116" s="111"/>
      <c r="CA116" s="111"/>
      <c r="CB116" s="111"/>
      <c r="CC116" s="111"/>
      <c r="CD116" s="111"/>
      <c r="CE116" s="111"/>
      <c r="CF116" s="111"/>
      <c r="CG116" s="111"/>
      <c r="CH116" s="111"/>
      <c r="CI116" s="111"/>
      <c r="CJ116" s="111"/>
      <c r="CK116" s="111"/>
      <c r="CL116" s="111"/>
      <c r="CM116" s="111"/>
      <c r="CN116" s="111"/>
      <c r="CO116" s="111"/>
      <c r="CP116" s="111"/>
      <c r="CQ116" s="111"/>
      <c r="CR116" s="111"/>
      <c r="CS116" s="111"/>
      <c r="CT116" s="111"/>
      <c r="CU116" s="111"/>
      <c r="CV116" s="111"/>
      <c r="CW116" s="111"/>
      <c r="CX116" s="111"/>
      <c r="CY116" s="111"/>
      <c r="CZ116" s="111"/>
      <c r="DA116" s="111"/>
      <c r="DB116" s="111"/>
      <c r="DC116" s="111"/>
      <c r="DD116" s="111"/>
      <c r="DE116" s="111"/>
      <c r="DF116" s="111"/>
      <c r="DG116" s="111"/>
      <c r="DH116" s="111"/>
      <c r="DI116" s="111"/>
      <c r="DJ116" s="111"/>
      <c r="DK116" s="111"/>
      <c r="DL116" s="111"/>
      <c r="DM116" s="111"/>
      <c r="DN116" s="111"/>
      <c r="DO116" s="111"/>
      <c r="DP116" s="111"/>
      <c r="DQ116" s="111"/>
      <c r="DR116" s="111"/>
      <c r="DS116" s="111"/>
      <c r="DT116" s="111"/>
      <c r="DU116" s="111"/>
      <c r="DV116" s="111"/>
      <c r="DW116" s="111"/>
      <c r="DX116" s="111"/>
    </row>
    <row r="117" spans="1:128" s="3" customFormat="1" ht="12.75" customHeight="1" x14ac:dyDescent="0.3">
      <c r="A117" s="85"/>
      <c r="F117" s="66"/>
      <c r="G117" s="66"/>
      <c r="H117" s="111"/>
      <c r="I117" s="111"/>
      <c r="J117" s="111"/>
      <c r="K117" s="111"/>
      <c r="L117" s="111"/>
      <c r="M117" s="111"/>
      <c r="N117" s="111"/>
      <c r="O117" s="111"/>
      <c r="P117" s="111"/>
      <c r="Q117" s="111"/>
      <c r="R117" s="111"/>
      <c r="S117" s="111"/>
      <c r="T117" s="111"/>
      <c r="U117" s="111"/>
      <c r="V117" s="111"/>
      <c r="W117" s="111"/>
      <c r="X117" s="111"/>
      <c r="Y117" s="111"/>
      <c r="Z117" s="111"/>
      <c r="AA117" s="111"/>
      <c r="AB117" s="111"/>
      <c r="AC117" s="111"/>
      <c r="AD117" s="111"/>
      <c r="AE117" s="111"/>
      <c r="AF117" s="111"/>
      <c r="AG117" s="111"/>
      <c r="AH117" s="111"/>
      <c r="AI117" s="111"/>
      <c r="AJ117" s="111"/>
      <c r="AK117" s="111"/>
      <c r="AL117" s="111"/>
      <c r="AM117" s="111"/>
      <c r="AN117" s="111"/>
      <c r="AO117" s="111"/>
      <c r="AP117" s="111"/>
      <c r="AQ117" s="111"/>
      <c r="AR117" s="111"/>
      <c r="AS117" s="111"/>
      <c r="AT117" s="111"/>
      <c r="AU117" s="111"/>
      <c r="AV117" s="111"/>
      <c r="AW117" s="111"/>
      <c r="AX117" s="111"/>
      <c r="AY117" s="111"/>
      <c r="AZ117" s="111"/>
      <c r="BA117" s="111"/>
      <c r="BB117" s="111"/>
      <c r="BC117" s="111"/>
      <c r="BD117" s="111"/>
      <c r="BE117" s="111"/>
      <c r="BF117" s="111"/>
      <c r="BG117" s="111"/>
      <c r="BH117" s="111"/>
      <c r="BI117" s="111"/>
      <c r="BJ117" s="111"/>
      <c r="BK117" s="111"/>
      <c r="BL117" s="111"/>
      <c r="BM117" s="111"/>
      <c r="BN117" s="111"/>
      <c r="BO117" s="111"/>
      <c r="BP117" s="111"/>
      <c r="BQ117" s="111"/>
      <c r="BR117" s="111"/>
      <c r="BS117" s="111"/>
      <c r="BT117" s="111"/>
      <c r="BU117" s="111"/>
      <c r="BV117" s="111"/>
      <c r="BW117" s="111"/>
      <c r="BX117" s="111"/>
      <c r="BY117" s="111"/>
      <c r="BZ117" s="111"/>
      <c r="CA117" s="111"/>
      <c r="CB117" s="111"/>
      <c r="CC117" s="111"/>
      <c r="CD117" s="111"/>
      <c r="CE117" s="111"/>
      <c r="CF117" s="111"/>
      <c r="CG117" s="111"/>
      <c r="CH117" s="111"/>
      <c r="CI117" s="111"/>
      <c r="CJ117" s="111"/>
      <c r="CK117" s="111"/>
      <c r="CL117" s="111"/>
      <c r="CM117" s="111"/>
      <c r="CN117" s="111"/>
      <c r="CO117" s="111"/>
      <c r="CP117" s="111"/>
      <c r="CQ117" s="111"/>
      <c r="CR117" s="111"/>
      <c r="CS117" s="111"/>
      <c r="CT117" s="111"/>
      <c r="CU117" s="111"/>
      <c r="CV117" s="111"/>
      <c r="CW117" s="111"/>
      <c r="CX117" s="111"/>
      <c r="CY117" s="111"/>
      <c r="CZ117" s="111"/>
      <c r="DA117" s="111"/>
      <c r="DB117" s="111"/>
      <c r="DC117" s="111"/>
      <c r="DD117" s="111"/>
      <c r="DE117" s="111"/>
      <c r="DF117" s="111"/>
      <c r="DG117" s="111"/>
      <c r="DH117" s="111"/>
      <c r="DI117" s="111"/>
      <c r="DJ117" s="111"/>
      <c r="DK117" s="111"/>
      <c r="DL117" s="111"/>
      <c r="DM117" s="111"/>
      <c r="DN117" s="111"/>
      <c r="DO117" s="111"/>
      <c r="DP117" s="111"/>
      <c r="DQ117" s="111"/>
      <c r="DR117" s="111"/>
      <c r="DS117" s="111"/>
      <c r="DT117" s="111"/>
      <c r="DU117" s="111"/>
      <c r="DV117" s="111"/>
      <c r="DW117" s="111"/>
      <c r="DX117" s="111"/>
    </row>
    <row r="118" spans="1:128" s="3" customFormat="1" ht="12.75" customHeight="1" x14ac:dyDescent="0.3">
      <c r="A118" s="85"/>
      <c r="F118" s="66"/>
      <c r="G118" s="66"/>
      <c r="H118" s="111"/>
      <c r="I118" s="111"/>
      <c r="J118" s="111"/>
      <c r="K118" s="111"/>
      <c r="L118" s="111"/>
      <c r="M118" s="111"/>
      <c r="N118" s="111"/>
      <c r="O118" s="111"/>
      <c r="P118" s="111"/>
      <c r="Q118" s="111"/>
      <c r="R118" s="111"/>
      <c r="S118" s="111"/>
      <c r="T118" s="111"/>
      <c r="U118" s="111"/>
      <c r="V118" s="111"/>
      <c r="W118" s="111"/>
      <c r="X118" s="111"/>
      <c r="Y118" s="111"/>
      <c r="Z118" s="111"/>
      <c r="AA118" s="111"/>
      <c r="AB118" s="111"/>
      <c r="AC118" s="111"/>
      <c r="AD118" s="111"/>
      <c r="AE118" s="111"/>
      <c r="AF118" s="111"/>
      <c r="AG118" s="111"/>
      <c r="AH118" s="111"/>
      <c r="AI118" s="111"/>
      <c r="AJ118" s="111"/>
      <c r="AK118" s="111"/>
      <c r="AL118" s="111"/>
      <c r="AM118" s="111"/>
      <c r="AN118" s="111"/>
      <c r="AO118" s="111"/>
      <c r="AP118" s="111"/>
      <c r="AQ118" s="111"/>
      <c r="AR118" s="111"/>
      <c r="AS118" s="111"/>
      <c r="AT118" s="111"/>
      <c r="AU118" s="111"/>
      <c r="AV118" s="111"/>
      <c r="AW118" s="111"/>
      <c r="AX118" s="111"/>
      <c r="AY118" s="111"/>
      <c r="AZ118" s="111"/>
      <c r="BA118" s="111"/>
      <c r="BB118" s="111"/>
      <c r="BC118" s="111"/>
      <c r="BD118" s="111"/>
      <c r="BE118" s="111"/>
      <c r="BF118" s="111"/>
      <c r="BG118" s="111"/>
      <c r="BH118" s="111"/>
      <c r="BI118" s="111"/>
      <c r="BJ118" s="111"/>
      <c r="BK118" s="111"/>
      <c r="BL118" s="111"/>
      <c r="BM118" s="111"/>
      <c r="BN118" s="111"/>
      <c r="BO118" s="111"/>
      <c r="BP118" s="111"/>
      <c r="BQ118" s="111"/>
      <c r="BR118" s="111"/>
      <c r="BS118" s="111"/>
      <c r="BT118" s="111"/>
      <c r="BU118" s="111"/>
      <c r="BV118" s="111"/>
      <c r="BW118" s="111"/>
      <c r="BX118" s="111"/>
      <c r="BY118" s="111"/>
      <c r="BZ118" s="111"/>
      <c r="CA118" s="111"/>
      <c r="CB118" s="111"/>
      <c r="CC118" s="111"/>
      <c r="CD118" s="111"/>
      <c r="CE118" s="111"/>
      <c r="CF118" s="111"/>
      <c r="CG118" s="111"/>
      <c r="CH118" s="111"/>
      <c r="CI118" s="111"/>
      <c r="CJ118" s="111"/>
      <c r="CK118" s="111"/>
      <c r="CL118" s="111"/>
      <c r="CM118" s="111"/>
      <c r="CN118" s="111"/>
      <c r="CO118" s="111"/>
      <c r="CP118" s="111"/>
      <c r="CQ118" s="111"/>
      <c r="CR118" s="111"/>
      <c r="CS118" s="111"/>
      <c r="CT118" s="111"/>
      <c r="CU118" s="111"/>
      <c r="CV118" s="111"/>
      <c r="CW118" s="111"/>
      <c r="CX118" s="111"/>
      <c r="CY118" s="111"/>
      <c r="CZ118" s="111"/>
      <c r="DA118" s="111"/>
      <c r="DB118" s="111"/>
      <c r="DC118" s="111"/>
      <c r="DD118" s="111"/>
      <c r="DE118" s="111"/>
      <c r="DF118" s="111"/>
      <c r="DG118" s="111"/>
      <c r="DH118" s="111"/>
      <c r="DI118" s="111"/>
      <c r="DJ118" s="111"/>
      <c r="DK118" s="111"/>
      <c r="DL118" s="111"/>
      <c r="DM118" s="111"/>
      <c r="DN118" s="111"/>
      <c r="DO118" s="111"/>
      <c r="DP118" s="111"/>
      <c r="DQ118" s="111"/>
      <c r="DR118" s="111"/>
      <c r="DS118" s="111"/>
      <c r="DT118" s="111"/>
      <c r="DU118" s="111"/>
      <c r="DV118" s="111"/>
      <c r="DW118" s="111"/>
      <c r="DX118" s="111"/>
    </row>
    <row r="119" spans="1:128" s="3" customFormat="1" ht="12.75" customHeight="1" x14ac:dyDescent="0.3">
      <c r="A119" s="85"/>
      <c r="F119" s="66"/>
      <c r="G119" s="66"/>
      <c r="H119" s="111"/>
      <c r="I119" s="111"/>
      <c r="J119" s="111"/>
      <c r="K119" s="111"/>
      <c r="L119" s="111"/>
      <c r="M119" s="111"/>
      <c r="N119" s="111"/>
      <c r="O119" s="111"/>
      <c r="P119" s="111"/>
      <c r="Q119" s="111"/>
      <c r="R119" s="111"/>
      <c r="S119" s="111"/>
      <c r="T119" s="111"/>
      <c r="U119" s="111"/>
      <c r="V119" s="111"/>
      <c r="W119" s="111"/>
      <c r="X119" s="111"/>
      <c r="Y119" s="111"/>
      <c r="Z119" s="111"/>
      <c r="AA119" s="111"/>
      <c r="AB119" s="111"/>
      <c r="AC119" s="111"/>
      <c r="AD119" s="111"/>
      <c r="AE119" s="111"/>
      <c r="AF119" s="111"/>
      <c r="AG119" s="111"/>
      <c r="AH119" s="111"/>
      <c r="AI119" s="111"/>
      <c r="AJ119" s="111"/>
      <c r="AK119" s="111"/>
      <c r="AL119" s="111"/>
      <c r="AM119" s="111"/>
      <c r="AN119" s="111"/>
      <c r="AO119" s="111"/>
      <c r="AP119" s="111"/>
      <c r="AQ119" s="111"/>
      <c r="AR119" s="111"/>
      <c r="AS119" s="111"/>
      <c r="AT119" s="111"/>
      <c r="AU119" s="111"/>
      <c r="AV119" s="111"/>
      <c r="AW119" s="111"/>
      <c r="AX119" s="111"/>
      <c r="AY119" s="111"/>
      <c r="AZ119" s="111"/>
      <c r="BA119" s="111"/>
      <c r="BB119" s="111"/>
      <c r="BC119" s="111"/>
      <c r="BD119" s="111"/>
      <c r="BE119" s="111"/>
      <c r="BF119" s="111"/>
      <c r="BG119" s="111"/>
      <c r="BH119" s="111"/>
      <c r="BI119" s="111"/>
      <c r="BJ119" s="111"/>
      <c r="BK119" s="111"/>
      <c r="BL119" s="111"/>
      <c r="BM119" s="111"/>
      <c r="BN119" s="111"/>
      <c r="BO119" s="111"/>
      <c r="BP119" s="111"/>
      <c r="BQ119" s="111"/>
      <c r="BR119" s="111"/>
      <c r="BS119" s="111"/>
      <c r="BT119" s="111"/>
      <c r="BU119" s="111"/>
      <c r="BV119" s="111"/>
      <c r="BW119" s="111"/>
      <c r="BX119" s="111"/>
      <c r="BY119" s="111"/>
      <c r="BZ119" s="111"/>
      <c r="CA119" s="111"/>
      <c r="CB119" s="111"/>
      <c r="CC119" s="111"/>
      <c r="CD119" s="111"/>
      <c r="CE119" s="111"/>
      <c r="CF119" s="111"/>
      <c r="CG119" s="111"/>
      <c r="CH119" s="111"/>
      <c r="CI119" s="111"/>
      <c r="CJ119" s="111"/>
      <c r="CK119" s="111"/>
      <c r="CL119" s="111"/>
      <c r="CM119" s="111"/>
      <c r="CN119" s="111"/>
      <c r="CO119" s="111"/>
      <c r="CP119" s="111"/>
      <c r="CQ119" s="111"/>
      <c r="CR119" s="111"/>
      <c r="CS119" s="111"/>
      <c r="CT119" s="111"/>
      <c r="CU119" s="111"/>
      <c r="CV119" s="111"/>
      <c r="CW119" s="111"/>
      <c r="CX119" s="111"/>
      <c r="CY119" s="111"/>
      <c r="CZ119" s="111"/>
      <c r="DA119" s="111"/>
      <c r="DB119" s="111"/>
      <c r="DC119" s="111"/>
      <c r="DD119" s="111"/>
      <c r="DE119" s="111"/>
      <c r="DF119" s="111"/>
      <c r="DG119" s="111"/>
      <c r="DH119" s="111"/>
      <c r="DI119" s="111"/>
      <c r="DJ119" s="111"/>
      <c r="DK119" s="111"/>
      <c r="DL119" s="111"/>
      <c r="DM119" s="111"/>
      <c r="DN119" s="111"/>
      <c r="DO119" s="111"/>
      <c r="DP119" s="111"/>
      <c r="DQ119" s="111"/>
      <c r="DR119" s="111"/>
      <c r="DS119" s="111"/>
      <c r="DT119" s="111"/>
      <c r="DU119" s="111"/>
      <c r="DV119" s="111"/>
      <c r="DW119" s="111"/>
      <c r="DX119" s="111"/>
    </row>
    <row r="120" spans="1:128" s="3" customFormat="1" ht="12.75" customHeight="1" x14ac:dyDescent="0.3">
      <c r="A120" s="85"/>
      <c r="F120" s="66"/>
      <c r="G120" s="66"/>
      <c r="H120" s="111"/>
      <c r="I120" s="111"/>
      <c r="J120" s="111"/>
      <c r="K120" s="111"/>
      <c r="L120" s="111"/>
      <c r="M120" s="111"/>
      <c r="N120" s="111"/>
      <c r="O120" s="111"/>
      <c r="P120" s="111"/>
      <c r="Q120" s="111"/>
      <c r="R120" s="111"/>
      <c r="S120" s="111"/>
      <c r="T120" s="111"/>
      <c r="U120" s="111"/>
      <c r="V120" s="111"/>
      <c r="W120" s="111"/>
      <c r="X120" s="111"/>
      <c r="Y120" s="111"/>
      <c r="Z120" s="111"/>
      <c r="AA120" s="111"/>
      <c r="AB120" s="111"/>
      <c r="AC120" s="111"/>
      <c r="AD120" s="111"/>
      <c r="AE120" s="111"/>
      <c r="AF120" s="111"/>
      <c r="AG120" s="111"/>
      <c r="AH120" s="111"/>
      <c r="AI120" s="111"/>
      <c r="AJ120" s="111"/>
      <c r="AK120" s="111"/>
      <c r="AL120" s="111"/>
      <c r="AM120" s="111"/>
      <c r="AN120" s="111"/>
      <c r="AO120" s="111"/>
      <c r="AP120" s="111"/>
      <c r="AQ120" s="111"/>
      <c r="AR120" s="111"/>
      <c r="AS120" s="111"/>
      <c r="AT120" s="111"/>
      <c r="AU120" s="111"/>
      <c r="AV120" s="111"/>
      <c r="AW120" s="111"/>
      <c r="AX120" s="111"/>
      <c r="AY120" s="111"/>
      <c r="AZ120" s="111"/>
      <c r="BA120" s="111"/>
      <c r="BB120" s="111"/>
      <c r="BC120" s="111"/>
      <c r="BD120" s="111"/>
      <c r="BE120" s="111"/>
      <c r="BF120" s="111"/>
      <c r="BG120" s="111"/>
      <c r="BH120" s="111"/>
      <c r="BI120" s="111"/>
      <c r="BJ120" s="111"/>
      <c r="BK120" s="111"/>
      <c r="BL120" s="111"/>
      <c r="BM120" s="111"/>
      <c r="BN120" s="111"/>
      <c r="BO120" s="111"/>
      <c r="BP120" s="111"/>
      <c r="BQ120" s="111"/>
      <c r="BR120" s="111"/>
      <c r="BS120" s="111"/>
      <c r="BT120" s="111"/>
      <c r="BU120" s="111"/>
      <c r="BV120" s="111"/>
      <c r="BW120" s="111"/>
      <c r="BX120" s="111"/>
      <c r="BY120" s="111"/>
      <c r="BZ120" s="111"/>
      <c r="CA120" s="111"/>
      <c r="CB120" s="111"/>
      <c r="CC120" s="111"/>
      <c r="CD120" s="111"/>
      <c r="CE120" s="111"/>
      <c r="CF120" s="111"/>
      <c r="CG120" s="111"/>
      <c r="CH120" s="111"/>
      <c r="CI120" s="111"/>
      <c r="CJ120" s="111"/>
      <c r="CK120" s="111"/>
      <c r="CL120" s="111"/>
      <c r="CM120" s="111"/>
      <c r="CN120" s="111"/>
      <c r="CO120" s="111"/>
      <c r="CP120" s="111"/>
      <c r="CQ120" s="111"/>
      <c r="CR120" s="111"/>
      <c r="CS120" s="111"/>
      <c r="CT120" s="111"/>
      <c r="CU120" s="111"/>
      <c r="CV120" s="111"/>
      <c r="CW120" s="111"/>
      <c r="CX120" s="111"/>
      <c r="CY120" s="111"/>
      <c r="CZ120" s="111"/>
      <c r="DA120" s="111"/>
      <c r="DB120" s="111"/>
      <c r="DC120" s="111"/>
      <c r="DD120" s="111"/>
      <c r="DE120" s="111"/>
      <c r="DF120" s="111"/>
      <c r="DG120" s="111"/>
      <c r="DH120" s="111"/>
      <c r="DI120" s="111"/>
      <c r="DJ120" s="111"/>
      <c r="DK120" s="111"/>
      <c r="DL120" s="111"/>
      <c r="DM120" s="111"/>
      <c r="DN120" s="111"/>
      <c r="DO120" s="111"/>
      <c r="DP120" s="111"/>
      <c r="DQ120" s="111"/>
      <c r="DR120" s="111"/>
      <c r="DS120" s="111"/>
      <c r="DT120" s="111"/>
      <c r="DU120" s="111"/>
      <c r="DV120" s="111"/>
      <c r="DW120" s="111"/>
      <c r="DX120" s="111"/>
    </row>
    <row r="121" spans="1:128" s="3" customFormat="1" ht="12.75" customHeight="1" x14ac:dyDescent="0.3">
      <c r="A121" s="85"/>
      <c r="F121" s="66"/>
      <c r="G121" s="66"/>
      <c r="H121" s="111"/>
      <c r="I121" s="111"/>
      <c r="J121" s="111"/>
      <c r="K121" s="111"/>
      <c r="L121" s="111"/>
      <c r="M121" s="111"/>
      <c r="N121" s="111"/>
      <c r="O121" s="111"/>
      <c r="P121" s="111"/>
      <c r="Q121" s="111"/>
      <c r="R121" s="111"/>
      <c r="S121" s="111"/>
      <c r="T121" s="111"/>
      <c r="U121" s="111"/>
      <c r="V121" s="111"/>
      <c r="W121" s="111"/>
      <c r="X121" s="111"/>
      <c r="Y121" s="111"/>
      <c r="Z121" s="111"/>
      <c r="AA121" s="111"/>
      <c r="AB121" s="111"/>
      <c r="AC121" s="111"/>
      <c r="AD121" s="111"/>
      <c r="AE121" s="111"/>
      <c r="AF121" s="111"/>
      <c r="AG121" s="111"/>
      <c r="AH121" s="111"/>
      <c r="AI121" s="111"/>
      <c r="AJ121" s="111"/>
      <c r="AK121" s="111"/>
      <c r="AL121" s="111"/>
      <c r="AM121" s="111"/>
      <c r="AN121" s="111"/>
      <c r="AO121" s="111"/>
      <c r="AP121" s="111"/>
      <c r="AQ121" s="111"/>
      <c r="AR121" s="111"/>
      <c r="AS121" s="111"/>
      <c r="AT121" s="111"/>
      <c r="AU121" s="111"/>
      <c r="AV121" s="111"/>
      <c r="AW121" s="111"/>
      <c r="AX121" s="111"/>
      <c r="AY121" s="111"/>
      <c r="AZ121" s="111"/>
      <c r="BA121" s="111"/>
      <c r="BB121" s="111"/>
      <c r="BC121" s="111"/>
      <c r="BD121" s="111"/>
      <c r="BE121" s="111"/>
      <c r="BF121" s="111"/>
      <c r="BG121" s="111"/>
      <c r="BH121" s="111"/>
      <c r="BI121" s="111"/>
      <c r="BJ121" s="111"/>
      <c r="BK121" s="111"/>
      <c r="BL121" s="111"/>
      <c r="BM121" s="111"/>
      <c r="BN121" s="111"/>
      <c r="BO121" s="111"/>
      <c r="BP121" s="111"/>
      <c r="BQ121" s="111"/>
      <c r="BR121" s="111"/>
      <c r="BS121" s="111"/>
      <c r="BT121" s="111"/>
      <c r="BU121" s="111"/>
      <c r="BV121" s="111"/>
      <c r="BW121" s="111"/>
      <c r="BX121" s="111"/>
      <c r="BY121" s="111"/>
      <c r="BZ121" s="111"/>
      <c r="CA121" s="111"/>
      <c r="CB121" s="111"/>
      <c r="CC121" s="111"/>
      <c r="CD121" s="111"/>
      <c r="CE121" s="111"/>
      <c r="CF121" s="111"/>
      <c r="CG121" s="111"/>
      <c r="CH121" s="111"/>
      <c r="CI121" s="111"/>
      <c r="CJ121" s="111"/>
      <c r="CK121" s="111"/>
      <c r="CL121" s="111"/>
      <c r="CM121" s="111"/>
      <c r="CN121" s="111"/>
      <c r="CO121" s="111"/>
      <c r="CP121" s="111"/>
      <c r="CQ121" s="111"/>
      <c r="CR121" s="111"/>
      <c r="CS121" s="111"/>
      <c r="CT121" s="111"/>
      <c r="CU121" s="111"/>
      <c r="CV121" s="111"/>
      <c r="CW121" s="111"/>
      <c r="CX121" s="111"/>
      <c r="CY121" s="111"/>
      <c r="CZ121" s="111"/>
      <c r="DA121" s="111"/>
      <c r="DB121" s="111"/>
      <c r="DC121" s="111"/>
      <c r="DD121" s="111"/>
      <c r="DE121" s="111"/>
      <c r="DF121" s="111"/>
      <c r="DG121" s="111"/>
      <c r="DH121" s="111"/>
      <c r="DI121" s="111"/>
      <c r="DJ121" s="111"/>
      <c r="DK121" s="111"/>
      <c r="DL121" s="111"/>
      <c r="DM121" s="111"/>
      <c r="DN121" s="111"/>
      <c r="DO121" s="111"/>
      <c r="DP121" s="111"/>
      <c r="DQ121" s="111"/>
      <c r="DR121" s="111"/>
      <c r="DS121" s="111"/>
      <c r="DT121" s="111"/>
      <c r="DU121" s="111"/>
      <c r="DV121" s="111"/>
      <c r="DW121" s="111"/>
      <c r="DX121" s="111"/>
    </row>
    <row r="122" spans="1:128" s="3" customFormat="1" ht="12.75" customHeight="1" x14ac:dyDescent="0.3">
      <c r="F122" s="66"/>
      <c r="G122" s="66"/>
      <c r="H122" s="111"/>
      <c r="I122" s="111"/>
      <c r="J122" s="111"/>
      <c r="K122" s="111"/>
      <c r="L122" s="111"/>
      <c r="M122" s="111"/>
      <c r="N122" s="111"/>
      <c r="O122" s="111"/>
      <c r="P122" s="111"/>
      <c r="Q122" s="111"/>
      <c r="R122" s="111"/>
      <c r="S122" s="111"/>
      <c r="T122" s="111"/>
      <c r="U122" s="111"/>
      <c r="V122" s="111"/>
      <c r="W122" s="111"/>
      <c r="X122" s="111"/>
      <c r="Y122" s="111"/>
      <c r="Z122" s="111"/>
      <c r="AA122" s="111"/>
      <c r="AB122" s="111"/>
      <c r="AC122" s="111"/>
      <c r="AD122" s="111"/>
      <c r="AE122" s="111"/>
      <c r="AF122" s="111"/>
      <c r="AG122" s="111"/>
      <c r="AH122" s="111"/>
      <c r="AI122" s="111"/>
      <c r="AJ122" s="111"/>
      <c r="AK122" s="111"/>
      <c r="AL122" s="111"/>
      <c r="AM122" s="111"/>
      <c r="AN122" s="111"/>
      <c r="AO122" s="111"/>
      <c r="AP122" s="111"/>
      <c r="AQ122" s="111"/>
      <c r="AR122" s="111"/>
      <c r="AS122" s="111"/>
      <c r="AT122" s="111"/>
      <c r="AU122" s="111"/>
      <c r="AV122" s="111"/>
      <c r="AW122" s="111"/>
      <c r="AX122" s="111"/>
      <c r="AY122" s="111"/>
      <c r="AZ122" s="111"/>
      <c r="BA122" s="111"/>
      <c r="BB122" s="111"/>
      <c r="BC122" s="111"/>
      <c r="BD122" s="111"/>
      <c r="BE122" s="111"/>
      <c r="BF122" s="111"/>
      <c r="BG122" s="111"/>
      <c r="BH122" s="111"/>
      <c r="BI122" s="111"/>
      <c r="BJ122" s="111"/>
      <c r="BK122" s="111"/>
      <c r="BL122" s="111"/>
      <c r="BM122" s="111"/>
      <c r="BN122" s="111"/>
      <c r="BO122" s="111"/>
      <c r="BP122" s="111"/>
      <c r="BQ122" s="111"/>
      <c r="BR122" s="111"/>
      <c r="BS122" s="111"/>
      <c r="BT122" s="111"/>
      <c r="BU122" s="111"/>
      <c r="BV122" s="111"/>
      <c r="BW122" s="111"/>
      <c r="BX122" s="111"/>
      <c r="BY122" s="111"/>
      <c r="BZ122" s="111"/>
      <c r="CA122" s="111"/>
      <c r="CB122" s="111"/>
      <c r="CC122" s="111"/>
      <c r="CD122" s="111"/>
      <c r="CE122" s="111"/>
      <c r="CF122" s="111"/>
      <c r="CG122" s="111"/>
      <c r="CH122" s="111"/>
      <c r="CI122" s="111"/>
      <c r="CJ122" s="111"/>
      <c r="CK122" s="111"/>
      <c r="CL122" s="111"/>
      <c r="CM122" s="111"/>
      <c r="CN122" s="111"/>
      <c r="CO122" s="111"/>
      <c r="CP122" s="111"/>
      <c r="CQ122" s="111"/>
      <c r="CR122" s="111"/>
      <c r="CS122" s="111"/>
      <c r="CT122" s="111"/>
      <c r="CU122" s="111"/>
      <c r="CV122" s="111"/>
      <c r="CW122" s="111"/>
      <c r="CX122" s="111"/>
      <c r="CY122" s="111"/>
      <c r="CZ122" s="111"/>
      <c r="DA122" s="111"/>
      <c r="DB122" s="111"/>
      <c r="DC122" s="111"/>
      <c r="DD122" s="111"/>
      <c r="DE122" s="111"/>
      <c r="DF122" s="111"/>
      <c r="DG122" s="111"/>
      <c r="DH122" s="111"/>
      <c r="DI122" s="111"/>
      <c r="DJ122" s="111"/>
      <c r="DK122" s="111"/>
      <c r="DL122" s="111"/>
      <c r="DM122" s="111"/>
      <c r="DN122" s="111"/>
      <c r="DO122" s="111"/>
      <c r="DP122" s="111"/>
      <c r="DQ122" s="111"/>
      <c r="DR122" s="111"/>
      <c r="DS122" s="111"/>
      <c r="DT122" s="111"/>
      <c r="DU122" s="111"/>
      <c r="DV122" s="111"/>
      <c r="DW122" s="111"/>
      <c r="DX122" s="111"/>
    </row>
    <row r="123" spans="1:128" s="3" customFormat="1" ht="12.75" customHeight="1" x14ac:dyDescent="0.3">
      <c r="A123" s="85"/>
      <c r="F123" s="66"/>
      <c r="G123" s="66"/>
      <c r="H123" s="111"/>
      <c r="I123" s="111"/>
      <c r="J123" s="111"/>
      <c r="K123" s="111"/>
      <c r="L123" s="111"/>
      <c r="M123" s="111"/>
      <c r="N123" s="111"/>
      <c r="O123" s="111"/>
      <c r="P123" s="111"/>
      <c r="Q123" s="111"/>
      <c r="R123" s="111"/>
      <c r="S123" s="111"/>
      <c r="T123" s="111"/>
      <c r="U123" s="111"/>
      <c r="V123" s="111"/>
      <c r="W123" s="111"/>
      <c r="X123" s="111"/>
      <c r="Y123" s="111"/>
      <c r="Z123" s="111"/>
      <c r="AA123" s="111"/>
      <c r="AB123" s="111"/>
      <c r="AC123" s="111"/>
      <c r="AD123" s="111"/>
      <c r="AE123" s="111"/>
      <c r="AF123" s="111"/>
      <c r="AG123" s="111"/>
      <c r="AH123" s="111"/>
      <c r="AI123" s="111"/>
      <c r="AJ123" s="111"/>
      <c r="AK123" s="111"/>
      <c r="AL123" s="111"/>
      <c r="AM123" s="111"/>
      <c r="AN123" s="111"/>
      <c r="AO123" s="111"/>
      <c r="AP123" s="111"/>
      <c r="AQ123" s="111"/>
      <c r="AR123" s="111"/>
      <c r="AS123" s="111"/>
      <c r="AT123" s="111"/>
      <c r="AU123" s="111"/>
      <c r="AV123" s="111"/>
      <c r="AW123" s="111"/>
      <c r="AX123" s="111"/>
      <c r="AY123" s="111"/>
      <c r="AZ123" s="111"/>
      <c r="BA123" s="111"/>
      <c r="BB123" s="111"/>
      <c r="BC123" s="111"/>
      <c r="BD123" s="111"/>
      <c r="BE123" s="111"/>
      <c r="BF123" s="111"/>
      <c r="BG123" s="111"/>
      <c r="BH123" s="111"/>
      <c r="BI123" s="111"/>
      <c r="BJ123" s="111"/>
      <c r="BK123" s="111"/>
      <c r="BL123" s="111"/>
      <c r="BM123" s="111"/>
      <c r="BN123" s="111"/>
      <c r="BO123" s="111"/>
      <c r="BP123" s="111"/>
      <c r="BQ123" s="111"/>
      <c r="BR123" s="111"/>
      <c r="BS123" s="111"/>
      <c r="BT123" s="111"/>
      <c r="BU123" s="111"/>
      <c r="BV123" s="111"/>
      <c r="BW123" s="111"/>
      <c r="BX123" s="111"/>
      <c r="BY123" s="111"/>
      <c r="BZ123" s="111"/>
      <c r="CA123" s="111"/>
      <c r="CB123" s="111"/>
      <c r="CC123" s="111"/>
      <c r="CD123" s="111"/>
      <c r="CE123" s="111"/>
      <c r="CF123" s="111"/>
      <c r="CG123" s="111"/>
      <c r="CH123" s="111"/>
      <c r="CI123" s="111"/>
      <c r="CJ123" s="111"/>
      <c r="CK123" s="111"/>
      <c r="CL123" s="111"/>
      <c r="CM123" s="111"/>
      <c r="CN123" s="111"/>
      <c r="CO123" s="111"/>
      <c r="CP123" s="111"/>
      <c r="CQ123" s="111"/>
      <c r="CR123" s="111"/>
      <c r="CS123" s="111"/>
      <c r="CT123" s="111"/>
      <c r="CU123" s="111"/>
      <c r="CV123" s="111"/>
      <c r="CW123" s="111"/>
      <c r="CX123" s="111"/>
      <c r="CY123" s="111"/>
      <c r="CZ123" s="111"/>
      <c r="DA123" s="111"/>
      <c r="DB123" s="111"/>
      <c r="DC123" s="111"/>
      <c r="DD123" s="111"/>
      <c r="DE123" s="111"/>
      <c r="DF123" s="111"/>
      <c r="DG123" s="111"/>
      <c r="DH123" s="111"/>
      <c r="DI123" s="111"/>
      <c r="DJ123" s="111"/>
      <c r="DK123" s="111"/>
      <c r="DL123" s="111"/>
      <c r="DM123" s="111"/>
      <c r="DN123" s="111"/>
      <c r="DO123" s="111"/>
      <c r="DP123" s="111"/>
      <c r="DQ123" s="111"/>
      <c r="DR123" s="111"/>
      <c r="DS123" s="111"/>
      <c r="DT123" s="111"/>
      <c r="DU123" s="111"/>
      <c r="DV123" s="111"/>
      <c r="DW123" s="111"/>
      <c r="DX123" s="111"/>
    </row>
    <row r="124" spans="1:128" s="3" customFormat="1" ht="12.75" customHeight="1" x14ac:dyDescent="0.3">
      <c r="A124" s="85"/>
      <c r="F124" s="66"/>
      <c r="G124" s="66"/>
      <c r="H124" s="111"/>
      <c r="I124" s="111"/>
      <c r="J124" s="111"/>
      <c r="K124" s="111"/>
      <c r="L124" s="111"/>
      <c r="M124" s="111"/>
      <c r="N124" s="111"/>
      <c r="O124" s="111"/>
      <c r="P124" s="111"/>
      <c r="Q124" s="111"/>
      <c r="R124" s="111"/>
      <c r="S124" s="111"/>
      <c r="T124" s="111"/>
      <c r="U124" s="111"/>
      <c r="V124" s="111"/>
      <c r="W124" s="111"/>
      <c r="X124" s="111"/>
      <c r="Y124" s="111"/>
      <c r="Z124" s="111"/>
      <c r="AA124" s="111"/>
      <c r="AB124" s="111"/>
      <c r="AC124" s="111"/>
      <c r="AD124" s="111"/>
      <c r="AE124" s="111"/>
      <c r="AF124" s="111"/>
      <c r="AG124" s="111"/>
      <c r="AH124" s="111"/>
      <c r="AI124" s="111"/>
      <c r="AJ124" s="111"/>
      <c r="AK124" s="111"/>
      <c r="AL124" s="111"/>
      <c r="AM124" s="111"/>
      <c r="AN124" s="111"/>
      <c r="AO124" s="111"/>
      <c r="AP124" s="111"/>
      <c r="AQ124" s="111"/>
      <c r="AR124" s="111"/>
      <c r="AS124" s="111"/>
      <c r="AT124" s="111"/>
      <c r="AU124" s="111"/>
      <c r="AV124" s="111"/>
      <c r="AW124" s="111"/>
      <c r="AX124" s="111"/>
      <c r="AY124" s="111"/>
      <c r="AZ124" s="111"/>
      <c r="BA124" s="111"/>
      <c r="BB124" s="111"/>
      <c r="BC124" s="111"/>
      <c r="BD124" s="111"/>
      <c r="BE124" s="111"/>
      <c r="BF124" s="111"/>
      <c r="BG124" s="111"/>
      <c r="BH124" s="111"/>
      <c r="BI124" s="111"/>
      <c r="BJ124" s="111"/>
      <c r="BK124" s="111"/>
      <c r="BL124" s="111"/>
      <c r="BM124" s="111"/>
      <c r="BN124" s="111"/>
      <c r="BO124" s="111"/>
      <c r="BP124" s="111"/>
      <c r="BQ124" s="111"/>
      <c r="BR124" s="111"/>
      <c r="BS124" s="111"/>
      <c r="BT124" s="111"/>
      <c r="BU124" s="111"/>
      <c r="BV124" s="111"/>
      <c r="BW124" s="111"/>
      <c r="BX124" s="111"/>
      <c r="BY124" s="111"/>
      <c r="BZ124" s="111"/>
      <c r="CA124" s="111"/>
      <c r="CB124" s="111"/>
      <c r="CC124" s="111"/>
      <c r="CD124" s="111"/>
      <c r="CE124" s="111"/>
      <c r="CF124" s="111"/>
      <c r="CG124" s="111"/>
      <c r="CH124" s="111"/>
      <c r="CI124" s="111"/>
      <c r="CJ124" s="111"/>
      <c r="CK124" s="111"/>
      <c r="CL124" s="111"/>
      <c r="CM124" s="111"/>
      <c r="CN124" s="111"/>
      <c r="CO124" s="111"/>
      <c r="CP124" s="111"/>
      <c r="CQ124" s="111"/>
      <c r="CR124" s="111"/>
      <c r="CS124" s="111"/>
      <c r="CT124" s="111"/>
      <c r="CU124" s="111"/>
      <c r="CV124" s="111"/>
      <c r="CW124" s="111"/>
      <c r="CX124" s="111"/>
      <c r="CY124" s="111"/>
      <c r="CZ124" s="111"/>
      <c r="DA124" s="111"/>
      <c r="DB124" s="111"/>
      <c r="DC124" s="111"/>
      <c r="DD124" s="111"/>
      <c r="DE124" s="111"/>
      <c r="DF124" s="111"/>
      <c r="DG124" s="111"/>
      <c r="DH124" s="111"/>
      <c r="DI124" s="111"/>
      <c r="DJ124" s="111"/>
      <c r="DK124" s="111"/>
      <c r="DL124" s="111"/>
      <c r="DM124" s="111"/>
      <c r="DN124" s="111"/>
      <c r="DO124" s="111"/>
      <c r="DP124" s="111"/>
      <c r="DQ124" s="111"/>
      <c r="DR124" s="111"/>
      <c r="DS124" s="111"/>
      <c r="DT124" s="111"/>
      <c r="DU124" s="111"/>
      <c r="DV124" s="111"/>
      <c r="DW124" s="111"/>
      <c r="DX124" s="111"/>
    </row>
    <row r="125" spans="1:128" s="3" customFormat="1" ht="12.75" customHeight="1" x14ac:dyDescent="0.3">
      <c r="A125" s="85"/>
      <c r="F125" s="66"/>
      <c r="G125" s="66"/>
      <c r="H125" s="111"/>
      <c r="I125" s="111"/>
      <c r="J125" s="111"/>
      <c r="K125" s="111"/>
      <c r="L125" s="111"/>
      <c r="M125" s="111"/>
      <c r="N125" s="111"/>
      <c r="O125" s="111"/>
      <c r="P125" s="111"/>
      <c r="Q125" s="111"/>
      <c r="R125" s="111"/>
      <c r="S125" s="111"/>
      <c r="T125" s="111"/>
      <c r="U125" s="111"/>
      <c r="V125" s="111"/>
      <c r="W125" s="111"/>
      <c r="X125" s="111"/>
      <c r="Y125" s="111"/>
      <c r="Z125" s="111"/>
      <c r="AA125" s="111"/>
      <c r="AB125" s="111"/>
      <c r="AC125" s="111"/>
      <c r="AD125" s="111"/>
      <c r="AE125" s="111"/>
      <c r="AF125" s="111"/>
      <c r="AG125" s="111"/>
      <c r="AH125" s="111"/>
      <c r="AI125" s="111"/>
      <c r="AJ125" s="111"/>
      <c r="AK125" s="111"/>
      <c r="AL125" s="111"/>
      <c r="AM125" s="111"/>
      <c r="AN125" s="111"/>
      <c r="AO125" s="111"/>
      <c r="AP125" s="111"/>
      <c r="AQ125" s="111"/>
      <c r="AR125" s="111"/>
      <c r="AS125" s="111"/>
      <c r="AT125" s="111"/>
      <c r="AU125" s="111"/>
      <c r="AV125" s="111"/>
      <c r="AW125" s="111"/>
      <c r="AX125" s="111"/>
      <c r="AY125" s="111"/>
      <c r="AZ125" s="111"/>
      <c r="BA125" s="111"/>
      <c r="BB125" s="111"/>
      <c r="BC125" s="111"/>
      <c r="BD125" s="111"/>
      <c r="BE125" s="111"/>
      <c r="BF125" s="111"/>
      <c r="BG125" s="111"/>
      <c r="BH125" s="111"/>
      <c r="BI125" s="111"/>
      <c r="BJ125" s="111"/>
      <c r="BK125" s="111"/>
      <c r="BL125" s="111"/>
      <c r="BM125" s="111"/>
      <c r="BN125" s="111"/>
      <c r="BO125" s="111"/>
      <c r="BP125" s="111"/>
      <c r="BQ125" s="111"/>
      <c r="BR125" s="111"/>
      <c r="BS125" s="111"/>
      <c r="BT125" s="111"/>
      <c r="BU125" s="111"/>
      <c r="BV125" s="111"/>
      <c r="BW125" s="111"/>
      <c r="BX125" s="111"/>
      <c r="BY125" s="111"/>
      <c r="BZ125" s="111"/>
      <c r="CA125" s="111"/>
      <c r="CB125" s="111"/>
      <c r="CC125" s="111"/>
      <c r="CD125" s="111"/>
      <c r="CE125" s="111"/>
      <c r="CF125" s="111"/>
      <c r="CG125" s="111"/>
      <c r="CH125" s="111"/>
      <c r="CI125" s="111"/>
      <c r="CJ125" s="111"/>
      <c r="CK125" s="111"/>
      <c r="CL125" s="111"/>
      <c r="CM125" s="111"/>
      <c r="CN125" s="111"/>
      <c r="CO125" s="111"/>
      <c r="CP125" s="111"/>
      <c r="CQ125" s="111"/>
      <c r="CR125" s="111"/>
      <c r="CS125" s="111"/>
      <c r="CT125" s="111"/>
      <c r="CU125" s="111"/>
      <c r="CV125" s="111"/>
      <c r="CW125" s="111"/>
      <c r="CX125" s="111"/>
      <c r="CY125" s="111"/>
      <c r="CZ125" s="111"/>
      <c r="DA125" s="111"/>
      <c r="DB125" s="111"/>
      <c r="DC125" s="111"/>
      <c r="DD125" s="111"/>
      <c r="DE125" s="111"/>
      <c r="DF125" s="111"/>
      <c r="DG125" s="111"/>
      <c r="DH125" s="111"/>
      <c r="DI125" s="111"/>
      <c r="DJ125" s="111"/>
      <c r="DK125" s="111"/>
      <c r="DL125" s="111"/>
      <c r="DM125" s="111"/>
      <c r="DN125" s="111"/>
      <c r="DO125" s="111"/>
      <c r="DP125" s="111"/>
      <c r="DQ125" s="111"/>
      <c r="DR125" s="111"/>
      <c r="DS125" s="111"/>
      <c r="DT125" s="111"/>
      <c r="DU125" s="111"/>
      <c r="DV125" s="111"/>
      <c r="DW125" s="111"/>
      <c r="DX125" s="111"/>
    </row>
    <row r="126" spans="1:128" s="3" customFormat="1" ht="12.75" customHeight="1" x14ac:dyDescent="0.3">
      <c r="A126" s="85"/>
      <c r="F126" s="66"/>
      <c r="G126" s="66"/>
      <c r="H126" s="111"/>
      <c r="I126" s="111"/>
      <c r="J126" s="111"/>
      <c r="K126" s="111"/>
      <c r="L126" s="111"/>
      <c r="M126" s="111"/>
      <c r="N126" s="111"/>
      <c r="O126" s="111"/>
      <c r="P126" s="111"/>
      <c r="Q126" s="111"/>
      <c r="R126" s="111"/>
      <c r="S126" s="111"/>
      <c r="T126" s="111"/>
      <c r="U126" s="111"/>
      <c r="V126" s="111"/>
      <c r="W126" s="111"/>
      <c r="X126" s="111"/>
      <c r="Y126" s="111"/>
      <c r="Z126" s="111"/>
      <c r="AA126" s="111"/>
      <c r="AB126" s="111"/>
      <c r="AC126" s="111"/>
      <c r="AD126" s="111"/>
      <c r="AE126" s="111"/>
      <c r="AF126" s="111"/>
      <c r="AG126" s="111"/>
      <c r="AH126" s="111"/>
      <c r="AI126" s="111"/>
      <c r="AJ126" s="111"/>
      <c r="AK126" s="111"/>
      <c r="AL126" s="111"/>
      <c r="AM126" s="111"/>
      <c r="AN126" s="111"/>
      <c r="AO126" s="111"/>
      <c r="AP126" s="111"/>
      <c r="AQ126" s="111"/>
      <c r="AR126" s="111"/>
      <c r="AS126" s="111"/>
      <c r="AT126" s="111"/>
      <c r="AU126" s="111"/>
      <c r="AV126" s="111"/>
      <c r="AW126" s="111"/>
      <c r="AX126" s="111"/>
      <c r="AY126" s="111"/>
      <c r="AZ126" s="111"/>
      <c r="BA126" s="111"/>
      <c r="BB126" s="111"/>
      <c r="BC126" s="111"/>
      <c r="BD126" s="111"/>
      <c r="BE126" s="111"/>
      <c r="BF126" s="111"/>
      <c r="BG126" s="111"/>
      <c r="BH126" s="111"/>
      <c r="BI126" s="111"/>
      <c r="BJ126" s="111"/>
      <c r="BK126" s="111"/>
      <c r="BL126" s="111"/>
      <c r="BM126" s="111"/>
      <c r="BN126" s="111"/>
      <c r="BO126" s="111"/>
      <c r="BP126" s="111"/>
      <c r="BQ126" s="111"/>
      <c r="BR126" s="111"/>
      <c r="BS126" s="111"/>
      <c r="BT126" s="111"/>
      <c r="BU126" s="111"/>
      <c r="BV126" s="111"/>
      <c r="BW126" s="111"/>
      <c r="BX126" s="111"/>
      <c r="BY126" s="111"/>
      <c r="BZ126" s="111"/>
      <c r="CA126" s="111"/>
      <c r="CB126" s="111"/>
      <c r="CC126" s="111"/>
      <c r="CD126" s="111"/>
      <c r="CE126" s="111"/>
      <c r="CF126" s="111"/>
      <c r="CG126" s="111"/>
      <c r="CH126" s="111"/>
      <c r="CI126" s="111"/>
      <c r="CJ126" s="111"/>
      <c r="CK126" s="111"/>
      <c r="CL126" s="111"/>
      <c r="CM126" s="111"/>
      <c r="CN126" s="111"/>
      <c r="CO126" s="111"/>
      <c r="CP126" s="111"/>
      <c r="CQ126" s="111"/>
      <c r="CR126" s="111"/>
      <c r="CS126" s="111"/>
      <c r="CT126" s="111"/>
      <c r="CU126" s="111"/>
      <c r="CV126" s="111"/>
      <c r="CW126" s="111"/>
      <c r="CX126" s="111"/>
      <c r="CY126" s="111"/>
      <c r="CZ126" s="111"/>
      <c r="DA126" s="111"/>
      <c r="DB126" s="111"/>
      <c r="DC126" s="111"/>
      <c r="DD126" s="111"/>
      <c r="DE126" s="111"/>
      <c r="DF126" s="111"/>
      <c r="DG126" s="111"/>
      <c r="DH126" s="111"/>
      <c r="DI126" s="111"/>
      <c r="DJ126" s="111"/>
      <c r="DK126" s="111"/>
      <c r="DL126" s="111"/>
      <c r="DM126" s="111"/>
      <c r="DN126" s="111"/>
      <c r="DO126" s="111"/>
      <c r="DP126" s="111"/>
      <c r="DQ126" s="111"/>
      <c r="DR126" s="111"/>
      <c r="DS126" s="111"/>
      <c r="DT126" s="111"/>
      <c r="DU126" s="111"/>
      <c r="DV126" s="111"/>
      <c r="DW126" s="111"/>
      <c r="DX126" s="111"/>
    </row>
    <row r="127" spans="1:128" s="3" customFormat="1" ht="12.75" customHeight="1" x14ac:dyDescent="0.3">
      <c r="F127" s="66"/>
      <c r="G127" s="66"/>
      <c r="H127" s="111"/>
      <c r="I127" s="111"/>
      <c r="J127" s="111"/>
      <c r="K127" s="111"/>
      <c r="L127" s="111"/>
      <c r="M127" s="111"/>
      <c r="N127" s="111"/>
      <c r="O127" s="111"/>
      <c r="P127" s="111"/>
      <c r="Q127" s="111"/>
      <c r="R127" s="111"/>
      <c r="S127" s="111"/>
      <c r="T127" s="111"/>
      <c r="U127" s="111"/>
      <c r="V127" s="111"/>
      <c r="W127" s="111"/>
      <c r="X127" s="111"/>
      <c r="Y127" s="111"/>
      <c r="Z127" s="111"/>
      <c r="AA127" s="111"/>
      <c r="AB127" s="111"/>
      <c r="AC127" s="111"/>
      <c r="AD127" s="111"/>
      <c r="AE127" s="111"/>
      <c r="AF127" s="111"/>
      <c r="AG127" s="111"/>
      <c r="AH127" s="111"/>
      <c r="AI127" s="111"/>
      <c r="AJ127" s="111"/>
      <c r="AK127" s="111"/>
      <c r="AL127" s="111"/>
      <c r="AM127" s="111"/>
      <c r="AN127" s="111"/>
      <c r="AO127" s="111"/>
      <c r="AP127" s="111"/>
      <c r="AQ127" s="111"/>
      <c r="AR127" s="111"/>
      <c r="AS127" s="111"/>
      <c r="AT127" s="111"/>
      <c r="AU127" s="111"/>
      <c r="AV127" s="111"/>
      <c r="AW127" s="111"/>
      <c r="AX127" s="111"/>
      <c r="AY127" s="111"/>
      <c r="AZ127" s="111"/>
      <c r="BA127" s="111"/>
      <c r="BB127" s="111"/>
      <c r="BC127" s="111"/>
      <c r="BD127" s="111"/>
      <c r="BE127" s="111"/>
      <c r="BF127" s="111"/>
      <c r="BG127" s="111"/>
      <c r="BH127" s="111"/>
      <c r="BI127" s="111"/>
      <c r="BJ127" s="111"/>
      <c r="BK127" s="111"/>
      <c r="BL127" s="111"/>
      <c r="BM127" s="111"/>
      <c r="BN127" s="111"/>
      <c r="BO127" s="111"/>
      <c r="BP127" s="111"/>
      <c r="BQ127" s="111"/>
      <c r="BR127" s="111"/>
      <c r="BS127" s="111"/>
      <c r="BT127" s="111"/>
      <c r="BU127" s="111"/>
      <c r="BV127" s="111"/>
      <c r="BW127" s="111"/>
      <c r="BX127" s="111"/>
      <c r="BY127" s="111"/>
      <c r="BZ127" s="111"/>
      <c r="CA127" s="111"/>
      <c r="CB127" s="111"/>
      <c r="CC127" s="111"/>
      <c r="CD127" s="111"/>
      <c r="CE127" s="111"/>
      <c r="CF127" s="111"/>
      <c r="CG127" s="111"/>
      <c r="CH127" s="111"/>
      <c r="CI127" s="111"/>
      <c r="CJ127" s="111"/>
      <c r="CK127" s="111"/>
      <c r="CL127" s="111"/>
      <c r="CM127" s="111"/>
      <c r="CN127" s="111"/>
      <c r="CO127" s="111"/>
      <c r="CP127" s="111"/>
      <c r="CQ127" s="111"/>
      <c r="CR127" s="111"/>
      <c r="CS127" s="111"/>
      <c r="CT127" s="111"/>
      <c r="CU127" s="111"/>
      <c r="CV127" s="111"/>
      <c r="CW127" s="111"/>
      <c r="CX127" s="111"/>
      <c r="CY127" s="111"/>
      <c r="CZ127" s="111"/>
      <c r="DA127" s="111"/>
      <c r="DB127" s="111"/>
      <c r="DC127" s="111"/>
      <c r="DD127" s="111"/>
      <c r="DE127" s="111"/>
      <c r="DF127" s="111"/>
      <c r="DG127" s="111"/>
      <c r="DH127" s="111"/>
      <c r="DI127" s="111"/>
      <c r="DJ127" s="111"/>
      <c r="DK127" s="111"/>
      <c r="DL127" s="111"/>
      <c r="DM127" s="111"/>
      <c r="DN127" s="111"/>
      <c r="DO127" s="111"/>
      <c r="DP127" s="111"/>
      <c r="DQ127" s="111"/>
      <c r="DR127" s="111"/>
      <c r="DS127" s="111"/>
      <c r="DT127" s="111"/>
      <c r="DU127" s="111"/>
      <c r="DV127" s="111"/>
      <c r="DW127" s="111"/>
      <c r="DX127" s="111"/>
    </row>
    <row r="128" spans="1:128" s="3" customFormat="1" ht="12.75" customHeight="1" x14ac:dyDescent="0.3">
      <c r="F128" s="66"/>
      <c r="G128" s="66"/>
      <c r="H128" s="111"/>
      <c r="I128" s="111"/>
      <c r="J128" s="111"/>
      <c r="K128" s="111"/>
      <c r="L128" s="111"/>
      <c r="M128" s="111"/>
      <c r="N128" s="111"/>
      <c r="O128" s="111"/>
      <c r="P128" s="111"/>
      <c r="Q128" s="111"/>
      <c r="R128" s="111"/>
      <c r="S128" s="111"/>
      <c r="T128" s="111"/>
      <c r="U128" s="111"/>
      <c r="V128" s="111"/>
      <c r="W128" s="111"/>
      <c r="X128" s="111"/>
      <c r="Y128" s="111"/>
      <c r="Z128" s="111"/>
      <c r="AA128" s="111"/>
      <c r="AB128" s="111"/>
      <c r="AC128" s="111"/>
      <c r="AD128" s="111"/>
      <c r="AE128" s="111"/>
      <c r="AF128" s="111"/>
      <c r="AG128" s="111"/>
      <c r="AH128" s="111"/>
      <c r="AI128" s="111"/>
      <c r="AJ128" s="111"/>
      <c r="AK128" s="111"/>
      <c r="AL128" s="111"/>
      <c r="AM128" s="111"/>
      <c r="AN128" s="111"/>
      <c r="AO128" s="111"/>
      <c r="AP128" s="111"/>
      <c r="AQ128" s="111"/>
      <c r="AR128" s="111"/>
      <c r="AS128" s="111"/>
      <c r="AT128" s="111"/>
      <c r="AU128" s="111"/>
      <c r="AV128" s="111"/>
      <c r="AW128" s="111"/>
      <c r="AX128" s="111"/>
      <c r="AY128" s="111"/>
      <c r="AZ128" s="111"/>
      <c r="BA128" s="111"/>
      <c r="BB128" s="111"/>
      <c r="BC128" s="111"/>
      <c r="BD128" s="111"/>
      <c r="BE128" s="111"/>
      <c r="BF128" s="111"/>
      <c r="BG128" s="111"/>
      <c r="BH128" s="111"/>
      <c r="BI128" s="111"/>
      <c r="BJ128" s="111"/>
      <c r="BK128" s="111"/>
      <c r="BL128" s="111"/>
      <c r="BM128" s="111"/>
      <c r="BN128" s="111"/>
      <c r="BO128" s="111"/>
      <c r="BP128" s="111"/>
      <c r="BQ128" s="111"/>
      <c r="BR128" s="111"/>
      <c r="BS128" s="111"/>
      <c r="BT128" s="111"/>
      <c r="BU128" s="111"/>
      <c r="BV128" s="111"/>
      <c r="BW128" s="111"/>
      <c r="BX128" s="111"/>
      <c r="BY128" s="111"/>
      <c r="BZ128" s="111"/>
      <c r="CA128" s="111"/>
      <c r="CB128" s="111"/>
      <c r="CC128" s="111"/>
      <c r="CD128" s="111"/>
      <c r="CE128" s="111"/>
      <c r="CF128" s="111"/>
      <c r="CG128" s="111"/>
      <c r="CH128" s="111"/>
      <c r="CI128" s="111"/>
      <c r="CJ128" s="111"/>
      <c r="CK128" s="111"/>
      <c r="CL128" s="111"/>
      <c r="CM128" s="111"/>
      <c r="CN128" s="111"/>
      <c r="CO128" s="111"/>
      <c r="CP128" s="111"/>
      <c r="CQ128" s="111"/>
      <c r="CR128" s="111"/>
      <c r="CS128" s="111"/>
      <c r="CT128" s="111"/>
      <c r="CU128" s="111"/>
      <c r="CV128" s="111"/>
      <c r="CW128" s="111"/>
      <c r="CX128" s="111"/>
      <c r="CY128" s="111"/>
      <c r="CZ128" s="111"/>
      <c r="DA128" s="111"/>
      <c r="DB128" s="111"/>
      <c r="DC128" s="111"/>
      <c r="DD128" s="111"/>
      <c r="DE128" s="111"/>
      <c r="DF128" s="111"/>
      <c r="DG128" s="111"/>
      <c r="DH128" s="111"/>
      <c r="DI128" s="111"/>
      <c r="DJ128" s="111"/>
      <c r="DK128" s="111"/>
      <c r="DL128" s="111"/>
      <c r="DM128" s="111"/>
      <c r="DN128" s="111"/>
      <c r="DO128" s="111"/>
      <c r="DP128" s="111"/>
      <c r="DQ128" s="111"/>
      <c r="DR128" s="111"/>
      <c r="DS128" s="111"/>
      <c r="DT128" s="111"/>
      <c r="DU128" s="111"/>
      <c r="DV128" s="111"/>
      <c r="DW128" s="111"/>
      <c r="DX128" s="111"/>
    </row>
    <row r="129" spans="1:128" s="3" customFormat="1" ht="12.75" customHeight="1" x14ac:dyDescent="0.3">
      <c r="F129" s="66"/>
      <c r="G129" s="66"/>
      <c r="H129" s="111"/>
      <c r="I129" s="111"/>
      <c r="J129" s="111"/>
      <c r="K129" s="111"/>
      <c r="L129" s="111"/>
      <c r="M129" s="111"/>
      <c r="N129" s="111"/>
      <c r="O129" s="111"/>
      <c r="P129" s="111"/>
      <c r="Q129" s="111"/>
      <c r="R129" s="111"/>
      <c r="S129" s="111"/>
      <c r="T129" s="111"/>
      <c r="U129" s="111"/>
      <c r="V129" s="111"/>
      <c r="W129" s="111"/>
      <c r="X129" s="111"/>
      <c r="Y129" s="111"/>
      <c r="Z129" s="111"/>
      <c r="AA129" s="111"/>
      <c r="AB129" s="111"/>
      <c r="AC129" s="111"/>
      <c r="AD129" s="111"/>
      <c r="AE129" s="111"/>
      <c r="AF129" s="111"/>
      <c r="AG129" s="111"/>
      <c r="AH129" s="111"/>
      <c r="AI129" s="111"/>
      <c r="AJ129" s="111"/>
      <c r="AK129" s="111"/>
      <c r="AL129" s="111"/>
      <c r="AM129" s="111"/>
      <c r="AN129" s="111"/>
      <c r="AO129" s="111"/>
      <c r="AP129" s="111"/>
      <c r="AQ129" s="111"/>
      <c r="AR129" s="111"/>
      <c r="AS129" s="111"/>
      <c r="AT129" s="111"/>
      <c r="AU129" s="111"/>
      <c r="AV129" s="111"/>
      <c r="AW129" s="111"/>
      <c r="AX129" s="111"/>
      <c r="AY129" s="111"/>
      <c r="AZ129" s="111"/>
      <c r="BA129" s="111"/>
      <c r="BB129" s="111"/>
      <c r="BC129" s="111"/>
      <c r="BD129" s="111"/>
      <c r="BE129" s="111"/>
      <c r="BF129" s="111"/>
      <c r="BG129" s="111"/>
      <c r="BH129" s="111"/>
      <c r="BI129" s="111"/>
      <c r="BJ129" s="111"/>
      <c r="BK129" s="111"/>
      <c r="BL129" s="111"/>
      <c r="BM129" s="111"/>
      <c r="BN129" s="111"/>
      <c r="BO129" s="111"/>
      <c r="BP129" s="111"/>
      <c r="BQ129" s="111"/>
      <c r="BR129" s="111"/>
      <c r="BS129" s="111"/>
      <c r="BT129" s="111"/>
      <c r="BU129" s="111"/>
      <c r="BV129" s="111"/>
      <c r="BW129" s="111"/>
      <c r="BX129" s="111"/>
      <c r="BY129" s="111"/>
      <c r="BZ129" s="111"/>
      <c r="CA129" s="111"/>
      <c r="CB129" s="111"/>
      <c r="CC129" s="111"/>
      <c r="CD129" s="111"/>
      <c r="CE129" s="111"/>
      <c r="CF129" s="111"/>
      <c r="CG129" s="111"/>
      <c r="CH129" s="111"/>
      <c r="CI129" s="111"/>
      <c r="CJ129" s="111"/>
      <c r="CK129" s="111"/>
      <c r="CL129" s="111"/>
      <c r="CM129" s="111"/>
      <c r="CN129" s="111"/>
      <c r="CO129" s="111"/>
      <c r="CP129" s="111"/>
      <c r="CQ129" s="111"/>
      <c r="CR129" s="111"/>
      <c r="CS129" s="111"/>
      <c r="CT129" s="111"/>
      <c r="CU129" s="111"/>
      <c r="CV129" s="111"/>
      <c r="CW129" s="111"/>
      <c r="CX129" s="111"/>
      <c r="CY129" s="111"/>
      <c r="CZ129" s="111"/>
      <c r="DA129" s="111"/>
      <c r="DB129" s="111"/>
      <c r="DC129" s="111"/>
      <c r="DD129" s="111"/>
      <c r="DE129" s="111"/>
      <c r="DF129" s="111"/>
      <c r="DG129" s="111"/>
      <c r="DH129" s="111"/>
      <c r="DI129" s="111"/>
      <c r="DJ129" s="111"/>
      <c r="DK129" s="111"/>
      <c r="DL129" s="111"/>
      <c r="DM129" s="111"/>
      <c r="DN129" s="111"/>
      <c r="DO129" s="111"/>
      <c r="DP129" s="111"/>
      <c r="DQ129" s="111"/>
      <c r="DR129" s="111"/>
      <c r="DS129" s="111"/>
      <c r="DT129" s="111"/>
      <c r="DU129" s="111"/>
      <c r="DV129" s="111"/>
      <c r="DW129" s="111"/>
      <c r="DX129" s="111"/>
    </row>
    <row r="130" spans="1:128" s="3" customFormat="1" ht="12.75" customHeight="1" x14ac:dyDescent="0.3">
      <c r="F130" s="66"/>
      <c r="G130" s="66"/>
      <c r="H130" s="111"/>
      <c r="I130" s="111"/>
      <c r="J130" s="111"/>
      <c r="K130" s="111"/>
      <c r="L130" s="111"/>
      <c r="M130" s="111"/>
      <c r="N130" s="111"/>
      <c r="O130" s="111"/>
      <c r="P130" s="111"/>
      <c r="Q130" s="111"/>
      <c r="R130" s="111"/>
      <c r="S130" s="111"/>
      <c r="T130" s="111"/>
      <c r="U130" s="111"/>
      <c r="V130" s="111"/>
      <c r="W130" s="111"/>
      <c r="X130" s="111"/>
      <c r="Y130" s="111"/>
      <c r="Z130" s="111"/>
      <c r="AA130" s="111"/>
      <c r="AB130" s="111"/>
      <c r="AC130" s="111"/>
      <c r="AD130" s="111"/>
      <c r="AE130" s="111"/>
      <c r="AF130" s="111"/>
      <c r="AG130" s="111"/>
      <c r="AH130" s="111"/>
      <c r="AI130" s="111"/>
      <c r="AJ130" s="111"/>
      <c r="AK130" s="111"/>
      <c r="AL130" s="111"/>
      <c r="AM130" s="111"/>
      <c r="AN130" s="111"/>
      <c r="AO130" s="111"/>
      <c r="AP130" s="111"/>
      <c r="AQ130" s="111"/>
      <c r="AR130" s="111"/>
      <c r="AS130" s="111"/>
      <c r="AT130" s="111"/>
      <c r="AU130" s="111"/>
      <c r="AV130" s="111"/>
      <c r="AW130" s="111"/>
      <c r="AX130" s="111"/>
      <c r="AY130" s="111"/>
      <c r="AZ130" s="111"/>
      <c r="BA130" s="111"/>
      <c r="BB130" s="111"/>
      <c r="BC130" s="111"/>
      <c r="BD130" s="111"/>
      <c r="BE130" s="111"/>
      <c r="BF130" s="111"/>
      <c r="BG130" s="111"/>
      <c r="BH130" s="111"/>
      <c r="BI130" s="111"/>
      <c r="BJ130" s="111"/>
      <c r="BK130" s="111"/>
      <c r="BL130" s="111"/>
      <c r="BM130" s="111"/>
      <c r="BN130" s="111"/>
      <c r="BO130" s="111"/>
      <c r="BP130" s="111"/>
      <c r="BQ130" s="111"/>
      <c r="BR130" s="111"/>
      <c r="BS130" s="111"/>
      <c r="BT130" s="111"/>
      <c r="BU130" s="111"/>
      <c r="BV130" s="111"/>
      <c r="BW130" s="111"/>
      <c r="BX130" s="111"/>
      <c r="BY130" s="111"/>
      <c r="BZ130" s="111"/>
      <c r="CA130" s="111"/>
      <c r="CB130" s="111"/>
      <c r="CC130" s="111"/>
      <c r="CD130" s="111"/>
      <c r="CE130" s="111"/>
      <c r="CF130" s="111"/>
      <c r="CG130" s="111"/>
      <c r="CH130" s="111"/>
      <c r="CI130" s="111"/>
      <c r="CJ130" s="111"/>
      <c r="CK130" s="111"/>
      <c r="CL130" s="111"/>
      <c r="CM130" s="111"/>
      <c r="CN130" s="111"/>
      <c r="CO130" s="111"/>
      <c r="CP130" s="111"/>
      <c r="CQ130" s="111"/>
      <c r="CR130" s="111"/>
      <c r="CS130" s="111"/>
      <c r="CT130" s="111"/>
      <c r="CU130" s="111"/>
      <c r="CV130" s="111"/>
      <c r="CW130" s="111"/>
      <c r="CX130" s="111"/>
      <c r="CY130" s="111"/>
      <c r="CZ130" s="111"/>
      <c r="DA130" s="111"/>
      <c r="DB130" s="111"/>
      <c r="DC130" s="111"/>
      <c r="DD130" s="111"/>
      <c r="DE130" s="111"/>
      <c r="DF130" s="111"/>
      <c r="DG130" s="111"/>
      <c r="DH130" s="111"/>
      <c r="DI130" s="111"/>
      <c r="DJ130" s="111"/>
      <c r="DK130" s="111"/>
      <c r="DL130" s="111"/>
      <c r="DM130" s="111"/>
      <c r="DN130" s="111"/>
      <c r="DO130" s="111"/>
      <c r="DP130" s="111"/>
      <c r="DQ130" s="111"/>
      <c r="DR130" s="111"/>
      <c r="DS130" s="111"/>
      <c r="DT130" s="111"/>
      <c r="DU130" s="111"/>
      <c r="DV130" s="111"/>
      <c r="DW130" s="111"/>
      <c r="DX130" s="111"/>
    </row>
    <row r="131" spans="1:128" s="3" customFormat="1" ht="12.75" customHeight="1" x14ac:dyDescent="0.3">
      <c r="A131" s="13"/>
      <c r="F131" s="66"/>
      <c r="G131" s="66"/>
      <c r="H131" s="111"/>
      <c r="I131" s="111"/>
      <c r="J131" s="111"/>
      <c r="K131" s="111"/>
      <c r="L131" s="111"/>
      <c r="M131" s="111"/>
      <c r="N131" s="111"/>
      <c r="O131" s="111"/>
      <c r="P131" s="111"/>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111"/>
      <c r="BM131" s="111"/>
      <c r="BN131" s="111"/>
      <c r="BO131" s="111"/>
      <c r="BP131" s="111"/>
      <c r="BQ131" s="111"/>
      <c r="BR131" s="111"/>
      <c r="BS131" s="111"/>
      <c r="BT131" s="111"/>
      <c r="BU131" s="111"/>
      <c r="BV131" s="111"/>
      <c r="BW131" s="111"/>
      <c r="BX131" s="111"/>
      <c r="BY131" s="111"/>
      <c r="BZ131" s="111"/>
      <c r="CA131" s="111"/>
      <c r="CB131" s="111"/>
      <c r="CC131" s="111"/>
      <c r="CD131" s="111"/>
      <c r="CE131" s="111"/>
      <c r="CF131" s="111"/>
      <c r="CG131" s="111"/>
      <c r="CH131" s="111"/>
      <c r="CI131" s="111"/>
      <c r="CJ131" s="111"/>
      <c r="CK131" s="111"/>
      <c r="CL131" s="111"/>
      <c r="CM131" s="111"/>
      <c r="CN131" s="111"/>
      <c r="CO131" s="111"/>
      <c r="CP131" s="111"/>
      <c r="CQ131" s="111"/>
      <c r="CR131" s="111"/>
      <c r="CS131" s="111"/>
      <c r="CT131" s="111"/>
      <c r="CU131" s="111"/>
      <c r="CV131" s="111"/>
      <c r="CW131" s="111"/>
      <c r="CX131" s="111"/>
      <c r="CY131" s="111"/>
      <c r="CZ131" s="111"/>
      <c r="DA131" s="111"/>
      <c r="DB131" s="111"/>
      <c r="DC131" s="111"/>
      <c r="DD131" s="111"/>
      <c r="DE131" s="111"/>
      <c r="DF131" s="111"/>
      <c r="DG131" s="111"/>
      <c r="DH131" s="111"/>
      <c r="DI131" s="111"/>
      <c r="DJ131" s="111"/>
      <c r="DK131" s="111"/>
      <c r="DL131" s="111"/>
      <c r="DM131" s="111"/>
      <c r="DN131" s="111"/>
      <c r="DO131" s="111"/>
      <c r="DP131" s="111"/>
      <c r="DQ131" s="111"/>
      <c r="DR131" s="111"/>
      <c r="DS131" s="111"/>
      <c r="DT131" s="111"/>
      <c r="DU131" s="111"/>
      <c r="DV131" s="111"/>
      <c r="DW131" s="111"/>
      <c r="DX131" s="111"/>
    </row>
    <row r="132" spans="1:128" s="3" customFormat="1" ht="12.75" customHeight="1" x14ac:dyDescent="0.3">
      <c r="A132" s="83"/>
      <c r="F132" s="66"/>
      <c r="G132" s="66"/>
      <c r="H132" s="111"/>
      <c r="I132" s="111"/>
      <c r="J132" s="111"/>
      <c r="K132" s="111"/>
      <c r="L132" s="111"/>
      <c r="M132" s="111"/>
      <c r="N132" s="111"/>
      <c r="O132" s="111"/>
      <c r="P132" s="111"/>
      <c r="Q132" s="111"/>
      <c r="R132" s="111"/>
      <c r="S132" s="111"/>
      <c r="T132" s="111"/>
      <c r="U132" s="111"/>
      <c r="V132" s="111"/>
      <c r="W132" s="111"/>
      <c r="X132" s="111"/>
      <c r="Y132" s="111"/>
      <c r="Z132" s="111"/>
      <c r="AA132" s="111"/>
      <c r="AB132" s="111"/>
      <c r="AC132" s="111"/>
      <c r="AD132" s="111"/>
      <c r="AE132" s="111"/>
      <c r="AF132" s="111"/>
      <c r="AG132" s="111"/>
      <c r="AH132" s="111"/>
      <c r="AI132" s="111"/>
      <c r="AJ132" s="111"/>
      <c r="AK132" s="111"/>
      <c r="AL132" s="111"/>
      <c r="AM132" s="111"/>
      <c r="AN132" s="111"/>
      <c r="AO132" s="111"/>
      <c r="AP132" s="111"/>
      <c r="AQ132" s="111"/>
      <c r="AR132" s="111"/>
      <c r="AS132" s="111"/>
      <c r="AT132" s="111"/>
      <c r="AU132" s="111"/>
      <c r="AV132" s="111"/>
      <c r="AW132" s="111"/>
      <c r="AX132" s="111"/>
      <c r="AY132" s="111"/>
      <c r="AZ132" s="111"/>
      <c r="BA132" s="111"/>
      <c r="BB132" s="111"/>
      <c r="BC132" s="111"/>
      <c r="BD132" s="111"/>
      <c r="BE132" s="111"/>
      <c r="BF132" s="111"/>
      <c r="BG132" s="111"/>
      <c r="BH132" s="111"/>
      <c r="BI132" s="111"/>
      <c r="BJ132" s="111"/>
      <c r="BK132" s="111"/>
      <c r="BL132" s="111"/>
      <c r="BM132" s="111"/>
      <c r="BN132" s="111"/>
      <c r="BO132" s="111"/>
      <c r="BP132" s="111"/>
      <c r="BQ132" s="111"/>
      <c r="BR132" s="111"/>
      <c r="BS132" s="111"/>
      <c r="BT132" s="111"/>
      <c r="BU132" s="111"/>
      <c r="BV132" s="111"/>
      <c r="BW132" s="111"/>
      <c r="BX132" s="111"/>
      <c r="BY132" s="111"/>
      <c r="BZ132" s="111"/>
      <c r="CA132" s="111"/>
      <c r="CB132" s="111"/>
      <c r="CC132" s="111"/>
      <c r="CD132" s="111"/>
      <c r="CE132" s="111"/>
      <c r="CF132" s="111"/>
      <c r="CG132" s="111"/>
      <c r="CH132" s="111"/>
      <c r="CI132" s="111"/>
      <c r="CJ132" s="111"/>
      <c r="CK132" s="111"/>
      <c r="CL132" s="111"/>
      <c r="CM132" s="111"/>
      <c r="CN132" s="111"/>
      <c r="CO132" s="111"/>
      <c r="CP132" s="111"/>
      <c r="CQ132" s="111"/>
      <c r="CR132" s="111"/>
      <c r="CS132" s="111"/>
      <c r="CT132" s="111"/>
      <c r="CU132" s="111"/>
      <c r="CV132" s="111"/>
      <c r="CW132" s="111"/>
      <c r="CX132" s="111"/>
      <c r="CY132" s="111"/>
      <c r="CZ132" s="111"/>
      <c r="DA132" s="111"/>
      <c r="DB132" s="111"/>
      <c r="DC132" s="111"/>
      <c r="DD132" s="111"/>
      <c r="DE132" s="111"/>
      <c r="DF132" s="111"/>
      <c r="DG132" s="111"/>
      <c r="DH132" s="111"/>
      <c r="DI132" s="111"/>
      <c r="DJ132" s="111"/>
      <c r="DK132" s="111"/>
      <c r="DL132" s="111"/>
      <c r="DM132" s="111"/>
      <c r="DN132" s="111"/>
      <c r="DO132" s="111"/>
      <c r="DP132" s="111"/>
      <c r="DQ132" s="111"/>
      <c r="DR132" s="111"/>
      <c r="DS132" s="111"/>
      <c r="DT132" s="111"/>
      <c r="DU132" s="111"/>
      <c r="DV132" s="111"/>
      <c r="DW132" s="111"/>
      <c r="DX132" s="111"/>
    </row>
    <row r="133" spans="1:128" s="3" customFormat="1" ht="12.75" customHeight="1" x14ac:dyDescent="0.3">
      <c r="A133" s="85"/>
      <c r="F133" s="66"/>
      <c r="G133" s="66"/>
      <c r="H133" s="111"/>
      <c r="I133" s="111"/>
      <c r="J133" s="111"/>
      <c r="K133" s="111"/>
      <c r="L133" s="111"/>
      <c r="M133" s="111"/>
      <c r="N133" s="111"/>
      <c r="O133" s="111"/>
      <c r="P133" s="111"/>
      <c r="Q133" s="111"/>
      <c r="R133" s="111"/>
      <c r="S133" s="111"/>
      <c r="T133" s="111"/>
      <c r="U133" s="111"/>
      <c r="V133" s="111"/>
      <c r="W133" s="111"/>
      <c r="X133" s="111"/>
      <c r="Y133" s="111"/>
      <c r="Z133" s="111"/>
      <c r="AA133" s="111"/>
      <c r="AB133" s="111"/>
      <c r="AC133" s="111"/>
      <c r="AD133" s="111"/>
      <c r="AE133" s="111"/>
      <c r="AF133" s="111"/>
      <c r="AG133" s="111"/>
      <c r="AH133" s="111"/>
      <c r="AI133" s="111"/>
      <c r="AJ133" s="111"/>
      <c r="AK133" s="111"/>
      <c r="AL133" s="111"/>
      <c r="AM133" s="111"/>
      <c r="AN133" s="111"/>
      <c r="AO133" s="111"/>
      <c r="AP133" s="111"/>
      <c r="AQ133" s="111"/>
      <c r="AR133" s="111"/>
      <c r="AS133" s="111"/>
      <c r="AT133" s="111"/>
      <c r="AU133" s="111"/>
      <c r="AV133" s="111"/>
      <c r="AW133" s="111"/>
      <c r="AX133" s="111"/>
      <c r="AY133" s="111"/>
      <c r="AZ133" s="111"/>
      <c r="BA133" s="111"/>
      <c r="BB133" s="111"/>
      <c r="BC133" s="111"/>
      <c r="BD133" s="111"/>
      <c r="BE133" s="111"/>
      <c r="BF133" s="111"/>
      <c r="BG133" s="111"/>
      <c r="BH133" s="111"/>
      <c r="BI133" s="111"/>
      <c r="BJ133" s="111"/>
      <c r="BK133" s="111"/>
      <c r="BL133" s="111"/>
      <c r="BM133" s="111"/>
      <c r="BN133" s="111"/>
      <c r="BO133" s="111"/>
      <c r="BP133" s="111"/>
      <c r="BQ133" s="111"/>
      <c r="BR133" s="111"/>
      <c r="BS133" s="111"/>
      <c r="BT133" s="111"/>
      <c r="BU133" s="111"/>
      <c r="BV133" s="111"/>
      <c r="BW133" s="111"/>
      <c r="BX133" s="111"/>
      <c r="BY133" s="111"/>
      <c r="BZ133" s="111"/>
      <c r="CA133" s="111"/>
      <c r="CB133" s="111"/>
      <c r="CC133" s="111"/>
      <c r="CD133" s="111"/>
      <c r="CE133" s="111"/>
      <c r="CF133" s="111"/>
      <c r="CG133" s="111"/>
      <c r="CH133" s="111"/>
      <c r="CI133" s="111"/>
      <c r="CJ133" s="111"/>
      <c r="CK133" s="111"/>
      <c r="CL133" s="111"/>
      <c r="CM133" s="111"/>
      <c r="CN133" s="111"/>
      <c r="CO133" s="111"/>
      <c r="CP133" s="111"/>
      <c r="CQ133" s="111"/>
      <c r="CR133" s="111"/>
      <c r="CS133" s="111"/>
      <c r="CT133" s="111"/>
      <c r="CU133" s="111"/>
      <c r="CV133" s="111"/>
      <c r="CW133" s="111"/>
      <c r="CX133" s="111"/>
      <c r="CY133" s="111"/>
      <c r="CZ133" s="111"/>
      <c r="DA133" s="111"/>
      <c r="DB133" s="111"/>
      <c r="DC133" s="111"/>
      <c r="DD133" s="111"/>
      <c r="DE133" s="111"/>
      <c r="DF133" s="111"/>
      <c r="DG133" s="111"/>
      <c r="DH133" s="111"/>
      <c r="DI133" s="111"/>
      <c r="DJ133" s="111"/>
      <c r="DK133" s="111"/>
      <c r="DL133" s="111"/>
      <c r="DM133" s="111"/>
      <c r="DN133" s="111"/>
      <c r="DO133" s="111"/>
      <c r="DP133" s="111"/>
      <c r="DQ133" s="111"/>
      <c r="DR133" s="111"/>
      <c r="DS133" s="111"/>
      <c r="DT133" s="111"/>
      <c r="DU133" s="111"/>
      <c r="DV133" s="111"/>
      <c r="DW133" s="111"/>
      <c r="DX133" s="111"/>
    </row>
    <row r="134" spans="1:128" s="3" customFormat="1" ht="12.75" customHeight="1" x14ac:dyDescent="0.3">
      <c r="A134" s="85"/>
      <c r="F134" s="66"/>
      <c r="G134" s="66"/>
      <c r="H134" s="111"/>
      <c r="I134" s="111"/>
      <c r="J134" s="111"/>
      <c r="K134" s="111"/>
      <c r="L134" s="111"/>
      <c r="M134" s="111"/>
      <c r="N134" s="111"/>
      <c r="O134" s="111"/>
      <c r="P134" s="111"/>
      <c r="Q134" s="111"/>
      <c r="R134" s="111"/>
      <c r="S134" s="111"/>
      <c r="T134" s="111"/>
      <c r="U134" s="111"/>
      <c r="V134" s="111"/>
      <c r="W134" s="111"/>
      <c r="X134" s="111"/>
      <c r="Y134" s="111"/>
      <c r="Z134" s="111"/>
      <c r="AA134" s="111"/>
      <c r="AB134" s="111"/>
      <c r="AC134" s="111"/>
      <c r="AD134" s="111"/>
      <c r="AE134" s="111"/>
      <c r="AF134" s="111"/>
      <c r="AG134" s="111"/>
      <c r="AH134" s="111"/>
      <c r="AI134" s="111"/>
      <c r="AJ134" s="111"/>
      <c r="AK134" s="111"/>
      <c r="AL134" s="111"/>
      <c r="AM134" s="111"/>
      <c r="AN134" s="111"/>
      <c r="AO134" s="111"/>
      <c r="AP134" s="111"/>
      <c r="AQ134" s="111"/>
      <c r="AR134" s="111"/>
      <c r="AS134" s="111"/>
      <c r="AT134" s="111"/>
      <c r="AU134" s="111"/>
      <c r="AV134" s="111"/>
      <c r="AW134" s="111"/>
      <c r="AX134" s="111"/>
      <c r="AY134" s="111"/>
      <c r="AZ134" s="111"/>
      <c r="BA134" s="111"/>
      <c r="BB134" s="111"/>
      <c r="BC134" s="111"/>
      <c r="BD134" s="111"/>
      <c r="BE134" s="111"/>
      <c r="BF134" s="111"/>
      <c r="BG134" s="111"/>
      <c r="BH134" s="111"/>
      <c r="BI134" s="111"/>
      <c r="BJ134" s="111"/>
      <c r="BK134" s="111"/>
      <c r="BL134" s="111"/>
      <c r="BM134" s="111"/>
      <c r="BN134" s="111"/>
      <c r="BO134" s="111"/>
      <c r="BP134" s="111"/>
      <c r="BQ134" s="111"/>
      <c r="BR134" s="111"/>
      <c r="BS134" s="111"/>
      <c r="BT134" s="111"/>
      <c r="BU134" s="111"/>
      <c r="BV134" s="111"/>
      <c r="BW134" s="111"/>
      <c r="BX134" s="111"/>
      <c r="BY134" s="111"/>
      <c r="BZ134" s="111"/>
      <c r="CA134" s="111"/>
      <c r="CB134" s="111"/>
      <c r="CC134" s="111"/>
      <c r="CD134" s="111"/>
      <c r="CE134" s="111"/>
      <c r="CF134" s="111"/>
      <c r="CG134" s="111"/>
      <c r="CH134" s="111"/>
      <c r="CI134" s="111"/>
      <c r="CJ134" s="111"/>
      <c r="CK134" s="111"/>
      <c r="CL134" s="111"/>
      <c r="CM134" s="111"/>
      <c r="CN134" s="111"/>
      <c r="CO134" s="111"/>
      <c r="CP134" s="111"/>
      <c r="CQ134" s="111"/>
      <c r="CR134" s="111"/>
      <c r="CS134" s="111"/>
      <c r="CT134" s="111"/>
      <c r="CU134" s="111"/>
      <c r="CV134" s="111"/>
      <c r="CW134" s="111"/>
      <c r="CX134" s="111"/>
      <c r="CY134" s="111"/>
      <c r="CZ134" s="111"/>
      <c r="DA134" s="111"/>
      <c r="DB134" s="111"/>
      <c r="DC134" s="111"/>
      <c r="DD134" s="111"/>
      <c r="DE134" s="111"/>
      <c r="DF134" s="111"/>
      <c r="DG134" s="111"/>
      <c r="DH134" s="111"/>
      <c r="DI134" s="111"/>
      <c r="DJ134" s="111"/>
      <c r="DK134" s="111"/>
      <c r="DL134" s="111"/>
      <c r="DM134" s="111"/>
      <c r="DN134" s="111"/>
      <c r="DO134" s="111"/>
      <c r="DP134" s="111"/>
      <c r="DQ134" s="111"/>
      <c r="DR134" s="111"/>
      <c r="DS134" s="111"/>
      <c r="DT134" s="111"/>
      <c r="DU134" s="111"/>
      <c r="DV134" s="111"/>
      <c r="DW134" s="111"/>
      <c r="DX134" s="111"/>
    </row>
    <row r="135" spans="1:128" s="3" customFormat="1" ht="12.75" customHeight="1" x14ac:dyDescent="0.3">
      <c r="A135" s="85"/>
      <c r="F135" s="66"/>
      <c r="G135" s="66"/>
      <c r="H135" s="111"/>
      <c r="I135" s="111"/>
      <c r="J135" s="111"/>
      <c r="K135" s="111"/>
      <c r="L135" s="111"/>
      <c r="M135" s="111"/>
      <c r="N135" s="111"/>
      <c r="O135" s="111"/>
      <c r="P135" s="111"/>
      <c r="Q135" s="111"/>
      <c r="R135" s="111"/>
      <c r="S135" s="111"/>
      <c r="T135" s="111"/>
      <c r="U135" s="111"/>
      <c r="V135" s="111"/>
      <c r="W135" s="111"/>
      <c r="X135" s="111"/>
      <c r="Y135" s="111"/>
      <c r="Z135" s="111"/>
      <c r="AA135" s="111"/>
      <c r="AB135" s="111"/>
      <c r="AC135" s="111"/>
      <c r="AD135" s="111"/>
      <c r="AE135" s="111"/>
      <c r="AF135" s="111"/>
      <c r="AG135" s="111"/>
      <c r="AH135" s="111"/>
      <c r="AI135" s="111"/>
      <c r="AJ135" s="111"/>
      <c r="AK135" s="111"/>
      <c r="AL135" s="111"/>
      <c r="AM135" s="111"/>
      <c r="AN135" s="111"/>
      <c r="AO135" s="111"/>
      <c r="AP135" s="111"/>
      <c r="AQ135" s="111"/>
      <c r="AR135" s="111"/>
      <c r="AS135" s="111"/>
      <c r="AT135" s="111"/>
      <c r="AU135" s="111"/>
      <c r="AV135" s="111"/>
      <c r="AW135" s="111"/>
      <c r="AX135" s="111"/>
      <c r="AY135" s="111"/>
      <c r="AZ135" s="111"/>
      <c r="BA135" s="111"/>
      <c r="BB135" s="111"/>
      <c r="BC135" s="111"/>
      <c r="BD135" s="111"/>
      <c r="BE135" s="111"/>
      <c r="BF135" s="111"/>
      <c r="BG135" s="111"/>
      <c r="BH135" s="111"/>
      <c r="BI135" s="111"/>
      <c r="BJ135" s="111"/>
      <c r="BK135" s="111"/>
      <c r="BL135" s="111"/>
      <c r="BM135" s="111"/>
      <c r="BN135" s="111"/>
      <c r="BO135" s="111"/>
      <c r="BP135" s="111"/>
      <c r="BQ135" s="111"/>
      <c r="BR135" s="111"/>
      <c r="BS135" s="111"/>
      <c r="BT135" s="111"/>
      <c r="BU135" s="111"/>
      <c r="BV135" s="111"/>
      <c r="BW135" s="111"/>
      <c r="BX135" s="111"/>
      <c r="BY135" s="111"/>
      <c r="BZ135" s="111"/>
      <c r="CA135" s="111"/>
      <c r="CB135" s="111"/>
      <c r="CC135" s="111"/>
      <c r="CD135" s="111"/>
      <c r="CE135" s="111"/>
      <c r="CF135" s="111"/>
      <c r="CG135" s="111"/>
      <c r="CH135" s="111"/>
      <c r="CI135" s="111"/>
      <c r="CJ135" s="111"/>
      <c r="CK135" s="111"/>
      <c r="CL135" s="111"/>
      <c r="CM135" s="111"/>
      <c r="CN135" s="111"/>
      <c r="CO135" s="111"/>
      <c r="CP135" s="111"/>
      <c r="CQ135" s="111"/>
      <c r="CR135" s="111"/>
      <c r="CS135" s="111"/>
      <c r="CT135" s="111"/>
      <c r="CU135" s="111"/>
      <c r="CV135" s="111"/>
      <c r="CW135" s="111"/>
      <c r="CX135" s="111"/>
      <c r="CY135" s="111"/>
      <c r="CZ135" s="111"/>
      <c r="DA135" s="111"/>
      <c r="DB135" s="111"/>
      <c r="DC135" s="111"/>
      <c r="DD135" s="111"/>
      <c r="DE135" s="111"/>
      <c r="DF135" s="111"/>
      <c r="DG135" s="111"/>
      <c r="DH135" s="111"/>
      <c r="DI135" s="111"/>
      <c r="DJ135" s="111"/>
      <c r="DK135" s="111"/>
      <c r="DL135" s="111"/>
      <c r="DM135" s="111"/>
      <c r="DN135" s="111"/>
      <c r="DO135" s="111"/>
      <c r="DP135" s="111"/>
      <c r="DQ135" s="111"/>
      <c r="DR135" s="111"/>
      <c r="DS135" s="111"/>
      <c r="DT135" s="111"/>
      <c r="DU135" s="111"/>
      <c r="DV135" s="111"/>
      <c r="DW135" s="111"/>
      <c r="DX135" s="111"/>
    </row>
    <row r="136" spans="1:128" s="3" customFormat="1" ht="12.75" customHeight="1" x14ac:dyDescent="0.3">
      <c r="A136" s="85"/>
      <c r="F136" s="66"/>
      <c r="G136" s="66"/>
      <c r="H136" s="111"/>
      <c r="I136" s="111"/>
      <c r="J136" s="111"/>
      <c r="K136" s="111"/>
      <c r="L136" s="111"/>
      <c r="M136" s="111"/>
      <c r="N136" s="111"/>
      <c r="O136" s="111"/>
      <c r="P136" s="111"/>
      <c r="Q136" s="111"/>
      <c r="R136" s="111"/>
      <c r="S136" s="111"/>
      <c r="T136" s="111"/>
      <c r="U136" s="111"/>
      <c r="V136" s="111"/>
      <c r="W136" s="111"/>
      <c r="X136" s="111"/>
      <c r="Y136" s="111"/>
      <c r="Z136" s="111"/>
      <c r="AA136" s="111"/>
      <c r="AB136" s="111"/>
      <c r="AC136" s="111"/>
      <c r="AD136" s="111"/>
      <c r="AE136" s="111"/>
      <c r="AF136" s="111"/>
      <c r="AG136" s="111"/>
      <c r="AH136" s="111"/>
      <c r="AI136" s="111"/>
      <c r="AJ136" s="111"/>
      <c r="AK136" s="111"/>
      <c r="AL136" s="111"/>
      <c r="AM136" s="111"/>
      <c r="AN136" s="111"/>
      <c r="AO136" s="111"/>
      <c r="AP136" s="111"/>
      <c r="AQ136" s="111"/>
      <c r="AR136" s="111"/>
      <c r="AS136" s="111"/>
      <c r="AT136" s="111"/>
      <c r="AU136" s="111"/>
      <c r="AV136" s="111"/>
      <c r="AW136" s="111"/>
      <c r="AX136" s="111"/>
      <c r="AY136" s="111"/>
      <c r="AZ136" s="111"/>
      <c r="BA136" s="111"/>
      <c r="BB136" s="111"/>
      <c r="BC136" s="111"/>
      <c r="BD136" s="111"/>
      <c r="BE136" s="111"/>
      <c r="BF136" s="111"/>
      <c r="BG136" s="111"/>
      <c r="BH136" s="111"/>
      <c r="BI136" s="111"/>
      <c r="BJ136" s="111"/>
      <c r="BK136" s="111"/>
      <c r="BL136" s="111"/>
      <c r="BM136" s="111"/>
      <c r="BN136" s="111"/>
      <c r="BO136" s="111"/>
      <c r="BP136" s="111"/>
      <c r="BQ136" s="111"/>
      <c r="BR136" s="111"/>
      <c r="BS136" s="111"/>
      <c r="BT136" s="111"/>
      <c r="BU136" s="111"/>
      <c r="BV136" s="111"/>
      <c r="BW136" s="111"/>
      <c r="BX136" s="111"/>
      <c r="BY136" s="111"/>
      <c r="BZ136" s="111"/>
      <c r="CA136" s="111"/>
      <c r="CB136" s="111"/>
      <c r="CC136" s="111"/>
      <c r="CD136" s="111"/>
      <c r="CE136" s="111"/>
      <c r="CF136" s="111"/>
      <c r="CG136" s="111"/>
      <c r="CH136" s="111"/>
      <c r="CI136" s="111"/>
      <c r="CJ136" s="111"/>
      <c r="CK136" s="111"/>
      <c r="CL136" s="111"/>
      <c r="CM136" s="111"/>
      <c r="CN136" s="111"/>
      <c r="CO136" s="111"/>
      <c r="CP136" s="111"/>
      <c r="CQ136" s="111"/>
      <c r="CR136" s="111"/>
      <c r="CS136" s="111"/>
      <c r="CT136" s="111"/>
      <c r="CU136" s="111"/>
      <c r="CV136" s="111"/>
      <c r="CW136" s="111"/>
      <c r="CX136" s="111"/>
      <c r="CY136" s="111"/>
      <c r="CZ136" s="111"/>
      <c r="DA136" s="111"/>
      <c r="DB136" s="111"/>
      <c r="DC136" s="111"/>
      <c r="DD136" s="111"/>
      <c r="DE136" s="111"/>
      <c r="DF136" s="111"/>
      <c r="DG136" s="111"/>
      <c r="DH136" s="111"/>
      <c r="DI136" s="111"/>
      <c r="DJ136" s="111"/>
      <c r="DK136" s="111"/>
      <c r="DL136" s="111"/>
      <c r="DM136" s="111"/>
      <c r="DN136" s="111"/>
      <c r="DO136" s="111"/>
      <c r="DP136" s="111"/>
      <c r="DQ136" s="111"/>
      <c r="DR136" s="111"/>
      <c r="DS136" s="111"/>
      <c r="DT136" s="111"/>
      <c r="DU136" s="111"/>
      <c r="DV136" s="111"/>
      <c r="DW136" s="111"/>
      <c r="DX136" s="111"/>
    </row>
    <row r="137" spans="1:128" s="3" customFormat="1" ht="12.75" customHeight="1" x14ac:dyDescent="0.3">
      <c r="A137" s="85"/>
      <c r="F137" s="66"/>
      <c r="G137" s="66"/>
      <c r="H137" s="111"/>
      <c r="I137" s="111"/>
      <c r="J137" s="111"/>
      <c r="K137" s="111"/>
      <c r="L137" s="111"/>
      <c r="M137" s="111"/>
      <c r="N137" s="111"/>
      <c r="O137" s="111"/>
      <c r="P137" s="111"/>
      <c r="Q137" s="111"/>
      <c r="R137" s="111"/>
      <c r="S137" s="111"/>
      <c r="T137" s="111"/>
      <c r="U137" s="111"/>
      <c r="V137" s="111"/>
      <c r="W137" s="111"/>
      <c r="X137" s="111"/>
      <c r="Y137" s="111"/>
      <c r="Z137" s="111"/>
      <c r="AA137" s="111"/>
      <c r="AB137" s="111"/>
      <c r="AC137" s="111"/>
      <c r="AD137" s="111"/>
      <c r="AE137" s="111"/>
      <c r="AF137" s="111"/>
      <c r="AG137" s="111"/>
      <c r="AH137" s="111"/>
      <c r="AI137" s="111"/>
      <c r="AJ137" s="111"/>
      <c r="AK137" s="111"/>
      <c r="AL137" s="111"/>
      <c r="AM137" s="111"/>
      <c r="AN137" s="111"/>
      <c r="AO137" s="111"/>
      <c r="AP137" s="111"/>
      <c r="AQ137" s="111"/>
      <c r="AR137" s="111"/>
      <c r="AS137" s="111"/>
      <c r="AT137" s="111"/>
      <c r="AU137" s="111"/>
      <c r="AV137" s="111"/>
      <c r="AW137" s="111"/>
      <c r="AX137" s="111"/>
      <c r="AY137" s="111"/>
      <c r="AZ137" s="111"/>
      <c r="BA137" s="111"/>
      <c r="BB137" s="111"/>
      <c r="BC137" s="111"/>
      <c r="BD137" s="111"/>
      <c r="BE137" s="111"/>
      <c r="BF137" s="111"/>
      <c r="BG137" s="111"/>
      <c r="BH137" s="111"/>
      <c r="BI137" s="111"/>
      <c r="BJ137" s="111"/>
      <c r="BK137" s="111"/>
      <c r="BL137" s="111"/>
      <c r="BM137" s="111"/>
      <c r="BN137" s="111"/>
      <c r="BO137" s="111"/>
      <c r="BP137" s="111"/>
      <c r="BQ137" s="111"/>
      <c r="BR137" s="111"/>
      <c r="BS137" s="111"/>
      <c r="BT137" s="111"/>
      <c r="BU137" s="111"/>
      <c r="BV137" s="111"/>
      <c r="BW137" s="111"/>
      <c r="BX137" s="111"/>
      <c r="BY137" s="111"/>
      <c r="BZ137" s="111"/>
      <c r="CA137" s="111"/>
      <c r="CB137" s="111"/>
      <c r="CC137" s="111"/>
      <c r="CD137" s="111"/>
      <c r="CE137" s="111"/>
      <c r="CF137" s="111"/>
      <c r="CG137" s="111"/>
      <c r="CH137" s="111"/>
      <c r="CI137" s="111"/>
      <c r="CJ137" s="111"/>
      <c r="CK137" s="111"/>
      <c r="CL137" s="111"/>
      <c r="CM137" s="111"/>
      <c r="CN137" s="111"/>
      <c r="CO137" s="111"/>
      <c r="CP137" s="111"/>
      <c r="CQ137" s="111"/>
      <c r="CR137" s="111"/>
      <c r="CS137" s="111"/>
      <c r="CT137" s="111"/>
      <c r="CU137" s="111"/>
      <c r="CV137" s="111"/>
      <c r="CW137" s="111"/>
      <c r="CX137" s="111"/>
      <c r="CY137" s="111"/>
      <c r="CZ137" s="111"/>
      <c r="DA137" s="111"/>
      <c r="DB137" s="111"/>
      <c r="DC137" s="111"/>
      <c r="DD137" s="111"/>
      <c r="DE137" s="111"/>
      <c r="DF137" s="111"/>
      <c r="DG137" s="111"/>
      <c r="DH137" s="111"/>
      <c r="DI137" s="111"/>
      <c r="DJ137" s="111"/>
      <c r="DK137" s="111"/>
      <c r="DL137" s="111"/>
      <c r="DM137" s="111"/>
      <c r="DN137" s="111"/>
      <c r="DO137" s="111"/>
      <c r="DP137" s="111"/>
      <c r="DQ137" s="111"/>
      <c r="DR137" s="111"/>
      <c r="DS137" s="111"/>
      <c r="DT137" s="111"/>
      <c r="DU137" s="111"/>
      <c r="DV137" s="111"/>
      <c r="DW137" s="111"/>
      <c r="DX137" s="111"/>
    </row>
    <row r="138" spans="1:128" s="3" customFormat="1" ht="12.75" customHeight="1" x14ac:dyDescent="0.3">
      <c r="A138" s="85"/>
      <c r="F138" s="66"/>
      <c r="G138" s="66"/>
      <c r="H138" s="111"/>
      <c r="I138" s="111"/>
      <c r="J138" s="111"/>
      <c r="K138" s="111"/>
      <c r="L138" s="111"/>
      <c r="M138" s="111"/>
      <c r="N138" s="111"/>
      <c r="O138" s="111"/>
      <c r="P138" s="111"/>
      <c r="Q138" s="111"/>
      <c r="R138" s="111"/>
      <c r="S138" s="111"/>
      <c r="T138" s="111"/>
      <c r="U138" s="111"/>
      <c r="V138" s="111"/>
      <c r="W138" s="111"/>
      <c r="X138" s="111"/>
      <c r="Y138" s="111"/>
      <c r="Z138" s="111"/>
      <c r="AA138" s="111"/>
      <c r="AB138" s="111"/>
      <c r="AC138" s="111"/>
      <c r="AD138" s="111"/>
      <c r="AE138" s="111"/>
      <c r="AF138" s="111"/>
      <c r="AG138" s="111"/>
      <c r="AH138" s="111"/>
      <c r="AI138" s="111"/>
      <c r="AJ138" s="111"/>
      <c r="AK138" s="111"/>
      <c r="AL138" s="111"/>
      <c r="AM138" s="111"/>
      <c r="AN138" s="111"/>
      <c r="AO138" s="111"/>
      <c r="AP138" s="111"/>
      <c r="AQ138" s="111"/>
      <c r="AR138" s="111"/>
      <c r="AS138" s="111"/>
      <c r="AT138" s="111"/>
      <c r="AU138" s="111"/>
      <c r="AV138" s="111"/>
      <c r="AW138" s="111"/>
      <c r="AX138" s="111"/>
      <c r="AY138" s="111"/>
      <c r="AZ138" s="111"/>
      <c r="BA138" s="111"/>
      <c r="BB138" s="111"/>
      <c r="BC138" s="111"/>
      <c r="BD138" s="111"/>
      <c r="BE138" s="111"/>
      <c r="BF138" s="111"/>
      <c r="BG138" s="111"/>
      <c r="BH138" s="111"/>
      <c r="BI138" s="111"/>
      <c r="BJ138" s="111"/>
      <c r="BK138" s="111"/>
      <c r="BL138" s="111"/>
      <c r="BM138" s="111"/>
      <c r="BN138" s="111"/>
      <c r="BO138" s="111"/>
      <c r="BP138" s="111"/>
      <c r="BQ138" s="111"/>
      <c r="BR138" s="111"/>
      <c r="BS138" s="111"/>
      <c r="BT138" s="111"/>
      <c r="BU138" s="111"/>
      <c r="BV138" s="111"/>
      <c r="BW138" s="111"/>
      <c r="BX138" s="111"/>
      <c r="BY138" s="111"/>
      <c r="BZ138" s="111"/>
      <c r="CA138" s="111"/>
      <c r="CB138" s="111"/>
      <c r="CC138" s="111"/>
      <c r="CD138" s="111"/>
      <c r="CE138" s="111"/>
      <c r="CF138" s="111"/>
      <c r="CG138" s="111"/>
      <c r="CH138" s="111"/>
      <c r="CI138" s="111"/>
      <c r="CJ138" s="111"/>
      <c r="CK138" s="111"/>
      <c r="CL138" s="111"/>
      <c r="CM138" s="111"/>
      <c r="CN138" s="111"/>
      <c r="CO138" s="111"/>
      <c r="CP138" s="111"/>
      <c r="CQ138" s="111"/>
      <c r="CR138" s="111"/>
      <c r="CS138" s="111"/>
      <c r="CT138" s="111"/>
      <c r="CU138" s="111"/>
      <c r="CV138" s="111"/>
      <c r="CW138" s="111"/>
      <c r="CX138" s="111"/>
      <c r="CY138" s="111"/>
      <c r="CZ138" s="111"/>
      <c r="DA138" s="111"/>
      <c r="DB138" s="111"/>
      <c r="DC138" s="111"/>
      <c r="DD138" s="111"/>
      <c r="DE138" s="111"/>
      <c r="DF138" s="111"/>
      <c r="DG138" s="111"/>
      <c r="DH138" s="111"/>
      <c r="DI138" s="111"/>
      <c r="DJ138" s="111"/>
      <c r="DK138" s="111"/>
      <c r="DL138" s="111"/>
      <c r="DM138" s="111"/>
      <c r="DN138" s="111"/>
      <c r="DO138" s="111"/>
      <c r="DP138" s="111"/>
      <c r="DQ138" s="111"/>
      <c r="DR138" s="111"/>
      <c r="DS138" s="111"/>
      <c r="DT138" s="111"/>
      <c r="DU138" s="111"/>
      <c r="DV138" s="111"/>
      <c r="DW138" s="111"/>
      <c r="DX138" s="111"/>
    </row>
    <row r="139" spans="1:128" s="3" customFormat="1" ht="12.75" customHeight="1" x14ac:dyDescent="0.3">
      <c r="A139" s="85"/>
      <c r="F139" s="66"/>
      <c r="G139" s="66"/>
      <c r="H139" s="111"/>
      <c r="I139" s="111"/>
      <c r="J139" s="111"/>
      <c r="K139" s="111"/>
      <c r="L139" s="111"/>
      <c r="M139" s="111"/>
      <c r="N139" s="111"/>
      <c r="O139" s="111"/>
      <c r="P139" s="111"/>
      <c r="Q139" s="111"/>
      <c r="R139" s="111"/>
      <c r="S139" s="111"/>
      <c r="T139" s="111"/>
      <c r="U139" s="111"/>
      <c r="V139" s="111"/>
      <c r="W139" s="111"/>
      <c r="X139" s="111"/>
      <c r="Y139" s="111"/>
      <c r="Z139" s="111"/>
      <c r="AA139" s="111"/>
      <c r="AB139" s="111"/>
      <c r="AC139" s="111"/>
      <c r="AD139" s="111"/>
      <c r="AE139" s="111"/>
      <c r="AF139" s="111"/>
      <c r="AG139" s="111"/>
      <c r="AH139" s="111"/>
      <c r="AI139" s="111"/>
      <c r="AJ139" s="111"/>
      <c r="AK139" s="111"/>
      <c r="AL139" s="111"/>
      <c r="AM139" s="111"/>
      <c r="AN139" s="111"/>
      <c r="AO139" s="111"/>
      <c r="AP139" s="111"/>
      <c r="AQ139" s="111"/>
      <c r="AR139" s="111"/>
      <c r="AS139" s="111"/>
      <c r="AT139" s="111"/>
      <c r="AU139" s="111"/>
      <c r="AV139" s="111"/>
      <c r="AW139" s="111"/>
      <c r="AX139" s="111"/>
      <c r="AY139" s="111"/>
      <c r="AZ139" s="111"/>
      <c r="BA139" s="111"/>
      <c r="BB139" s="111"/>
      <c r="BC139" s="111"/>
      <c r="BD139" s="111"/>
      <c r="BE139" s="111"/>
      <c r="BF139" s="111"/>
      <c r="BG139" s="111"/>
      <c r="BH139" s="111"/>
      <c r="BI139" s="111"/>
      <c r="BJ139" s="111"/>
      <c r="BK139" s="111"/>
      <c r="BL139" s="111"/>
      <c r="BM139" s="111"/>
      <c r="BN139" s="111"/>
      <c r="BO139" s="111"/>
      <c r="BP139" s="111"/>
      <c r="BQ139" s="111"/>
      <c r="BR139" s="111"/>
      <c r="BS139" s="111"/>
      <c r="BT139" s="111"/>
      <c r="BU139" s="111"/>
      <c r="BV139" s="111"/>
      <c r="BW139" s="111"/>
      <c r="BX139" s="111"/>
      <c r="BY139" s="111"/>
      <c r="BZ139" s="111"/>
      <c r="CA139" s="111"/>
      <c r="CB139" s="111"/>
      <c r="CC139" s="111"/>
      <c r="CD139" s="111"/>
      <c r="CE139" s="111"/>
      <c r="CF139" s="111"/>
      <c r="CG139" s="111"/>
      <c r="CH139" s="111"/>
      <c r="CI139" s="111"/>
      <c r="CJ139" s="111"/>
      <c r="CK139" s="111"/>
      <c r="CL139" s="111"/>
      <c r="CM139" s="111"/>
      <c r="CN139" s="111"/>
      <c r="CO139" s="111"/>
      <c r="CP139" s="111"/>
      <c r="CQ139" s="111"/>
      <c r="CR139" s="111"/>
      <c r="CS139" s="111"/>
      <c r="CT139" s="111"/>
      <c r="CU139" s="111"/>
      <c r="CV139" s="111"/>
      <c r="CW139" s="111"/>
      <c r="CX139" s="111"/>
      <c r="CY139" s="111"/>
      <c r="CZ139" s="111"/>
      <c r="DA139" s="111"/>
      <c r="DB139" s="111"/>
      <c r="DC139" s="111"/>
      <c r="DD139" s="111"/>
      <c r="DE139" s="111"/>
      <c r="DF139" s="111"/>
      <c r="DG139" s="111"/>
      <c r="DH139" s="111"/>
      <c r="DI139" s="111"/>
      <c r="DJ139" s="111"/>
      <c r="DK139" s="111"/>
      <c r="DL139" s="111"/>
      <c r="DM139" s="111"/>
      <c r="DN139" s="111"/>
      <c r="DO139" s="111"/>
      <c r="DP139" s="111"/>
      <c r="DQ139" s="111"/>
      <c r="DR139" s="111"/>
      <c r="DS139" s="111"/>
      <c r="DT139" s="111"/>
      <c r="DU139" s="111"/>
      <c r="DV139" s="111"/>
      <c r="DW139" s="111"/>
      <c r="DX139" s="111"/>
    </row>
    <row r="140" spans="1:128" s="3" customFormat="1" ht="12.75" customHeight="1" x14ac:dyDescent="0.3">
      <c r="A140" s="85"/>
      <c r="F140" s="66"/>
      <c r="G140" s="66"/>
      <c r="H140" s="111"/>
      <c r="I140" s="111"/>
      <c r="J140" s="111"/>
      <c r="K140" s="111"/>
      <c r="L140" s="111"/>
      <c r="M140" s="111"/>
      <c r="N140" s="111"/>
      <c r="O140" s="111"/>
      <c r="P140" s="111"/>
      <c r="Q140" s="111"/>
      <c r="R140" s="111"/>
      <c r="S140" s="111"/>
      <c r="T140" s="111"/>
      <c r="U140" s="111"/>
      <c r="V140" s="111"/>
      <c r="W140" s="111"/>
      <c r="X140" s="111"/>
      <c r="Y140" s="111"/>
      <c r="Z140" s="111"/>
      <c r="AA140" s="111"/>
      <c r="AB140" s="111"/>
      <c r="AC140" s="111"/>
      <c r="AD140" s="111"/>
      <c r="AE140" s="111"/>
      <c r="AF140" s="111"/>
      <c r="AG140" s="111"/>
      <c r="AH140" s="111"/>
      <c r="AI140" s="111"/>
      <c r="AJ140" s="111"/>
      <c r="AK140" s="111"/>
      <c r="AL140" s="111"/>
      <c r="AM140" s="111"/>
      <c r="AN140" s="111"/>
      <c r="AO140" s="111"/>
      <c r="AP140" s="111"/>
      <c r="AQ140" s="111"/>
      <c r="AR140" s="111"/>
      <c r="AS140" s="111"/>
      <c r="AT140" s="111"/>
      <c r="AU140" s="111"/>
      <c r="AV140" s="111"/>
      <c r="AW140" s="111"/>
      <c r="AX140" s="111"/>
      <c r="AY140" s="111"/>
      <c r="AZ140" s="111"/>
      <c r="BA140" s="111"/>
      <c r="BB140" s="111"/>
      <c r="BC140" s="111"/>
      <c r="BD140" s="111"/>
      <c r="BE140" s="111"/>
      <c r="BF140" s="111"/>
      <c r="BG140" s="111"/>
      <c r="BH140" s="111"/>
      <c r="BI140" s="111"/>
      <c r="BJ140" s="111"/>
      <c r="BK140" s="111"/>
      <c r="BL140" s="111"/>
      <c r="BM140" s="111"/>
      <c r="BN140" s="111"/>
      <c r="BO140" s="111"/>
      <c r="BP140" s="111"/>
      <c r="BQ140" s="111"/>
      <c r="BR140" s="111"/>
      <c r="BS140" s="111"/>
      <c r="BT140" s="111"/>
      <c r="BU140" s="111"/>
      <c r="BV140" s="111"/>
      <c r="BW140" s="111"/>
      <c r="BX140" s="111"/>
      <c r="BY140" s="111"/>
      <c r="BZ140" s="111"/>
      <c r="CA140" s="111"/>
      <c r="CB140" s="111"/>
      <c r="CC140" s="111"/>
      <c r="CD140" s="111"/>
      <c r="CE140" s="111"/>
      <c r="CF140" s="111"/>
      <c r="CG140" s="111"/>
      <c r="CH140" s="111"/>
      <c r="CI140" s="111"/>
      <c r="CJ140" s="111"/>
      <c r="CK140" s="111"/>
      <c r="CL140" s="111"/>
      <c r="CM140" s="111"/>
      <c r="CN140" s="111"/>
      <c r="CO140" s="111"/>
      <c r="CP140" s="111"/>
      <c r="CQ140" s="111"/>
      <c r="CR140" s="111"/>
      <c r="CS140" s="111"/>
      <c r="CT140" s="111"/>
      <c r="CU140" s="111"/>
      <c r="CV140" s="111"/>
      <c r="CW140" s="111"/>
      <c r="CX140" s="111"/>
      <c r="CY140" s="111"/>
      <c r="CZ140" s="111"/>
      <c r="DA140" s="111"/>
      <c r="DB140" s="111"/>
      <c r="DC140" s="111"/>
      <c r="DD140" s="111"/>
      <c r="DE140" s="111"/>
      <c r="DF140" s="111"/>
      <c r="DG140" s="111"/>
      <c r="DH140" s="111"/>
      <c r="DI140" s="111"/>
      <c r="DJ140" s="111"/>
      <c r="DK140" s="111"/>
      <c r="DL140" s="111"/>
      <c r="DM140" s="111"/>
      <c r="DN140" s="111"/>
      <c r="DO140" s="111"/>
      <c r="DP140" s="111"/>
      <c r="DQ140" s="111"/>
      <c r="DR140" s="111"/>
      <c r="DS140" s="111"/>
      <c r="DT140" s="111"/>
      <c r="DU140" s="111"/>
      <c r="DV140" s="111"/>
      <c r="DW140" s="111"/>
      <c r="DX140" s="111"/>
    </row>
    <row r="141" spans="1:128" s="3" customFormat="1" ht="12.75" customHeight="1" x14ac:dyDescent="0.3">
      <c r="A141" s="85"/>
      <c r="F141" s="66"/>
      <c r="G141" s="66"/>
      <c r="H141" s="111"/>
      <c r="I141" s="111"/>
      <c r="J141" s="111"/>
      <c r="K141" s="111"/>
      <c r="L141" s="111"/>
      <c r="M141" s="111"/>
      <c r="N141" s="111"/>
      <c r="O141" s="111"/>
      <c r="P141" s="111"/>
      <c r="Q141" s="111"/>
      <c r="R141" s="111"/>
      <c r="S141" s="111"/>
      <c r="T141" s="111"/>
      <c r="U141" s="111"/>
      <c r="V141" s="111"/>
      <c r="W141" s="111"/>
      <c r="X141" s="111"/>
      <c r="Y141" s="111"/>
      <c r="Z141" s="111"/>
      <c r="AA141" s="111"/>
      <c r="AB141" s="111"/>
      <c r="AC141" s="111"/>
      <c r="AD141" s="111"/>
      <c r="AE141" s="111"/>
      <c r="AF141" s="111"/>
      <c r="AG141" s="111"/>
      <c r="AH141" s="111"/>
      <c r="AI141" s="111"/>
      <c r="AJ141" s="111"/>
      <c r="AK141" s="111"/>
      <c r="AL141" s="111"/>
      <c r="AM141" s="111"/>
      <c r="AN141" s="111"/>
      <c r="AO141" s="111"/>
      <c r="AP141" s="111"/>
      <c r="AQ141" s="111"/>
      <c r="AR141" s="111"/>
      <c r="AS141" s="111"/>
      <c r="AT141" s="111"/>
      <c r="AU141" s="111"/>
      <c r="AV141" s="111"/>
      <c r="AW141" s="111"/>
      <c r="AX141" s="111"/>
      <c r="AY141" s="111"/>
      <c r="AZ141" s="111"/>
      <c r="BA141" s="111"/>
      <c r="BB141" s="111"/>
      <c r="BC141" s="111"/>
      <c r="BD141" s="111"/>
      <c r="BE141" s="111"/>
      <c r="BF141" s="111"/>
      <c r="BG141" s="111"/>
      <c r="BH141" s="111"/>
      <c r="BI141" s="111"/>
      <c r="BJ141" s="111"/>
      <c r="BK141" s="111"/>
      <c r="BL141" s="111"/>
      <c r="BM141" s="111"/>
      <c r="BN141" s="111"/>
      <c r="BO141" s="111"/>
      <c r="BP141" s="111"/>
      <c r="BQ141" s="111"/>
      <c r="BR141" s="111"/>
      <c r="BS141" s="111"/>
      <c r="BT141" s="111"/>
      <c r="BU141" s="111"/>
      <c r="BV141" s="111"/>
      <c r="BW141" s="111"/>
      <c r="BX141" s="111"/>
      <c r="BY141" s="111"/>
      <c r="BZ141" s="111"/>
      <c r="CA141" s="111"/>
      <c r="CB141" s="111"/>
      <c r="CC141" s="111"/>
      <c r="CD141" s="111"/>
      <c r="CE141" s="111"/>
      <c r="CF141" s="111"/>
      <c r="CG141" s="111"/>
      <c r="CH141" s="111"/>
      <c r="CI141" s="111"/>
      <c r="CJ141" s="111"/>
      <c r="CK141" s="111"/>
      <c r="CL141" s="111"/>
      <c r="CM141" s="111"/>
      <c r="CN141" s="111"/>
      <c r="CO141" s="111"/>
      <c r="CP141" s="111"/>
      <c r="CQ141" s="111"/>
      <c r="CR141" s="111"/>
      <c r="CS141" s="111"/>
      <c r="CT141" s="111"/>
      <c r="CU141" s="111"/>
      <c r="CV141" s="111"/>
      <c r="CW141" s="111"/>
      <c r="CX141" s="111"/>
      <c r="CY141" s="111"/>
      <c r="CZ141" s="111"/>
      <c r="DA141" s="111"/>
      <c r="DB141" s="111"/>
      <c r="DC141" s="111"/>
      <c r="DD141" s="111"/>
      <c r="DE141" s="111"/>
      <c r="DF141" s="111"/>
      <c r="DG141" s="111"/>
      <c r="DH141" s="111"/>
      <c r="DI141" s="111"/>
      <c r="DJ141" s="111"/>
      <c r="DK141" s="111"/>
      <c r="DL141" s="111"/>
      <c r="DM141" s="111"/>
      <c r="DN141" s="111"/>
      <c r="DO141" s="111"/>
      <c r="DP141" s="111"/>
      <c r="DQ141" s="111"/>
      <c r="DR141" s="111"/>
      <c r="DS141" s="111"/>
      <c r="DT141" s="111"/>
      <c r="DU141" s="111"/>
      <c r="DV141" s="111"/>
      <c r="DW141" s="111"/>
      <c r="DX141" s="111"/>
    </row>
    <row r="142" spans="1:128" s="3" customFormat="1" ht="12.75" customHeight="1" x14ac:dyDescent="0.3">
      <c r="A142" s="85"/>
      <c r="F142" s="66"/>
      <c r="G142" s="66"/>
      <c r="H142" s="111"/>
      <c r="I142" s="111"/>
      <c r="J142" s="111"/>
      <c r="K142" s="111"/>
      <c r="L142" s="111"/>
      <c r="M142" s="111"/>
      <c r="N142" s="111"/>
      <c r="O142" s="111"/>
      <c r="P142" s="111"/>
      <c r="Q142" s="111"/>
      <c r="R142" s="111"/>
      <c r="S142" s="111"/>
      <c r="T142" s="111"/>
      <c r="U142" s="111"/>
      <c r="V142" s="111"/>
      <c r="W142" s="111"/>
      <c r="X142" s="111"/>
      <c r="Y142" s="111"/>
      <c r="Z142" s="111"/>
      <c r="AA142" s="111"/>
      <c r="AB142" s="111"/>
      <c r="AC142" s="111"/>
      <c r="AD142" s="111"/>
      <c r="AE142" s="111"/>
      <c r="AF142" s="111"/>
      <c r="AG142" s="111"/>
      <c r="AH142" s="111"/>
      <c r="AI142" s="111"/>
      <c r="AJ142" s="111"/>
      <c r="AK142" s="111"/>
      <c r="AL142" s="111"/>
      <c r="AM142" s="111"/>
      <c r="AN142" s="111"/>
      <c r="AO142" s="111"/>
      <c r="AP142" s="111"/>
      <c r="AQ142" s="111"/>
      <c r="AR142" s="111"/>
      <c r="AS142" s="111"/>
      <c r="AT142" s="111"/>
      <c r="AU142" s="111"/>
      <c r="AV142" s="111"/>
      <c r="AW142" s="111"/>
      <c r="AX142" s="111"/>
      <c r="AY142" s="111"/>
      <c r="AZ142" s="111"/>
      <c r="BA142" s="111"/>
      <c r="BB142" s="111"/>
      <c r="BC142" s="111"/>
      <c r="BD142" s="111"/>
      <c r="BE142" s="111"/>
      <c r="BF142" s="111"/>
      <c r="BG142" s="111"/>
      <c r="BH142" s="111"/>
      <c r="BI142" s="111"/>
      <c r="BJ142" s="111"/>
      <c r="BK142" s="111"/>
      <c r="BL142" s="111"/>
      <c r="BM142" s="111"/>
      <c r="BN142" s="111"/>
      <c r="BO142" s="111"/>
      <c r="BP142" s="111"/>
      <c r="BQ142" s="111"/>
      <c r="BR142" s="111"/>
      <c r="BS142" s="111"/>
      <c r="BT142" s="111"/>
      <c r="BU142" s="111"/>
      <c r="BV142" s="111"/>
      <c r="BW142" s="111"/>
      <c r="BX142" s="111"/>
      <c r="BY142" s="111"/>
      <c r="BZ142" s="111"/>
      <c r="CA142" s="111"/>
      <c r="CB142" s="111"/>
      <c r="CC142" s="111"/>
      <c r="CD142" s="111"/>
      <c r="CE142" s="111"/>
      <c r="CF142" s="111"/>
      <c r="CG142" s="111"/>
      <c r="CH142" s="111"/>
      <c r="CI142" s="111"/>
      <c r="CJ142" s="111"/>
      <c r="CK142" s="111"/>
      <c r="CL142" s="111"/>
      <c r="CM142" s="111"/>
      <c r="CN142" s="111"/>
      <c r="CO142" s="111"/>
      <c r="CP142" s="111"/>
      <c r="CQ142" s="111"/>
      <c r="CR142" s="111"/>
      <c r="CS142" s="111"/>
      <c r="CT142" s="111"/>
      <c r="CU142" s="111"/>
      <c r="CV142" s="111"/>
      <c r="CW142" s="111"/>
      <c r="CX142" s="111"/>
      <c r="CY142" s="111"/>
      <c r="CZ142" s="111"/>
      <c r="DA142" s="111"/>
      <c r="DB142" s="111"/>
      <c r="DC142" s="111"/>
      <c r="DD142" s="111"/>
      <c r="DE142" s="111"/>
      <c r="DF142" s="111"/>
      <c r="DG142" s="111"/>
      <c r="DH142" s="111"/>
      <c r="DI142" s="111"/>
      <c r="DJ142" s="111"/>
      <c r="DK142" s="111"/>
      <c r="DL142" s="111"/>
      <c r="DM142" s="111"/>
      <c r="DN142" s="111"/>
      <c r="DO142" s="111"/>
      <c r="DP142" s="111"/>
      <c r="DQ142" s="111"/>
      <c r="DR142" s="111"/>
      <c r="DS142" s="111"/>
      <c r="DT142" s="111"/>
      <c r="DU142" s="111"/>
      <c r="DV142" s="111"/>
      <c r="DW142" s="111"/>
      <c r="DX142" s="111"/>
    </row>
    <row r="143" spans="1:128" s="3" customFormat="1" ht="12.75" customHeight="1" x14ac:dyDescent="0.3">
      <c r="A143" s="85"/>
      <c r="F143" s="66"/>
      <c r="G143" s="66"/>
      <c r="H143" s="111"/>
      <c r="I143" s="111"/>
      <c r="J143" s="111"/>
      <c r="K143" s="111"/>
      <c r="L143" s="111"/>
      <c r="M143" s="111"/>
      <c r="N143" s="111"/>
      <c r="O143" s="111"/>
      <c r="P143" s="111"/>
      <c r="Q143" s="111"/>
      <c r="R143" s="111"/>
      <c r="S143" s="111"/>
      <c r="T143" s="111"/>
      <c r="U143" s="111"/>
      <c r="V143" s="111"/>
      <c r="W143" s="111"/>
      <c r="X143" s="111"/>
      <c r="Y143" s="111"/>
      <c r="Z143" s="111"/>
      <c r="AA143" s="111"/>
      <c r="AB143" s="111"/>
      <c r="AC143" s="111"/>
      <c r="AD143" s="111"/>
      <c r="AE143" s="111"/>
      <c r="AF143" s="111"/>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111"/>
      <c r="BK143" s="111"/>
      <c r="BL143" s="111"/>
      <c r="BM143" s="111"/>
      <c r="BN143" s="111"/>
      <c r="BO143" s="111"/>
      <c r="BP143" s="111"/>
      <c r="BQ143" s="111"/>
      <c r="BR143" s="111"/>
      <c r="BS143" s="111"/>
      <c r="BT143" s="111"/>
      <c r="BU143" s="111"/>
      <c r="BV143" s="111"/>
      <c r="BW143" s="111"/>
      <c r="BX143" s="111"/>
      <c r="BY143" s="111"/>
      <c r="BZ143" s="111"/>
      <c r="CA143" s="111"/>
      <c r="CB143" s="111"/>
      <c r="CC143" s="111"/>
      <c r="CD143" s="111"/>
      <c r="CE143" s="111"/>
      <c r="CF143" s="111"/>
      <c r="CG143" s="111"/>
      <c r="CH143" s="111"/>
      <c r="CI143" s="111"/>
      <c r="CJ143" s="111"/>
      <c r="CK143" s="111"/>
      <c r="CL143" s="111"/>
      <c r="CM143" s="111"/>
      <c r="CN143" s="111"/>
      <c r="CO143" s="111"/>
      <c r="CP143" s="111"/>
      <c r="CQ143" s="111"/>
      <c r="CR143" s="111"/>
      <c r="CS143" s="111"/>
      <c r="CT143" s="111"/>
      <c r="CU143" s="111"/>
      <c r="CV143" s="111"/>
      <c r="CW143" s="111"/>
      <c r="CX143" s="111"/>
      <c r="CY143" s="111"/>
      <c r="CZ143" s="111"/>
      <c r="DA143" s="111"/>
      <c r="DB143" s="111"/>
      <c r="DC143" s="111"/>
      <c r="DD143" s="111"/>
      <c r="DE143" s="111"/>
      <c r="DF143" s="111"/>
      <c r="DG143" s="111"/>
      <c r="DH143" s="111"/>
      <c r="DI143" s="111"/>
      <c r="DJ143" s="111"/>
      <c r="DK143" s="111"/>
      <c r="DL143" s="111"/>
      <c r="DM143" s="111"/>
      <c r="DN143" s="111"/>
      <c r="DO143" s="111"/>
      <c r="DP143" s="111"/>
      <c r="DQ143" s="111"/>
      <c r="DR143" s="111"/>
      <c r="DS143" s="111"/>
      <c r="DT143" s="111"/>
      <c r="DU143" s="111"/>
      <c r="DV143" s="111"/>
      <c r="DW143" s="111"/>
      <c r="DX143" s="111"/>
    </row>
    <row r="144" spans="1:128" s="3" customFormat="1" ht="12.75" customHeight="1" x14ac:dyDescent="0.3">
      <c r="A144" s="85"/>
      <c r="F144" s="66"/>
      <c r="G144" s="66"/>
      <c r="H144" s="111"/>
      <c r="I144" s="111"/>
      <c r="J144" s="111"/>
      <c r="K144" s="111"/>
      <c r="L144" s="111"/>
      <c r="M144" s="111"/>
      <c r="N144" s="111"/>
      <c r="O144" s="111"/>
      <c r="P144" s="111"/>
      <c r="Q144" s="111"/>
      <c r="R144" s="111"/>
      <c r="S144" s="111"/>
      <c r="T144" s="111"/>
      <c r="U144" s="111"/>
      <c r="V144" s="111"/>
      <c r="W144" s="111"/>
      <c r="X144" s="111"/>
      <c r="Y144" s="111"/>
      <c r="Z144" s="111"/>
      <c r="AA144" s="111"/>
      <c r="AB144" s="111"/>
      <c r="AC144" s="111"/>
      <c r="AD144" s="111"/>
      <c r="AE144" s="111"/>
      <c r="AF144" s="111"/>
      <c r="AG144" s="111"/>
      <c r="AH144" s="111"/>
      <c r="AI144" s="111"/>
      <c r="AJ144" s="111"/>
      <c r="AK144" s="111"/>
      <c r="AL144" s="111"/>
      <c r="AM144" s="111"/>
      <c r="AN144" s="111"/>
      <c r="AO144" s="111"/>
      <c r="AP144" s="111"/>
      <c r="AQ144" s="111"/>
      <c r="AR144" s="111"/>
      <c r="AS144" s="111"/>
      <c r="AT144" s="111"/>
      <c r="AU144" s="111"/>
      <c r="AV144" s="111"/>
      <c r="AW144" s="111"/>
      <c r="AX144" s="111"/>
      <c r="AY144" s="111"/>
      <c r="AZ144" s="111"/>
      <c r="BA144" s="111"/>
      <c r="BB144" s="111"/>
      <c r="BC144" s="111"/>
      <c r="BD144" s="111"/>
      <c r="BE144" s="111"/>
      <c r="BF144" s="111"/>
      <c r="BG144" s="111"/>
      <c r="BH144" s="111"/>
      <c r="BI144" s="111"/>
      <c r="BJ144" s="111"/>
      <c r="BK144" s="111"/>
      <c r="BL144" s="111"/>
      <c r="BM144" s="111"/>
      <c r="BN144" s="111"/>
      <c r="BO144" s="111"/>
      <c r="BP144" s="111"/>
      <c r="BQ144" s="111"/>
      <c r="BR144" s="111"/>
      <c r="BS144" s="111"/>
      <c r="BT144" s="111"/>
      <c r="BU144" s="111"/>
      <c r="BV144" s="111"/>
      <c r="BW144" s="111"/>
      <c r="BX144" s="111"/>
      <c r="BY144" s="111"/>
      <c r="BZ144" s="111"/>
      <c r="CA144" s="111"/>
      <c r="CB144" s="111"/>
      <c r="CC144" s="111"/>
      <c r="CD144" s="111"/>
      <c r="CE144" s="111"/>
      <c r="CF144" s="111"/>
      <c r="CG144" s="111"/>
      <c r="CH144" s="111"/>
      <c r="CI144" s="111"/>
      <c r="CJ144" s="111"/>
      <c r="CK144" s="111"/>
      <c r="CL144" s="111"/>
      <c r="CM144" s="111"/>
      <c r="CN144" s="111"/>
      <c r="CO144" s="111"/>
      <c r="CP144" s="111"/>
      <c r="CQ144" s="111"/>
      <c r="CR144" s="111"/>
      <c r="CS144" s="111"/>
      <c r="CT144" s="111"/>
      <c r="CU144" s="111"/>
      <c r="CV144" s="111"/>
      <c r="CW144" s="111"/>
      <c r="CX144" s="111"/>
      <c r="CY144" s="111"/>
      <c r="CZ144" s="111"/>
      <c r="DA144" s="111"/>
      <c r="DB144" s="111"/>
      <c r="DC144" s="111"/>
      <c r="DD144" s="111"/>
      <c r="DE144" s="111"/>
      <c r="DF144" s="111"/>
      <c r="DG144" s="111"/>
      <c r="DH144" s="111"/>
      <c r="DI144" s="111"/>
      <c r="DJ144" s="111"/>
      <c r="DK144" s="111"/>
      <c r="DL144" s="111"/>
      <c r="DM144" s="111"/>
      <c r="DN144" s="111"/>
      <c r="DO144" s="111"/>
      <c r="DP144" s="111"/>
      <c r="DQ144" s="111"/>
      <c r="DR144" s="111"/>
      <c r="DS144" s="111"/>
      <c r="DT144" s="111"/>
      <c r="DU144" s="111"/>
      <c r="DV144" s="111"/>
      <c r="DW144" s="111"/>
      <c r="DX144" s="111"/>
    </row>
    <row r="145" spans="1:128" s="3" customFormat="1" ht="12.75" customHeight="1" x14ac:dyDescent="0.3">
      <c r="F145" s="66"/>
      <c r="G145" s="66"/>
      <c r="H145" s="111"/>
      <c r="I145" s="111"/>
      <c r="J145" s="111"/>
      <c r="K145" s="111"/>
      <c r="L145" s="111"/>
      <c r="M145" s="111"/>
      <c r="N145" s="111"/>
      <c r="O145" s="111"/>
      <c r="P145" s="111"/>
      <c r="Q145" s="111"/>
      <c r="R145" s="111"/>
      <c r="S145" s="111"/>
      <c r="T145" s="111"/>
      <c r="U145" s="111"/>
      <c r="V145" s="111"/>
      <c r="W145" s="111"/>
      <c r="X145" s="111"/>
      <c r="Y145" s="111"/>
      <c r="Z145" s="111"/>
      <c r="AA145" s="111"/>
      <c r="AB145" s="111"/>
      <c r="AC145" s="111"/>
      <c r="AD145" s="111"/>
      <c r="AE145" s="111"/>
      <c r="AF145" s="111"/>
      <c r="AG145" s="111"/>
      <c r="AH145" s="111"/>
      <c r="AI145" s="111"/>
      <c r="AJ145" s="111"/>
      <c r="AK145" s="111"/>
      <c r="AL145" s="111"/>
      <c r="AM145" s="111"/>
      <c r="AN145" s="111"/>
      <c r="AO145" s="111"/>
      <c r="AP145" s="111"/>
      <c r="AQ145" s="111"/>
      <c r="AR145" s="111"/>
      <c r="AS145" s="111"/>
      <c r="AT145" s="111"/>
      <c r="AU145" s="111"/>
      <c r="AV145" s="111"/>
      <c r="AW145" s="111"/>
      <c r="AX145" s="111"/>
      <c r="AY145" s="111"/>
      <c r="AZ145" s="111"/>
      <c r="BA145" s="111"/>
      <c r="BB145" s="111"/>
      <c r="BC145" s="111"/>
      <c r="BD145" s="111"/>
      <c r="BE145" s="111"/>
      <c r="BF145" s="111"/>
      <c r="BG145" s="111"/>
      <c r="BH145" s="111"/>
      <c r="BI145" s="111"/>
      <c r="BJ145" s="111"/>
      <c r="BK145" s="111"/>
      <c r="BL145" s="111"/>
      <c r="BM145" s="111"/>
      <c r="BN145" s="111"/>
      <c r="BO145" s="111"/>
      <c r="BP145" s="111"/>
      <c r="BQ145" s="111"/>
      <c r="BR145" s="111"/>
      <c r="BS145" s="111"/>
      <c r="BT145" s="111"/>
      <c r="BU145" s="111"/>
      <c r="BV145" s="111"/>
      <c r="BW145" s="111"/>
      <c r="BX145" s="111"/>
      <c r="BY145" s="111"/>
      <c r="BZ145" s="111"/>
      <c r="CA145" s="111"/>
      <c r="CB145" s="111"/>
      <c r="CC145" s="111"/>
      <c r="CD145" s="111"/>
      <c r="CE145" s="111"/>
      <c r="CF145" s="111"/>
      <c r="CG145" s="111"/>
      <c r="CH145" s="111"/>
      <c r="CI145" s="111"/>
      <c r="CJ145" s="111"/>
      <c r="CK145" s="111"/>
      <c r="CL145" s="111"/>
      <c r="CM145" s="111"/>
      <c r="CN145" s="111"/>
      <c r="CO145" s="111"/>
      <c r="CP145" s="111"/>
      <c r="CQ145" s="111"/>
      <c r="CR145" s="111"/>
      <c r="CS145" s="111"/>
      <c r="CT145" s="111"/>
      <c r="CU145" s="111"/>
      <c r="CV145" s="111"/>
      <c r="CW145" s="111"/>
      <c r="CX145" s="111"/>
      <c r="CY145" s="111"/>
      <c r="CZ145" s="111"/>
      <c r="DA145" s="111"/>
      <c r="DB145" s="111"/>
      <c r="DC145" s="111"/>
      <c r="DD145" s="111"/>
      <c r="DE145" s="111"/>
      <c r="DF145" s="111"/>
      <c r="DG145" s="111"/>
      <c r="DH145" s="111"/>
      <c r="DI145" s="111"/>
      <c r="DJ145" s="111"/>
      <c r="DK145" s="111"/>
      <c r="DL145" s="111"/>
      <c r="DM145" s="111"/>
      <c r="DN145" s="111"/>
      <c r="DO145" s="111"/>
      <c r="DP145" s="111"/>
      <c r="DQ145" s="111"/>
      <c r="DR145" s="111"/>
      <c r="DS145" s="111"/>
      <c r="DT145" s="111"/>
      <c r="DU145" s="111"/>
      <c r="DV145" s="111"/>
      <c r="DW145" s="111"/>
      <c r="DX145" s="111"/>
    </row>
    <row r="146" spans="1:128" s="3" customFormat="1" ht="12.75" customHeight="1" x14ac:dyDescent="0.3">
      <c r="A146" s="13"/>
      <c r="F146" s="66"/>
      <c r="G146" s="66"/>
      <c r="H146" s="111"/>
      <c r="I146" s="111"/>
      <c r="J146" s="111"/>
      <c r="K146" s="111"/>
      <c r="L146" s="111"/>
      <c r="M146" s="111"/>
      <c r="N146" s="111"/>
      <c r="O146" s="111"/>
      <c r="P146" s="111"/>
      <c r="Q146" s="111"/>
      <c r="R146" s="111"/>
      <c r="S146" s="111"/>
      <c r="T146" s="111"/>
      <c r="U146" s="111"/>
      <c r="V146" s="111"/>
      <c r="W146" s="111"/>
      <c r="X146" s="111"/>
      <c r="Y146" s="111"/>
      <c r="Z146" s="111"/>
      <c r="AA146" s="111"/>
      <c r="AB146" s="111"/>
      <c r="AC146" s="111"/>
      <c r="AD146" s="111"/>
      <c r="AE146" s="111"/>
      <c r="AF146" s="111"/>
      <c r="AG146" s="111"/>
      <c r="AH146" s="111"/>
      <c r="AI146" s="111"/>
      <c r="AJ146" s="111"/>
      <c r="AK146" s="111"/>
      <c r="AL146" s="111"/>
      <c r="AM146" s="111"/>
      <c r="AN146" s="111"/>
      <c r="AO146" s="111"/>
      <c r="AP146" s="111"/>
      <c r="AQ146" s="111"/>
      <c r="AR146" s="111"/>
      <c r="AS146" s="111"/>
      <c r="AT146" s="111"/>
      <c r="AU146" s="111"/>
      <c r="AV146" s="111"/>
      <c r="AW146" s="111"/>
      <c r="AX146" s="111"/>
      <c r="AY146" s="111"/>
      <c r="AZ146" s="111"/>
      <c r="BA146" s="111"/>
      <c r="BB146" s="111"/>
      <c r="BC146" s="111"/>
      <c r="BD146" s="111"/>
      <c r="BE146" s="111"/>
      <c r="BF146" s="111"/>
      <c r="BG146" s="111"/>
      <c r="BH146" s="111"/>
      <c r="BI146" s="111"/>
      <c r="BJ146" s="111"/>
      <c r="BK146" s="111"/>
      <c r="BL146" s="111"/>
      <c r="BM146" s="111"/>
      <c r="BN146" s="111"/>
      <c r="BO146" s="111"/>
      <c r="BP146" s="111"/>
      <c r="BQ146" s="111"/>
      <c r="BR146" s="111"/>
      <c r="BS146" s="111"/>
      <c r="BT146" s="111"/>
      <c r="BU146" s="111"/>
      <c r="BV146" s="111"/>
      <c r="BW146" s="111"/>
      <c r="BX146" s="111"/>
      <c r="BY146" s="111"/>
      <c r="BZ146" s="111"/>
      <c r="CA146" s="111"/>
      <c r="CB146" s="111"/>
      <c r="CC146" s="111"/>
      <c r="CD146" s="111"/>
      <c r="CE146" s="111"/>
      <c r="CF146" s="111"/>
      <c r="CG146" s="111"/>
      <c r="CH146" s="111"/>
      <c r="CI146" s="111"/>
      <c r="CJ146" s="111"/>
      <c r="CK146" s="111"/>
      <c r="CL146" s="111"/>
      <c r="CM146" s="111"/>
      <c r="CN146" s="111"/>
      <c r="CO146" s="111"/>
      <c r="CP146" s="111"/>
      <c r="CQ146" s="111"/>
      <c r="CR146" s="111"/>
      <c r="CS146" s="111"/>
      <c r="CT146" s="111"/>
      <c r="CU146" s="111"/>
      <c r="CV146" s="111"/>
      <c r="CW146" s="111"/>
      <c r="CX146" s="111"/>
      <c r="CY146" s="111"/>
      <c r="CZ146" s="111"/>
      <c r="DA146" s="111"/>
      <c r="DB146" s="111"/>
      <c r="DC146" s="111"/>
      <c r="DD146" s="111"/>
      <c r="DE146" s="111"/>
      <c r="DF146" s="111"/>
      <c r="DG146" s="111"/>
      <c r="DH146" s="111"/>
      <c r="DI146" s="111"/>
      <c r="DJ146" s="111"/>
      <c r="DK146" s="111"/>
      <c r="DL146" s="111"/>
      <c r="DM146" s="111"/>
      <c r="DN146" s="111"/>
      <c r="DO146" s="111"/>
      <c r="DP146" s="111"/>
      <c r="DQ146" s="111"/>
      <c r="DR146" s="111"/>
      <c r="DS146" s="111"/>
      <c r="DT146" s="111"/>
      <c r="DU146" s="111"/>
      <c r="DV146" s="111"/>
      <c r="DW146" s="111"/>
      <c r="DX146" s="111"/>
    </row>
    <row r="147" spans="1:128" s="3" customFormat="1" ht="12.75" customHeight="1" x14ac:dyDescent="0.3">
      <c r="A147" s="85"/>
      <c r="F147" s="66"/>
      <c r="G147" s="66"/>
      <c r="H147" s="111"/>
      <c r="I147" s="111"/>
      <c r="J147" s="111"/>
      <c r="K147" s="111"/>
      <c r="L147" s="111"/>
      <c r="M147" s="111"/>
      <c r="N147" s="111"/>
      <c r="O147" s="111"/>
      <c r="P147" s="111"/>
      <c r="Q147" s="111"/>
      <c r="R147" s="111"/>
      <c r="S147" s="111"/>
      <c r="T147" s="111"/>
      <c r="U147" s="111"/>
      <c r="V147" s="111"/>
      <c r="W147" s="111"/>
      <c r="X147" s="111"/>
      <c r="Y147" s="111"/>
      <c r="Z147" s="111"/>
      <c r="AA147" s="111"/>
      <c r="AB147" s="111"/>
      <c r="AC147" s="111"/>
      <c r="AD147" s="111"/>
      <c r="AE147" s="111"/>
      <c r="AF147" s="111"/>
      <c r="AG147" s="111"/>
      <c r="AH147" s="111"/>
      <c r="AI147" s="111"/>
      <c r="AJ147" s="111"/>
      <c r="AK147" s="111"/>
      <c r="AL147" s="111"/>
      <c r="AM147" s="111"/>
      <c r="AN147" s="111"/>
      <c r="AO147" s="111"/>
      <c r="AP147" s="111"/>
      <c r="AQ147" s="111"/>
      <c r="AR147" s="111"/>
      <c r="AS147" s="111"/>
      <c r="AT147" s="111"/>
      <c r="AU147" s="111"/>
      <c r="AV147" s="111"/>
      <c r="AW147" s="111"/>
      <c r="AX147" s="111"/>
      <c r="AY147" s="111"/>
      <c r="AZ147" s="111"/>
      <c r="BA147" s="111"/>
      <c r="BB147" s="111"/>
      <c r="BC147" s="111"/>
      <c r="BD147" s="111"/>
      <c r="BE147" s="111"/>
      <c r="BF147" s="111"/>
      <c r="BG147" s="111"/>
      <c r="BH147" s="111"/>
      <c r="BI147" s="111"/>
      <c r="BJ147" s="111"/>
      <c r="BK147" s="111"/>
      <c r="BL147" s="111"/>
      <c r="BM147" s="111"/>
      <c r="BN147" s="111"/>
      <c r="BO147" s="111"/>
      <c r="BP147" s="111"/>
      <c r="BQ147" s="111"/>
      <c r="BR147" s="111"/>
      <c r="BS147" s="111"/>
      <c r="BT147" s="111"/>
      <c r="BU147" s="111"/>
      <c r="BV147" s="111"/>
      <c r="BW147" s="111"/>
      <c r="BX147" s="111"/>
      <c r="BY147" s="111"/>
      <c r="BZ147" s="111"/>
      <c r="CA147" s="111"/>
      <c r="CB147" s="111"/>
      <c r="CC147" s="111"/>
      <c r="CD147" s="111"/>
      <c r="CE147" s="111"/>
      <c r="CF147" s="111"/>
      <c r="CG147" s="111"/>
      <c r="CH147" s="111"/>
      <c r="CI147" s="111"/>
      <c r="CJ147" s="111"/>
      <c r="CK147" s="111"/>
      <c r="CL147" s="111"/>
      <c r="CM147" s="111"/>
      <c r="CN147" s="111"/>
      <c r="CO147" s="111"/>
      <c r="CP147" s="111"/>
      <c r="CQ147" s="111"/>
      <c r="CR147" s="111"/>
      <c r="CS147" s="111"/>
      <c r="CT147" s="111"/>
      <c r="CU147" s="111"/>
      <c r="CV147" s="111"/>
      <c r="CW147" s="111"/>
      <c r="CX147" s="111"/>
      <c r="CY147" s="111"/>
      <c r="CZ147" s="111"/>
      <c r="DA147" s="111"/>
      <c r="DB147" s="111"/>
      <c r="DC147" s="111"/>
      <c r="DD147" s="111"/>
      <c r="DE147" s="111"/>
      <c r="DF147" s="111"/>
      <c r="DG147" s="111"/>
      <c r="DH147" s="111"/>
      <c r="DI147" s="111"/>
      <c r="DJ147" s="111"/>
      <c r="DK147" s="111"/>
      <c r="DL147" s="111"/>
      <c r="DM147" s="111"/>
      <c r="DN147" s="111"/>
      <c r="DO147" s="111"/>
      <c r="DP147" s="111"/>
      <c r="DQ147" s="111"/>
      <c r="DR147" s="111"/>
      <c r="DS147" s="111"/>
      <c r="DT147" s="111"/>
      <c r="DU147" s="111"/>
      <c r="DV147" s="111"/>
      <c r="DW147" s="111"/>
      <c r="DX147" s="111"/>
    </row>
    <row r="148" spans="1:128" s="3" customFormat="1" ht="12.75" customHeight="1" x14ac:dyDescent="0.3">
      <c r="A148" s="85"/>
      <c r="F148" s="66"/>
      <c r="G148" s="66"/>
      <c r="H148" s="111"/>
      <c r="I148" s="111"/>
      <c r="J148" s="111"/>
      <c r="K148" s="111"/>
      <c r="L148" s="111"/>
      <c r="M148" s="111"/>
      <c r="N148" s="111"/>
      <c r="O148" s="111"/>
      <c r="P148" s="111"/>
      <c r="Q148" s="111"/>
      <c r="R148" s="111"/>
      <c r="S148" s="111"/>
      <c r="T148" s="111"/>
      <c r="U148" s="111"/>
      <c r="V148" s="111"/>
      <c r="W148" s="111"/>
      <c r="X148" s="111"/>
      <c r="Y148" s="111"/>
      <c r="Z148" s="111"/>
      <c r="AA148" s="111"/>
      <c r="AB148" s="111"/>
      <c r="AC148" s="111"/>
      <c r="AD148" s="111"/>
      <c r="AE148" s="111"/>
      <c r="AF148" s="111"/>
      <c r="AG148" s="111"/>
      <c r="AH148" s="111"/>
      <c r="AI148" s="111"/>
      <c r="AJ148" s="111"/>
      <c r="AK148" s="111"/>
      <c r="AL148" s="111"/>
      <c r="AM148" s="111"/>
      <c r="AN148" s="111"/>
      <c r="AO148" s="111"/>
      <c r="AP148" s="111"/>
      <c r="AQ148" s="111"/>
      <c r="AR148" s="111"/>
      <c r="AS148" s="111"/>
      <c r="AT148" s="111"/>
      <c r="AU148" s="111"/>
      <c r="AV148" s="111"/>
      <c r="AW148" s="111"/>
      <c r="AX148" s="111"/>
      <c r="AY148" s="111"/>
      <c r="AZ148" s="111"/>
      <c r="BA148" s="111"/>
      <c r="BB148" s="111"/>
      <c r="BC148" s="111"/>
      <c r="BD148" s="111"/>
      <c r="BE148" s="111"/>
      <c r="BF148" s="111"/>
      <c r="BG148" s="111"/>
      <c r="BH148" s="111"/>
      <c r="BI148" s="111"/>
      <c r="BJ148" s="111"/>
      <c r="BK148" s="111"/>
      <c r="BL148" s="111"/>
      <c r="BM148" s="111"/>
      <c r="BN148" s="111"/>
      <c r="BO148" s="111"/>
      <c r="BP148" s="111"/>
      <c r="BQ148" s="111"/>
      <c r="BR148" s="111"/>
      <c r="BS148" s="111"/>
      <c r="BT148" s="111"/>
      <c r="BU148" s="111"/>
      <c r="BV148" s="111"/>
      <c r="BW148" s="111"/>
      <c r="BX148" s="111"/>
      <c r="BY148" s="111"/>
      <c r="BZ148" s="111"/>
      <c r="CA148" s="111"/>
      <c r="CB148" s="111"/>
      <c r="CC148" s="111"/>
      <c r="CD148" s="111"/>
      <c r="CE148" s="111"/>
      <c r="CF148" s="111"/>
      <c r="CG148" s="111"/>
      <c r="CH148" s="111"/>
      <c r="CI148" s="111"/>
      <c r="CJ148" s="111"/>
      <c r="CK148" s="111"/>
      <c r="CL148" s="111"/>
      <c r="CM148" s="111"/>
      <c r="CN148" s="111"/>
      <c r="CO148" s="111"/>
      <c r="CP148" s="111"/>
      <c r="CQ148" s="111"/>
      <c r="CR148" s="111"/>
      <c r="CS148" s="111"/>
      <c r="CT148" s="111"/>
      <c r="CU148" s="111"/>
      <c r="CV148" s="111"/>
      <c r="CW148" s="111"/>
      <c r="CX148" s="111"/>
      <c r="CY148" s="111"/>
      <c r="CZ148" s="111"/>
      <c r="DA148" s="111"/>
      <c r="DB148" s="111"/>
      <c r="DC148" s="111"/>
      <c r="DD148" s="111"/>
      <c r="DE148" s="111"/>
      <c r="DF148" s="111"/>
      <c r="DG148" s="111"/>
      <c r="DH148" s="111"/>
      <c r="DI148" s="111"/>
      <c r="DJ148" s="111"/>
      <c r="DK148" s="111"/>
      <c r="DL148" s="111"/>
      <c r="DM148" s="111"/>
      <c r="DN148" s="111"/>
      <c r="DO148" s="111"/>
      <c r="DP148" s="111"/>
      <c r="DQ148" s="111"/>
      <c r="DR148" s="111"/>
      <c r="DS148" s="111"/>
      <c r="DT148" s="111"/>
      <c r="DU148" s="111"/>
      <c r="DV148" s="111"/>
      <c r="DW148" s="111"/>
      <c r="DX148" s="111"/>
    </row>
    <row r="149" spans="1:128" s="3" customFormat="1" ht="12.75" customHeight="1" x14ac:dyDescent="0.3">
      <c r="A149" s="85"/>
      <c r="F149" s="66"/>
      <c r="G149" s="66"/>
      <c r="H149" s="111"/>
      <c r="I149" s="111"/>
      <c r="J149" s="111"/>
      <c r="K149" s="111"/>
      <c r="L149" s="111"/>
      <c r="M149" s="111"/>
      <c r="N149" s="111"/>
      <c r="O149" s="111"/>
      <c r="P149" s="111"/>
      <c r="Q149" s="111"/>
      <c r="R149" s="111"/>
      <c r="S149" s="111"/>
      <c r="T149" s="111"/>
      <c r="U149" s="111"/>
      <c r="V149" s="111"/>
      <c r="W149" s="111"/>
      <c r="X149" s="111"/>
      <c r="Y149" s="111"/>
      <c r="Z149" s="111"/>
      <c r="AA149" s="111"/>
      <c r="AB149" s="111"/>
      <c r="AC149" s="111"/>
      <c r="AD149" s="111"/>
      <c r="AE149" s="111"/>
      <c r="AF149" s="111"/>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11"/>
      <c r="BJ149" s="111"/>
      <c r="BK149" s="111"/>
      <c r="BL149" s="111"/>
      <c r="BM149" s="111"/>
      <c r="BN149" s="111"/>
      <c r="BO149" s="111"/>
      <c r="BP149" s="111"/>
      <c r="BQ149" s="111"/>
      <c r="BR149" s="111"/>
      <c r="BS149" s="111"/>
      <c r="BT149" s="111"/>
      <c r="BU149" s="111"/>
      <c r="BV149" s="111"/>
      <c r="BW149" s="111"/>
      <c r="BX149" s="111"/>
      <c r="BY149" s="111"/>
      <c r="BZ149" s="111"/>
      <c r="CA149" s="111"/>
      <c r="CB149" s="111"/>
      <c r="CC149" s="111"/>
      <c r="CD149" s="111"/>
      <c r="CE149" s="111"/>
      <c r="CF149" s="111"/>
      <c r="CG149" s="111"/>
      <c r="CH149" s="111"/>
      <c r="CI149" s="111"/>
      <c r="CJ149" s="111"/>
      <c r="CK149" s="111"/>
      <c r="CL149" s="111"/>
      <c r="CM149" s="111"/>
      <c r="CN149" s="111"/>
      <c r="CO149" s="111"/>
      <c r="CP149" s="111"/>
      <c r="CQ149" s="111"/>
      <c r="CR149" s="111"/>
      <c r="CS149" s="111"/>
      <c r="CT149" s="111"/>
      <c r="CU149" s="111"/>
      <c r="CV149" s="111"/>
      <c r="CW149" s="111"/>
      <c r="CX149" s="111"/>
      <c r="CY149" s="111"/>
      <c r="CZ149" s="111"/>
      <c r="DA149" s="111"/>
      <c r="DB149" s="111"/>
      <c r="DC149" s="111"/>
      <c r="DD149" s="111"/>
      <c r="DE149" s="111"/>
      <c r="DF149" s="111"/>
      <c r="DG149" s="111"/>
      <c r="DH149" s="111"/>
      <c r="DI149" s="111"/>
      <c r="DJ149" s="111"/>
      <c r="DK149" s="111"/>
      <c r="DL149" s="111"/>
      <c r="DM149" s="111"/>
      <c r="DN149" s="111"/>
      <c r="DO149" s="111"/>
      <c r="DP149" s="111"/>
      <c r="DQ149" s="111"/>
      <c r="DR149" s="111"/>
      <c r="DS149" s="111"/>
      <c r="DT149" s="111"/>
      <c r="DU149" s="111"/>
      <c r="DV149" s="111"/>
      <c r="DW149" s="111"/>
      <c r="DX149" s="111"/>
    </row>
    <row r="150" spans="1:128" s="3" customFormat="1" ht="12.75" customHeight="1" x14ac:dyDescent="0.3">
      <c r="A150" s="85"/>
      <c r="F150" s="66"/>
      <c r="G150" s="66"/>
      <c r="H150" s="111"/>
      <c r="I150" s="111"/>
      <c r="J150" s="111"/>
      <c r="K150" s="111"/>
      <c r="L150" s="111"/>
      <c r="M150" s="111"/>
      <c r="N150" s="111"/>
      <c r="O150" s="111"/>
      <c r="P150" s="111"/>
      <c r="Q150" s="111"/>
      <c r="R150" s="111"/>
      <c r="S150" s="111"/>
      <c r="T150" s="111"/>
      <c r="U150" s="111"/>
      <c r="V150" s="111"/>
      <c r="W150" s="111"/>
      <c r="X150" s="111"/>
      <c r="Y150" s="111"/>
      <c r="Z150" s="111"/>
      <c r="AA150" s="111"/>
      <c r="AB150" s="111"/>
      <c r="AC150" s="111"/>
      <c r="AD150" s="111"/>
      <c r="AE150" s="111"/>
      <c r="AF150" s="111"/>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1"/>
      <c r="BN150" s="111"/>
      <c r="BO150" s="111"/>
      <c r="BP150" s="111"/>
      <c r="BQ150" s="111"/>
      <c r="BR150" s="111"/>
      <c r="BS150" s="111"/>
      <c r="BT150" s="111"/>
      <c r="BU150" s="111"/>
      <c r="BV150" s="111"/>
      <c r="BW150" s="111"/>
      <c r="BX150" s="111"/>
      <c r="BY150" s="111"/>
      <c r="BZ150" s="111"/>
      <c r="CA150" s="111"/>
      <c r="CB150" s="111"/>
      <c r="CC150" s="111"/>
      <c r="CD150" s="111"/>
      <c r="CE150" s="111"/>
      <c r="CF150" s="111"/>
      <c r="CG150" s="111"/>
      <c r="CH150" s="111"/>
      <c r="CI150" s="111"/>
      <c r="CJ150" s="111"/>
      <c r="CK150" s="111"/>
      <c r="CL150" s="111"/>
      <c r="CM150" s="111"/>
      <c r="CN150" s="111"/>
      <c r="CO150" s="111"/>
      <c r="CP150" s="111"/>
      <c r="CQ150" s="111"/>
      <c r="CR150" s="111"/>
      <c r="CS150" s="111"/>
      <c r="CT150" s="111"/>
      <c r="CU150" s="111"/>
      <c r="CV150" s="111"/>
      <c r="CW150" s="111"/>
      <c r="CX150" s="111"/>
      <c r="CY150" s="111"/>
      <c r="CZ150" s="111"/>
      <c r="DA150" s="111"/>
      <c r="DB150" s="111"/>
      <c r="DC150" s="111"/>
      <c r="DD150" s="111"/>
      <c r="DE150" s="111"/>
      <c r="DF150" s="111"/>
      <c r="DG150" s="111"/>
      <c r="DH150" s="111"/>
      <c r="DI150" s="111"/>
      <c r="DJ150" s="111"/>
      <c r="DK150" s="111"/>
      <c r="DL150" s="111"/>
      <c r="DM150" s="111"/>
      <c r="DN150" s="111"/>
      <c r="DO150" s="111"/>
      <c r="DP150" s="111"/>
      <c r="DQ150" s="111"/>
      <c r="DR150" s="111"/>
      <c r="DS150" s="111"/>
      <c r="DT150" s="111"/>
      <c r="DU150" s="111"/>
      <c r="DV150" s="111"/>
      <c r="DW150" s="111"/>
      <c r="DX150" s="111"/>
    </row>
    <row r="151" spans="1:128" s="3" customFormat="1" ht="12.75" customHeight="1" x14ac:dyDescent="0.3">
      <c r="A151" s="85"/>
      <c r="F151" s="66"/>
      <c r="G151" s="66"/>
      <c r="H151" s="111"/>
      <c r="I151" s="111"/>
      <c r="J151" s="111"/>
      <c r="K151" s="111"/>
      <c r="L151" s="111"/>
      <c r="M151" s="111"/>
      <c r="N151" s="111"/>
      <c r="O151" s="111"/>
      <c r="P151" s="111"/>
      <c r="Q151" s="111"/>
      <c r="R151" s="111"/>
      <c r="S151" s="111"/>
      <c r="T151" s="111"/>
      <c r="U151" s="111"/>
      <c r="V151" s="111"/>
      <c r="W151" s="111"/>
      <c r="X151" s="111"/>
      <c r="Y151" s="111"/>
      <c r="Z151" s="111"/>
      <c r="AA151" s="111"/>
      <c r="AB151" s="111"/>
      <c r="AC151" s="111"/>
      <c r="AD151" s="111"/>
      <c r="AE151" s="111"/>
      <c r="AF151" s="111"/>
      <c r="AG151" s="111"/>
      <c r="AH151" s="111"/>
      <c r="AI151" s="111"/>
      <c r="AJ151" s="111"/>
      <c r="AK151" s="111"/>
      <c r="AL151" s="111"/>
      <c r="AM151" s="111"/>
      <c r="AN151" s="111"/>
      <c r="AO151" s="111"/>
      <c r="AP151" s="111"/>
      <c r="AQ151" s="111"/>
      <c r="AR151" s="111"/>
      <c r="AS151" s="111"/>
      <c r="AT151" s="111"/>
      <c r="AU151" s="111"/>
      <c r="AV151" s="111"/>
      <c r="AW151" s="111"/>
      <c r="AX151" s="111"/>
      <c r="AY151" s="111"/>
      <c r="AZ151" s="111"/>
      <c r="BA151" s="111"/>
      <c r="BB151" s="111"/>
      <c r="BC151" s="111"/>
      <c r="BD151" s="111"/>
      <c r="BE151" s="111"/>
      <c r="BF151" s="111"/>
      <c r="BG151" s="111"/>
      <c r="BH151" s="111"/>
      <c r="BI151" s="111"/>
      <c r="BJ151" s="111"/>
      <c r="BK151" s="111"/>
      <c r="BL151" s="111"/>
      <c r="BM151" s="111"/>
      <c r="BN151" s="111"/>
      <c r="BO151" s="111"/>
      <c r="BP151" s="111"/>
      <c r="BQ151" s="111"/>
      <c r="BR151" s="111"/>
      <c r="BS151" s="111"/>
      <c r="BT151" s="111"/>
      <c r="BU151" s="111"/>
      <c r="BV151" s="111"/>
      <c r="BW151" s="111"/>
      <c r="BX151" s="111"/>
      <c r="BY151" s="111"/>
      <c r="BZ151" s="111"/>
      <c r="CA151" s="111"/>
      <c r="CB151" s="111"/>
      <c r="CC151" s="111"/>
      <c r="CD151" s="111"/>
      <c r="CE151" s="111"/>
      <c r="CF151" s="111"/>
      <c r="CG151" s="111"/>
      <c r="CH151" s="111"/>
      <c r="CI151" s="111"/>
      <c r="CJ151" s="111"/>
      <c r="CK151" s="111"/>
      <c r="CL151" s="111"/>
      <c r="CM151" s="111"/>
      <c r="CN151" s="111"/>
      <c r="CO151" s="111"/>
      <c r="CP151" s="111"/>
      <c r="CQ151" s="111"/>
      <c r="CR151" s="111"/>
      <c r="CS151" s="111"/>
      <c r="CT151" s="111"/>
      <c r="CU151" s="111"/>
      <c r="CV151" s="111"/>
      <c r="CW151" s="111"/>
      <c r="CX151" s="111"/>
      <c r="CY151" s="111"/>
      <c r="CZ151" s="111"/>
      <c r="DA151" s="111"/>
      <c r="DB151" s="111"/>
      <c r="DC151" s="111"/>
      <c r="DD151" s="111"/>
      <c r="DE151" s="111"/>
      <c r="DF151" s="111"/>
      <c r="DG151" s="111"/>
      <c r="DH151" s="111"/>
      <c r="DI151" s="111"/>
      <c r="DJ151" s="111"/>
      <c r="DK151" s="111"/>
      <c r="DL151" s="111"/>
      <c r="DM151" s="111"/>
      <c r="DN151" s="111"/>
      <c r="DO151" s="111"/>
      <c r="DP151" s="111"/>
      <c r="DQ151" s="111"/>
      <c r="DR151" s="111"/>
      <c r="DS151" s="111"/>
      <c r="DT151" s="111"/>
      <c r="DU151" s="111"/>
      <c r="DV151" s="111"/>
      <c r="DW151" s="111"/>
      <c r="DX151" s="111"/>
    </row>
    <row r="152" spans="1:128" s="3" customFormat="1" ht="12.75" customHeight="1" x14ac:dyDescent="0.3">
      <c r="A152" s="85"/>
      <c r="F152" s="66"/>
      <c r="G152" s="66"/>
      <c r="H152" s="111"/>
      <c r="I152" s="111"/>
      <c r="J152" s="111"/>
      <c r="K152" s="111"/>
      <c r="L152" s="111"/>
      <c r="M152" s="111"/>
      <c r="N152" s="111"/>
      <c r="O152" s="111"/>
      <c r="P152" s="111"/>
      <c r="Q152" s="111"/>
      <c r="R152" s="111"/>
      <c r="S152" s="111"/>
      <c r="T152" s="111"/>
      <c r="U152" s="111"/>
      <c r="V152" s="111"/>
      <c r="W152" s="111"/>
      <c r="X152" s="111"/>
      <c r="Y152" s="111"/>
      <c r="Z152" s="111"/>
      <c r="AA152" s="111"/>
      <c r="AB152" s="111"/>
      <c r="AC152" s="111"/>
      <c r="AD152" s="111"/>
      <c r="AE152" s="111"/>
      <c r="AF152" s="111"/>
      <c r="AG152" s="111"/>
      <c r="AH152" s="111"/>
      <c r="AI152" s="111"/>
      <c r="AJ152" s="111"/>
      <c r="AK152" s="111"/>
      <c r="AL152" s="111"/>
      <c r="AM152" s="111"/>
      <c r="AN152" s="111"/>
      <c r="AO152" s="111"/>
      <c r="AP152" s="111"/>
      <c r="AQ152" s="111"/>
      <c r="AR152" s="111"/>
      <c r="AS152" s="111"/>
      <c r="AT152" s="111"/>
      <c r="AU152" s="111"/>
      <c r="AV152" s="111"/>
      <c r="AW152" s="111"/>
      <c r="AX152" s="111"/>
      <c r="AY152" s="111"/>
      <c r="AZ152" s="111"/>
      <c r="BA152" s="111"/>
      <c r="BB152" s="111"/>
      <c r="BC152" s="111"/>
      <c r="BD152" s="111"/>
      <c r="BE152" s="111"/>
      <c r="BF152" s="111"/>
      <c r="BG152" s="111"/>
      <c r="BH152" s="111"/>
      <c r="BI152" s="111"/>
      <c r="BJ152" s="111"/>
      <c r="BK152" s="111"/>
      <c r="BL152" s="111"/>
      <c r="BM152" s="111"/>
      <c r="BN152" s="111"/>
      <c r="BO152" s="111"/>
      <c r="BP152" s="111"/>
      <c r="BQ152" s="111"/>
      <c r="BR152" s="111"/>
      <c r="BS152" s="111"/>
      <c r="BT152" s="111"/>
      <c r="BU152" s="111"/>
      <c r="BV152" s="111"/>
      <c r="BW152" s="111"/>
      <c r="BX152" s="111"/>
      <c r="BY152" s="111"/>
      <c r="BZ152" s="111"/>
      <c r="CA152" s="111"/>
      <c r="CB152" s="111"/>
      <c r="CC152" s="111"/>
      <c r="CD152" s="111"/>
      <c r="CE152" s="111"/>
      <c r="CF152" s="111"/>
      <c r="CG152" s="111"/>
      <c r="CH152" s="111"/>
      <c r="CI152" s="111"/>
      <c r="CJ152" s="111"/>
      <c r="CK152" s="111"/>
      <c r="CL152" s="111"/>
      <c r="CM152" s="111"/>
      <c r="CN152" s="111"/>
      <c r="CO152" s="111"/>
      <c r="CP152" s="111"/>
      <c r="CQ152" s="111"/>
      <c r="CR152" s="111"/>
      <c r="CS152" s="111"/>
      <c r="CT152" s="111"/>
      <c r="CU152" s="111"/>
      <c r="CV152" s="111"/>
      <c r="CW152" s="111"/>
      <c r="CX152" s="111"/>
      <c r="CY152" s="111"/>
      <c r="CZ152" s="111"/>
      <c r="DA152" s="111"/>
      <c r="DB152" s="111"/>
      <c r="DC152" s="111"/>
      <c r="DD152" s="111"/>
      <c r="DE152" s="111"/>
      <c r="DF152" s="111"/>
      <c r="DG152" s="111"/>
      <c r="DH152" s="111"/>
      <c r="DI152" s="111"/>
      <c r="DJ152" s="111"/>
      <c r="DK152" s="111"/>
      <c r="DL152" s="111"/>
      <c r="DM152" s="111"/>
      <c r="DN152" s="111"/>
      <c r="DO152" s="111"/>
      <c r="DP152" s="111"/>
      <c r="DQ152" s="111"/>
      <c r="DR152" s="111"/>
      <c r="DS152" s="111"/>
      <c r="DT152" s="111"/>
      <c r="DU152" s="111"/>
      <c r="DV152" s="111"/>
      <c r="DW152" s="111"/>
      <c r="DX152" s="111"/>
    </row>
    <row r="153" spans="1:128" s="3" customFormat="1" ht="12.75" customHeight="1" x14ac:dyDescent="0.3">
      <c r="A153" s="85"/>
      <c r="F153" s="66"/>
      <c r="G153" s="66"/>
      <c r="H153" s="111"/>
      <c r="I153" s="111"/>
      <c r="J153" s="111"/>
      <c r="K153" s="111"/>
      <c r="L153" s="111"/>
      <c r="M153" s="111"/>
      <c r="N153" s="111"/>
      <c r="O153" s="111"/>
      <c r="P153" s="111"/>
      <c r="Q153" s="111"/>
      <c r="R153" s="111"/>
      <c r="S153" s="111"/>
      <c r="T153" s="111"/>
      <c r="U153" s="111"/>
      <c r="V153" s="111"/>
      <c r="W153" s="111"/>
      <c r="X153" s="111"/>
      <c r="Y153" s="111"/>
      <c r="Z153" s="111"/>
      <c r="AA153" s="111"/>
      <c r="AB153" s="111"/>
      <c r="AC153" s="111"/>
      <c r="AD153" s="111"/>
      <c r="AE153" s="111"/>
      <c r="AF153" s="111"/>
      <c r="AG153" s="111"/>
      <c r="AH153" s="111"/>
      <c r="AI153" s="111"/>
      <c r="AJ153" s="111"/>
      <c r="AK153" s="111"/>
      <c r="AL153" s="111"/>
      <c r="AM153" s="111"/>
      <c r="AN153" s="111"/>
      <c r="AO153" s="111"/>
      <c r="AP153" s="111"/>
      <c r="AQ153" s="111"/>
      <c r="AR153" s="111"/>
      <c r="AS153" s="111"/>
      <c r="AT153" s="111"/>
      <c r="AU153" s="111"/>
      <c r="AV153" s="111"/>
      <c r="AW153" s="111"/>
      <c r="AX153" s="111"/>
      <c r="AY153" s="111"/>
      <c r="AZ153" s="111"/>
      <c r="BA153" s="111"/>
      <c r="BB153" s="111"/>
      <c r="BC153" s="111"/>
      <c r="BD153" s="111"/>
      <c r="BE153" s="111"/>
      <c r="BF153" s="111"/>
      <c r="BG153" s="111"/>
      <c r="BH153" s="111"/>
      <c r="BI153" s="111"/>
      <c r="BJ153" s="111"/>
      <c r="BK153" s="111"/>
      <c r="BL153" s="111"/>
      <c r="BM153" s="111"/>
      <c r="BN153" s="111"/>
      <c r="BO153" s="111"/>
      <c r="BP153" s="111"/>
      <c r="BQ153" s="111"/>
      <c r="BR153" s="111"/>
      <c r="BS153" s="111"/>
      <c r="BT153" s="111"/>
      <c r="BU153" s="111"/>
      <c r="BV153" s="111"/>
      <c r="BW153" s="111"/>
      <c r="BX153" s="111"/>
      <c r="BY153" s="111"/>
      <c r="BZ153" s="111"/>
      <c r="CA153" s="111"/>
      <c r="CB153" s="111"/>
      <c r="CC153" s="111"/>
      <c r="CD153" s="111"/>
      <c r="CE153" s="111"/>
      <c r="CF153" s="111"/>
      <c r="CG153" s="111"/>
      <c r="CH153" s="111"/>
      <c r="CI153" s="111"/>
      <c r="CJ153" s="111"/>
      <c r="CK153" s="111"/>
      <c r="CL153" s="111"/>
      <c r="CM153" s="111"/>
      <c r="CN153" s="111"/>
      <c r="CO153" s="111"/>
      <c r="CP153" s="111"/>
      <c r="CQ153" s="111"/>
      <c r="CR153" s="111"/>
      <c r="CS153" s="111"/>
      <c r="CT153" s="111"/>
      <c r="CU153" s="111"/>
      <c r="CV153" s="111"/>
      <c r="CW153" s="111"/>
      <c r="CX153" s="111"/>
      <c r="CY153" s="111"/>
      <c r="CZ153" s="111"/>
      <c r="DA153" s="111"/>
      <c r="DB153" s="111"/>
      <c r="DC153" s="111"/>
      <c r="DD153" s="111"/>
      <c r="DE153" s="111"/>
      <c r="DF153" s="111"/>
      <c r="DG153" s="111"/>
      <c r="DH153" s="111"/>
      <c r="DI153" s="111"/>
      <c r="DJ153" s="111"/>
      <c r="DK153" s="111"/>
      <c r="DL153" s="111"/>
      <c r="DM153" s="111"/>
      <c r="DN153" s="111"/>
      <c r="DO153" s="111"/>
      <c r="DP153" s="111"/>
      <c r="DQ153" s="111"/>
      <c r="DR153" s="111"/>
      <c r="DS153" s="111"/>
      <c r="DT153" s="111"/>
      <c r="DU153" s="111"/>
      <c r="DV153" s="111"/>
      <c r="DW153" s="111"/>
      <c r="DX153" s="111"/>
    </row>
    <row r="154" spans="1:128" s="3" customFormat="1" ht="12.75" customHeight="1" x14ac:dyDescent="0.3">
      <c r="A154" s="85"/>
      <c r="F154" s="66"/>
      <c r="G154" s="66"/>
      <c r="H154" s="111"/>
      <c r="I154" s="111"/>
      <c r="J154" s="111"/>
      <c r="K154" s="111"/>
      <c r="L154" s="111"/>
      <c r="M154" s="111"/>
      <c r="N154" s="111"/>
      <c r="O154" s="111"/>
      <c r="P154" s="111"/>
      <c r="Q154" s="111"/>
      <c r="R154" s="111"/>
      <c r="S154" s="111"/>
      <c r="T154" s="111"/>
      <c r="U154" s="111"/>
      <c r="V154" s="111"/>
      <c r="W154" s="111"/>
      <c r="X154" s="111"/>
      <c r="Y154" s="111"/>
      <c r="Z154" s="111"/>
      <c r="AA154" s="111"/>
      <c r="AB154" s="111"/>
      <c r="AC154" s="111"/>
      <c r="AD154" s="111"/>
      <c r="AE154" s="111"/>
      <c r="AF154" s="111"/>
      <c r="AG154" s="111"/>
      <c r="AH154" s="111"/>
      <c r="AI154" s="111"/>
      <c r="AJ154" s="111"/>
      <c r="AK154" s="111"/>
      <c r="AL154" s="111"/>
      <c r="AM154" s="111"/>
      <c r="AN154" s="111"/>
      <c r="AO154" s="111"/>
      <c r="AP154" s="111"/>
      <c r="AQ154" s="111"/>
      <c r="AR154" s="111"/>
      <c r="AS154" s="111"/>
      <c r="AT154" s="111"/>
      <c r="AU154" s="111"/>
      <c r="AV154" s="111"/>
      <c r="AW154" s="111"/>
      <c r="AX154" s="111"/>
      <c r="AY154" s="111"/>
      <c r="AZ154" s="111"/>
      <c r="BA154" s="111"/>
      <c r="BB154" s="111"/>
      <c r="BC154" s="111"/>
      <c r="BD154" s="111"/>
      <c r="BE154" s="111"/>
      <c r="BF154" s="111"/>
      <c r="BG154" s="111"/>
      <c r="BH154" s="111"/>
      <c r="BI154" s="111"/>
      <c r="BJ154" s="111"/>
      <c r="BK154" s="111"/>
      <c r="BL154" s="111"/>
      <c r="BM154" s="111"/>
      <c r="BN154" s="111"/>
      <c r="BO154" s="111"/>
      <c r="BP154" s="111"/>
      <c r="BQ154" s="111"/>
      <c r="BR154" s="111"/>
      <c r="BS154" s="111"/>
      <c r="BT154" s="111"/>
      <c r="BU154" s="111"/>
      <c r="BV154" s="111"/>
      <c r="BW154" s="111"/>
      <c r="BX154" s="111"/>
      <c r="BY154" s="111"/>
      <c r="BZ154" s="111"/>
      <c r="CA154" s="111"/>
      <c r="CB154" s="111"/>
      <c r="CC154" s="111"/>
      <c r="CD154" s="111"/>
      <c r="CE154" s="111"/>
      <c r="CF154" s="111"/>
      <c r="CG154" s="111"/>
      <c r="CH154" s="111"/>
      <c r="CI154" s="111"/>
      <c r="CJ154" s="111"/>
      <c r="CK154" s="111"/>
      <c r="CL154" s="111"/>
      <c r="CM154" s="111"/>
      <c r="CN154" s="111"/>
      <c r="CO154" s="111"/>
      <c r="CP154" s="111"/>
      <c r="CQ154" s="111"/>
      <c r="CR154" s="111"/>
      <c r="CS154" s="111"/>
      <c r="CT154" s="111"/>
      <c r="CU154" s="111"/>
      <c r="CV154" s="111"/>
      <c r="CW154" s="111"/>
      <c r="CX154" s="111"/>
      <c r="CY154" s="111"/>
      <c r="CZ154" s="111"/>
      <c r="DA154" s="111"/>
      <c r="DB154" s="111"/>
      <c r="DC154" s="111"/>
      <c r="DD154" s="111"/>
      <c r="DE154" s="111"/>
      <c r="DF154" s="111"/>
      <c r="DG154" s="111"/>
      <c r="DH154" s="111"/>
      <c r="DI154" s="111"/>
      <c r="DJ154" s="111"/>
      <c r="DK154" s="111"/>
      <c r="DL154" s="111"/>
      <c r="DM154" s="111"/>
      <c r="DN154" s="111"/>
      <c r="DO154" s="111"/>
      <c r="DP154" s="111"/>
      <c r="DQ154" s="111"/>
      <c r="DR154" s="111"/>
      <c r="DS154" s="111"/>
      <c r="DT154" s="111"/>
      <c r="DU154" s="111"/>
      <c r="DV154" s="111"/>
      <c r="DW154" s="111"/>
      <c r="DX154" s="111"/>
    </row>
    <row r="155" spans="1:128" s="3" customFormat="1" ht="12.75" customHeight="1" x14ac:dyDescent="0.3">
      <c r="A155" s="85"/>
      <c r="F155" s="66"/>
      <c r="G155" s="66"/>
      <c r="H155" s="111"/>
      <c r="I155" s="111"/>
      <c r="J155" s="111"/>
      <c r="K155" s="111"/>
      <c r="L155" s="111"/>
      <c r="M155" s="111"/>
      <c r="N155" s="111"/>
      <c r="O155" s="111"/>
      <c r="P155" s="111"/>
      <c r="Q155" s="111"/>
      <c r="R155" s="111"/>
      <c r="S155" s="111"/>
      <c r="T155" s="111"/>
      <c r="U155" s="111"/>
      <c r="V155" s="111"/>
      <c r="W155" s="111"/>
      <c r="X155" s="111"/>
      <c r="Y155" s="111"/>
      <c r="Z155" s="111"/>
      <c r="AA155" s="111"/>
      <c r="AB155" s="111"/>
      <c r="AC155" s="111"/>
      <c r="AD155" s="111"/>
      <c r="AE155" s="111"/>
      <c r="AF155" s="111"/>
      <c r="AG155" s="111"/>
      <c r="AH155" s="111"/>
      <c r="AI155" s="111"/>
      <c r="AJ155" s="111"/>
      <c r="AK155" s="111"/>
      <c r="AL155" s="111"/>
      <c r="AM155" s="111"/>
      <c r="AN155" s="111"/>
      <c r="AO155" s="111"/>
      <c r="AP155" s="111"/>
      <c r="AQ155" s="111"/>
      <c r="AR155" s="111"/>
      <c r="AS155" s="111"/>
      <c r="AT155" s="111"/>
      <c r="AU155" s="111"/>
      <c r="AV155" s="111"/>
      <c r="AW155" s="111"/>
      <c r="AX155" s="111"/>
      <c r="AY155" s="111"/>
      <c r="AZ155" s="111"/>
      <c r="BA155" s="111"/>
      <c r="BB155" s="111"/>
      <c r="BC155" s="111"/>
      <c r="BD155" s="111"/>
      <c r="BE155" s="111"/>
      <c r="BF155" s="111"/>
      <c r="BG155" s="111"/>
      <c r="BH155" s="111"/>
      <c r="BI155" s="111"/>
      <c r="BJ155" s="111"/>
      <c r="BK155" s="111"/>
      <c r="BL155" s="111"/>
      <c r="BM155" s="111"/>
      <c r="BN155" s="111"/>
      <c r="BO155" s="111"/>
      <c r="BP155" s="111"/>
      <c r="BQ155" s="111"/>
      <c r="BR155" s="111"/>
      <c r="BS155" s="111"/>
      <c r="BT155" s="111"/>
      <c r="BU155" s="111"/>
      <c r="BV155" s="111"/>
      <c r="BW155" s="111"/>
      <c r="BX155" s="111"/>
      <c r="BY155" s="111"/>
      <c r="BZ155" s="111"/>
      <c r="CA155" s="111"/>
      <c r="CB155" s="111"/>
      <c r="CC155" s="111"/>
      <c r="CD155" s="111"/>
      <c r="CE155" s="111"/>
      <c r="CF155" s="111"/>
      <c r="CG155" s="111"/>
      <c r="CH155" s="111"/>
      <c r="CI155" s="111"/>
      <c r="CJ155" s="111"/>
      <c r="CK155" s="111"/>
      <c r="CL155" s="111"/>
      <c r="CM155" s="111"/>
      <c r="CN155" s="111"/>
      <c r="CO155" s="111"/>
      <c r="CP155" s="111"/>
      <c r="CQ155" s="111"/>
      <c r="CR155" s="111"/>
      <c r="CS155" s="111"/>
      <c r="CT155" s="111"/>
      <c r="CU155" s="111"/>
      <c r="CV155" s="111"/>
      <c r="CW155" s="111"/>
      <c r="CX155" s="111"/>
      <c r="CY155" s="111"/>
      <c r="CZ155" s="111"/>
      <c r="DA155" s="111"/>
      <c r="DB155" s="111"/>
      <c r="DC155" s="111"/>
      <c r="DD155" s="111"/>
      <c r="DE155" s="111"/>
      <c r="DF155" s="111"/>
      <c r="DG155" s="111"/>
      <c r="DH155" s="111"/>
      <c r="DI155" s="111"/>
      <c r="DJ155" s="111"/>
      <c r="DK155" s="111"/>
      <c r="DL155" s="111"/>
      <c r="DM155" s="111"/>
      <c r="DN155" s="111"/>
      <c r="DO155" s="111"/>
      <c r="DP155" s="111"/>
      <c r="DQ155" s="111"/>
      <c r="DR155" s="111"/>
      <c r="DS155" s="111"/>
      <c r="DT155" s="111"/>
      <c r="DU155" s="111"/>
      <c r="DV155" s="111"/>
      <c r="DW155" s="111"/>
      <c r="DX155" s="111"/>
    </row>
    <row r="156" spans="1:128" s="3" customFormat="1" ht="12.75" customHeight="1" x14ac:dyDescent="0.3">
      <c r="A156" s="85"/>
      <c r="F156" s="66"/>
      <c r="G156" s="66"/>
      <c r="H156" s="111"/>
      <c r="I156" s="111"/>
      <c r="J156" s="111"/>
      <c r="K156" s="111"/>
      <c r="L156" s="111"/>
      <c r="M156" s="111"/>
      <c r="N156" s="111"/>
      <c r="O156" s="111"/>
      <c r="P156" s="111"/>
      <c r="Q156" s="111"/>
      <c r="R156" s="111"/>
      <c r="S156" s="111"/>
      <c r="T156" s="111"/>
      <c r="U156" s="111"/>
      <c r="V156" s="111"/>
      <c r="W156" s="111"/>
      <c r="X156" s="111"/>
      <c r="Y156" s="111"/>
      <c r="Z156" s="111"/>
      <c r="AA156" s="111"/>
      <c r="AB156" s="111"/>
      <c r="AC156" s="111"/>
      <c r="AD156" s="111"/>
      <c r="AE156" s="111"/>
      <c r="AF156" s="111"/>
      <c r="AG156" s="111"/>
      <c r="AH156" s="111"/>
      <c r="AI156" s="111"/>
      <c r="AJ156" s="111"/>
      <c r="AK156" s="111"/>
      <c r="AL156" s="111"/>
      <c r="AM156" s="111"/>
      <c r="AN156" s="111"/>
      <c r="AO156" s="111"/>
      <c r="AP156" s="111"/>
      <c r="AQ156" s="111"/>
      <c r="AR156" s="111"/>
      <c r="AS156" s="111"/>
      <c r="AT156" s="111"/>
      <c r="AU156" s="111"/>
      <c r="AV156" s="111"/>
      <c r="AW156" s="111"/>
      <c r="AX156" s="111"/>
      <c r="AY156" s="111"/>
      <c r="AZ156" s="111"/>
      <c r="BA156" s="111"/>
      <c r="BB156" s="111"/>
      <c r="BC156" s="111"/>
      <c r="BD156" s="111"/>
      <c r="BE156" s="111"/>
      <c r="BF156" s="111"/>
      <c r="BG156" s="111"/>
      <c r="BH156" s="111"/>
      <c r="BI156" s="111"/>
      <c r="BJ156" s="111"/>
      <c r="BK156" s="111"/>
      <c r="BL156" s="111"/>
      <c r="BM156" s="111"/>
      <c r="BN156" s="111"/>
      <c r="BO156" s="111"/>
      <c r="BP156" s="111"/>
      <c r="BQ156" s="111"/>
      <c r="BR156" s="111"/>
      <c r="BS156" s="111"/>
      <c r="BT156" s="111"/>
      <c r="BU156" s="111"/>
      <c r="BV156" s="111"/>
      <c r="BW156" s="111"/>
      <c r="BX156" s="111"/>
      <c r="BY156" s="111"/>
      <c r="BZ156" s="111"/>
      <c r="CA156" s="111"/>
      <c r="CB156" s="111"/>
      <c r="CC156" s="111"/>
      <c r="CD156" s="111"/>
      <c r="CE156" s="111"/>
      <c r="CF156" s="111"/>
      <c r="CG156" s="111"/>
      <c r="CH156" s="111"/>
      <c r="CI156" s="111"/>
      <c r="CJ156" s="111"/>
      <c r="CK156" s="111"/>
      <c r="CL156" s="111"/>
      <c r="CM156" s="111"/>
      <c r="CN156" s="111"/>
      <c r="CO156" s="111"/>
      <c r="CP156" s="111"/>
      <c r="CQ156" s="111"/>
      <c r="CR156" s="111"/>
      <c r="CS156" s="111"/>
      <c r="CT156" s="111"/>
      <c r="CU156" s="111"/>
      <c r="CV156" s="111"/>
      <c r="CW156" s="111"/>
      <c r="CX156" s="111"/>
      <c r="CY156" s="111"/>
      <c r="CZ156" s="111"/>
      <c r="DA156" s="111"/>
      <c r="DB156" s="111"/>
      <c r="DC156" s="111"/>
      <c r="DD156" s="111"/>
      <c r="DE156" s="111"/>
      <c r="DF156" s="111"/>
      <c r="DG156" s="111"/>
      <c r="DH156" s="111"/>
      <c r="DI156" s="111"/>
      <c r="DJ156" s="111"/>
      <c r="DK156" s="111"/>
      <c r="DL156" s="111"/>
      <c r="DM156" s="111"/>
      <c r="DN156" s="111"/>
      <c r="DO156" s="111"/>
      <c r="DP156" s="111"/>
      <c r="DQ156" s="111"/>
      <c r="DR156" s="111"/>
      <c r="DS156" s="111"/>
      <c r="DT156" s="111"/>
      <c r="DU156" s="111"/>
      <c r="DV156" s="111"/>
      <c r="DW156" s="111"/>
      <c r="DX156" s="111"/>
    </row>
    <row r="157" spans="1:128" s="3" customFormat="1" ht="12.75" customHeight="1" x14ac:dyDescent="0.3">
      <c r="A157" s="85"/>
      <c r="F157" s="66"/>
      <c r="G157" s="66"/>
      <c r="H157" s="111"/>
      <c r="I157" s="111"/>
      <c r="J157" s="111"/>
      <c r="K157" s="111"/>
      <c r="L157" s="111"/>
      <c r="M157" s="111"/>
      <c r="N157" s="111"/>
      <c r="O157" s="111"/>
      <c r="P157" s="111"/>
      <c r="Q157" s="111"/>
      <c r="R157" s="111"/>
      <c r="S157" s="111"/>
      <c r="T157" s="111"/>
      <c r="U157" s="111"/>
      <c r="V157" s="111"/>
      <c r="W157" s="111"/>
      <c r="X157" s="111"/>
      <c r="Y157" s="111"/>
      <c r="Z157" s="111"/>
      <c r="AA157" s="111"/>
      <c r="AB157" s="111"/>
      <c r="AC157" s="111"/>
      <c r="AD157" s="111"/>
      <c r="AE157" s="111"/>
      <c r="AF157" s="111"/>
      <c r="AG157" s="111"/>
      <c r="AH157" s="111"/>
      <c r="AI157" s="111"/>
      <c r="AJ157" s="111"/>
      <c r="AK157" s="111"/>
      <c r="AL157" s="111"/>
      <c r="AM157" s="111"/>
      <c r="AN157" s="111"/>
      <c r="AO157" s="111"/>
      <c r="AP157" s="111"/>
      <c r="AQ157" s="111"/>
      <c r="AR157" s="111"/>
      <c r="AS157" s="111"/>
      <c r="AT157" s="111"/>
      <c r="AU157" s="111"/>
      <c r="AV157" s="111"/>
      <c r="AW157" s="111"/>
      <c r="AX157" s="111"/>
      <c r="AY157" s="111"/>
      <c r="AZ157" s="111"/>
      <c r="BA157" s="111"/>
      <c r="BB157" s="111"/>
      <c r="BC157" s="111"/>
      <c r="BD157" s="111"/>
      <c r="BE157" s="111"/>
      <c r="BF157" s="111"/>
      <c r="BG157" s="111"/>
      <c r="BH157" s="111"/>
      <c r="BI157" s="111"/>
      <c r="BJ157" s="111"/>
      <c r="BK157" s="111"/>
      <c r="BL157" s="111"/>
      <c r="BM157" s="111"/>
      <c r="BN157" s="111"/>
      <c r="BO157" s="111"/>
      <c r="BP157" s="111"/>
      <c r="BQ157" s="111"/>
      <c r="BR157" s="111"/>
      <c r="BS157" s="111"/>
      <c r="BT157" s="111"/>
      <c r="BU157" s="111"/>
      <c r="BV157" s="111"/>
      <c r="BW157" s="111"/>
      <c r="BX157" s="111"/>
      <c r="BY157" s="111"/>
      <c r="BZ157" s="111"/>
      <c r="CA157" s="111"/>
      <c r="CB157" s="111"/>
      <c r="CC157" s="111"/>
      <c r="CD157" s="111"/>
      <c r="CE157" s="111"/>
      <c r="CF157" s="111"/>
      <c r="CG157" s="111"/>
      <c r="CH157" s="111"/>
      <c r="CI157" s="111"/>
      <c r="CJ157" s="111"/>
      <c r="CK157" s="111"/>
      <c r="CL157" s="111"/>
      <c r="CM157" s="111"/>
      <c r="CN157" s="111"/>
      <c r="CO157" s="111"/>
      <c r="CP157" s="111"/>
      <c r="CQ157" s="111"/>
      <c r="CR157" s="111"/>
      <c r="CS157" s="111"/>
      <c r="CT157" s="111"/>
      <c r="CU157" s="111"/>
      <c r="CV157" s="111"/>
      <c r="CW157" s="111"/>
      <c r="CX157" s="111"/>
      <c r="CY157" s="111"/>
      <c r="CZ157" s="111"/>
      <c r="DA157" s="111"/>
      <c r="DB157" s="111"/>
      <c r="DC157" s="111"/>
      <c r="DD157" s="111"/>
      <c r="DE157" s="111"/>
      <c r="DF157" s="111"/>
      <c r="DG157" s="111"/>
      <c r="DH157" s="111"/>
      <c r="DI157" s="111"/>
      <c r="DJ157" s="111"/>
      <c r="DK157" s="111"/>
      <c r="DL157" s="111"/>
      <c r="DM157" s="111"/>
      <c r="DN157" s="111"/>
      <c r="DO157" s="111"/>
      <c r="DP157" s="111"/>
      <c r="DQ157" s="111"/>
      <c r="DR157" s="111"/>
      <c r="DS157" s="111"/>
      <c r="DT157" s="111"/>
      <c r="DU157" s="111"/>
      <c r="DV157" s="111"/>
      <c r="DW157" s="111"/>
      <c r="DX157" s="111"/>
    </row>
    <row r="158" spans="1:128" s="3" customFormat="1" ht="12.75" customHeight="1" x14ac:dyDescent="0.3">
      <c r="A158" s="85"/>
      <c r="F158" s="66"/>
      <c r="G158" s="66"/>
      <c r="H158" s="111"/>
      <c r="I158" s="111"/>
      <c r="J158" s="111"/>
      <c r="K158" s="111"/>
      <c r="L158" s="111"/>
      <c r="M158" s="111"/>
      <c r="N158" s="111"/>
      <c r="O158" s="111"/>
      <c r="P158" s="111"/>
      <c r="Q158" s="111"/>
      <c r="R158" s="111"/>
      <c r="S158" s="111"/>
      <c r="T158" s="111"/>
      <c r="U158" s="111"/>
      <c r="V158" s="111"/>
      <c r="W158" s="111"/>
      <c r="X158" s="111"/>
      <c r="Y158" s="111"/>
      <c r="Z158" s="111"/>
      <c r="AA158" s="111"/>
      <c r="AB158" s="111"/>
      <c r="AC158" s="111"/>
      <c r="AD158" s="111"/>
      <c r="AE158" s="111"/>
      <c r="AF158" s="111"/>
      <c r="AG158" s="111"/>
      <c r="AH158" s="111"/>
      <c r="AI158" s="111"/>
      <c r="AJ158" s="111"/>
      <c r="AK158" s="111"/>
      <c r="AL158" s="111"/>
      <c r="AM158" s="111"/>
      <c r="AN158" s="111"/>
      <c r="AO158" s="111"/>
      <c r="AP158" s="111"/>
      <c r="AQ158" s="111"/>
      <c r="AR158" s="111"/>
      <c r="AS158" s="111"/>
      <c r="AT158" s="111"/>
      <c r="AU158" s="111"/>
      <c r="AV158" s="111"/>
      <c r="AW158" s="111"/>
      <c r="AX158" s="111"/>
      <c r="AY158" s="111"/>
      <c r="AZ158" s="111"/>
      <c r="BA158" s="111"/>
      <c r="BB158" s="111"/>
      <c r="BC158" s="111"/>
      <c r="BD158" s="111"/>
      <c r="BE158" s="111"/>
      <c r="BF158" s="111"/>
      <c r="BG158" s="111"/>
      <c r="BH158" s="111"/>
      <c r="BI158" s="111"/>
      <c r="BJ158" s="111"/>
      <c r="BK158" s="111"/>
      <c r="BL158" s="111"/>
      <c r="BM158" s="111"/>
      <c r="BN158" s="111"/>
      <c r="BO158" s="111"/>
      <c r="BP158" s="111"/>
      <c r="BQ158" s="111"/>
      <c r="BR158" s="111"/>
      <c r="BS158" s="111"/>
      <c r="BT158" s="111"/>
      <c r="BU158" s="111"/>
      <c r="BV158" s="111"/>
      <c r="BW158" s="111"/>
      <c r="BX158" s="111"/>
      <c r="BY158" s="111"/>
      <c r="BZ158" s="111"/>
      <c r="CA158" s="111"/>
      <c r="CB158" s="111"/>
      <c r="CC158" s="111"/>
      <c r="CD158" s="111"/>
      <c r="CE158" s="111"/>
      <c r="CF158" s="111"/>
      <c r="CG158" s="111"/>
      <c r="CH158" s="111"/>
      <c r="CI158" s="111"/>
      <c r="CJ158" s="111"/>
      <c r="CK158" s="111"/>
      <c r="CL158" s="111"/>
      <c r="CM158" s="111"/>
      <c r="CN158" s="111"/>
      <c r="CO158" s="111"/>
      <c r="CP158" s="111"/>
      <c r="CQ158" s="111"/>
      <c r="CR158" s="111"/>
      <c r="CS158" s="111"/>
      <c r="CT158" s="111"/>
      <c r="CU158" s="111"/>
      <c r="CV158" s="111"/>
      <c r="CW158" s="111"/>
      <c r="CX158" s="111"/>
      <c r="CY158" s="111"/>
      <c r="CZ158" s="111"/>
      <c r="DA158" s="111"/>
      <c r="DB158" s="111"/>
      <c r="DC158" s="111"/>
      <c r="DD158" s="111"/>
      <c r="DE158" s="111"/>
      <c r="DF158" s="111"/>
      <c r="DG158" s="111"/>
      <c r="DH158" s="111"/>
      <c r="DI158" s="111"/>
      <c r="DJ158" s="111"/>
      <c r="DK158" s="111"/>
      <c r="DL158" s="111"/>
      <c r="DM158" s="111"/>
      <c r="DN158" s="111"/>
      <c r="DO158" s="111"/>
      <c r="DP158" s="111"/>
      <c r="DQ158" s="111"/>
      <c r="DR158" s="111"/>
      <c r="DS158" s="111"/>
      <c r="DT158" s="111"/>
      <c r="DU158" s="111"/>
      <c r="DV158" s="111"/>
      <c r="DW158" s="111"/>
      <c r="DX158" s="111"/>
    </row>
    <row r="159" spans="1:128" s="3" customFormat="1" ht="12.75" customHeight="1" x14ac:dyDescent="0.3">
      <c r="A159" s="85"/>
      <c r="F159" s="66"/>
      <c r="G159" s="66"/>
      <c r="H159" s="111"/>
      <c r="I159" s="111"/>
      <c r="J159" s="111"/>
      <c r="K159" s="111"/>
      <c r="L159" s="111"/>
      <c r="M159" s="111"/>
      <c r="N159" s="111"/>
      <c r="O159" s="111"/>
      <c r="P159" s="111"/>
      <c r="Q159" s="111"/>
      <c r="R159" s="111"/>
      <c r="S159" s="111"/>
      <c r="T159" s="111"/>
      <c r="U159" s="111"/>
      <c r="V159" s="111"/>
      <c r="W159" s="111"/>
      <c r="X159" s="111"/>
      <c r="Y159" s="111"/>
      <c r="Z159" s="111"/>
      <c r="AA159" s="111"/>
      <c r="AB159" s="111"/>
      <c r="AC159" s="111"/>
      <c r="AD159" s="111"/>
      <c r="AE159" s="111"/>
      <c r="AF159" s="111"/>
      <c r="AG159" s="111"/>
      <c r="AH159" s="111"/>
      <c r="AI159" s="111"/>
      <c r="AJ159" s="111"/>
      <c r="AK159" s="111"/>
      <c r="AL159" s="111"/>
      <c r="AM159" s="111"/>
      <c r="AN159" s="111"/>
      <c r="AO159" s="111"/>
      <c r="AP159" s="111"/>
      <c r="AQ159" s="111"/>
      <c r="AR159" s="111"/>
      <c r="AS159" s="111"/>
      <c r="AT159" s="111"/>
      <c r="AU159" s="111"/>
      <c r="AV159" s="111"/>
      <c r="AW159" s="111"/>
      <c r="AX159" s="111"/>
      <c r="AY159" s="111"/>
      <c r="AZ159" s="111"/>
      <c r="BA159" s="111"/>
      <c r="BB159" s="111"/>
      <c r="BC159" s="111"/>
      <c r="BD159" s="111"/>
      <c r="BE159" s="111"/>
      <c r="BF159" s="111"/>
      <c r="BG159" s="111"/>
      <c r="BH159" s="111"/>
      <c r="BI159" s="111"/>
      <c r="BJ159" s="111"/>
      <c r="BK159" s="111"/>
      <c r="BL159" s="111"/>
      <c r="BM159" s="111"/>
      <c r="BN159" s="111"/>
      <c r="BO159" s="111"/>
      <c r="BP159" s="111"/>
      <c r="BQ159" s="111"/>
      <c r="BR159" s="111"/>
      <c r="BS159" s="111"/>
      <c r="BT159" s="111"/>
      <c r="BU159" s="111"/>
      <c r="BV159" s="111"/>
      <c r="BW159" s="111"/>
      <c r="BX159" s="111"/>
      <c r="BY159" s="111"/>
      <c r="BZ159" s="111"/>
      <c r="CA159" s="111"/>
      <c r="CB159" s="111"/>
      <c r="CC159" s="111"/>
      <c r="CD159" s="111"/>
      <c r="CE159" s="111"/>
      <c r="CF159" s="111"/>
      <c r="CG159" s="111"/>
      <c r="CH159" s="111"/>
      <c r="CI159" s="111"/>
      <c r="CJ159" s="111"/>
      <c r="CK159" s="111"/>
      <c r="CL159" s="111"/>
      <c r="CM159" s="111"/>
      <c r="CN159" s="111"/>
      <c r="CO159" s="111"/>
      <c r="CP159" s="111"/>
      <c r="CQ159" s="111"/>
      <c r="CR159" s="111"/>
      <c r="CS159" s="111"/>
      <c r="CT159" s="111"/>
      <c r="CU159" s="111"/>
      <c r="CV159" s="111"/>
      <c r="CW159" s="111"/>
      <c r="CX159" s="111"/>
      <c r="CY159" s="111"/>
      <c r="CZ159" s="111"/>
      <c r="DA159" s="111"/>
      <c r="DB159" s="111"/>
      <c r="DC159" s="111"/>
      <c r="DD159" s="111"/>
      <c r="DE159" s="111"/>
      <c r="DF159" s="111"/>
      <c r="DG159" s="111"/>
      <c r="DH159" s="111"/>
      <c r="DI159" s="111"/>
      <c r="DJ159" s="111"/>
      <c r="DK159" s="111"/>
      <c r="DL159" s="111"/>
      <c r="DM159" s="111"/>
      <c r="DN159" s="111"/>
      <c r="DO159" s="111"/>
      <c r="DP159" s="111"/>
      <c r="DQ159" s="111"/>
      <c r="DR159" s="111"/>
      <c r="DS159" s="111"/>
      <c r="DT159" s="111"/>
      <c r="DU159" s="111"/>
      <c r="DV159" s="111"/>
      <c r="DW159" s="111"/>
      <c r="DX159" s="111"/>
    </row>
    <row r="160" spans="1:128" s="3" customFormat="1" ht="12.75" customHeight="1" x14ac:dyDescent="0.3">
      <c r="A160" s="85"/>
      <c r="F160" s="66"/>
      <c r="G160" s="66"/>
      <c r="H160" s="111"/>
      <c r="I160" s="111"/>
      <c r="J160" s="111"/>
      <c r="K160" s="111"/>
      <c r="L160" s="111"/>
      <c r="M160" s="111"/>
      <c r="N160" s="111"/>
      <c r="O160" s="111"/>
      <c r="P160" s="111"/>
      <c r="Q160" s="111"/>
      <c r="R160" s="111"/>
      <c r="S160" s="111"/>
      <c r="T160" s="111"/>
      <c r="U160" s="111"/>
      <c r="V160" s="111"/>
      <c r="W160" s="111"/>
      <c r="X160" s="111"/>
      <c r="Y160" s="111"/>
      <c r="Z160" s="111"/>
      <c r="AA160" s="111"/>
      <c r="AB160" s="111"/>
      <c r="AC160" s="111"/>
      <c r="AD160" s="111"/>
      <c r="AE160" s="111"/>
      <c r="AF160" s="111"/>
      <c r="AG160" s="111"/>
      <c r="AH160" s="111"/>
      <c r="AI160" s="111"/>
      <c r="AJ160" s="111"/>
      <c r="AK160" s="111"/>
      <c r="AL160" s="111"/>
      <c r="AM160" s="111"/>
      <c r="AN160" s="111"/>
      <c r="AO160" s="111"/>
      <c r="AP160" s="111"/>
      <c r="AQ160" s="111"/>
      <c r="AR160" s="111"/>
      <c r="AS160" s="111"/>
      <c r="AT160" s="111"/>
      <c r="AU160" s="111"/>
      <c r="AV160" s="111"/>
      <c r="AW160" s="111"/>
      <c r="AX160" s="111"/>
      <c r="AY160" s="111"/>
      <c r="AZ160" s="111"/>
      <c r="BA160" s="111"/>
      <c r="BB160" s="111"/>
      <c r="BC160" s="111"/>
      <c r="BD160" s="111"/>
      <c r="BE160" s="111"/>
      <c r="BF160" s="111"/>
      <c r="BG160" s="111"/>
      <c r="BH160" s="111"/>
      <c r="BI160" s="111"/>
      <c r="BJ160" s="111"/>
      <c r="BK160" s="111"/>
      <c r="BL160" s="111"/>
      <c r="BM160" s="111"/>
      <c r="BN160" s="111"/>
      <c r="BO160" s="111"/>
      <c r="BP160" s="111"/>
      <c r="BQ160" s="111"/>
      <c r="BR160" s="111"/>
      <c r="BS160" s="111"/>
      <c r="BT160" s="111"/>
      <c r="BU160" s="111"/>
      <c r="BV160" s="111"/>
      <c r="BW160" s="111"/>
      <c r="BX160" s="111"/>
      <c r="BY160" s="111"/>
      <c r="BZ160" s="111"/>
      <c r="CA160" s="111"/>
      <c r="CB160" s="111"/>
      <c r="CC160" s="111"/>
      <c r="CD160" s="111"/>
      <c r="CE160" s="111"/>
      <c r="CF160" s="111"/>
      <c r="CG160" s="111"/>
      <c r="CH160" s="111"/>
      <c r="CI160" s="111"/>
      <c r="CJ160" s="111"/>
      <c r="CK160" s="111"/>
      <c r="CL160" s="111"/>
      <c r="CM160" s="111"/>
      <c r="CN160" s="111"/>
      <c r="CO160" s="111"/>
      <c r="CP160" s="111"/>
      <c r="CQ160" s="111"/>
      <c r="CR160" s="111"/>
      <c r="CS160" s="111"/>
      <c r="CT160" s="111"/>
      <c r="CU160" s="111"/>
      <c r="CV160" s="111"/>
      <c r="CW160" s="111"/>
      <c r="CX160" s="111"/>
      <c r="CY160" s="111"/>
      <c r="CZ160" s="111"/>
      <c r="DA160" s="111"/>
      <c r="DB160" s="111"/>
      <c r="DC160" s="111"/>
      <c r="DD160" s="111"/>
      <c r="DE160" s="111"/>
      <c r="DF160" s="111"/>
      <c r="DG160" s="111"/>
      <c r="DH160" s="111"/>
      <c r="DI160" s="111"/>
      <c r="DJ160" s="111"/>
      <c r="DK160" s="111"/>
      <c r="DL160" s="111"/>
      <c r="DM160" s="111"/>
      <c r="DN160" s="111"/>
      <c r="DO160" s="111"/>
      <c r="DP160" s="111"/>
      <c r="DQ160" s="111"/>
      <c r="DR160" s="111"/>
      <c r="DS160" s="111"/>
      <c r="DT160" s="111"/>
      <c r="DU160" s="111"/>
      <c r="DV160" s="111"/>
      <c r="DW160" s="111"/>
      <c r="DX160" s="111"/>
    </row>
    <row r="161" spans="1:128" s="3" customFormat="1" ht="12.75" customHeight="1" x14ac:dyDescent="0.3">
      <c r="A161" s="85"/>
      <c r="F161" s="66"/>
      <c r="G161" s="66"/>
      <c r="H161" s="111"/>
      <c r="I161" s="111"/>
      <c r="J161" s="111"/>
      <c r="K161" s="111"/>
      <c r="L161" s="111"/>
      <c r="M161" s="111"/>
      <c r="N161" s="111"/>
      <c r="O161" s="111"/>
      <c r="P161" s="111"/>
      <c r="Q161" s="111"/>
      <c r="R161" s="111"/>
      <c r="S161" s="111"/>
      <c r="T161" s="111"/>
      <c r="U161" s="111"/>
      <c r="V161" s="111"/>
      <c r="W161" s="111"/>
      <c r="X161" s="111"/>
      <c r="Y161" s="111"/>
      <c r="Z161" s="111"/>
      <c r="AA161" s="111"/>
      <c r="AB161" s="111"/>
      <c r="AC161" s="111"/>
      <c r="AD161" s="111"/>
      <c r="AE161" s="111"/>
      <c r="AF161" s="111"/>
      <c r="AG161" s="111"/>
      <c r="AH161" s="111"/>
      <c r="AI161" s="111"/>
      <c r="AJ161" s="111"/>
      <c r="AK161" s="111"/>
      <c r="AL161" s="111"/>
      <c r="AM161" s="111"/>
      <c r="AN161" s="111"/>
      <c r="AO161" s="111"/>
      <c r="AP161" s="111"/>
      <c r="AQ161" s="111"/>
      <c r="AR161" s="111"/>
      <c r="AS161" s="111"/>
      <c r="AT161" s="111"/>
      <c r="AU161" s="111"/>
      <c r="AV161" s="111"/>
      <c r="AW161" s="111"/>
      <c r="AX161" s="111"/>
      <c r="AY161" s="111"/>
      <c r="AZ161" s="111"/>
      <c r="BA161" s="111"/>
      <c r="BB161" s="111"/>
      <c r="BC161" s="111"/>
      <c r="BD161" s="111"/>
      <c r="BE161" s="111"/>
      <c r="BF161" s="111"/>
      <c r="BG161" s="111"/>
      <c r="BH161" s="111"/>
      <c r="BI161" s="111"/>
      <c r="BJ161" s="111"/>
      <c r="BK161" s="111"/>
      <c r="BL161" s="111"/>
      <c r="BM161" s="111"/>
      <c r="BN161" s="111"/>
      <c r="BO161" s="111"/>
      <c r="BP161" s="111"/>
      <c r="BQ161" s="111"/>
      <c r="BR161" s="111"/>
      <c r="BS161" s="111"/>
      <c r="BT161" s="111"/>
      <c r="BU161" s="111"/>
      <c r="BV161" s="111"/>
      <c r="BW161" s="111"/>
      <c r="BX161" s="111"/>
      <c r="BY161" s="111"/>
      <c r="BZ161" s="111"/>
      <c r="CA161" s="111"/>
      <c r="CB161" s="111"/>
      <c r="CC161" s="111"/>
      <c r="CD161" s="111"/>
      <c r="CE161" s="111"/>
      <c r="CF161" s="111"/>
      <c r="CG161" s="111"/>
      <c r="CH161" s="111"/>
      <c r="CI161" s="111"/>
      <c r="CJ161" s="111"/>
      <c r="CK161" s="111"/>
      <c r="CL161" s="111"/>
      <c r="CM161" s="111"/>
      <c r="CN161" s="111"/>
      <c r="CO161" s="111"/>
      <c r="CP161" s="111"/>
      <c r="CQ161" s="111"/>
      <c r="CR161" s="111"/>
      <c r="CS161" s="111"/>
      <c r="CT161" s="111"/>
      <c r="CU161" s="111"/>
      <c r="CV161" s="111"/>
      <c r="CW161" s="111"/>
      <c r="CX161" s="111"/>
      <c r="CY161" s="111"/>
      <c r="CZ161" s="111"/>
      <c r="DA161" s="111"/>
      <c r="DB161" s="111"/>
      <c r="DC161" s="111"/>
      <c r="DD161" s="111"/>
      <c r="DE161" s="111"/>
      <c r="DF161" s="111"/>
      <c r="DG161" s="111"/>
      <c r="DH161" s="111"/>
      <c r="DI161" s="111"/>
      <c r="DJ161" s="111"/>
      <c r="DK161" s="111"/>
      <c r="DL161" s="111"/>
      <c r="DM161" s="111"/>
      <c r="DN161" s="111"/>
      <c r="DO161" s="111"/>
      <c r="DP161" s="111"/>
      <c r="DQ161" s="111"/>
      <c r="DR161" s="111"/>
      <c r="DS161" s="111"/>
      <c r="DT161" s="111"/>
      <c r="DU161" s="111"/>
      <c r="DV161" s="111"/>
      <c r="DW161" s="111"/>
      <c r="DX161" s="111"/>
    </row>
    <row r="162" spans="1:128" s="3" customFormat="1" ht="12.75" customHeight="1" x14ac:dyDescent="0.3">
      <c r="A162" s="85"/>
      <c r="F162" s="66"/>
      <c r="G162" s="66"/>
      <c r="H162" s="111"/>
      <c r="I162" s="111"/>
      <c r="J162" s="111"/>
      <c r="K162" s="111"/>
      <c r="L162" s="111"/>
      <c r="M162" s="111"/>
      <c r="N162" s="111"/>
      <c r="O162" s="111"/>
      <c r="P162" s="111"/>
      <c r="Q162" s="111"/>
      <c r="R162" s="111"/>
      <c r="S162" s="111"/>
      <c r="T162" s="111"/>
      <c r="U162" s="111"/>
      <c r="V162" s="111"/>
      <c r="W162" s="111"/>
      <c r="X162" s="111"/>
      <c r="Y162" s="111"/>
      <c r="Z162" s="111"/>
      <c r="AA162" s="111"/>
      <c r="AB162" s="111"/>
      <c r="AC162" s="111"/>
      <c r="AD162" s="111"/>
      <c r="AE162" s="111"/>
      <c r="AF162" s="111"/>
      <c r="AG162" s="111"/>
      <c r="AH162" s="111"/>
      <c r="AI162" s="111"/>
      <c r="AJ162" s="111"/>
      <c r="AK162" s="111"/>
      <c r="AL162" s="111"/>
      <c r="AM162" s="111"/>
      <c r="AN162" s="111"/>
      <c r="AO162" s="111"/>
      <c r="AP162" s="111"/>
      <c r="AQ162" s="111"/>
      <c r="AR162" s="111"/>
      <c r="AS162" s="111"/>
      <c r="AT162" s="111"/>
      <c r="AU162" s="111"/>
      <c r="AV162" s="111"/>
      <c r="AW162" s="111"/>
      <c r="AX162" s="111"/>
      <c r="AY162" s="111"/>
      <c r="AZ162" s="111"/>
      <c r="BA162" s="111"/>
      <c r="BB162" s="111"/>
      <c r="BC162" s="111"/>
      <c r="BD162" s="111"/>
      <c r="BE162" s="111"/>
      <c r="BF162" s="111"/>
      <c r="BG162" s="111"/>
      <c r="BH162" s="111"/>
      <c r="BI162" s="111"/>
      <c r="BJ162" s="111"/>
      <c r="BK162" s="111"/>
      <c r="BL162" s="111"/>
      <c r="BM162" s="111"/>
      <c r="BN162" s="111"/>
      <c r="BO162" s="111"/>
      <c r="BP162" s="111"/>
      <c r="BQ162" s="111"/>
      <c r="BR162" s="111"/>
      <c r="BS162" s="111"/>
      <c r="BT162" s="111"/>
      <c r="BU162" s="111"/>
      <c r="BV162" s="111"/>
      <c r="BW162" s="111"/>
      <c r="BX162" s="111"/>
      <c r="BY162" s="111"/>
      <c r="BZ162" s="111"/>
      <c r="CA162" s="111"/>
      <c r="CB162" s="111"/>
      <c r="CC162" s="111"/>
      <c r="CD162" s="111"/>
      <c r="CE162" s="111"/>
      <c r="CF162" s="111"/>
      <c r="CG162" s="111"/>
      <c r="CH162" s="111"/>
      <c r="CI162" s="111"/>
      <c r="CJ162" s="111"/>
      <c r="CK162" s="111"/>
      <c r="CL162" s="111"/>
      <c r="CM162" s="111"/>
      <c r="CN162" s="111"/>
      <c r="CO162" s="111"/>
      <c r="CP162" s="111"/>
      <c r="CQ162" s="111"/>
      <c r="CR162" s="111"/>
      <c r="CS162" s="111"/>
      <c r="CT162" s="111"/>
      <c r="CU162" s="111"/>
      <c r="CV162" s="111"/>
      <c r="CW162" s="111"/>
      <c r="CX162" s="111"/>
      <c r="CY162" s="111"/>
      <c r="CZ162" s="111"/>
      <c r="DA162" s="111"/>
      <c r="DB162" s="111"/>
      <c r="DC162" s="111"/>
      <c r="DD162" s="111"/>
      <c r="DE162" s="111"/>
      <c r="DF162" s="111"/>
      <c r="DG162" s="111"/>
      <c r="DH162" s="111"/>
      <c r="DI162" s="111"/>
      <c r="DJ162" s="111"/>
      <c r="DK162" s="111"/>
      <c r="DL162" s="111"/>
      <c r="DM162" s="111"/>
      <c r="DN162" s="111"/>
      <c r="DO162" s="111"/>
      <c r="DP162" s="111"/>
      <c r="DQ162" s="111"/>
      <c r="DR162" s="111"/>
      <c r="DS162" s="111"/>
      <c r="DT162" s="111"/>
      <c r="DU162" s="111"/>
      <c r="DV162" s="111"/>
      <c r="DW162" s="111"/>
      <c r="DX162" s="111"/>
    </row>
    <row r="163" spans="1:128" s="3" customFormat="1" ht="12.75" customHeight="1" x14ac:dyDescent="0.3">
      <c r="A163" s="85"/>
      <c r="F163" s="66"/>
      <c r="G163" s="66"/>
      <c r="H163" s="111"/>
      <c r="I163" s="111"/>
      <c r="J163" s="111"/>
      <c r="K163" s="111"/>
      <c r="L163" s="111"/>
      <c r="M163" s="111"/>
      <c r="N163" s="111"/>
      <c r="O163" s="111"/>
      <c r="P163" s="111"/>
      <c r="Q163" s="111"/>
      <c r="R163" s="111"/>
      <c r="S163" s="111"/>
      <c r="T163" s="111"/>
      <c r="U163" s="111"/>
      <c r="V163" s="111"/>
      <c r="W163" s="111"/>
      <c r="X163" s="111"/>
      <c r="Y163" s="111"/>
      <c r="Z163" s="111"/>
      <c r="AA163" s="111"/>
      <c r="AB163" s="111"/>
      <c r="AC163" s="111"/>
      <c r="AD163" s="111"/>
      <c r="AE163" s="111"/>
      <c r="AF163" s="111"/>
      <c r="AG163" s="111"/>
      <c r="AH163" s="111"/>
      <c r="AI163" s="111"/>
      <c r="AJ163" s="111"/>
      <c r="AK163" s="111"/>
      <c r="AL163" s="111"/>
      <c r="AM163" s="111"/>
      <c r="AN163" s="111"/>
      <c r="AO163" s="111"/>
      <c r="AP163" s="111"/>
      <c r="AQ163" s="111"/>
      <c r="AR163" s="111"/>
      <c r="AS163" s="111"/>
      <c r="AT163" s="111"/>
      <c r="AU163" s="111"/>
      <c r="AV163" s="111"/>
      <c r="AW163" s="111"/>
      <c r="AX163" s="111"/>
      <c r="AY163" s="111"/>
      <c r="AZ163" s="111"/>
      <c r="BA163" s="111"/>
      <c r="BB163" s="111"/>
      <c r="BC163" s="111"/>
      <c r="BD163" s="111"/>
      <c r="BE163" s="111"/>
      <c r="BF163" s="111"/>
      <c r="BG163" s="111"/>
      <c r="BH163" s="111"/>
      <c r="BI163" s="111"/>
      <c r="BJ163" s="111"/>
      <c r="BK163" s="111"/>
      <c r="BL163" s="111"/>
      <c r="BM163" s="111"/>
      <c r="BN163" s="111"/>
      <c r="BO163" s="111"/>
      <c r="BP163" s="111"/>
      <c r="BQ163" s="111"/>
      <c r="BR163" s="111"/>
      <c r="BS163" s="111"/>
      <c r="BT163" s="111"/>
      <c r="BU163" s="111"/>
      <c r="BV163" s="111"/>
      <c r="BW163" s="111"/>
      <c r="BX163" s="111"/>
      <c r="BY163" s="111"/>
      <c r="BZ163" s="111"/>
      <c r="CA163" s="111"/>
      <c r="CB163" s="111"/>
      <c r="CC163" s="111"/>
      <c r="CD163" s="111"/>
      <c r="CE163" s="111"/>
      <c r="CF163" s="111"/>
      <c r="CG163" s="111"/>
      <c r="CH163" s="111"/>
      <c r="CI163" s="111"/>
      <c r="CJ163" s="111"/>
      <c r="CK163" s="111"/>
      <c r="CL163" s="111"/>
      <c r="CM163" s="111"/>
      <c r="CN163" s="111"/>
      <c r="CO163" s="111"/>
      <c r="CP163" s="111"/>
      <c r="CQ163" s="111"/>
      <c r="CR163" s="111"/>
      <c r="CS163" s="111"/>
      <c r="CT163" s="111"/>
      <c r="CU163" s="111"/>
      <c r="CV163" s="111"/>
      <c r="CW163" s="111"/>
      <c r="CX163" s="111"/>
      <c r="CY163" s="111"/>
      <c r="CZ163" s="111"/>
      <c r="DA163" s="111"/>
      <c r="DB163" s="111"/>
      <c r="DC163" s="111"/>
      <c r="DD163" s="111"/>
      <c r="DE163" s="111"/>
      <c r="DF163" s="111"/>
      <c r="DG163" s="111"/>
      <c r="DH163" s="111"/>
      <c r="DI163" s="111"/>
      <c r="DJ163" s="111"/>
      <c r="DK163" s="111"/>
      <c r="DL163" s="111"/>
      <c r="DM163" s="111"/>
      <c r="DN163" s="111"/>
      <c r="DO163" s="111"/>
      <c r="DP163" s="111"/>
      <c r="DQ163" s="111"/>
      <c r="DR163" s="111"/>
      <c r="DS163" s="111"/>
      <c r="DT163" s="111"/>
      <c r="DU163" s="111"/>
      <c r="DV163" s="111"/>
      <c r="DW163" s="111"/>
      <c r="DX163" s="111"/>
    </row>
    <row r="164" spans="1:128" s="3" customFormat="1" ht="12.75" customHeight="1" x14ac:dyDescent="0.3">
      <c r="A164" s="85"/>
      <c r="F164" s="66"/>
      <c r="G164" s="66"/>
      <c r="H164" s="111"/>
      <c r="I164" s="111"/>
      <c r="J164" s="111"/>
      <c r="K164" s="111"/>
      <c r="L164" s="111"/>
      <c r="M164" s="111"/>
      <c r="N164" s="111"/>
      <c r="O164" s="111"/>
      <c r="P164" s="111"/>
      <c r="Q164" s="111"/>
      <c r="R164" s="111"/>
      <c r="S164" s="111"/>
      <c r="T164" s="111"/>
      <c r="U164" s="111"/>
      <c r="V164" s="111"/>
      <c r="W164" s="111"/>
      <c r="X164" s="111"/>
      <c r="Y164" s="111"/>
      <c r="Z164" s="111"/>
      <c r="AA164" s="111"/>
      <c r="AB164" s="111"/>
      <c r="AC164" s="111"/>
      <c r="AD164" s="111"/>
      <c r="AE164" s="111"/>
      <c r="AF164" s="111"/>
      <c r="AG164" s="111"/>
      <c r="AH164" s="111"/>
      <c r="AI164" s="111"/>
      <c r="AJ164" s="111"/>
      <c r="AK164" s="111"/>
      <c r="AL164" s="111"/>
      <c r="AM164" s="111"/>
      <c r="AN164" s="111"/>
      <c r="AO164" s="111"/>
      <c r="AP164" s="111"/>
      <c r="AQ164" s="111"/>
      <c r="AR164" s="111"/>
      <c r="AS164" s="111"/>
      <c r="AT164" s="111"/>
      <c r="AU164" s="111"/>
      <c r="AV164" s="111"/>
      <c r="AW164" s="111"/>
      <c r="AX164" s="111"/>
      <c r="AY164" s="111"/>
      <c r="AZ164" s="111"/>
      <c r="BA164" s="111"/>
      <c r="BB164" s="111"/>
      <c r="BC164" s="111"/>
      <c r="BD164" s="111"/>
      <c r="BE164" s="111"/>
      <c r="BF164" s="111"/>
      <c r="BG164" s="111"/>
      <c r="BH164" s="111"/>
      <c r="BI164" s="111"/>
      <c r="BJ164" s="111"/>
      <c r="BK164" s="111"/>
      <c r="BL164" s="111"/>
      <c r="BM164" s="111"/>
      <c r="BN164" s="111"/>
      <c r="BO164" s="111"/>
      <c r="BP164" s="111"/>
      <c r="BQ164" s="111"/>
      <c r="BR164" s="111"/>
      <c r="BS164" s="111"/>
      <c r="BT164" s="111"/>
      <c r="BU164" s="111"/>
      <c r="BV164" s="111"/>
      <c r="BW164" s="111"/>
      <c r="BX164" s="111"/>
      <c r="BY164" s="111"/>
      <c r="BZ164" s="111"/>
      <c r="CA164" s="111"/>
      <c r="CB164" s="111"/>
      <c r="CC164" s="111"/>
      <c r="CD164" s="111"/>
      <c r="CE164" s="111"/>
      <c r="CF164" s="111"/>
      <c r="CG164" s="111"/>
      <c r="CH164" s="111"/>
      <c r="CI164" s="111"/>
      <c r="CJ164" s="111"/>
      <c r="CK164" s="111"/>
      <c r="CL164" s="111"/>
      <c r="CM164" s="111"/>
      <c r="CN164" s="111"/>
      <c r="CO164" s="111"/>
      <c r="CP164" s="111"/>
      <c r="CQ164" s="111"/>
      <c r="CR164" s="111"/>
      <c r="CS164" s="111"/>
      <c r="CT164" s="111"/>
      <c r="CU164" s="111"/>
      <c r="CV164" s="111"/>
      <c r="CW164" s="111"/>
      <c r="CX164" s="111"/>
      <c r="CY164" s="111"/>
      <c r="CZ164" s="111"/>
      <c r="DA164" s="111"/>
      <c r="DB164" s="111"/>
      <c r="DC164" s="111"/>
      <c r="DD164" s="111"/>
      <c r="DE164" s="111"/>
      <c r="DF164" s="111"/>
      <c r="DG164" s="111"/>
      <c r="DH164" s="111"/>
      <c r="DI164" s="111"/>
      <c r="DJ164" s="111"/>
      <c r="DK164" s="111"/>
      <c r="DL164" s="111"/>
      <c r="DM164" s="111"/>
      <c r="DN164" s="111"/>
      <c r="DO164" s="111"/>
      <c r="DP164" s="111"/>
      <c r="DQ164" s="111"/>
      <c r="DR164" s="111"/>
      <c r="DS164" s="111"/>
      <c r="DT164" s="111"/>
      <c r="DU164" s="111"/>
      <c r="DV164" s="111"/>
      <c r="DW164" s="111"/>
      <c r="DX164" s="111"/>
    </row>
    <row r="165" spans="1:128" s="3" customFormat="1" ht="12.75" customHeight="1" x14ac:dyDescent="0.3">
      <c r="A165" s="85"/>
      <c r="F165" s="66"/>
      <c r="G165" s="66"/>
      <c r="H165" s="111"/>
      <c r="I165" s="111"/>
      <c r="J165" s="111"/>
      <c r="K165" s="111"/>
      <c r="L165" s="111"/>
      <c r="M165" s="111"/>
      <c r="N165" s="111"/>
      <c r="O165" s="111"/>
      <c r="P165" s="111"/>
      <c r="Q165" s="111"/>
      <c r="R165" s="111"/>
      <c r="S165" s="111"/>
      <c r="T165" s="111"/>
      <c r="U165" s="111"/>
      <c r="V165" s="111"/>
      <c r="W165" s="111"/>
      <c r="X165" s="111"/>
      <c r="Y165" s="111"/>
      <c r="Z165" s="111"/>
      <c r="AA165" s="111"/>
      <c r="AB165" s="111"/>
      <c r="AC165" s="111"/>
      <c r="AD165" s="111"/>
      <c r="AE165" s="111"/>
      <c r="AF165" s="111"/>
      <c r="AG165" s="111"/>
      <c r="AH165" s="111"/>
      <c r="AI165" s="111"/>
      <c r="AJ165" s="111"/>
      <c r="AK165" s="111"/>
      <c r="AL165" s="111"/>
      <c r="AM165" s="111"/>
      <c r="AN165" s="111"/>
      <c r="AO165" s="111"/>
      <c r="AP165" s="111"/>
      <c r="AQ165" s="111"/>
      <c r="AR165" s="111"/>
      <c r="AS165" s="111"/>
      <c r="AT165" s="111"/>
      <c r="AU165" s="111"/>
      <c r="AV165" s="111"/>
      <c r="AW165" s="111"/>
      <c r="AX165" s="111"/>
      <c r="AY165" s="111"/>
      <c r="AZ165" s="111"/>
      <c r="BA165" s="111"/>
      <c r="BB165" s="111"/>
      <c r="BC165" s="111"/>
      <c r="BD165" s="111"/>
      <c r="BE165" s="111"/>
      <c r="BF165" s="111"/>
      <c r="BG165" s="111"/>
      <c r="BH165" s="111"/>
      <c r="BI165" s="111"/>
      <c r="BJ165" s="111"/>
      <c r="BK165" s="111"/>
      <c r="BL165" s="111"/>
      <c r="BM165" s="111"/>
      <c r="BN165" s="111"/>
      <c r="BO165" s="111"/>
      <c r="BP165" s="111"/>
      <c r="BQ165" s="111"/>
      <c r="BR165" s="111"/>
      <c r="BS165" s="111"/>
      <c r="BT165" s="111"/>
      <c r="BU165" s="111"/>
      <c r="BV165" s="111"/>
      <c r="BW165" s="111"/>
      <c r="BX165" s="111"/>
      <c r="BY165" s="111"/>
      <c r="BZ165" s="111"/>
      <c r="CA165" s="111"/>
      <c r="CB165" s="111"/>
      <c r="CC165" s="111"/>
      <c r="CD165" s="111"/>
      <c r="CE165" s="111"/>
      <c r="CF165" s="111"/>
      <c r="CG165" s="111"/>
      <c r="CH165" s="111"/>
      <c r="CI165" s="111"/>
      <c r="CJ165" s="111"/>
      <c r="CK165" s="111"/>
      <c r="CL165" s="111"/>
      <c r="CM165" s="111"/>
      <c r="CN165" s="111"/>
      <c r="CO165" s="111"/>
      <c r="CP165" s="111"/>
      <c r="CQ165" s="111"/>
      <c r="CR165" s="111"/>
      <c r="CS165" s="111"/>
      <c r="CT165" s="111"/>
      <c r="CU165" s="111"/>
      <c r="CV165" s="111"/>
      <c r="CW165" s="111"/>
      <c r="CX165" s="111"/>
      <c r="CY165" s="111"/>
      <c r="CZ165" s="111"/>
      <c r="DA165" s="111"/>
      <c r="DB165" s="111"/>
      <c r="DC165" s="111"/>
      <c r="DD165" s="111"/>
      <c r="DE165" s="111"/>
      <c r="DF165" s="111"/>
      <c r="DG165" s="111"/>
      <c r="DH165" s="111"/>
      <c r="DI165" s="111"/>
      <c r="DJ165" s="111"/>
      <c r="DK165" s="111"/>
      <c r="DL165" s="111"/>
      <c r="DM165" s="111"/>
      <c r="DN165" s="111"/>
      <c r="DO165" s="111"/>
      <c r="DP165" s="111"/>
      <c r="DQ165" s="111"/>
      <c r="DR165" s="111"/>
      <c r="DS165" s="111"/>
      <c r="DT165" s="111"/>
      <c r="DU165" s="111"/>
      <c r="DV165" s="111"/>
      <c r="DW165" s="111"/>
      <c r="DX165" s="111"/>
    </row>
    <row r="166" spans="1:128" s="3" customFormat="1" ht="12.75" customHeight="1" x14ac:dyDescent="0.3">
      <c r="A166" s="85"/>
      <c r="F166" s="66"/>
      <c r="G166" s="66"/>
      <c r="H166" s="111"/>
      <c r="I166" s="111"/>
      <c r="J166" s="111"/>
      <c r="K166" s="111"/>
      <c r="L166" s="111"/>
      <c r="M166" s="111"/>
      <c r="N166" s="111"/>
      <c r="O166" s="111"/>
      <c r="P166" s="111"/>
      <c r="Q166" s="111"/>
      <c r="R166" s="111"/>
      <c r="S166" s="111"/>
      <c r="T166" s="111"/>
      <c r="U166" s="111"/>
      <c r="V166" s="111"/>
      <c r="W166" s="111"/>
      <c r="X166" s="111"/>
      <c r="Y166" s="111"/>
      <c r="Z166" s="111"/>
      <c r="AA166" s="111"/>
      <c r="AB166" s="111"/>
      <c r="AC166" s="111"/>
      <c r="AD166" s="111"/>
      <c r="AE166" s="111"/>
      <c r="AF166" s="111"/>
      <c r="AG166" s="111"/>
      <c r="AH166" s="111"/>
      <c r="AI166" s="111"/>
      <c r="AJ166" s="111"/>
      <c r="AK166" s="111"/>
      <c r="AL166" s="111"/>
      <c r="AM166" s="111"/>
      <c r="AN166" s="111"/>
      <c r="AO166" s="111"/>
      <c r="AP166" s="111"/>
      <c r="AQ166" s="111"/>
      <c r="AR166" s="111"/>
      <c r="AS166" s="111"/>
      <c r="AT166" s="111"/>
      <c r="AU166" s="111"/>
      <c r="AV166" s="111"/>
      <c r="AW166" s="111"/>
      <c r="AX166" s="111"/>
      <c r="AY166" s="111"/>
      <c r="AZ166" s="111"/>
      <c r="BA166" s="111"/>
      <c r="BB166" s="111"/>
      <c r="BC166" s="111"/>
      <c r="BD166" s="111"/>
      <c r="BE166" s="111"/>
      <c r="BF166" s="111"/>
      <c r="BG166" s="111"/>
      <c r="BH166" s="111"/>
      <c r="BI166" s="111"/>
      <c r="BJ166" s="111"/>
      <c r="BK166" s="111"/>
      <c r="BL166" s="111"/>
      <c r="BM166" s="111"/>
      <c r="BN166" s="111"/>
      <c r="BO166" s="111"/>
      <c r="BP166" s="111"/>
      <c r="BQ166" s="111"/>
      <c r="BR166" s="111"/>
      <c r="BS166" s="111"/>
      <c r="BT166" s="111"/>
      <c r="BU166" s="111"/>
      <c r="BV166" s="111"/>
      <c r="BW166" s="111"/>
      <c r="BX166" s="111"/>
      <c r="BY166" s="111"/>
      <c r="BZ166" s="111"/>
      <c r="CA166" s="111"/>
      <c r="CB166" s="111"/>
      <c r="CC166" s="111"/>
      <c r="CD166" s="111"/>
      <c r="CE166" s="111"/>
      <c r="CF166" s="111"/>
      <c r="CG166" s="111"/>
      <c r="CH166" s="111"/>
      <c r="CI166" s="111"/>
      <c r="CJ166" s="111"/>
      <c r="CK166" s="111"/>
      <c r="CL166" s="111"/>
      <c r="CM166" s="111"/>
      <c r="CN166" s="111"/>
      <c r="CO166" s="111"/>
      <c r="CP166" s="111"/>
      <c r="CQ166" s="111"/>
      <c r="CR166" s="111"/>
      <c r="CS166" s="111"/>
      <c r="CT166" s="111"/>
      <c r="CU166" s="111"/>
      <c r="CV166" s="111"/>
      <c r="CW166" s="111"/>
      <c r="CX166" s="111"/>
      <c r="CY166" s="111"/>
      <c r="CZ166" s="111"/>
      <c r="DA166" s="111"/>
      <c r="DB166" s="111"/>
      <c r="DC166" s="111"/>
      <c r="DD166" s="111"/>
      <c r="DE166" s="111"/>
      <c r="DF166" s="111"/>
      <c r="DG166" s="111"/>
      <c r="DH166" s="111"/>
      <c r="DI166" s="111"/>
      <c r="DJ166" s="111"/>
      <c r="DK166" s="111"/>
      <c r="DL166" s="111"/>
      <c r="DM166" s="111"/>
      <c r="DN166" s="111"/>
      <c r="DO166" s="111"/>
      <c r="DP166" s="111"/>
      <c r="DQ166" s="111"/>
      <c r="DR166" s="111"/>
      <c r="DS166" s="111"/>
      <c r="DT166" s="111"/>
      <c r="DU166" s="111"/>
      <c r="DV166" s="111"/>
      <c r="DW166" s="111"/>
      <c r="DX166" s="111"/>
    </row>
    <row r="167" spans="1:128" s="3" customFormat="1" ht="12.75" customHeight="1" x14ac:dyDescent="0.3">
      <c r="A167" s="85"/>
      <c r="F167" s="66"/>
      <c r="G167" s="66"/>
      <c r="H167" s="111"/>
      <c r="I167" s="111"/>
      <c r="J167" s="111"/>
      <c r="K167" s="111"/>
      <c r="L167" s="111"/>
      <c r="M167" s="111"/>
      <c r="N167" s="111"/>
      <c r="O167" s="111"/>
      <c r="P167" s="111"/>
      <c r="Q167" s="111"/>
      <c r="R167" s="111"/>
      <c r="S167" s="111"/>
      <c r="T167" s="111"/>
      <c r="U167" s="111"/>
      <c r="V167" s="111"/>
      <c r="W167" s="111"/>
      <c r="X167" s="111"/>
      <c r="Y167" s="111"/>
      <c r="Z167" s="111"/>
      <c r="AA167" s="111"/>
      <c r="AB167" s="111"/>
      <c r="AC167" s="111"/>
      <c r="AD167" s="111"/>
      <c r="AE167" s="111"/>
      <c r="AF167" s="111"/>
      <c r="AG167" s="111"/>
      <c r="AH167" s="111"/>
      <c r="AI167" s="111"/>
      <c r="AJ167" s="111"/>
      <c r="AK167" s="111"/>
      <c r="AL167" s="111"/>
      <c r="AM167" s="111"/>
      <c r="AN167" s="111"/>
      <c r="AO167" s="111"/>
      <c r="AP167" s="111"/>
      <c r="AQ167" s="111"/>
      <c r="AR167" s="111"/>
      <c r="AS167" s="111"/>
      <c r="AT167" s="111"/>
      <c r="AU167" s="111"/>
      <c r="AV167" s="111"/>
      <c r="AW167" s="111"/>
      <c r="AX167" s="111"/>
      <c r="AY167" s="111"/>
      <c r="AZ167" s="111"/>
      <c r="BA167" s="111"/>
      <c r="BB167" s="111"/>
      <c r="BC167" s="111"/>
      <c r="BD167" s="111"/>
      <c r="BE167" s="111"/>
      <c r="BF167" s="111"/>
      <c r="BG167" s="111"/>
      <c r="BH167" s="111"/>
      <c r="BI167" s="111"/>
      <c r="BJ167" s="111"/>
      <c r="BK167" s="111"/>
      <c r="BL167" s="111"/>
      <c r="BM167" s="111"/>
      <c r="BN167" s="111"/>
      <c r="BO167" s="111"/>
      <c r="BP167" s="111"/>
      <c r="BQ167" s="111"/>
      <c r="BR167" s="111"/>
      <c r="BS167" s="111"/>
      <c r="BT167" s="111"/>
      <c r="BU167" s="111"/>
      <c r="BV167" s="111"/>
      <c r="BW167" s="111"/>
      <c r="BX167" s="111"/>
      <c r="BY167" s="111"/>
      <c r="BZ167" s="111"/>
      <c r="CA167" s="111"/>
      <c r="CB167" s="111"/>
      <c r="CC167" s="111"/>
      <c r="CD167" s="111"/>
      <c r="CE167" s="111"/>
      <c r="CF167" s="111"/>
      <c r="CG167" s="111"/>
      <c r="CH167" s="111"/>
      <c r="CI167" s="111"/>
      <c r="CJ167" s="111"/>
      <c r="CK167" s="111"/>
      <c r="CL167" s="111"/>
      <c r="CM167" s="111"/>
      <c r="CN167" s="111"/>
      <c r="CO167" s="111"/>
      <c r="CP167" s="111"/>
      <c r="CQ167" s="111"/>
      <c r="CR167" s="111"/>
      <c r="CS167" s="111"/>
      <c r="CT167" s="111"/>
      <c r="CU167" s="111"/>
      <c r="CV167" s="111"/>
      <c r="CW167" s="111"/>
      <c r="CX167" s="111"/>
      <c r="CY167" s="111"/>
      <c r="CZ167" s="111"/>
      <c r="DA167" s="111"/>
      <c r="DB167" s="111"/>
      <c r="DC167" s="111"/>
      <c r="DD167" s="111"/>
      <c r="DE167" s="111"/>
      <c r="DF167" s="111"/>
      <c r="DG167" s="111"/>
      <c r="DH167" s="111"/>
      <c r="DI167" s="111"/>
      <c r="DJ167" s="111"/>
      <c r="DK167" s="111"/>
      <c r="DL167" s="111"/>
      <c r="DM167" s="111"/>
      <c r="DN167" s="111"/>
      <c r="DO167" s="111"/>
      <c r="DP167" s="111"/>
      <c r="DQ167" s="111"/>
      <c r="DR167" s="111"/>
      <c r="DS167" s="111"/>
      <c r="DT167" s="111"/>
      <c r="DU167" s="111"/>
      <c r="DV167" s="111"/>
      <c r="DW167" s="111"/>
      <c r="DX167" s="111"/>
    </row>
    <row r="168" spans="1:128" s="3" customFormat="1" ht="12.75" customHeight="1" x14ac:dyDescent="0.3">
      <c r="A168" s="85"/>
      <c r="F168" s="66"/>
      <c r="G168" s="66"/>
      <c r="H168" s="111"/>
      <c r="I168" s="111"/>
      <c r="J168" s="111"/>
      <c r="K168" s="111"/>
      <c r="L168" s="111"/>
      <c r="M168" s="111"/>
      <c r="N168" s="111"/>
      <c r="O168" s="111"/>
      <c r="P168" s="111"/>
      <c r="Q168" s="111"/>
      <c r="R168" s="111"/>
      <c r="S168" s="111"/>
      <c r="T168" s="111"/>
      <c r="U168" s="111"/>
      <c r="V168" s="111"/>
      <c r="W168" s="111"/>
      <c r="X168" s="111"/>
      <c r="Y168" s="111"/>
      <c r="Z168" s="111"/>
      <c r="AA168" s="111"/>
      <c r="AB168" s="111"/>
      <c r="AC168" s="111"/>
      <c r="AD168" s="111"/>
      <c r="AE168" s="111"/>
      <c r="AF168" s="111"/>
      <c r="AG168" s="111"/>
      <c r="AH168" s="111"/>
      <c r="AI168" s="111"/>
      <c r="AJ168" s="111"/>
      <c r="AK168" s="111"/>
      <c r="AL168" s="111"/>
      <c r="AM168" s="111"/>
      <c r="AN168" s="111"/>
      <c r="AO168" s="111"/>
      <c r="AP168" s="111"/>
      <c r="AQ168" s="111"/>
      <c r="AR168" s="111"/>
      <c r="AS168" s="111"/>
      <c r="AT168" s="111"/>
      <c r="AU168" s="111"/>
      <c r="AV168" s="111"/>
      <c r="AW168" s="111"/>
      <c r="AX168" s="111"/>
      <c r="AY168" s="111"/>
      <c r="AZ168" s="111"/>
      <c r="BA168" s="111"/>
      <c r="BB168" s="111"/>
      <c r="BC168" s="111"/>
      <c r="BD168" s="111"/>
      <c r="BE168" s="111"/>
      <c r="BF168" s="111"/>
      <c r="BG168" s="111"/>
      <c r="BH168" s="111"/>
      <c r="BI168" s="111"/>
      <c r="BJ168" s="111"/>
      <c r="BK168" s="111"/>
      <c r="BL168" s="111"/>
      <c r="BM168" s="111"/>
      <c r="BN168" s="111"/>
      <c r="BO168" s="111"/>
      <c r="BP168" s="111"/>
      <c r="BQ168" s="111"/>
      <c r="BR168" s="111"/>
      <c r="BS168" s="111"/>
      <c r="BT168" s="111"/>
      <c r="BU168" s="111"/>
      <c r="BV168" s="111"/>
      <c r="BW168" s="111"/>
      <c r="BX168" s="111"/>
      <c r="BY168" s="111"/>
      <c r="BZ168" s="111"/>
      <c r="CA168" s="111"/>
      <c r="CB168" s="111"/>
      <c r="CC168" s="111"/>
      <c r="CD168" s="111"/>
      <c r="CE168" s="111"/>
      <c r="CF168" s="111"/>
      <c r="CG168" s="111"/>
      <c r="CH168" s="111"/>
      <c r="CI168" s="111"/>
      <c r="CJ168" s="111"/>
      <c r="CK168" s="111"/>
      <c r="CL168" s="111"/>
      <c r="CM168" s="111"/>
      <c r="CN168" s="111"/>
      <c r="CO168" s="111"/>
      <c r="CP168" s="111"/>
      <c r="CQ168" s="111"/>
      <c r="CR168" s="111"/>
      <c r="CS168" s="111"/>
      <c r="CT168" s="111"/>
      <c r="CU168" s="111"/>
      <c r="CV168" s="111"/>
      <c r="CW168" s="111"/>
      <c r="CX168" s="111"/>
      <c r="CY168" s="111"/>
      <c r="CZ168" s="111"/>
      <c r="DA168" s="111"/>
      <c r="DB168" s="111"/>
      <c r="DC168" s="111"/>
      <c r="DD168" s="111"/>
      <c r="DE168" s="111"/>
      <c r="DF168" s="111"/>
      <c r="DG168" s="111"/>
      <c r="DH168" s="111"/>
      <c r="DI168" s="111"/>
      <c r="DJ168" s="111"/>
      <c r="DK168" s="111"/>
      <c r="DL168" s="111"/>
      <c r="DM168" s="111"/>
      <c r="DN168" s="111"/>
      <c r="DO168" s="111"/>
      <c r="DP168" s="111"/>
      <c r="DQ168" s="111"/>
      <c r="DR168" s="111"/>
      <c r="DS168" s="111"/>
      <c r="DT168" s="111"/>
      <c r="DU168" s="111"/>
      <c r="DV168" s="111"/>
      <c r="DW168" s="111"/>
      <c r="DX168" s="111"/>
    </row>
    <row r="169" spans="1:128" s="3" customFormat="1" ht="12.75" customHeight="1" x14ac:dyDescent="0.3">
      <c r="A169" s="85"/>
      <c r="F169" s="66"/>
      <c r="G169" s="66"/>
      <c r="H169" s="111"/>
      <c r="I169" s="111"/>
      <c r="J169" s="111"/>
      <c r="K169" s="111"/>
      <c r="L169" s="111"/>
      <c r="M169" s="111"/>
      <c r="N169" s="111"/>
      <c r="O169" s="111"/>
      <c r="P169" s="111"/>
      <c r="Q169" s="111"/>
      <c r="R169" s="111"/>
      <c r="S169" s="111"/>
      <c r="T169" s="111"/>
      <c r="U169" s="111"/>
      <c r="V169" s="111"/>
      <c r="W169" s="111"/>
      <c r="X169" s="111"/>
      <c r="Y169" s="111"/>
      <c r="Z169" s="111"/>
      <c r="AA169" s="111"/>
      <c r="AB169" s="111"/>
      <c r="AC169" s="111"/>
      <c r="AD169" s="111"/>
      <c r="AE169" s="111"/>
      <c r="AF169" s="111"/>
      <c r="AG169" s="111"/>
      <c r="AH169" s="111"/>
      <c r="AI169" s="111"/>
      <c r="AJ169" s="111"/>
      <c r="AK169" s="111"/>
      <c r="AL169" s="111"/>
      <c r="AM169" s="111"/>
      <c r="AN169" s="111"/>
      <c r="AO169" s="111"/>
      <c r="AP169" s="111"/>
      <c r="AQ169" s="111"/>
      <c r="AR169" s="111"/>
      <c r="AS169" s="111"/>
      <c r="AT169" s="111"/>
      <c r="AU169" s="111"/>
      <c r="AV169" s="111"/>
      <c r="AW169" s="111"/>
      <c r="AX169" s="111"/>
      <c r="AY169" s="111"/>
      <c r="AZ169" s="111"/>
      <c r="BA169" s="111"/>
      <c r="BB169" s="111"/>
      <c r="BC169" s="111"/>
      <c r="BD169" s="111"/>
      <c r="BE169" s="111"/>
      <c r="BF169" s="111"/>
      <c r="BG169" s="111"/>
      <c r="BH169" s="111"/>
      <c r="BI169" s="111"/>
      <c r="BJ169" s="111"/>
      <c r="BK169" s="111"/>
      <c r="BL169" s="111"/>
      <c r="BM169" s="111"/>
      <c r="BN169" s="111"/>
      <c r="BO169" s="111"/>
      <c r="BP169" s="111"/>
      <c r="BQ169" s="111"/>
      <c r="BR169" s="111"/>
      <c r="BS169" s="111"/>
      <c r="BT169" s="111"/>
      <c r="BU169" s="111"/>
      <c r="BV169" s="111"/>
      <c r="BW169" s="111"/>
      <c r="BX169" s="111"/>
      <c r="BY169" s="111"/>
      <c r="BZ169" s="111"/>
      <c r="CA169" s="111"/>
      <c r="CB169" s="111"/>
      <c r="CC169" s="111"/>
      <c r="CD169" s="111"/>
      <c r="CE169" s="111"/>
      <c r="CF169" s="111"/>
      <c r="CG169" s="111"/>
      <c r="CH169" s="111"/>
      <c r="CI169" s="111"/>
      <c r="CJ169" s="111"/>
      <c r="CK169" s="111"/>
      <c r="CL169" s="111"/>
      <c r="CM169" s="111"/>
      <c r="CN169" s="111"/>
      <c r="CO169" s="111"/>
      <c r="CP169" s="111"/>
      <c r="CQ169" s="111"/>
      <c r="CR169" s="111"/>
      <c r="CS169" s="111"/>
      <c r="CT169" s="111"/>
      <c r="CU169" s="111"/>
      <c r="CV169" s="111"/>
      <c r="CW169" s="111"/>
      <c r="CX169" s="111"/>
      <c r="CY169" s="111"/>
      <c r="CZ169" s="111"/>
      <c r="DA169" s="111"/>
      <c r="DB169" s="111"/>
      <c r="DC169" s="111"/>
      <c r="DD169" s="111"/>
      <c r="DE169" s="111"/>
      <c r="DF169" s="111"/>
      <c r="DG169" s="111"/>
      <c r="DH169" s="111"/>
      <c r="DI169" s="111"/>
      <c r="DJ169" s="111"/>
      <c r="DK169" s="111"/>
      <c r="DL169" s="111"/>
      <c r="DM169" s="111"/>
      <c r="DN169" s="111"/>
      <c r="DO169" s="111"/>
      <c r="DP169" s="111"/>
      <c r="DQ169" s="111"/>
      <c r="DR169" s="111"/>
      <c r="DS169" s="111"/>
      <c r="DT169" s="111"/>
      <c r="DU169" s="111"/>
      <c r="DV169" s="111"/>
      <c r="DW169" s="111"/>
      <c r="DX169" s="111"/>
    </row>
    <row r="170" spans="1:128" s="3" customFormat="1" ht="12.75" customHeight="1" x14ac:dyDescent="0.3">
      <c r="A170" s="85"/>
      <c r="F170" s="66"/>
      <c r="G170" s="66"/>
      <c r="H170" s="111"/>
      <c r="I170" s="111"/>
      <c r="J170" s="111"/>
      <c r="K170" s="111"/>
      <c r="L170" s="111"/>
      <c r="M170" s="111"/>
      <c r="N170" s="111"/>
      <c r="O170" s="111"/>
      <c r="P170" s="111"/>
      <c r="Q170" s="111"/>
      <c r="R170" s="111"/>
      <c r="S170" s="111"/>
      <c r="T170" s="111"/>
      <c r="U170" s="111"/>
      <c r="V170" s="111"/>
      <c r="W170" s="111"/>
      <c r="X170" s="111"/>
      <c r="Y170" s="111"/>
      <c r="Z170" s="111"/>
      <c r="AA170" s="111"/>
      <c r="AB170" s="111"/>
      <c r="AC170" s="111"/>
      <c r="AD170" s="111"/>
      <c r="AE170" s="111"/>
      <c r="AF170" s="111"/>
      <c r="AG170" s="111"/>
      <c r="AH170" s="111"/>
      <c r="AI170" s="111"/>
      <c r="AJ170" s="111"/>
      <c r="AK170" s="111"/>
      <c r="AL170" s="111"/>
      <c r="AM170" s="111"/>
      <c r="AN170" s="111"/>
      <c r="AO170" s="111"/>
      <c r="AP170" s="111"/>
      <c r="AQ170" s="111"/>
      <c r="AR170" s="111"/>
      <c r="AS170" s="111"/>
      <c r="AT170" s="111"/>
      <c r="AU170" s="111"/>
      <c r="AV170" s="111"/>
      <c r="AW170" s="111"/>
      <c r="AX170" s="111"/>
      <c r="AY170" s="111"/>
      <c r="AZ170" s="111"/>
      <c r="BA170" s="111"/>
      <c r="BB170" s="111"/>
      <c r="BC170" s="111"/>
      <c r="BD170" s="111"/>
      <c r="BE170" s="111"/>
      <c r="BF170" s="111"/>
      <c r="BG170" s="111"/>
      <c r="BH170" s="111"/>
      <c r="BI170" s="111"/>
      <c r="BJ170" s="111"/>
      <c r="BK170" s="111"/>
      <c r="BL170" s="111"/>
      <c r="BM170" s="111"/>
      <c r="BN170" s="111"/>
      <c r="BO170" s="111"/>
      <c r="BP170" s="111"/>
      <c r="BQ170" s="111"/>
      <c r="BR170" s="111"/>
      <c r="BS170" s="111"/>
      <c r="BT170" s="111"/>
      <c r="BU170" s="111"/>
      <c r="BV170" s="111"/>
      <c r="BW170" s="111"/>
      <c r="BX170" s="111"/>
      <c r="BY170" s="111"/>
      <c r="BZ170" s="111"/>
      <c r="CA170" s="111"/>
      <c r="CB170" s="111"/>
      <c r="CC170" s="111"/>
      <c r="CD170" s="111"/>
      <c r="CE170" s="111"/>
      <c r="CF170" s="111"/>
      <c r="CG170" s="111"/>
      <c r="CH170" s="111"/>
      <c r="CI170" s="111"/>
      <c r="CJ170" s="111"/>
      <c r="CK170" s="111"/>
      <c r="CL170" s="111"/>
      <c r="CM170" s="111"/>
      <c r="CN170" s="111"/>
      <c r="CO170" s="111"/>
      <c r="CP170" s="111"/>
      <c r="CQ170" s="111"/>
      <c r="CR170" s="111"/>
      <c r="CS170" s="111"/>
      <c r="CT170" s="111"/>
      <c r="CU170" s="111"/>
      <c r="CV170" s="111"/>
      <c r="CW170" s="111"/>
      <c r="CX170" s="111"/>
      <c r="CY170" s="111"/>
      <c r="CZ170" s="111"/>
      <c r="DA170" s="111"/>
      <c r="DB170" s="111"/>
      <c r="DC170" s="111"/>
      <c r="DD170" s="111"/>
      <c r="DE170" s="111"/>
      <c r="DF170" s="111"/>
      <c r="DG170" s="111"/>
      <c r="DH170" s="111"/>
      <c r="DI170" s="111"/>
      <c r="DJ170" s="111"/>
      <c r="DK170" s="111"/>
      <c r="DL170" s="111"/>
      <c r="DM170" s="111"/>
      <c r="DN170" s="111"/>
      <c r="DO170" s="111"/>
      <c r="DP170" s="111"/>
      <c r="DQ170" s="111"/>
      <c r="DR170" s="111"/>
      <c r="DS170" s="111"/>
      <c r="DT170" s="111"/>
      <c r="DU170" s="111"/>
      <c r="DV170" s="111"/>
      <c r="DW170" s="111"/>
      <c r="DX170" s="111"/>
    </row>
    <row r="171" spans="1:128" s="3" customFormat="1" ht="12.75" customHeight="1" x14ac:dyDescent="0.3">
      <c r="A171" s="85"/>
      <c r="F171" s="66"/>
      <c r="G171" s="66"/>
      <c r="H171" s="111"/>
      <c r="I171" s="111"/>
      <c r="J171" s="111"/>
      <c r="K171" s="111"/>
      <c r="L171" s="111"/>
      <c r="M171" s="111"/>
      <c r="N171" s="111"/>
      <c r="O171" s="111"/>
      <c r="P171" s="111"/>
      <c r="Q171" s="111"/>
      <c r="R171" s="111"/>
      <c r="S171" s="111"/>
      <c r="T171" s="111"/>
      <c r="U171" s="111"/>
      <c r="V171" s="111"/>
      <c r="W171" s="111"/>
      <c r="X171" s="111"/>
      <c r="Y171" s="111"/>
      <c r="Z171" s="111"/>
      <c r="AA171" s="111"/>
      <c r="AB171" s="111"/>
      <c r="AC171" s="111"/>
      <c r="AD171" s="111"/>
      <c r="AE171" s="111"/>
      <c r="AF171" s="111"/>
      <c r="AG171" s="111"/>
      <c r="AH171" s="111"/>
      <c r="AI171" s="111"/>
      <c r="AJ171" s="111"/>
      <c r="AK171" s="111"/>
      <c r="AL171" s="111"/>
      <c r="AM171" s="111"/>
      <c r="AN171" s="111"/>
      <c r="AO171" s="111"/>
      <c r="AP171" s="111"/>
      <c r="AQ171" s="111"/>
      <c r="AR171" s="111"/>
      <c r="AS171" s="111"/>
      <c r="AT171" s="111"/>
      <c r="AU171" s="111"/>
      <c r="AV171" s="111"/>
      <c r="AW171" s="111"/>
      <c r="AX171" s="111"/>
      <c r="AY171" s="111"/>
      <c r="AZ171" s="111"/>
      <c r="BA171" s="111"/>
      <c r="BB171" s="111"/>
      <c r="BC171" s="111"/>
      <c r="BD171" s="111"/>
      <c r="BE171" s="111"/>
      <c r="BF171" s="111"/>
      <c r="BG171" s="111"/>
      <c r="BH171" s="111"/>
      <c r="BI171" s="111"/>
      <c r="BJ171" s="111"/>
      <c r="BK171" s="111"/>
      <c r="BL171" s="111"/>
      <c r="BM171" s="111"/>
      <c r="BN171" s="111"/>
      <c r="BO171" s="111"/>
      <c r="BP171" s="111"/>
      <c r="BQ171" s="111"/>
      <c r="BR171" s="111"/>
      <c r="BS171" s="111"/>
      <c r="BT171" s="111"/>
      <c r="BU171" s="111"/>
      <c r="BV171" s="111"/>
      <c r="BW171" s="111"/>
      <c r="BX171" s="111"/>
      <c r="BY171" s="111"/>
      <c r="BZ171" s="111"/>
      <c r="CA171" s="111"/>
      <c r="CB171" s="111"/>
      <c r="CC171" s="111"/>
      <c r="CD171" s="111"/>
      <c r="CE171" s="111"/>
      <c r="CF171" s="111"/>
      <c r="CG171" s="111"/>
      <c r="CH171" s="111"/>
      <c r="CI171" s="111"/>
      <c r="CJ171" s="111"/>
      <c r="CK171" s="111"/>
      <c r="CL171" s="111"/>
      <c r="CM171" s="111"/>
      <c r="CN171" s="111"/>
      <c r="CO171" s="111"/>
      <c r="CP171" s="111"/>
      <c r="CQ171" s="111"/>
      <c r="CR171" s="111"/>
      <c r="CS171" s="111"/>
      <c r="CT171" s="111"/>
      <c r="CU171" s="111"/>
      <c r="CV171" s="111"/>
      <c r="CW171" s="111"/>
      <c r="CX171" s="111"/>
      <c r="CY171" s="111"/>
      <c r="CZ171" s="111"/>
      <c r="DA171" s="111"/>
      <c r="DB171" s="111"/>
      <c r="DC171" s="111"/>
      <c r="DD171" s="111"/>
      <c r="DE171" s="111"/>
      <c r="DF171" s="111"/>
      <c r="DG171" s="111"/>
      <c r="DH171" s="111"/>
      <c r="DI171" s="111"/>
      <c r="DJ171" s="111"/>
      <c r="DK171" s="111"/>
      <c r="DL171" s="111"/>
      <c r="DM171" s="111"/>
      <c r="DN171" s="111"/>
      <c r="DO171" s="111"/>
      <c r="DP171" s="111"/>
      <c r="DQ171" s="111"/>
      <c r="DR171" s="111"/>
      <c r="DS171" s="111"/>
      <c r="DT171" s="111"/>
      <c r="DU171" s="111"/>
      <c r="DV171" s="111"/>
      <c r="DW171" s="111"/>
      <c r="DX171" s="111"/>
    </row>
    <row r="172" spans="1:128" s="3" customFormat="1" ht="12.75" customHeight="1" x14ac:dyDescent="0.3">
      <c r="A172" s="85"/>
      <c r="F172" s="66"/>
      <c r="G172" s="66"/>
      <c r="H172" s="111"/>
      <c r="I172" s="111"/>
      <c r="J172" s="111"/>
      <c r="K172" s="111"/>
      <c r="L172" s="111"/>
      <c r="M172" s="111"/>
      <c r="N172" s="111"/>
      <c r="O172" s="111"/>
      <c r="P172" s="111"/>
      <c r="Q172" s="111"/>
      <c r="R172" s="111"/>
      <c r="S172" s="111"/>
      <c r="T172" s="111"/>
      <c r="U172" s="111"/>
      <c r="V172" s="111"/>
      <c r="W172" s="111"/>
      <c r="X172" s="111"/>
      <c r="Y172" s="111"/>
      <c r="Z172" s="111"/>
      <c r="AA172" s="111"/>
      <c r="AB172" s="111"/>
      <c r="AC172" s="111"/>
      <c r="AD172" s="111"/>
      <c r="AE172" s="111"/>
      <c r="AF172" s="111"/>
      <c r="AG172" s="111"/>
      <c r="AH172" s="111"/>
      <c r="AI172" s="111"/>
      <c r="AJ172" s="111"/>
      <c r="AK172" s="111"/>
      <c r="AL172" s="111"/>
      <c r="AM172" s="111"/>
      <c r="AN172" s="111"/>
      <c r="AO172" s="111"/>
      <c r="AP172" s="111"/>
      <c r="AQ172" s="111"/>
      <c r="AR172" s="111"/>
      <c r="AS172" s="111"/>
      <c r="AT172" s="111"/>
      <c r="AU172" s="111"/>
      <c r="AV172" s="111"/>
      <c r="AW172" s="111"/>
      <c r="AX172" s="111"/>
      <c r="AY172" s="111"/>
      <c r="AZ172" s="111"/>
      <c r="BA172" s="111"/>
      <c r="BB172" s="111"/>
      <c r="BC172" s="111"/>
      <c r="BD172" s="111"/>
      <c r="BE172" s="111"/>
      <c r="BF172" s="111"/>
      <c r="BG172" s="111"/>
      <c r="BH172" s="111"/>
      <c r="BI172" s="111"/>
      <c r="BJ172" s="111"/>
      <c r="BK172" s="111"/>
      <c r="BL172" s="111"/>
      <c r="BM172" s="111"/>
      <c r="BN172" s="111"/>
      <c r="BO172" s="111"/>
      <c r="BP172" s="111"/>
      <c r="BQ172" s="111"/>
      <c r="BR172" s="111"/>
      <c r="BS172" s="111"/>
      <c r="BT172" s="111"/>
      <c r="BU172" s="111"/>
      <c r="BV172" s="111"/>
      <c r="BW172" s="111"/>
      <c r="BX172" s="111"/>
      <c r="BY172" s="111"/>
      <c r="BZ172" s="111"/>
      <c r="CA172" s="111"/>
      <c r="CB172" s="111"/>
      <c r="CC172" s="111"/>
      <c r="CD172" s="111"/>
      <c r="CE172" s="111"/>
      <c r="CF172" s="111"/>
      <c r="CG172" s="111"/>
      <c r="CH172" s="111"/>
      <c r="CI172" s="111"/>
      <c r="CJ172" s="111"/>
      <c r="CK172" s="111"/>
      <c r="CL172" s="111"/>
      <c r="CM172" s="111"/>
      <c r="CN172" s="111"/>
      <c r="CO172" s="111"/>
      <c r="CP172" s="111"/>
      <c r="CQ172" s="111"/>
      <c r="CR172" s="111"/>
      <c r="CS172" s="111"/>
      <c r="CT172" s="111"/>
      <c r="CU172" s="111"/>
      <c r="CV172" s="111"/>
      <c r="CW172" s="111"/>
      <c r="CX172" s="111"/>
      <c r="CY172" s="111"/>
      <c r="CZ172" s="111"/>
      <c r="DA172" s="111"/>
      <c r="DB172" s="111"/>
      <c r="DC172" s="111"/>
      <c r="DD172" s="111"/>
      <c r="DE172" s="111"/>
      <c r="DF172" s="111"/>
      <c r="DG172" s="111"/>
      <c r="DH172" s="111"/>
      <c r="DI172" s="111"/>
      <c r="DJ172" s="111"/>
      <c r="DK172" s="111"/>
      <c r="DL172" s="111"/>
      <c r="DM172" s="111"/>
      <c r="DN172" s="111"/>
      <c r="DO172" s="111"/>
      <c r="DP172" s="111"/>
      <c r="DQ172" s="111"/>
      <c r="DR172" s="111"/>
      <c r="DS172" s="111"/>
      <c r="DT172" s="111"/>
      <c r="DU172" s="111"/>
      <c r="DV172" s="111"/>
      <c r="DW172" s="111"/>
      <c r="DX172" s="111"/>
    </row>
    <row r="173" spans="1:128" s="3" customFormat="1" ht="12.75" customHeight="1" x14ac:dyDescent="0.3">
      <c r="A173" s="85"/>
      <c r="F173" s="66"/>
      <c r="G173" s="66"/>
      <c r="H173" s="111"/>
      <c r="I173" s="111"/>
      <c r="J173" s="111"/>
      <c r="K173" s="111"/>
      <c r="L173" s="111"/>
      <c r="M173" s="111"/>
      <c r="N173" s="111"/>
      <c r="O173" s="111"/>
      <c r="P173" s="111"/>
      <c r="Q173" s="111"/>
      <c r="R173" s="111"/>
      <c r="S173" s="111"/>
      <c r="T173" s="111"/>
      <c r="U173" s="111"/>
      <c r="V173" s="111"/>
      <c r="W173" s="111"/>
      <c r="X173" s="111"/>
      <c r="Y173" s="111"/>
      <c r="Z173" s="111"/>
      <c r="AA173" s="111"/>
      <c r="AB173" s="111"/>
      <c r="AC173" s="111"/>
      <c r="AD173" s="111"/>
      <c r="AE173" s="111"/>
      <c r="AF173" s="111"/>
      <c r="AG173" s="111"/>
      <c r="AH173" s="111"/>
      <c r="AI173" s="111"/>
      <c r="AJ173" s="111"/>
      <c r="AK173" s="111"/>
      <c r="AL173" s="111"/>
      <c r="AM173" s="111"/>
      <c r="AN173" s="111"/>
      <c r="AO173" s="111"/>
      <c r="AP173" s="111"/>
      <c r="AQ173" s="111"/>
      <c r="AR173" s="111"/>
      <c r="AS173" s="111"/>
      <c r="AT173" s="111"/>
      <c r="AU173" s="111"/>
      <c r="AV173" s="111"/>
      <c r="AW173" s="111"/>
      <c r="AX173" s="111"/>
      <c r="AY173" s="111"/>
      <c r="AZ173" s="111"/>
      <c r="BA173" s="111"/>
      <c r="BB173" s="111"/>
      <c r="BC173" s="111"/>
      <c r="BD173" s="111"/>
      <c r="BE173" s="111"/>
      <c r="BF173" s="111"/>
      <c r="BG173" s="111"/>
      <c r="BH173" s="111"/>
      <c r="BI173" s="111"/>
      <c r="BJ173" s="111"/>
      <c r="BK173" s="111"/>
      <c r="BL173" s="111"/>
      <c r="BM173" s="111"/>
      <c r="BN173" s="111"/>
      <c r="BO173" s="111"/>
      <c r="BP173" s="111"/>
      <c r="BQ173" s="111"/>
      <c r="BR173" s="111"/>
      <c r="BS173" s="111"/>
      <c r="BT173" s="111"/>
      <c r="BU173" s="111"/>
      <c r="BV173" s="111"/>
      <c r="BW173" s="111"/>
      <c r="BX173" s="111"/>
      <c r="BY173" s="111"/>
      <c r="BZ173" s="111"/>
      <c r="CA173" s="111"/>
      <c r="CB173" s="111"/>
      <c r="CC173" s="111"/>
      <c r="CD173" s="111"/>
      <c r="CE173" s="111"/>
      <c r="CF173" s="111"/>
      <c r="CG173" s="111"/>
      <c r="CH173" s="111"/>
      <c r="CI173" s="111"/>
      <c r="CJ173" s="111"/>
      <c r="CK173" s="111"/>
      <c r="CL173" s="111"/>
      <c r="CM173" s="111"/>
      <c r="CN173" s="111"/>
      <c r="CO173" s="111"/>
      <c r="CP173" s="111"/>
      <c r="CQ173" s="111"/>
      <c r="CR173" s="111"/>
      <c r="CS173" s="111"/>
      <c r="CT173" s="111"/>
      <c r="CU173" s="111"/>
      <c r="CV173" s="111"/>
      <c r="CW173" s="111"/>
      <c r="CX173" s="111"/>
      <c r="CY173" s="111"/>
      <c r="CZ173" s="111"/>
      <c r="DA173" s="111"/>
      <c r="DB173" s="111"/>
      <c r="DC173" s="111"/>
      <c r="DD173" s="111"/>
      <c r="DE173" s="111"/>
      <c r="DF173" s="111"/>
      <c r="DG173" s="111"/>
      <c r="DH173" s="111"/>
      <c r="DI173" s="111"/>
      <c r="DJ173" s="111"/>
      <c r="DK173" s="111"/>
      <c r="DL173" s="111"/>
      <c r="DM173" s="111"/>
      <c r="DN173" s="111"/>
      <c r="DO173" s="111"/>
      <c r="DP173" s="111"/>
      <c r="DQ173" s="111"/>
      <c r="DR173" s="111"/>
      <c r="DS173" s="111"/>
      <c r="DT173" s="111"/>
      <c r="DU173" s="111"/>
      <c r="DV173" s="111"/>
      <c r="DW173" s="111"/>
      <c r="DX173" s="111"/>
    </row>
    <row r="174" spans="1:128" s="3" customFormat="1" ht="12.75" customHeight="1" x14ac:dyDescent="0.3">
      <c r="A174" s="85"/>
      <c r="F174" s="66"/>
      <c r="G174" s="66"/>
      <c r="H174" s="111"/>
      <c r="I174" s="111"/>
      <c r="J174" s="111"/>
      <c r="K174" s="111"/>
      <c r="L174" s="111"/>
      <c r="M174" s="111"/>
      <c r="N174" s="111"/>
      <c r="O174" s="111"/>
      <c r="P174" s="111"/>
      <c r="Q174" s="111"/>
      <c r="R174" s="111"/>
      <c r="S174" s="111"/>
      <c r="T174" s="111"/>
      <c r="U174" s="111"/>
      <c r="V174" s="111"/>
      <c r="W174" s="111"/>
      <c r="X174" s="111"/>
      <c r="Y174" s="111"/>
      <c r="Z174" s="111"/>
      <c r="AA174" s="111"/>
      <c r="AB174" s="111"/>
      <c r="AC174" s="111"/>
      <c r="AD174" s="111"/>
      <c r="AE174" s="111"/>
      <c r="AF174" s="111"/>
      <c r="AG174" s="111"/>
      <c r="AH174" s="111"/>
      <c r="AI174" s="111"/>
      <c r="AJ174" s="111"/>
      <c r="AK174" s="111"/>
      <c r="AL174" s="111"/>
      <c r="AM174" s="111"/>
      <c r="AN174" s="111"/>
      <c r="AO174" s="111"/>
      <c r="AP174" s="111"/>
      <c r="AQ174" s="111"/>
      <c r="AR174" s="111"/>
      <c r="AS174" s="111"/>
      <c r="AT174" s="111"/>
      <c r="AU174" s="111"/>
      <c r="AV174" s="111"/>
      <c r="AW174" s="111"/>
      <c r="AX174" s="111"/>
      <c r="AY174" s="111"/>
      <c r="AZ174" s="111"/>
      <c r="BA174" s="111"/>
      <c r="BB174" s="111"/>
      <c r="BC174" s="111"/>
      <c r="BD174" s="111"/>
      <c r="BE174" s="111"/>
      <c r="BF174" s="111"/>
      <c r="BG174" s="111"/>
      <c r="BH174" s="111"/>
      <c r="BI174" s="111"/>
      <c r="BJ174" s="111"/>
      <c r="BK174" s="111"/>
      <c r="BL174" s="111"/>
      <c r="BM174" s="111"/>
      <c r="BN174" s="111"/>
      <c r="BO174" s="111"/>
      <c r="BP174" s="111"/>
      <c r="BQ174" s="111"/>
      <c r="BR174" s="111"/>
      <c r="BS174" s="111"/>
      <c r="BT174" s="111"/>
      <c r="BU174" s="111"/>
      <c r="BV174" s="111"/>
      <c r="BW174" s="111"/>
      <c r="BX174" s="111"/>
      <c r="BY174" s="111"/>
      <c r="BZ174" s="111"/>
      <c r="CA174" s="111"/>
      <c r="CB174" s="111"/>
      <c r="CC174" s="111"/>
      <c r="CD174" s="111"/>
      <c r="CE174" s="111"/>
      <c r="CF174" s="111"/>
      <c r="CG174" s="111"/>
      <c r="CH174" s="111"/>
      <c r="CI174" s="111"/>
      <c r="CJ174" s="111"/>
      <c r="CK174" s="111"/>
      <c r="CL174" s="111"/>
      <c r="CM174" s="111"/>
      <c r="CN174" s="111"/>
      <c r="CO174" s="111"/>
      <c r="CP174" s="111"/>
      <c r="CQ174" s="111"/>
      <c r="CR174" s="111"/>
      <c r="CS174" s="111"/>
      <c r="CT174" s="111"/>
      <c r="CU174" s="111"/>
      <c r="CV174" s="111"/>
      <c r="CW174" s="111"/>
      <c r="CX174" s="111"/>
      <c r="CY174" s="111"/>
      <c r="CZ174" s="111"/>
      <c r="DA174" s="111"/>
      <c r="DB174" s="111"/>
      <c r="DC174" s="111"/>
      <c r="DD174" s="111"/>
      <c r="DE174" s="111"/>
      <c r="DF174" s="111"/>
      <c r="DG174" s="111"/>
      <c r="DH174" s="111"/>
      <c r="DI174" s="111"/>
      <c r="DJ174" s="111"/>
      <c r="DK174" s="111"/>
      <c r="DL174" s="111"/>
      <c r="DM174" s="111"/>
      <c r="DN174" s="111"/>
      <c r="DO174" s="111"/>
      <c r="DP174" s="111"/>
      <c r="DQ174" s="111"/>
      <c r="DR174" s="111"/>
      <c r="DS174" s="111"/>
      <c r="DT174" s="111"/>
      <c r="DU174" s="111"/>
      <c r="DV174" s="111"/>
      <c r="DW174" s="111"/>
      <c r="DX174" s="111"/>
    </row>
    <row r="175" spans="1:128" s="3" customFormat="1" ht="12.75" customHeight="1" x14ac:dyDescent="0.3">
      <c r="A175" s="85"/>
      <c r="F175" s="66"/>
      <c r="G175" s="66"/>
      <c r="H175" s="111"/>
      <c r="I175" s="111"/>
      <c r="J175" s="111"/>
      <c r="K175" s="111"/>
      <c r="L175" s="111"/>
      <c r="M175" s="111"/>
      <c r="N175" s="111"/>
      <c r="O175" s="111"/>
      <c r="P175" s="111"/>
      <c r="Q175" s="111"/>
      <c r="R175" s="111"/>
      <c r="S175" s="111"/>
      <c r="T175" s="111"/>
      <c r="U175" s="111"/>
      <c r="V175" s="111"/>
      <c r="W175" s="111"/>
      <c r="X175" s="111"/>
      <c r="Y175" s="111"/>
      <c r="Z175" s="111"/>
      <c r="AA175" s="111"/>
      <c r="AB175" s="111"/>
      <c r="AC175" s="111"/>
      <c r="AD175" s="111"/>
      <c r="AE175" s="111"/>
      <c r="AF175" s="111"/>
      <c r="AG175" s="111"/>
      <c r="AH175" s="111"/>
      <c r="AI175" s="111"/>
      <c r="AJ175" s="111"/>
      <c r="AK175" s="111"/>
      <c r="AL175" s="111"/>
      <c r="AM175" s="111"/>
      <c r="AN175" s="111"/>
      <c r="AO175" s="111"/>
      <c r="AP175" s="111"/>
      <c r="AQ175" s="111"/>
      <c r="AR175" s="111"/>
      <c r="AS175" s="111"/>
      <c r="AT175" s="111"/>
      <c r="AU175" s="111"/>
      <c r="AV175" s="111"/>
      <c r="AW175" s="111"/>
      <c r="AX175" s="111"/>
      <c r="AY175" s="111"/>
      <c r="AZ175" s="111"/>
      <c r="BA175" s="111"/>
      <c r="BB175" s="111"/>
      <c r="BC175" s="111"/>
      <c r="BD175" s="111"/>
      <c r="BE175" s="111"/>
      <c r="BF175" s="111"/>
      <c r="BG175" s="111"/>
      <c r="BH175" s="111"/>
      <c r="BI175" s="111"/>
      <c r="BJ175" s="111"/>
      <c r="BK175" s="111"/>
      <c r="BL175" s="111"/>
      <c r="BM175" s="111"/>
      <c r="BN175" s="111"/>
      <c r="BO175" s="111"/>
      <c r="BP175" s="111"/>
      <c r="BQ175" s="111"/>
      <c r="BR175" s="111"/>
      <c r="BS175" s="111"/>
      <c r="BT175" s="111"/>
      <c r="BU175" s="111"/>
      <c r="BV175" s="111"/>
      <c r="BW175" s="111"/>
      <c r="BX175" s="111"/>
      <c r="BY175" s="111"/>
      <c r="BZ175" s="111"/>
      <c r="CA175" s="111"/>
      <c r="CB175" s="111"/>
      <c r="CC175" s="111"/>
      <c r="CD175" s="111"/>
      <c r="CE175" s="111"/>
      <c r="CF175" s="111"/>
      <c r="CG175" s="111"/>
      <c r="CH175" s="111"/>
      <c r="CI175" s="111"/>
      <c r="CJ175" s="111"/>
      <c r="CK175" s="111"/>
      <c r="CL175" s="111"/>
      <c r="CM175" s="111"/>
      <c r="CN175" s="111"/>
      <c r="CO175" s="111"/>
      <c r="CP175" s="111"/>
      <c r="CQ175" s="111"/>
      <c r="CR175" s="111"/>
      <c r="CS175" s="111"/>
      <c r="CT175" s="111"/>
      <c r="CU175" s="111"/>
      <c r="CV175" s="111"/>
      <c r="CW175" s="111"/>
      <c r="CX175" s="111"/>
      <c r="CY175" s="111"/>
      <c r="CZ175" s="111"/>
      <c r="DA175" s="111"/>
      <c r="DB175" s="111"/>
      <c r="DC175" s="111"/>
      <c r="DD175" s="111"/>
      <c r="DE175" s="111"/>
      <c r="DF175" s="111"/>
      <c r="DG175" s="111"/>
      <c r="DH175" s="111"/>
      <c r="DI175" s="111"/>
      <c r="DJ175" s="111"/>
      <c r="DK175" s="111"/>
      <c r="DL175" s="111"/>
      <c r="DM175" s="111"/>
      <c r="DN175" s="111"/>
      <c r="DO175" s="111"/>
      <c r="DP175" s="111"/>
      <c r="DQ175" s="111"/>
      <c r="DR175" s="111"/>
      <c r="DS175" s="111"/>
      <c r="DT175" s="111"/>
      <c r="DU175" s="111"/>
      <c r="DV175" s="111"/>
      <c r="DW175" s="111"/>
      <c r="DX175" s="111"/>
    </row>
    <row r="176" spans="1:128" s="3" customFormat="1" ht="12.75" customHeight="1" x14ac:dyDescent="0.3">
      <c r="A176" s="85"/>
      <c r="F176" s="66"/>
      <c r="G176" s="66"/>
      <c r="H176" s="111"/>
      <c r="I176" s="111"/>
      <c r="J176" s="111"/>
      <c r="K176" s="111"/>
      <c r="L176" s="111"/>
      <c r="M176" s="111"/>
      <c r="N176" s="111"/>
      <c r="O176" s="111"/>
      <c r="P176" s="111"/>
      <c r="Q176" s="111"/>
      <c r="R176" s="111"/>
      <c r="S176" s="111"/>
      <c r="T176" s="111"/>
      <c r="U176" s="111"/>
      <c r="V176" s="111"/>
      <c r="W176" s="111"/>
      <c r="X176" s="111"/>
      <c r="Y176" s="111"/>
      <c r="Z176" s="111"/>
      <c r="AA176" s="111"/>
      <c r="AB176" s="111"/>
      <c r="AC176" s="111"/>
      <c r="AD176" s="111"/>
      <c r="AE176" s="111"/>
      <c r="AF176" s="111"/>
      <c r="AG176" s="111"/>
      <c r="AH176" s="111"/>
      <c r="AI176" s="111"/>
      <c r="AJ176" s="111"/>
      <c r="AK176" s="111"/>
      <c r="AL176" s="111"/>
      <c r="AM176" s="111"/>
      <c r="AN176" s="111"/>
      <c r="AO176" s="111"/>
      <c r="AP176" s="111"/>
      <c r="AQ176" s="111"/>
      <c r="AR176" s="111"/>
      <c r="AS176" s="111"/>
      <c r="AT176" s="111"/>
      <c r="AU176" s="111"/>
      <c r="AV176" s="111"/>
      <c r="AW176" s="111"/>
      <c r="AX176" s="111"/>
      <c r="AY176" s="111"/>
      <c r="AZ176" s="111"/>
      <c r="BA176" s="111"/>
      <c r="BB176" s="111"/>
      <c r="BC176" s="111"/>
      <c r="BD176" s="111"/>
      <c r="BE176" s="111"/>
      <c r="BF176" s="111"/>
      <c r="BG176" s="111"/>
      <c r="BH176" s="111"/>
      <c r="BI176" s="111"/>
      <c r="BJ176" s="111"/>
      <c r="BK176" s="111"/>
      <c r="BL176" s="111"/>
      <c r="BM176" s="111"/>
      <c r="BN176" s="111"/>
      <c r="BO176" s="111"/>
      <c r="BP176" s="111"/>
      <c r="BQ176" s="111"/>
      <c r="BR176" s="111"/>
      <c r="BS176" s="111"/>
      <c r="BT176" s="111"/>
      <c r="BU176" s="111"/>
      <c r="BV176" s="111"/>
      <c r="BW176" s="111"/>
      <c r="BX176" s="111"/>
      <c r="BY176" s="111"/>
      <c r="BZ176" s="111"/>
      <c r="CA176" s="111"/>
      <c r="CB176" s="111"/>
      <c r="CC176" s="111"/>
      <c r="CD176" s="111"/>
      <c r="CE176" s="111"/>
      <c r="CF176" s="111"/>
      <c r="CG176" s="111"/>
      <c r="CH176" s="111"/>
      <c r="CI176" s="111"/>
      <c r="CJ176" s="111"/>
      <c r="CK176" s="111"/>
      <c r="CL176" s="111"/>
      <c r="CM176" s="111"/>
      <c r="CN176" s="111"/>
      <c r="CO176" s="111"/>
      <c r="CP176" s="111"/>
      <c r="CQ176" s="111"/>
      <c r="CR176" s="111"/>
      <c r="CS176" s="111"/>
      <c r="CT176" s="111"/>
      <c r="CU176" s="111"/>
      <c r="CV176" s="111"/>
      <c r="CW176" s="111"/>
      <c r="CX176" s="111"/>
      <c r="CY176" s="111"/>
      <c r="CZ176" s="111"/>
      <c r="DA176" s="111"/>
      <c r="DB176" s="111"/>
      <c r="DC176" s="111"/>
      <c r="DD176" s="111"/>
      <c r="DE176" s="111"/>
      <c r="DF176" s="111"/>
      <c r="DG176" s="111"/>
      <c r="DH176" s="111"/>
      <c r="DI176" s="111"/>
      <c r="DJ176" s="111"/>
      <c r="DK176" s="111"/>
      <c r="DL176" s="111"/>
      <c r="DM176" s="111"/>
      <c r="DN176" s="111"/>
      <c r="DO176" s="111"/>
      <c r="DP176" s="111"/>
      <c r="DQ176" s="111"/>
      <c r="DR176" s="111"/>
      <c r="DS176" s="111"/>
      <c r="DT176" s="111"/>
      <c r="DU176" s="111"/>
      <c r="DV176" s="111"/>
      <c r="DW176" s="111"/>
      <c r="DX176" s="111"/>
    </row>
    <row r="177" spans="1:128" s="3" customFormat="1" ht="12.75" customHeight="1" x14ac:dyDescent="0.3">
      <c r="A177" s="85"/>
      <c r="F177" s="66"/>
      <c r="G177" s="66"/>
      <c r="H177" s="111"/>
      <c r="I177" s="111"/>
      <c r="J177" s="111"/>
      <c r="K177" s="111"/>
      <c r="L177" s="111"/>
      <c r="M177" s="111"/>
      <c r="N177" s="111"/>
      <c r="O177" s="111"/>
      <c r="P177" s="111"/>
      <c r="Q177" s="111"/>
      <c r="R177" s="111"/>
      <c r="S177" s="111"/>
      <c r="T177" s="111"/>
      <c r="U177" s="111"/>
      <c r="V177" s="111"/>
      <c r="W177" s="111"/>
      <c r="X177" s="111"/>
      <c r="Y177" s="111"/>
      <c r="Z177" s="111"/>
      <c r="AA177" s="111"/>
      <c r="AB177" s="111"/>
      <c r="AC177" s="111"/>
      <c r="AD177" s="111"/>
      <c r="AE177" s="111"/>
      <c r="AF177" s="111"/>
      <c r="AG177" s="111"/>
      <c r="AH177" s="111"/>
      <c r="AI177" s="111"/>
      <c r="AJ177" s="111"/>
      <c r="AK177" s="111"/>
      <c r="AL177" s="111"/>
      <c r="AM177" s="111"/>
      <c r="AN177" s="111"/>
      <c r="AO177" s="111"/>
      <c r="AP177" s="111"/>
      <c r="AQ177" s="111"/>
      <c r="AR177" s="111"/>
      <c r="AS177" s="111"/>
      <c r="AT177" s="111"/>
      <c r="AU177" s="111"/>
      <c r="AV177" s="111"/>
      <c r="AW177" s="111"/>
      <c r="AX177" s="111"/>
      <c r="AY177" s="111"/>
      <c r="AZ177" s="111"/>
      <c r="BA177" s="111"/>
      <c r="BB177" s="111"/>
      <c r="BC177" s="111"/>
      <c r="BD177" s="111"/>
      <c r="BE177" s="111"/>
      <c r="BF177" s="111"/>
      <c r="BG177" s="111"/>
      <c r="BH177" s="111"/>
      <c r="BI177" s="111"/>
      <c r="BJ177" s="111"/>
      <c r="BK177" s="111"/>
      <c r="BL177" s="111"/>
      <c r="BM177" s="111"/>
      <c r="BN177" s="111"/>
      <c r="BO177" s="111"/>
      <c r="BP177" s="111"/>
      <c r="BQ177" s="111"/>
      <c r="BR177" s="111"/>
      <c r="BS177" s="111"/>
      <c r="BT177" s="111"/>
      <c r="BU177" s="111"/>
      <c r="BV177" s="111"/>
      <c r="BW177" s="111"/>
      <c r="BX177" s="111"/>
      <c r="BY177" s="111"/>
      <c r="BZ177" s="111"/>
      <c r="CA177" s="111"/>
      <c r="CB177" s="111"/>
      <c r="CC177" s="111"/>
      <c r="CD177" s="111"/>
      <c r="CE177" s="111"/>
      <c r="CF177" s="111"/>
      <c r="CG177" s="111"/>
      <c r="CH177" s="111"/>
      <c r="CI177" s="111"/>
      <c r="CJ177" s="111"/>
      <c r="CK177" s="111"/>
      <c r="CL177" s="111"/>
      <c r="CM177" s="111"/>
      <c r="CN177" s="111"/>
      <c r="CO177" s="111"/>
      <c r="CP177" s="111"/>
      <c r="CQ177" s="111"/>
      <c r="CR177" s="111"/>
      <c r="CS177" s="111"/>
      <c r="CT177" s="111"/>
      <c r="CU177" s="111"/>
      <c r="CV177" s="111"/>
      <c r="CW177" s="111"/>
      <c r="CX177" s="111"/>
      <c r="CY177" s="111"/>
      <c r="CZ177" s="111"/>
      <c r="DA177" s="111"/>
      <c r="DB177" s="111"/>
      <c r="DC177" s="111"/>
      <c r="DD177" s="111"/>
      <c r="DE177" s="111"/>
      <c r="DF177" s="111"/>
      <c r="DG177" s="111"/>
      <c r="DH177" s="111"/>
      <c r="DI177" s="111"/>
      <c r="DJ177" s="111"/>
      <c r="DK177" s="111"/>
      <c r="DL177" s="111"/>
      <c r="DM177" s="111"/>
      <c r="DN177" s="111"/>
      <c r="DO177" s="111"/>
      <c r="DP177" s="111"/>
      <c r="DQ177" s="111"/>
      <c r="DR177" s="111"/>
      <c r="DS177" s="111"/>
      <c r="DT177" s="111"/>
      <c r="DU177" s="111"/>
      <c r="DV177" s="111"/>
      <c r="DW177" s="111"/>
      <c r="DX177" s="111"/>
    </row>
    <row r="178" spans="1:128" s="3" customFormat="1" ht="12.75" customHeight="1" x14ac:dyDescent="0.3">
      <c r="A178" s="85"/>
      <c r="F178" s="66"/>
      <c r="G178" s="66"/>
      <c r="H178" s="111"/>
      <c r="I178" s="111"/>
      <c r="J178" s="111"/>
      <c r="K178" s="111"/>
      <c r="L178" s="111"/>
      <c r="M178" s="111"/>
      <c r="N178" s="111"/>
      <c r="O178" s="111"/>
      <c r="P178" s="111"/>
      <c r="Q178" s="111"/>
      <c r="R178" s="111"/>
      <c r="S178" s="111"/>
      <c r="T178" s="111"/>
      <c r="U178" s="111"/>
      <c r="V178" s="111"/>
      <c r="W178" s="111"/>
      <c r="X178" s="111"/>
      <c r="Y178" s="111"/>
      <c r="Z178" s="111"/>
      <c r="AA178" s="111"/>
      <c r="AB178" s="111"/>
      <c r="AC178" s="111"/>
      <c r="AD178" s="111"/>
      <c r="AE178" s="111"/>
      <c r="AF178" s="111"/>
      <c r="AG178" s="111"/>
      <c r="AH178" s="111"/>
      <c r="AI178" s="111"/>
      <c r="AJ178" s="111"/>
      <c r="AK178" s="111"/>
      <c r="AL178" s="111"/>
      <c r="AM178" s="111"/>
      <c r="AN178" s="111"/>
      <c r="AO178" s="111"/>
      <c r="AP178" s="111"/>
      <c r="AQ178" s="111"/>
      <c r="AR178" s="111"/>
      <c r="AS178" s="111"/>
      <c r="AT178" s="111"/>
      <c r="AU178" s="111"/>
      <c r="AV178" s="111"/>
      <c r="AW178" s="111"/>
      <c r="AX178" s="111"/>
      <c r="AY178" s="111"/>
      <c r="AZ178" s="111"/>
      <c r="BA178" s="111"/>
      <c r="BB178" s="111"/>
      <c r="BC178" s="111"/>
      <c r="BD178" s="111"/>
      <c r="BE178" s="111"/>
      <c r="BF178" s="111"/>
      <c r="BG178" s="111"/>
      <c r="BH178" s="111"/>
      <c r="BI178" s="111"/>
      <c r="BJ178" s="111"/>
      <c r="BK178" s="111"/>
      <c r="BL178" s="111"/>
      <c r="BM178" s="111"/>
      <c r="BN178" s="111"/>
      <c r="BO178" s="111"/>
      <c r="BP178" s="111"/>
      <c r="BQ178" s="111"/>
      <c r="BR178" s="111"/>
      <c r="BS178" s="111"/>
      <c r="BT178" s="111"/>
      <c r="BU178" s="111"/>
      <c r="BV178" s="111"/>
      <c r="BW178" s="111"/>
      <c r="BX178" s="111"/>
      <c r="BY178" s="111"/>
      <c r="BZ178" s="111"/>
      <c r="CA178" s="111"/>
      <c r="CB178" s="111"/>
      <c r="CC178" s="111"/>
      <c r="CD178" s="111"/>
      <c r="CE178" s="111"/>
      <c r="CF178" s="111"/>
      <c r="CG178" s="111"/>
      <c r="CH178" s="111"/>
      <c r="CI178" s="111"/>
      <c r="CJ178" s="111"/>
      <c r="CK178" s="111"/>
      <c r="CL178" s="111"/>
      <c r="CM178" s="111"/>
      <c r="CN178" s="111"/>
      <c r="CO178" s="111"/>
      <c r="CP178" s="111"/>
      <c r="CQ178" s="111"/>
      <c r="CR178" s="111"/>
      <c r="CS178" s="111"/>
      <c r="CT178" s="111"/>
      <c r="CU178" s="111"/>
      <c r="CV178" s="111"/>
      <c r="CW178" s="111"/>
      <c r="CX178" s="111"/>
      <c r="CY178" s="111"/>
      <c r="CZ178" s="111"/>
      <c r="DA178" s="111"/>
      <c r="DB178" s="111"/>
      <c r="DC178" s="111"/>
      <c r="DD178" s="111"/>
      <c r="DE178" s="111"/>
      <c r="DF178" s="111"/>
      <c r="DG178" s="111"/>
      <c r="DH178" s="111"/>
      <c r="DI178" s="111"/>
      <c r="DJ178" s="111"/>
      <c r="DK178" s="111"/>
      <c r="DL178" s="111"/>
      <c r="DM178" s="111"/>
      <c r="DN178" s="111"/>
      <c r="DO178" s="111"/>
      <c r="DP178" s="111"/>
      <c r="DQ178" s="111"/>
      <c r="DR178" s="111"/>
      <c r="DS178" s="111"/>
      <c r="DT178" s="111"/>
      <c r="DU178" s="111"/>
      <c r="DV178" s="111"/>
      <c r="DW178" s="111"/>
      <c r="DX178" s="111"/>
    </row>
    <row r="179" spans="1:128" s="3" customFormat="1" ht="12.75" customHeight="1" x14ac:dyDescent="0.3">
      <c r="A179" s="85"/>
      <c r="F179" s="66"/>
      <c r="G179" s="66"/>
      <c r="H179" s="111"/>
      <c r="I179" s="111"/>
      <c r="J179" s="111"/>
      <c r="K179" s="111"/>
      <c r="L179" s="111"/>
      <c r="M179" s="111"/>
      <c r="N179" s="111"/>
      <c r="O179" s="111"/>
      <c r="P179" s="111"/>
      <c r="Q179" s="111"/>
      <c r="R179" s="111"/>
      <c r="S179" s="111"/>
      <c r="T179" s="111"/>
      <c r="U179" s="111"/>
      <c r="V179" s="111"/>
      <c r="W179" s="111"/>
      <c r="X179" s="111"/>
      <c r="Y179" s="111"/>
      <c r="Z179" s="111"/>
      <c r="AA179" s="111"/>
      <c r="AB179" s="111"/>
      <c r="AC179" s="111"/>
      <c r="AD179" s="111"/>
      <c r="AE179" s="111"/>
      <c r="AF179" s="111"/>
      <c r="AG179" s="111"/>
      <c r="AH179" s="111"/>
      <c r="AI179" s="111"/>
      <c r="AJ179" s="111"/>
      <c r="AK179" s="111"/>
      <c r="AL179" s="111"/>
      <c r="AM179" s="111"/>
      <c r="AN179" s="111"/>
      <c r="AO179" s="111"/>
      <c r="AP179" s="111"/>
      <c r="AQ179" s="111"/>
      <c r="AR179" s="111"/>
      <c r="AS179" s="111"/>
      <c r="AT179" s="111"/>
      <c r="AU179" s="111"/>
      <c r="AV179" s="111"/>
      <c r="AW179" s="111"/>
      <c r="AX179" s="111"/>
      <c r="AY179" s="111"/>
      <c r="AZ179" s="111"/>
      <c r="BA179" s="111"/>
      <c r="BB179" s="111"/>
      <c r="BC179" s="111"/>
      <c r="BD179" s="111"/>
      <c r="BE179" s="111"/>
      <c r="BF179" s="111"/>
      <c r="BG179" s="111"/>
      <c r="BH179" s="111"/>
      <c r="BI179" s="111"/>
      <c r="BJ179" s="111"/>
      <c r="BK179" s="111"/>
      <c r="BL179" s="111"/>
      <c r="BM179" s="111"/>
      <c r="BN179" s="111"/>
      <c r="BO179" s="111"/>
      <c r="BP179" s="111"/>
      <c r="BQ179" s="111"/>
      <c r="BR179" s="111"/>
      <c r="BS179" s="111"/>
      <c r="BT179" s="111"/>
      <c r="BU179" s="111"/>
      <c r="BV179" s="111"/>
      <c r="BW179" s="111"/>
      <c r="BX179" s="111"/>
      <c r="BY179" s="111"/>
      <c r="BZ179" s="111"/>
      <c r="CA179" s="111"/>
      <c r="CB179" s="111"/>
      <c r="CC179" s="111"/>
      <c r="CD179" s="111"/>
      <c r="CE179" s="111"/>
      <c r="CF179" s="111"/>
      <c r="CG179" s="111"/>
      <c r="CH179" s="111"/>
      <c r="CI179" s="111"/>
      <c r="CJ179" s="111"/>
      <c r="CK179" s="111"/>
      <c r="CL179" s="111"/>
      <c r="CM179" s="111"/>
      <c r="CN179" s="111"/>
      <c r="CO179" s="111"/>
      <c r="CP179" s="111"/>
      <c r="CQ179" s="111"/>
      <c r="CR179" s="111"/>
      <c r="CS179" s="111"/>
      <c r="CT179" s="111"/>
      <c r="CU179" s="111"/>
      <c r="CV179" s="111"/>
      <c r="CW179" s="111"/>
      <c r="CX179" s="111"/>
      <c r="CY179" s="111"/>
      <c r="CZ179" s="111"/>
      <c r="DA179" s="111"/>
      <c r="DB179" s="111"/>
      <c r="DC179" s="111"/>
      <c r="DD179" s="111"/>
      <c r="DE179" s="111"/>
      <c r="DF179" s="111"/>
      <c r="DG179" s="111"/>
      <c r="DH179" s="111"/>
      <c r="DI179" s="111"/>
      <c r="DJ179" s="111"/>
      <c r="DK179" s="111"/>
      <c r="DL179" s="111"/>
      <c r="DM179" s="111"/>
      <c r="DN179" s="111"/>
      <c r="DO179" s="111"/>
      <c r="DP179" s="111"/>
      <c r="DQ179" s="111"/>
      <c r="DR179" s="111"/>
      <c r="DS179" s="111"/>
      <c r="DT179" s="111"/>
      <c r="DU179" s="111"/>
      <c r="DV179" s="111"/>
      <c r="DW179" s="111"/>
      <c r="DX179" s="111"/>
    </row>
    <row r="180" spans="1:128" s="3" customFormat="1" ht="12.75" customHeight="1" x14ac:dyDescent="0.3">
      <c r="A180" s="85"/>
      <c r="F180" s="66"/>
      <c r="G180" s="66"/>
      <c r="H180" s="111"/>
      <c r="I180" s="111"/>
      <c r="J180" s="111"/>
      <c r="K180" s="111"/>
      <c r="L180" s="111"/>
      <c r="M180" s="111"/>
      <c r="N180" s="111"/>
      <c r="O180" s="111"/>
      <c r="P180" s="111"/>
      <c r="Q180" s="111"/>
      <c r="R180" s="111"/>
      <c r="S180" s="111"/>
      <c r="T180" s="111"/>
      <c r="U180" s="111"/>
      <c r="V180" s="111"/>
      <c r="W180" s="111"/>
      <c r="X180" s="111"/>
      <c r="Y180" s="111"/>
      <c r="Z180" s="111"/>
      <c r="AA180" s="111"/>
      <c r="AB180" s="111"/>
      <c r="AC180" s="111"/>
      <c r="AD180" s="111"/>
      <c r="AE180" s="111"/>
      <c r="AF180" s="111"/>
      <c r="AG180" s="111"/>
      <c r="AH180" s="111"/>
      <c r="AI180" s="111"/>
      <c r="AJ180" s="111"/>
      <c r="AK180" s="111"/>
      <c r="AL180" s="111"/>
      <c r="AM180" s="111"/>
      <c r="AN180" s="111"/>
      <c r="AO180" s="111"/>
      <c r="AP180" s="111"/>
      <c r="AQ180" s="111"/>
      <c r="AR180" s="111"/>
      <c r="AS180" s="111"/>
      <c r="AT180" s="111"/>
      <c r="AU180" s="111"/>
      <c r="AV180" s="111"/>
      <c r="AW180" s="111"/>
      <c r="AX180" s="111"/>
      <c r="AY180" s="111"/>
      <c r="AZ180" s="111"/>
      <c r="BA180" s="111"/>
      <c r="BB180" s="111"/>
      <c r="BC180" s="111"/>
      <c r="BD180" s="111"/>
      <c r="BE180" s="111"/>
      <c r="BF180" s="111"/>
      <c r="BG180" s="111"/>
      <c r="BH180" s="111"/>
      <c r="BI180" s="111"/>
      <c r="BJ180" s="111"/>
      <c r="BK180" s="111"/>
      <c r="BL180" s="111"/>
      <c r="BM180" s="111"/>
      <c r="BN180" s="111"/>
      <c r="BO180" s="111"/>
      <c r="BP180" s="111"/>
      <c r="BQ180" s="111"/>
      <c r="BR180" s="111"/>
      <c r="BS180" s="111"/>
      <c r="BT180" s="111"/>
      <c r="BU180" s="111"/>
      <c r="BV180" s="111"/>
      <c r="BW180" s="111"/>
      <c r="BX180" s="111"/>
      <c r="BY180" s="111"/>
      <c r="BZ180" s="111"/>
      <c r="CA180" s="111"/>
      <c r="CB180" s="111"/>
      <c r="CC180" s="111"/>
      <c r="CD180" s="111"/>
      <c r="CE180" s="111"/>
      <c r="CF180" s="111"/>
      <c r="CG180" s="111"/>
      <c r="CH180" s="111"/>
      <c r="CI180" s="111"/>
      <c r="CJ180" s="111"/>
      <c r="CK180" s="111"/>
      <c r="CL180" s="111"/>
      <c r="CM180" s="111"/>
      <c r="CN180" s="111"/>
      <c r="CO180" s="111"/>
      <c r="CP180" s="111"/>
      <c r="CQ180" s="111"/>
      <c r="CR180" s="111"/>
      <c r="CS180" s="111"/>
      <c r="CT180" s="111"/>
      <c r="CU180" s="111"/>
      <c r="CV180" s="111"/>
      <c r="CW180" s="111"/>
      <c r="CX180" s="111"/>
      <c r="CY180" s="111"/>
      <c r="CZ180" s="111"/>
      <c r="DA180" s="111"/>
      <c r="DB180" s="111"/>
      <c r="DC180" s="111"/>
      <c r="DD180" s="111"/>
      <c r="DE180" s="111"/>
      <c r="DF180" s="111"/>
      <c r="DG180" s="111"/>
      <c r="DH180" s="111"/>
      <c r="DI180" s="111"/>
      <c r="DJ180" s="111"/>
      <c r="DK180" s="111"/>
      <c r="DL180" s="111"/>
      <c r="DM180" s="111"/>
      <c r="DN180" s="111"/>
      <c r="DO180" s="111"/>
      <c r="DP180" s="111"/>
      <c r="DQ180" s="111"/>
      <c r="DR180" s="111"/>
      <c r="DS180" s="111"/>
      <c r="DT180" s="111"/>
      <c r="DU180" s="111"/>
      <c r="DV180" s="111"/>
      <c r="DW180" s="111"/>
      <c r="DX180" s="111"/>
    </row>
    <row r="181" spans="1:128" s="3" customFormat="1" ht="12.75" customHeight="1" x14ac:dyDescent="0.3">
      <c r="A181" s="85"/>
      <c r="F181" s="66"/>
      <c r="G181" s="66"/>
      <c r="H181" s="111"/>
      <c r="I181" s="111"/>
      <c r="J181" s="111"/>
      <c r="K181" s="111"/>
      <c r="L181" s="111"/>
      <c r="M181" s="111"/>
      <c r="N181" s="111"/>
      <c r="O181" s="111"/>
      <c r="P181" s="111"/>
      <c r="Q181" s="111"/>
      <c r="R181" s="111"/>
      <c r="S181" s="111"/>
      <c r="T181" s="111"/>
      <c r="U181" s="111"/>
      <c r="V181" s="111"/>
      <c r="W181" s="111"/>
      <c r="X181" s="111"/>
      <c r="Y181" s="111"/>
      <c r="Z181" s="111"/>
      <c r="AA181" s="111"/>
      <c r="AB181" s="111"/>
      <c r="AC181" s="111"/>
      <c r="AD181" s="111"/>
      <c r="AE181" s="111"/>
      <c r="AF181" s="111"/>
      <c r="AG181" s="111"/>
      <c r="AH181" s="111"/>
      <c r="AI181" s="111"/>
      <c r="AJ181" s="111"/>
      <c r="AK181" s="111"/>
      <c r="AL181" s="111"/>
      <c r="AM181" s="111"/>
      <c r="AN181" s="111"/>
      <c r="AO181" s="111"/>
      <c r="AP181" s="111"/>
      <c r="AQ181" s="111"/>
      <c r="AR181" s="111"/>
      <c r="AS181" s="111"/>
      <c r="AT181" s="111"/>
      <c r="AU181" s="111"/>
      <c r="AV181" s="111"/>
      <c r="AW181" s="111"/>
      <c r="AX181" s="111"/>
      <c r="AY181" s="111"/>
      <c r="AZ181" s="111"/>
      <c r="BA181" s="111"/>
      <c r="BB181" s="111"/>
      <c r="BC181" s="111"/>
      <c r="BD181" s="111"/>
      <c r="BE181" s="111"/>
      <c r="BF181" s="111"/>
      <c r="BG181" s="111"/>
      <c r="BH181" s="111"/>
      <c r="BI181" s="111"/>
      <c r="BJ181" s="111"/>
      <c r="BK181" s="111"/>
      <c r="BL181" s="111"/>
      <c r="BM181" s="111"/>
      <c r="BN181" s="111"/>
      <c r="BO181" s="111"/>
      <c r="BP181" s="111"/>
      <c r="BQ181" s="111"/>
      <c r="BR181" s="111"/>
      <c r="BS181" s="111"/>
      <c r="BT181" s="111"/>
      <c r="BU181" s="111"/>
      <c r="BV181" s="111"/>
      <c r="BW181" s="111"/>
      <c r="BX181" s="111"/>
      <c r="BY181" s="111"/>
      <c r="BZ181" s="111"/>
      <c r="CA181" s="111"/>
      <c r="CB181" s="111"/>
      <c r="CC181" s="111"/>
      <c r="CD181" s="111"/>
      <c r="CE181" s="111"/>
      <c r="CF181" s="111"/>
      <c r="CG181" s="111"/>
      <c r="CH181" s="111"/>
      <c r="CI181" s="111"/>
      <c r="CJ181" s="111"/>
      <c r="CK181" s="111"/>
      <c r="CL181" s="111"/>
      <c r="CM181" s="111"/>
      <c r="CN181" s="111"/>
      <c r="CO181" s="111"/>
      <c r="CP181" s="111"/>
      <c r="CQ181" s="111"/>
      <c r="CR181" s="111"/>
      <c r="CS181" s="111"/>
      <c r="CT181" s="111"/>
      <c r="CU181" s="111"/>
      <c r="CV181" s="111"/>
      <c r="CW181" s="111"/>
      <c r="CX181" s="111"/>
      <c r="CY181" s="111"/>
      <c r="CZ181" s="111"/>
      <c r="DA181" s="111"/>
      <c r="DB181" s="111"/>
      <c r="DC181" s="111"/>
      <c r="DD181" s="111"/>
      <c r="DE181" s="111"/>
      <c r="DF181" s="111"/>
      <c r="DG181" s="111"/>
      <c r="DH181" s="111"/>
      <c r="DI181" s="111"/>
      <c r="DJ181" s="111"/>
      <c r="DK181" s="111"/>
      <c r="DL181" s="111"/>
      <c r="DM181" s="111"/>
      <c r="DN181" s="111"/>
      <c r="DO181" s="111"/>
      <c r="DP181" s="111"/>
      <c r="DQ181" s="111"/>
      <c r="DR181" s="111"/>
      <c r="DS181" s="111"/>
      <c r="DT181" s="111"/>
      <c r="DU181" s="111"/>
      <c r="DV181" s="111"/>
      <c r="DW181" s="111"/>
      <c r="DX181" s="111"/>
    </row>
    <row r="182" spans="1:128" s="3" customFormat="1" ht="12.75" customHeight="1" x14ac:dyDescent="0.3">
      <c r="A182" s="85"/>
      <c r="F182" s="66"/>
      <c r="G182" s="66"/>
      <c r="H182" s="111"/>
      <c r="I182" s="111"/>
      <c r="J182" s="111"/>
      <c r="K182" s="111"/>
      <c r="L182" s="111"/>
      <c r="M182" s="111"/>
      <c r="N182" s="111"/>
      <c r="O182" s="111"/>
      <c r="P182" s="111"/>
      <c r="Q182" s="111"/>
      <c r="R182" s="111"/>
      <c r="S182" s="111"/>
      <c r="T182" s="111"/>
      <c r="U182" s="111"/>
      <c r="V182" s="111"/>
      <c r="W182" s="111"/>
      <c r="X182" s="111"/>
      <c r="Y182" s="111"/>
      <c r="Z182" s="111"/>
      <c r="AA182" s="111"/>
      <c r="AB182" s="111"/>
      <c r="AC182" s="111"/>
      <c r="AD182" s="111"/>
      <c r="AE182" s="111"/>
      <c r="AF182" s="111"/>
      <c r="AG182" s="111"/>
      <c r="AH182" s="111"/>
      <c r="AI182" s="111"/>
      <c r="AJ182" s="111"/>
      <c r="AK182" s="111"/>
      <c r="AL182" s="111"/>
      <c r="AM182" s="111"/>
      <c r="AN182" s="111"/>
      <c r="AO182" s="111"/>
      <c r="AP182" s="111"/>
      <c r="AQ182" s="111"/>
      <c r="AR182" s="111"/>
      <c r="AS182" s="111"/>
      <c r="AT182" s="111"/>
      <c r="AU182" s="111"/>
      <c r="AV182" s="111"/>
      <c r="AW182" s="111"/>
      <c r="AX182" s="111"/>
      <c r="AY182" s="111"/>
      <c r="AZ182" s="111"/>
      <c r="BA182" s="111"/>
      <c r="BB182" s="111"/>
      <c r="BC182" s="111"/>
      <c r="BD182" s="111"/>
      <c r="BE182" s="111"/>
      <c r="BF182" s="111"/>
      <c r="BG182" s="111"/>
      <c r="BH182" s="111"/>
      <c r="BI182" s="111"/>
      <c r="BJ182" s="111"/>
      <c r="BK182" s="111"/>
      <c r="BL182" s="111"/>
      <c r="BM182" s="111"/>
      <c r="BN182" s="111"/>
      <c r="BO182" s="111"/>
      <c r="BP182" s="111"/>
      <c r="BQ182" s="111"/>
      <c r="BR182" s="111"/>
      <c r="BS182" s="111"/>
      <c r="BT182" s="111"/>
      <c r="BU182" s="111"/>
      <c r="BV182" s="111"/>
      <c r="BW182" s="111"/>
      <c r="BX182" s="111"/>
      <c r="BY182" s="111"/>
      <c r="BZ182" s="111"/>
      <c r="CA182" s="111"/>
      <c r="CB182" s="111"/>
      <c r="CC182" s="111"/>
      <c r="CD182" s="111"/>
      <c r="CE182" s="111"/>
      <c r="CF182" s="111"/>
      <c r="CG182" s="111"/>
      <c r="CH182" s="111"/>
      <c r="CI182" s="111"/>
      <c r="CJ182" s="111"/>
      <c r="CK182" s="111"/>
      <c r="CL182" s="111"/>
      <c r="CM182" s="111"/>
      <c r="CN182" s="111"/>
      <c r="CO182" s="111"/>
      <c r="CP182" s="111"/>
      <c r="CQ182" s="111"/>
      <c r="CR182" s="111"/>
      <c r="CS182" s="111"/>
      <c r="CT182" s="111"/>
      <c r="CU182" s="111"/>
      <c r="CV182" s="111"/>
      <c r="CW182" s="111"/>
      <c r="CX182" s="111"/>
      <c r="CY182" s="111"/>
      <c r="CZ182" s="111"/>
      <c r="DA182" s="111"/>
      <c r="DB182" s="111"/>
      <c r="DC182" s="111"/>
      <c r="DD182" s="111"/>
      <c r="DE182" s="111"/>
      <c r="DF182" s="111"/>
      <c r="DG182" s="111"/>
      <c r="DH182" s="111"/>
      <c r="DI182" s="111"/>
      <c r="DJ182" s="111"/>
      <c r="DK182" s="111"/>
      <c r="DL182" s="111"/>
      <c r="DM182" s="111"/>
      <c r="DN182" s="111"/>
      <c r="DO182" s="111"/>
      <c r="DP182" s="111"/>
      <c r="DQ182" s="111"/>
      <c r="DR182" s="111"/>
      <c r="DS182" s="111"/>
      <c r="DT182" s="111"/>
      <c r="DU182" s="111"/>
      <c r="DV182" s="111"/>
      <c r="DW182" s="111"/>
      <c r="DX182" s="111"/>
    </row>
    <row r="183" spans="1:128" s="3" customFormat="1" ht="12.75" customHeight="1" x14ac:dyDescent="0.3">
      <c r="A183" s="85"/>
      <c r="F183" s="66"/>
      <c r="G183" s="66"/>
      <c r="H183" s="111"/>
      <c r="I183" s="111"/>
      <c r="J183" s="111"/>
      <c r="K183" s="111"/>
      <c r="L183" s="111"/>
      <c r="M183" s="111"/>
      <c r="N183" s="111"/>
      <c r="O183" s="111"/>
      <c r="P183" s="111"/>
      <c r="Q183" s="111"/>
      <c r="R183" s="111"/>
      <c r="S183" s="111"/>
      <c r="T183" s="111"/>
      <c r="U183" s="111"/>
      <c r="V183" s="111"/>
      <c r="W183" s="111"/>
      <c r="X183" s="111"/>
      <c r="Y183" s="111"/>
      <c r="Z183" s="111"/>
      <c r="AA183" s="111"/>
      <c r="AB183" s="111"/>
      <c r="AC183" s="111"/>
      <c r="AD183" s="111"/>
      <c r="AE183" s="111"/>
      <c r="AF183" s="111"/>
      <c r="AG183" s="111"/>
      <c r="AH183" s="111"/>
      <c r="AI183" s="111"/>
      <c r="AJ183" s="111"/>
      <c r="AK183" s="111"/>
      <c r="AL183" s="111"/>
      <c r="AM183" s="111"/>
      <c r="AN183" s="111"/>
      <c r="AO183" s="111"/>
      <c r="AP183" s="111"/>
      <c r="AQ183" s="111"/>
      <c r="AR183" s="111"/>
      <c r="AS183" s="111"/>
      <c r="AT183" s="111"/>
      <c r="AU183" s="111"/>
      <c r="AV183" s="111"/>
      <c r="AW183" s="111"/>
      <c r="AX183" s="111"/>
      <c r="AY183" s="111"/>
      <c r="AZ183" s="111"/>
      <c r="BA183" s="111"/>
      <c r="BB183" s="111"/>
      <c r="BC183" s="111"/>
      <c r="BD183" s="111"/>
      <c r="BE183" s="111"/>
      <c r="BF183" s="111"/>
      <c r="BG183" s="111"/>
      <c r="BH183" s="111"/>
      <c r="BI183" s="111"/>
      <c r="BJ183" s="111"/>
      <c r="BK183" s="111"/>
      <c r="BL183" s="111"/>
      <c r="BM183" s="111"/>
      <c r="BN183" s="111"/>
      <c r="BO183" s="111"/>
      <c r="BP183" s="111"/>
      <c r="BQ183" s="111"/>
      <c r="BR183" s="111"/>
      <c r="BS183" s="111"/>
      <c r="BT183" s="111"/>
      <c r="BU183" s="111"/>
      <c r="BV183" s="111"/>
      <c r="BW183" s="111"/>
      <c r="BX183" s="111"/>
      <c r="BY183" s="111"/>
      <c r="BZ183" s="111"/>
      <c r="CA183" s="111"/>
      <c r="CB183" s="111"/>
      <c r="CC183" s="111"/>
      <c r="CD183" s="111"/>
      <c r="CE183" s="111"/>
      <c r="CF183" s="111"/>
      <c r="CG183" s="111"/>
      <c r="CH183" s="111"/>
      <c r="CI183" s="111"/>
      <c r="CJ183" s="111"/>
      <c r="CK183" s="111"/>
      <c r="CL183" s="111"/>
      <c r="CM183" s="111"/>
      <c r="CN183" s="111"/>
      <c r="CO183" s="111"/>
      <c r="CP183" s="111"/>
      <c r="CQ183" s="111"/>
      <c r="CR183" s="111"/>
      <c r="CS183" s="111"/>
      <c r="CT183" s="111"/>
      <c r="CU183" s="111"/>
      <c r="CV183" s="111"/>
      <c r="CW183" s="111"/>
      <c r="CX183" s="111"/>
      <c r="CY183" s="111"/>
      <c r="CZ183" s="111"/>
      <c r="DA183" s="111"/>
      <c r="DB183" s="111"/>
      <c r="DC183" s="111"/>
      <c r="DD183" s="111"/>
      <c r="DE183" s="111"/>
      <c r="DF183" s="111"/>
      <c r="DG183" s="111"/>
      <c r="DH183" s="111"/>
      <c r="DI183" s="111"/>
      <c r="DJ183" s="111"/>
      <c r="DK183" s="111"/>
      <c r="DL183" s="111"/>
      <c r="DM183" s="111"/>
      <c r="DN183" s="111"/>
      <c r="DO183" s="111"/>
      <c r="DP183" s="111"/>
      <c r="DQ183" s="111"/>
      <c r="DR183" s="111"/>
      <c r="DS183" s="111"/>
      <c r="DT183" s="111"/>
      <c r="DU183" s="111"/>
      <c r="DV183" s="111"/>
      <c r="DW183" s="111"/>
      <c r="DX183" s="111"/>
    </row>
    <row r="184" spans="1:128" s="3" customFormat="1" ht="12.75" customHeight="1" x14ac:dyDescent="0.3">
      <c r="A184" s="85"/>
      <c r="F184" s="66"/>
      <c r="G184" s="66"/>
      <c r="H184" s="111"/>
      <c r="I184" s="111"/>
      <c r="J184" s="111"/>
      <c r="K184" s="111"/>
      <c r="L184" s="111"/>
      <c r="M184" s="111"/>
      <c r="N184" s="111"/>
      <c r="O184" s="111"/>
      <c r="P184" s="111"/>
      <c r="Q184" s="111"/>
      <c r="R184" s="111"/>
      <c r="S184" s="111"/>
      <c r="T184" s="111"/>
      <c r="U184" s="111"/>
      <c r="V184" s="111"/>
      <c r="W184" s="111"/>
      <c r="X184" s="111"/>
      <c r="Y184" s="111"/>
      <c r="Z184" s="111"/>
      <c r="AA184" s="111"/>
      <c r="AB184" s="111"/>
      <c r="AC184" s="111"/>
      <c r="AD184" s="111"/>
      <c r="AE184" s="111"/>
      <c r="AF184" s="111"/>
      <c r="AG184" s="111"/>
      <c r="AH184" s="111"/>
      <c r="AI184" s="111"/>
      <c r="AJ184" s="111"/>
      <c r="AK184" s="111"/>
      <c r="AL184" s="111"/>
      <c r="AM184" s="111"/>
      <c r="AN184" s="111"/>
      <c r="AO184" s="111"/>
      <c r="AP184" s="111"/>
      <c r="AQ184" s="111"/>
      <c r="AR184" s="111"/>
      <c r="AS184" s="111"/>
      <c r="AT184" s="111"/>
      <c r="AU184" s="111"/>
      <c r="AV184" s="111"/>
      <c r="AW184" s="111"/>
      <c r="AX184" s="111"/>
      <c r="AY184" s="111"/>
      <c r="AZ184" s="111"/>
      <c r="BA184" s="111"/>
      <c r="BB184" s="111"/>
      <c r="BC184" s="111"/>
      <c r="BD184" s="111"/>
      <c r="BE184" s="111"/>
      <c r="BF184" s="111"/>
      <c r="BG184" s="111"/>
      <c r="BH184" s="111"/>
      <c r="BI184" s="111"/>
      <c r="BJ184" s="111"/>
      <c r="BK184" s="111"/>
      <c r="BL184" s="111"/>
      <c r="BM184" s="111"/>
      <c r="BN184" s="111"/>
      <c r="BO184" s="111"/>
      <c r="BP184" s="111"/>
      <c r="BQ184" s="111"/>
      <c r="BR184" s="111"/>
      <c r="BS184" s="111"/>
      <c r="BT184" s="111"/>
      <c r="BU184" s="111"/>
      <c r="BV184" s="111"/>
      <c r="BW184" s="111"/>
      <c r="BX184" s="111"/>
      <c r="BY184" s="111"/>
      <c r="BZ184" s="111"/>
      <c r="CA184" s="111"/>
      <c r="CB184" s="111"/>
      <c r="CC184" s="111"/>
      <c r="CD184" s="111"/>
      <c r="CE184" s="111"/>
      <c r="CF184" s="111"/>
      <c r="CG184" s="111"/>
      <c r="CH184" s="111"/>
      <c r="CI184" s="111"/>
      <c r="CJ184" s="111"/>
      <c r="CK184" s="111"/>
      <c r="CL184" s="111"/>
      <c r="CM184" s="111"/>
      <c r="CN184" s="111"/>
      <c r="CO184" s="111"/>
      <c r="CP184" s="111"/>
      <c r="CQ184" s="111"/>
      <c r="CR184" s="111"/>
      <c r="CS184" s="111"/>
      <c r="CT184" s="111"/>
      <c r="CU184" s="111"/>
      <c r="CV184" s="111"/>
      <c r="CW184" s="111"/>
      <c r="CX184" s="111"/>
      <c r="CY184" s="111"/>
      <c r="CZ184" s="111"/>
      <c r="DA184" s="111"/>
      <c r="DB184" s="111"/>
      <c r="DC184" s="111"/>
      <c r="DD184" s="111"/>
      <c r="DE184" s="111"/>
      <c r="DF184" s="111"/>
      <c r="DG184" s="111"/>
      <c r="DH184" s="111"/>
      <c r="DI184" s="111"/>
      <c r="DJ184" s="111"/>
      <c r="DK184" s="111"/>
      <c r="DL184" s="111"/>
      <c r="DM184" s="111"/>
      <c r="DN184" s="111"/>
      <c r="DO184" s="111"/>
      <c r="DP184" s="111"/>
      <c r="DQ184" s="111"/>
      <c r="DR184" s="111"/>
      <c r="DS184" s="111"/>
      <c r="DT184" s="111"/>
      <c r="DU184" s="111"/>
      <c r="DV184" s="111"/>
      <c r="DW184" s="111"/>
      <c r="DX184" s="111"/>
    </row>
    <row r="185" spans="1:128" s="3" customFormat="1" ht="12.75" customHeight="1" x14ac:dyDescent="0.3">
      <c r="A185" s="85"/>
      <c r="F185" s="66"/>
      <c r="G185" s="66"/>
      <c r="H185" s="111"/>
      <c r="I185" s="111"/>
      <c r="J185" s="111"/>
      <c r="K185" s="111"/>
      <c r="L185" s="111"/>
      <c r="M185" s="111"/>
      <c r="N185" s="111"/>
      <c r="O185" s="111"/>
      <c r="P185" s="111"/>
      <c r="Q185" s="111"/>
      <c r="R185" s="111"/>
      <c r="S185" s="111"/>
      <c r="T185" s="111"/>
      <c r="U185" s="111"/>
      <c r="V185" s="111"/>
      <c r="W185" s="111"/>
      <c r="X185" s="111"/>
      <c r="Y185" s="111"/>
      <c r="Z185" s="111"/>
      <c r="AA185" s="111"/>
      <c r="AB185" s="111"/>
      <c r="AC185" s="111"/>
      <c r="AD185" s="111"/>
      <c r="AE185" s="111"/>
      <c r="AF185" s="111"/>
      <c r="AG185" s="111"/>
      <c r="AH185" s="111"/>
      <c r="AI185" s="111"/>
      <c r="AJ185" s="111"/>
      <c r="AK185" s="111"/>
      <c r="AL185" s="111"/>
      <c r="AM185" s="111"/>
      <c r="AN185" s="111"/>
      <c r="AO185" s="111"/>
      <c r="AP185" s="111"/>
      <c r="AQ185" s="111"/>
      <c r="AR185" s="111"/>
      <c r="AS185" s="111"/>
      <c r="AT185" s="111"/>
      <c r="AU185" s="111"/>
      <c r="AV185" s="111"/>
      <c r="AW185" s="111"/>
      <c r="AX185" s="111"/>
      <c r="AY185" s="111"/>
      <c r="AZ185" s="111"/>
      <c r="BA185" s="111"/>
      <c r="BB185" s="111"/>
      <c r="BC185" s="111"/>
      <c r="BD185" s="111"/>
      <c r="BE185" s="111"/>
      <c r="BF185" s="111"/>
      <c r="BG185" s="111"/>
      <c r="BH185" s="111"/>
      <c r="BI185" s="111"/>
      <c r="BJ185" s="111"/>
      <c r="BK185" s="111"/>
      <c r="BL185" s="111"/>
      <c r="BM185" s="111"/>
      <c r="BN185" s="111"/>
      <c r="BO185" s="111"/>
      <c r="BP185" s="111"/>
      <c r="BQ185" s="111"/>
      <c r="BR185" s="111"/>
      <c r="BS185" s="111"/>
      <c r="BT185" s="111"/>
      <c r="BU185" s="111"/>
      <c r="BV185" s="111"/>
      <c r="BW185" s="111"/>
      <c r="BX185" s="111"/>
      <c r="BY185" s="111"/>
      <c r="BZ185" s="111"/>
      <c r="CA185" s="111"/>
      <c r="CB185" s="111"/>
      <c r="CC185" s="111"/>
      <c r="CD185" s="111"/>
      <c r="CE185" s="111"/>
      <c r="CF185" s="111"/>
      <c r="CG185" s="111"/>
      <c r="CH185" s="111"/>
      <c r="CI185" s="111"/>
      <c r="CJ185" s="111"/>
      <c r="CK185" s="111"/>
      <c r="CL185" s="111"/>
      <c r="CM185" s="111"/>
      <c r="CN185" s="111"/>
      <c r="CO185" s="111"/>
      <c r="CP185" s="111"/>
      <c r="CQ185" s="111"/>
      <c r="CR185" s="111"/>
      <c r="CS185" s="111"/>
      <c r="CT185" s="111"/>
      <c r="CU185" s="111"/>
      <c r="CV185" s="111"/>
      <c r="CW185" s="111"/>
      <c r="CX185" s="111"/>
      <c r="CY185" s="111"/>
      <c r="CZ185" s="111"/>
      <c r="DA185" s="111"/>
      <c r="DB185" s="111"/>
      <c r="DC185" s="111"/>
      <c r="DD185" s="111"/>
      <c r="DE185" s="111"/>
      <c r="DF185" s="111"/>
      <c r="DG185" s="111"/>
      <c r="DH185" s="111"/>
      <c r="DI185" s="111"/>
      <c r="DJ185" s="111"/>
      <c r="DK185" s="111"/>
      <c r="DL185" s="111"/>
      <c r="DM185" s="111"/>
      <c r="DN185" s="111"/>
      <c r="DO185" s="111"/>
      <c r="DP185" s="111"/>
      <c r="DQ185" s="111"/>
      <c r="DR185" s="111"/>
      <c r="DS185" s="111"/>
      <c r="DT185" s="111"/>
      <c r="DU185" s="111"/>
      <c r="DV185" s="111"/>
      <c r="DW185" s="111"/>
      <c r="DX185" s="111"/>
    </row>
    <row r="186" spans="1:128" s="3" customFormat="1" ht="12.75" customHeight="1" x14ac:dyDescent="0.3">
      <c r="A186" s="85"/>
      <c r="F186" s="66"/>
      <c r="G186" s="66"/>
      <c r="H186" s="111"/>
      <c r="I186" s="111"/>
      <c r="J186" s="111"/>
      <c r="K186" s="111"/>
      <c r="L186" s="111"/>
      <c r="M186" s="111"/>
      <c r="N186" s="111"/>
      <c r="O186" s="111"/>
      <c r="P186" s="111"/>
      <c r="Q186" s="111"/>
      <c r="R186" s="111"/>
      <c r="S186" s="111"/>
      <c r="T186" s="111"/>
      <c r="U186" s="111"/>
      <c r="V186" s="111"/>
      <c r="W186" s="111"/>
      <c r="X186" s="111"/>
      <c r="Y186" s="111"/>
      <c r="Z186" s="111"/>
      <c r="AA186" s="111"/>
      <c r="AB186" s="111"/>
      <c r="AC186" s="111"/>
      <c r="AD186" s="111"/>
      <c r="AE186" s="111"/>
      <c r="AF186" s="111"/>
      <c r="AG186" s="111"/>
      <c r="AH186" s="111"/>
      <c r="AI186" s="111"/>
      <c r="AJ186" s="111"/>
      <c r="AK186" s="111"/>
      <c r="AL186" s="111"/>
      <c r="AM186" s="111"/>
      <c r="AN186" s="111"/>
      <c r="AO186" s="111"/>
      <c r="AP186" s="111"/>
      <c r="AQ186" s="111"/>
      <c r="AR186" s="111"/>
      <c r="AS186" s="111"/>
      <c r="AT186" s="111"/>
      <c r="AU186" s="111"/>
      <c r="AV186" s="111"/>
      <c r="AW186" s="111"/>
      <c r="AX186" s="111"/>
      <c r="AY186" s="111"/>
      <c r="AZ186" s="111"/>
      <c r="BA186" s="111"/>
      <c r="BB186" s="111"/>
      <c r="BC186" s="111"/>
      <c r="BD186" s="111"/>
      <c r="BE186" s="111"/>
      <c r="BF186" s="111"/>
      <c r="BG186" s="111"/>
      <c r="BH186" s="111"/>
      <c r="BI186" s="111"/>
      <c r="BJ186" s="111"/>
      <c r="BK186" s="111"/>
      <c r="BL186" s="111"/>
      <c r="BM186" s="111"/>
      <c r="BN186" s="111"/>
      <c r="BO186" s="111"/>
      <c r="BP186" s="111"/>
      <c r="BQ186" s="111"/>
      <c r="BR186" s="111"/>
      <c r="BS186" s="111"/>
      <c r="BT186" s="111"/>
      <c r="BU186" s="111"/>
      <c r="BV186" s="111"/>
      <c r="BW186" s="111"/>
      <c r="BX186" s="111"/>
      <c r="BY186" s="111"/>
      <c r="BZ186" s="111"/>
      <c r="CA186" s="111"/>
      <c r="CB186" s="111"/>
      <c r="CC186" s="111"/>
      <c r="CD186" s="111"/>
      <c r="CE186" s="111"/>
      <c r="CF186" s="111"/>
      <c r="CG186" s="111"/>
      <c r="CH186" s="111"/>
      <c r="CI186" s="111"/>
      <c r="CJ186" s="111"/>
      <c r="CK186" s="111"/>
      <c r="CL186" s="111"/>
      <c r="CM186" s="111"/>
      <c r="CN186" s="111"/>
      <c r="CO186" s="111"/>
      <c r="CP186" s="111"/>
      <c r="CQ186" s="111"/>
      <c r="CR186" s="111"/>
      <c r="CS186" s="111"/>
      <c r="CT186" s="111"/>
      <c r="CU186" s="111"/>
      <c r="CV186" s="111"/>
      <c r="CW186" s="111"/>
      <c r="CX186" s="111"/>
      <c r="CY186" s="111"/>
      <c r="CZ186" s="111"/>
      <c r="DA186" s="111"/>
      <c r="DB186" s="111"/>
      <c r="DC186" s="111"/>
      <c r="DD186" s="111"/>
      <c r="DE186" s="111"/>
      <c r="DF186" s="111"/>
      <c r="DG186" s="111"/>
      <c r="DH186" s="111"/>
      <c r="DI186" s="111"/>
      <c r="DJ186" s="111"/>
      <c r="DK186" s="111"/>
      <c r="DL186" s="111"/>
      <c r="DM186" s="111"/>
      <c r="DN186" s="111"/>
      <c r="DO186" s="111"/>
      <c r="DP186" s="111"/>
      <c r="DQ186" s="111"/>
      <c r="DR186" s="111"/>
      <c r="DS186" s="111"/>
      <c r="DT186" s="111"/>
      <c r="DU186" s="111"/>
      <c r="DV186" s="111"/>
      <c r="DW186" s="111"/>
      <c r="DX186" s="111"/>
    </row>
    <row r="187" spans="1:128" s="3" customFormat="1" ht="12.75" customHeight="1" x14ac:dyDescent="0.3">
      <c r="A187" s="85"/>
      <c r="F187" s="66"/>
      <c r="G187" s="66"/>
      <c r="H187" s="111"/>
      <c r="I187" s="111"/>
      <c r="J187" s="111"/>
      <c r="K187" s="111"/>
      <c r="L187" s="111"/>
      <c r="M187" s="111"/>
      <c r="N187" s="111"/>
      <c r="O187" s="111"/>
      <c r="P187" s="111"/>
      <c r="Q187" s="111"/>
      <c r="R187" s="111"/>
      <c r="S187" s="111"/>
      <c r="T187" s="111"/>
      <c r="U187" s="111"/>
      <c r="V187" s="111"/>
      <c r="W187" s="111"/>
      <c r="X187" s="111"/>
      <c r="Y187" s="111"/>
      <c r="Z187" s="111"/>
      <c r="AA187" s="111"/>
      <c r="AB187" s="111"/>
      <c r="AC187" s="111"/>
      <c r="AD187" s="111"/>
      <c r="AE187" s="111"/>
      <c r="AF187" s="111"/>
      <c r="AG187" s="111"/>
      <c r="AH187" s="111"/>
      <c r="AI187" s="111"/>
      <c r="AJ187" s="111"/>
      <c r="AK187" s="111"/>
      <c r="AL187" s="111"/>
      <c r="AM187" s="111"/>
      <c r="AN187" s="111"/>
      <c r="AO187" s="111"/>
      <c r="AP187" s="111"/>
      <c r="AQ187" s="111"/>
      <c r="AR187" s="111"/>
      <c r="AS187" s="111"/>
      <c r="AT187" s="111"/>
      <c r="AU187" s="111"/>
      <c r="AV187" s="111"/>
      <c r="AW187" s="111"/>
      <c r="AX187" s="111"/>
      <c r="AY187" s="111"/>
      <c r="AZ187" s="111"/>
      <c r="BA187" s="111"/>
      <c r="BB187" s="111"/>
      <c r="BC187" s="111"/>
      <c r="BD187" s="111"/>
      <c r="BE187" s="111"/>
      <c r="BF187" s="111"/>
      <c r="BG187" s="111"/>
      <c r="BH187" s="111"/>
      <c r="BI187" s="111"/>
      <c r="BJ187" s="111"/>
      <c r="BK187" s="111"/>
      <c r="BL187" s="111"/>
      <c r="BM187" s="111"/>
      <c r="BN187" s="111"/>
      <c r="BO187" s="111"/>
      <c r="BP187" s="111"/>
      <c r="BQ187" s="111"/>
      <c r="BR187" s="111"/>
      <c r="BS187" s="111"/>
      <c r="BT187" s="111"/>
      <c r="BU187" s="111"/>
      <c r="BV187" s="111"/>
      <c r="BW187" s="111"/>
      <c r="BX187" s="111"/>
      <c r="BY187" s="111"/>
      <c r="BZ187" s="111"/>
      <c r="CA187" s="111"/>
      <c r="CB187" s="111"/>
      <c r="CC187" s="111"/>
      <c r="CD187" s="111"/>
      <c r="CE187" s="111"/>
      <c r="CF187" s="111"/>
      <c r="CG187" s="111"/>
      <c r="CH187" s="111"/>
      <c r="CI187" s="111"/>
      <c r="CJ187" s="111"/>
      <c r="CK187" s="111"/>
      <c r="CL187" s="111"/>
      <c r="CM187" s="111"/>
      <c r="CN187" s="111"/>
      <c r="CO187" s="111"/>
      <c r="CP187" s="111"/>
      <c r="CQ187" s="111"/>
      <c r="CR187" s="111"/>
      <c r="CS187" s="111"/>
      <c r="CT187" s="111"/>
      <c r="CU187" s="111"/>
      <c r="CV187" s="111"/>
      <c r="CW187" s="111"/>
      <c r="CX187" s="111"/>
      <c r="CY187" s="111"/>
      <c r="CZ187" s="111"/>
      <c r="DA187" s="111"/>
      <c r="DB187" s="111"/>
      <c r="DC187" s="111"/>
      <c r="DD187" s="111"/>
      <c r="DE187" s="111"/>
      <c r="DF187" s="111"/>
      <c r="DG187" s="111"/>
      <c r="DH187" s="111"/>
      <c r="DI187" s="111"/>
      <c r="DJ187" s="111"/>
      <c r="DK187" s="111"/>
      <c r="DL187" s="111"/>
      <c r="DM187" s="111"/>
      <c r="DN187" s="111"/>
      <c r="DO187" s="111"/>
      <c r="DP187" s="111"/>
      <c r="DQ187" s="111"/>
      <c r="DR187" s="111"/>
      <c r="DS187" s="111"/>
      <c r="DT187" s="111"/>
      <c r="DU187" s="111"/>
      <c r="DV187" s="111"/>
      <c r="DW187" s="111"/>
      <c r="DX187" s="111"/>
    </row>
    <row r="188" spans="1:128" s="3" customFormat="1" ht="12.75" customHeight="1" x14ac:dyDescent="0.3">
      <c r="A188" s="85"/>
      <c r="F188" s="66"/>
      <c r="G188" s="66"/>
      <c r="H188" s="111"/>
      <c r="I188" s="111"/>
      <c r="J188" s="111"/>
      <c r="K188" s="111"/>
      <c r="L188" s="111"/>
      <c r="M188" s="111"/>
      <c r="N188" s="111"/>
      <c r="O188" s="111"/>
      <c r="P188" s="111"/>
      <c r="Q188" s="111"/>
      <c r="R188" s="111"/>
      <c r="S188" s="111"/>
      <c r="T188" s="111"/>
      <c r="U188" s="111"/>
      <c r="V188" s="111"/>
      <c r="W188" s="111"/>
      <c r="X188" s="111"/>
      <c r="Y188" s="111"/>
      <c r="Z188" s="111"/>
      <c r="AA188" s="111"/>
      <c r="AB188" s="111"/>
      <c r="AC188" s="111"/>
      <c r="AD188" s="111"/>
      <c r="AE188" s="111"/>
      <c r="AF188" s="111"/>
      <c r="AG188" s="111"/>
      <c r="AH188" s="111"/>
      <c r="AI188" s="111"/>
      <c r="AJ188" s="111"/>
      <c r="AK188" s="111"/>
      <c r="AL188" s="111"/>
      <c r="AM188" s="111"/>
      <c r="AN188" s="111"/>
      <c r="AO188" s="111"/>
      <c r="AP188" s="111"/>
      <c r="AQ188" s="111"/>
      <c r="AR188" s="111"/>
      <c r="AS188" s="111"/>
      <c r="AT188" s="111"/>
      <c r="AU188" s="111"/>
      <c r="AV188" s="111"/>
      <c r="AW188" s="111"/>
      <c r="AX188" s="111"/>
      <c r="AY188" s="111"/>
      <c r="AZ188" s="111"/>
      <c r="BA188" s="111"/>
      <c r="BB188" s="111"/>
      <c r="BC188" s="111"/>
      <c r="BD188" s="111"/>
      <c r="BE188" s="111"/>
      <c r="BF188" s="111"/>
      <c r="BG188" s="111"/>
      <c r="BH188" s="111"/>
      <c r="BI188" s="111"/>
      <c r="BJ188" s="111"/>
      <c r="BK188" s="111"/>
      <c r="BL188" s="111"/>
      <c r="BM188" s="111"/>
      <c r="BN188" s="111"/>
      <c r="BO188" s="111"/>
      <c r="BP188" s="111"/>
      <c r="BQ188" s="111"/>
      <c r="BR188" s="111"/>
      <c r="BS188" s="111"/>
      <c r="BT188" s="111"/>
      <c r="BU188" s="111"/>
      <c r="BV188" s="111"/>
      <c r="BW188" s="111"/>
      <c r="BX188" s="111"/>
      <c r="BY188" s="111"/>
      <c r="BZ188" s="111"/>
      <c r="CA188" s="111"/>
      <c r="CB188" s="111"/>
      <c r="CC188" s="111"/>
      <c r="CD188" s="111"/>
      <c r="CE188" s="111"/>
      <c r="CF188" s="111"/>
      <c r="CG188" s="111"/>
      <c r="CH188" s="111"/>
      <c r="CI188" s="111"/>
      <c r="CJ188" s="111"/>
      <c r="CK188" s="111"/>
      <c r="CL188" s="111"/>
      <c r="CM188" s="111"/>
      <c r="CN188" s="111"/>
      <c r="CO188" s="111"/>
      <c r="CP188" s="111"/>
      <c r="CQ188" s="111"/>
      <c r="CR188" s="111"/>
      <c r="CS188" s="111"/>
      <c r="CT188" s="111"/>
      <c r="CU188" s="111"/>
      <c r="CV188" s="111"/>
      <c r="CW188" s="111"/>
      <c r="CX188" s="111"/>
      <c r="CY188" s="111"/>
      <c r="CZ188" s="111"/>
      <c r="DA188" s="111"/>
      <c r="DB188" s="111"/>
      <c r="DC188" s="111"/>
      <c r="DD188" s="111"/>
      <c r="DE188" s="111"/>
      <c r="DF188" s="111"/>
      <c r="DG188" s="111"/>
      <c r="DH188" s="111"/>
      <c r="DI188" s="111"/>
      <c r="DJ188" s="111"/>
      <c r="DK188" s="111"/>
      <c r="DL188" s="111"/>
      <c r="DM188" s="111"/>
      <c r="DN188" s="111"/>
      <c r="DO188" s="111"/>
      <c r="DP188" s="111"/>
      <c r="DQ188" s="111"/>
      <c r="DR188" s="111"/>
      <c r="DS188" s="111"/>
      <c r="DT188" s="111"/>
      <c r="DU188" s="111"/>
      <c r="DV188" s="111"/>
      <c r="DW188" s="111"/>
      <c r="DX188" s="111"/>
    </row>
    <row r="189" spans="1:128" s="3" customFormat="1" ht="12.75" customHeight="1" x14ac:dyDescent="0.3">
      <c r="A189" s="85"/>
      <c r="F189" s="66"/>
      <c r="G189" s="66"/>
      <c r="H189" s="111"/>
      <c r="I189" s="111"/>
      <c r="J189" s="111"/>
      <c r="K189" s="111"/>
      <c r="L189" s="111"/>
      <c r="M189" s="111"/>
      <c r="N189" s="111"/>
      <c r="O189" s="111"/>
      <c r="P189" s="111"/>
      <c r="Q189" s="111"/>
      <c r="R189" s="111"/>
      <c r="S189" s="111"/>
      <c r="T189" s="111"/>
      <c r="U189" s="111"/>
      <c r="V189" s="111"/>
      <c r="W189" s="111"/>
      <c r="X189" s="111"/>
      <c r="Y189" s="111"/>
      <c r="Z189" s="111"/>
      <c r="AA189" s="111"/>
      <c r="AB189" s="111"/>
      <c r="AC189" s="111"/>
      <c r="AD189" s="111"/>
      <c r="AE189" s="111"/>
      <c r="AF189" s="111"/>
      <c r="AG189" s="111"/>
      <c r="AH189" s="111"/>
      <c r="AI189" s="111"/>
      <c r="AJ189" s="111"/>
      <c r="AK189" s="111"/>
      <c r="AL189" s="111"/>
      <c r="AM189" s="111"/>
      <c r="AN189" s="111"/>
      <c r="AO189" s="111"/>
      <c r="AP189" s="111"/>
      <c r="AQ189" s="111"/>
      <c r="AR189" s="111"/>
      <c r="AS189" s="111"/>
      <c r="AT189" s="111"/>
      <c r="AU189" s="111"/>
      <c r="AV189" s="111"/>
      <c r="AW189" s="111"/>
      <c r="AX189" s="111"/>
      <c r="AY189" s="111"/>
      <c r="AZ189" s="111"/>
      <c r="BA189" s="111"/>
      <c r="BB189" s="111"/>
      <c r="BC189" s="111"/>
      <c r="BD189" s="111"/>
      <c r="BE189" s="111"/>
      <c r="BF189" s="111"/>
      <c r="BG189" s="111"/>
      <c r="BH189" s="111"/>
      <c r="BI189" s="111"/>
      <c r="BJ189" s="111"/>
      <c r="BK189" s="111"/>
      <c r="BL189" s="111"/>
      <c r="BM189" s="111"/>
      <c r="BN189" s="111"/>
      <c r="BO189" s="111"/>
      <c r="BP189" s="111"/>
      <c r="BQ189" s="111"/>
      <c r="BR189" s="111"/>
      <c r="BS189" s="111"/>
      <c r="BT189" s="111"/>
      <c r="BU189" s="111"/>
      <c r="BV189" s="111"/>
      <c r="BW189" s="111"/>
      <c r="BX189" s="111"/>
      <c r="BY189" s="111"/>
      <c r="BZ189" s="111"/>
      <c r="CA189" s="111"/>
      <c r="CB189" s="111"/>
      <c r="CC189" s="111"/>
      <c r="CD189" s="111"/>
      <c r="CE189" s="111"/>
      <c r="CF189" s="111"/>
      <c r="CG189" s="111"/>
      <c r="CH189" s="111"/>
      <c r="CI189" s="111"/>
      <c r="CJ189" s="111"/>
      <c r="CK189" s="111"/>
      <c r="CL189" s="111"/>
      <c r="CM189" s="111"/>
      <c r="CN189" s="111"/>
      <c r="CO189" s="111"/>
      <c r="CP189" s="111"/>
      <c r="CQ189" s="111"/>
      <c r="CR189" s="111"/>
      <c r="CS189" s="111"/>
      <c r="CT189" s="111"/>
      <c r="CU189" s="111"/>
      <c r="CV189" s="111"/>
      <c r="CW189" s="111"/>
      <c r="CX189" s="111"/>
      <c r="CY189" s="111"/>
      <c r="CZ189" s="111"/>
      <c r="DA189" s="111"/>
      <c r="DB189" s="111"/>
      <c r="DC189" s="111"/>
      <c r="DD189" s="111"/>
      <c r="DE189" s="111"/>
      <c r="DF189" s="111"/>
      <c r="DG189" s="111"/>
      <c r="DH189" s="111"/>
      <c r="DI189" s="111"/>
      <c r="DJ189" s="111"/>
      <c r="DK189" s="111"/>
      <c r="DL189" s="111"/>
      <c r="DM189" s="111"/>
      <c r="DN189" s="111"/>
      <c r="DO189" s="111"/>
      <c r="DP189" s="111"/>
      <c r="DQ189" s="111"/>
      <c r="DR189" s="111"/>
      <c r="DS189" s="111"/>
      <c r="DT189" s="111"/>
      <c r="DU189" s="111"/>
      <c r="DV189" s="111"/>
      <c r="DW189" s="111"/>
      <c r="DX189" s="111"/>
    </row>
    <row r="190" spans="1:128" s="3" customFormat="1" ht="12.75" customHeight="1" x14ac:dyDescent="0.3">
      <c r="A190" s="85"/>
      <c r="F190" s="66"/>
      <c r="G190" s="66"/>
      <c r="H190" s="111"/>
      <c r="I190" s="111"/>
      <c r="J190" s="111"/>
      <c r="K190" s="111"/>
      <c r="L190" s="111"/>
      <c r="M190" s="111"/>
      <c r="N190" s="111"/>
      <c r="O190" s="111"/>
      <c r="P190" s="111"/>
      <c r="Q190" s="111"/>
      <c r="R190" s="111"/>
      <c r="S190" s="111"/>
      <c r="T190" s="111"/>
      <c r="U190" s="111"/>
      <c r="V190" s="111"/>
      <c r="W190" s="111"/>
      <c r="X190" s="111"/>
      <c r="Y190" s="111"/>
      <c r="Z190" s="111"/>
      <c r="AA190" s="111"/>
      <c r="AB190" s="111"/>
      <c r="AC190" s="111"/>
      <c r="AD190" s="111"/>
      <c r="AE190" s="111"/>
      <c r="AF190" s="111"/>
      <c r="AG190" s="111"/>
      <c r="AH190" s="111"/>
      <c r="AI190" s="111"/>
      <c r="AJ190" s="111"/>
      <c r="AK190" s="111"/>
      <c r="AL190" s="111"/>
      <c r="AM190" s="111"/>
      <c r="AN190" s="111"/>
      <c r="AO190" s="111"/>
      <c r="AP190" s="111"/>
      <c r="AQ190" s="111"/>
      <c r="AR190" s="111"/>
      <c r="AS190" s="111"/>
      <c r="AT190" s="111"/>
      <c r="AU190" s="111"/>
      <c r="AV190" s="111"/>
      <c r="AW190" s="111"/>
      <c r="AX190" s="111"/>
      <c r="AY190" s="111"/>
      <c r="AZ190" s="111"/>
      <c r="BA190" s="111"/>
      <c r="BB190" s="111"/>
      <c r="BC190" s="111"/>
      <c r="BD190" s="111"/>
      <c r="BE190" s="111"/>
      <c r="BF190" s="111"/>
      <c r="BG190" s="111"/>
      <c r="BH190" s="111"/>
      <c r="BI190" s="111"/>
      <c r="BJ190" s="111"/>
      <c r="BK190" s="111"/>
      <c r="BL190" s="111"/>
      <c r="BM190" s="111"/>
      <c r="BN190" s="111"/>
      <c r="BO190" s="111"/>
      <c r="BP190" s="111"/>
      <c r="BQ190" s="111"/>
      <c r="BR190" s="111"/>
      <c r="BS190" s="111"/>
      <c r="BT190" s="111"/>
      <c r="BU190" s="111"/>
      <c r="BV190" s="111"/>
      <c r="BW190" s="111"/>
      <c r="BX190" s="111"/>
      <c r="BY190" s="111"/>
      <c r="BZ190" s="111"/>
      <c r="CA190" s="111"/>
      <c r="CB190" s="111"/>
      <c r="CC190" s="111"/>
      <c r="CD190" s="111"/>
      <c r="CE190" s="111"/>
      <c r="CF190" s="111"/>
      <c r="CG190" s="111"/>
      <c r="CH190" s="111"/>
      <c r="CI190" s="111"/>
      <c r="CJ190" s="111"/>
      <c r="CK190" s="111"/>
      <c r="CL190" s="111"/>
      <c r="CM190" s="111"/>
      <c r="CN190" s="111"/>
      <c r="CO190" s="111"/>
      <c r="CP190" s="111"/>
      <c r="CQ190" s="111"/>
      <c r="CR190" s="111"/>
      <c r="CS190" s="111"/>
      <c r="CT190" s="111"/>
      <c r="CU190" s="111"/>
      <c r="CV190" s="111"/>
      <c r="CW190" s="111"/>
      <c r="CX190" s="111"/>
      <c r="CY190" s="111"/>
      <c r="CZ190" s="111"/>
      <c r="DA190" s="111"/>
      <c r="DB190" s="111"/>
      <c r="DC190" s="111"/>
      <c r="DD190" s="111"/>
      <c r="DE190" s="111"/>
      <c r="DF190" s="111"/>
      <c r="DG190" s="111"/>
      <c r="DH190" s="111"/>
      <c r="DI190" s="111"/>
      <c r="DJ190" s="111"/>
      <c r="DK190" s="111"/>
      <c r="DL190" s="111"/>
      <c r="DM190" s="111"/>
      <c r="DN190" s="111"/>
      <c r="DO190" s="111"/>
      <c r="DP190" s="111"/>
      <c r="DQ190" s="111"/>
      <c r="DR190" s="111"/>
      <c r="DS190" s="111"/>
      <c r="DT190" s="111"/>
      <c r="DU190" s="111"/>
      <c r="DV190" s="111"/>
      <c r="DW190" s="111"/>
      <c r="DX190" s="111"/>
    </row>
    <row r="191" spans="1:128" s="3" customFormat="1" ht="12.75" customHeight="1" x14ac:dyDescent="0.3">
      <c r="A191" s="85"/>
      <c r="F191" s="66"/>
      <c r="G191" s="66"/>
      <c r="H191" s="111"/>
      <c r="I191" s="111"/>
      <c r="J191" s="111"/>
      <c r="K191" s="111"/>
      <c r="L191" s="111"/>
      <c r="M191" s="111"/>
      <c r="N191" s="111"/>
      <c r="O191" s="111"/>
      <c r="P191" s="111"/>
      <c r="Q191" s="111"/>
      <c r="R191" s="111"/>
      <c r="S191" s="111"/>
      <c r="T191" s="111"/>
      <c r="U191" s="111"/>
      <c r="V191" s="111"/>
      <c r="W191" s="111"/>
      <c r="X191" s="111"/>
      <c r="Y191" s="111"/>
      <c r="Z191" s="111"/>
      <c r="AA191" s="111"/>
      <c r="AB191" s="111"/>
      <c r="AC191" s="111"/>
      <c r="AD191" s="111"/>
      <c r="AE191" s="111"/>
      <c r="AF191" s="111"/>
      <c r="AG191" s="111"/>
      <c r="AH191" s="111"/>
      <c r="AI191" s="111"/>
      <c r="AJ191" s="111"/>
      <c r="AK191" s="111"/>
      <c r="AL191" s="111"/>
      <c r="AM191" s="111"/>
      <c r="AN191" s="111"/>
      <c r="AO191" s="111"/>
      <c r="AP191" s="111"/>
      <c r="AQ191" s="111"/>
      <c r="AR191" s="111"/>
      <c r="AS191" s="111"/>
      <c r="AT191" s="111"/>
      <c r="AU191" s="111"/>
      <c r="AV191" s="111"/>
      <c r="AW191" s="111"/>
      <c r="AX191" s="111"/>
      <c r="AY191" s="111"/>
      <c r="AZ191" s="111"/>
      <c r="BA191" s="111"/>
      <c r="BB191" s="111"/>
      <c r="BC191" s="111"/>
      <c r="BD191" s="111"/>
      <c r="BE191" s="111"/>
      <c r="BF191" s="111"/>
      <c r="BG191" s="111"/>
      <c r="BH191" s="111"/>
      <c r="BI191" s="111"/>
      <c r="BJ191" s="111"/>
      <c r="BK191" s="111"/>
      <c r="BL191" s="111"/>
      <c r="BM191" s="111"/>
      <c r="BN191" s="111"/>
      <c r="BO191" s="111"/>
      <c r="BP191" s="111"/>
      <c r="BQ191" s="111"/>
      <c r="BR191" s="111"/>
      <c r="BS191" s="111"/>
      <c r="BT191" s="111"/>
      <c r="BU191" s="111"/>
      <c r="BV191" s="111"/>
      <c r="BW191" s="111"/>
      <c r="BX191" s="111"/>
      <c r="BY191" s="111"/>
      <c r="BZ191" s="111"/>
      <c r="CA191" s="111"/>
      <c r="CB191" s="111"/>
      <c r="CC191" s="111"/>
      <c r="CD191" s="111"/>
      <c r="CE191" s="111"/>
      <c r="CF191" s="111"/>
      <c r="CG191" s="111"/>
      <c r="CH191" s="111"/>
      <c r="CI191" s="111"/>
      <c r="CJ191" s="111"/>
      <c r="CK191" s="111"/>
      <c r="CL191" s="111"/>
      <c r="CM191" s="111"/>
      <c r="CN191" s="111"/>
      <c r="CO191" s="111"/>
      <c r="CP191" s="111"/>
      <c r="CQ191" s="111"/>
      <c r="CR191" s="111"/>
      <c r="CS191" s="111"/>
      <c r="CT191" s="111"/>
      <c r="CU191" s="111"/>
      <c r="CV191" s="111"/>
      <c r="CW191" s="111"/>
      <c r="CX191" s="111"/>
      <c r="CY191" s="111"/>
      <c r="CZ191" s="111"/>
      <c r="DA191" s="111"/>
      <c r="DB191" s="111"/>
      <c r="DC191" s="111"/>
      <c r="DD191" s="111"/>
      <c r="DE191" s="111"/>
      <c r="DF191" s="111"/>
      <c r="DG191" s="111"/>
      <c r="DH191" s="111"/>
      <c r="DI191" s="111"/>
      <c r="DJ191" s="111"/>
      <c r="DK191" s="111"/>
      <c r="DL191" s="111"/>
      <c r="DM191" s="111"/>
      <c r="DN191" s="111"/>
      <c r="DO191" s="111"/>
      <c r="DP191" s="111"/>
      <c r="DQ191" s="111"/>
      <c r="DR191" s="111"/>
      <c r="DS191" s="111"/>
      <c r="DT191" s="111"/>
      <c r="DU191" s="111"/>
      <c r="DV191" s="111"/>
      <c r="DW191" s="111"/>
      <c r="DX191" s="111"/>
    </row>
    <row r="192" spans="1:128" s="3" customFormat="1" ht="12.75" customHeight="1" x14ac:dyDescent="0.3">
      <c r="A192" s="85"/>
      <c r="F192" s="66"/>
      <c r="G192" s="66"/>
      <c r="H192" s="111"/>
      <c r="I192" s="111"/>
      <c r="J192" s="111"/>
      <c r="K192" s="111"/>
      <c r="L192" s="111"/>
      <c r="M192" s="111"/>
      <c r="N192" s="111"/>
      <c r="O192" s="111"/>
      <c r="P192" s="111"/>
      <c r="Q192" s="111"/>
      <c r="R192" s="111"/>
      <c r="S192" s="111"/>
      <c r="T192" s="111"/>
      <c r="U192" s="111"/>
      <c r="V192" s="111"/>
      <c r="W192" s="111"/>
      <c r="X192" s="111"/>
      <c r="Y192" s="111"/>
      <c r="Z192" s="111"/>
      <c r="AA192" s="111"/>
      <c r="AB192" s="111"/>
      <c r="AC192" s="111"/>
      <c r="AD192" s="111"/>
      <c r="AE192" s="111"/>
      <c r="AF192" s="111"/>
      <c r="AG192" s="111"/>
      <c r="AH192" s="111"/>
      <c r="AI192" s="111"/>
      <c r="AJ192" s="111"/>
      <c r="AK192" s="111"/>
      <c r="AL192" s="111"/>
      <c r="AM192" s="111"/>
      <c r="AN192" s="111"/>
      <c r="AO192" s="111"/>
      <c r="AP192" s="111"/>
      <c r="AQ192" s="111"/>
      <c r="AR192" s="111"/>
      <c r="AS192" s="111"/>
      <c r="AT192" s="111"/>
      <c r="AU192" s="111"/>
      <c r="AV192" s="111"/>
      <c r="AW192" s="111"/>
      <c r="AX192" s="111"/>
      <c r="AY192" s="111"/>
      <c r="AZ192" s="111"/>
      <c r="BA192" s="111"/>
      <c r="BB192" s="111"/>
      <c r="BC192" s="111"/>
      <c r="BD192" s="111"/>
      <c r="BE192" s="111"/>
      <c r="BF192" s="111"/>
      <c r="BG192" s="111"/>
      <c r="BH192" s="111"/>
      <c r="BI192" s="111"/>
      <c r="BJ192" s="111"/>
      <c r="BK192" s="111"/>
      <c r="BL192" s="111"/>
      <c r="BM192" s="111"/>
      <c r="BN192" s="111"/>
      <c r="BO192" s="111"/>
      <c r="BP192" s="111"/>
      <c r="BQ192" s="111"/>
      <c r="BR192" s="111"/>
      <c r="BS192" s="111"/>
      <c r="BT192" s="111"/>
      <c r="BU192" s="111"/>
      <c r="BV192" s="111"/>
      <c r="BW192" s="111"/>
      <c r="BX192" s="111"/>
      <c r="BY192" s="111"/>
      <c r="BZ192" s="111"/>
      <c r="CA192" s="111"/>
      <c r="CB192" s="111"/>
      <c r="CC192" s="111"/>
      <c r="CD192" s="111"/>
      <c r="CE192" s="111"/>
      <c r="CF192" s="111"/>
      <c r="CG192" s="111"/>
      <c r="CH192" s="111"/>
      <c r="CI192" s="111"/>
      <c r="CJ192" s="111"/>
      <c r="CK192" s="111"/>
      <c r="CL192" s="111"/>
      <c r="CM192" s="111"/>
      <c r="CN192" s="111"/>
      <c r="CO192" s="111"/>
      <c r="CP192" s="111"/>
      <c r="CQ192" s="111"/>
      <c r="CR192" s="111"/>
      <c r="CS192" s="111"/>
      <c r="CT192" s="111"/>
      <c r="CU192" s="111"/>
      <c r="CV192" s="111"/>
      <c r="CW192" s="111"/>
      <c r="CX192" s="111"/>
      <c r="CY192" s="111"/>
      <c r="CZ192" s="111"/>
      <c r="DA192" s="111"/>
      <c r="DB192" s="111"/>
      <c r="DC192" s="111"/>
      <c r="DD192" s="111"/>
      <c r="DE192" s="111"/>
      <c r="DF192" s="111"/>
      <c r="DG192" s="111"/>
      <c r="DH192" s="111"/>
      <c r="DI192" s="111"/>
      <c r="DJ192" s="111"/>
      <c r="DK192" s="111"/>
      <c r="DL192" s="111"/>
      <c r="DM192" s="111"/>
      <c r="DN192" s="111"/>
      <c r="DO192" s="111"/>
      <c r="DP192" s="111"/>
      <c r="DQ192" s="111"/>
      <c r="DR192" s="111"/>
      <c r="DS192" s="111"/>
      <c r="DT192" s="111"/>
      <c r="DU192" s="111"/>
      <c r="DV192" s="111"/>
      <c r="DW192" s="111"/>
      <c r="DX192" s="111"/>
    </row>
    <row r="193" spans="1:128" s="3" customFormat="1" ht="12.75" customHeight="1" x14ac:dyDescent="0.3">
      <c r="A193" s="85"/>
      <c r="F193" s="66"/>
      <c r="G193" s="66"/>
      <c r="H193" s="111"/>
      <c r="I193" s="111"/>
      <c r="J193" s="111"/>
      <c r="K193" s="111"/>
      <c r="L193" s="111"/>
      <c r="M193" s="111"/>
      <c r="N193" s="111"/>
      <c r="O193" s="111"/>
      <c r="P193" s="111"/>
      <c r="Q193" s="111"/>
      <c r="R193" s="111"/>
      <c r="S193" s="111"/>
      <c r="T193" s="111"/>
      <c r="U193" s="111"/>
      <c r="V193" s="111"/>
      <c r="W193" s="111"/>
      <c r="X193" s="111"/>
      <c r="Y193" s="111"/>
      <c r="Z193" s="111"/>
      <c r="AA193" s="111"/>
      <c r="AB193" s="111"/>
      <c r="AC193" s="111"/>
      <c r="AD193" s="111"/>
      <c r="AE193" s="111"/>
      <c r="AF193" s="111"/>
      <c r="AG193" s="111"/>
      <c r="AH193" s="111"/>
      <c r="AI193" s="111"/>
      <c r="AJ193" s="111"/>
      <c r="AK193" s="111"/>
      <c r="AL193" s="111"/>
      <c r="AM193" s="111"/>
      <c r="AN193" s="111"/>
      <c r="AO193" s="111"/>
      <c r="AP193" s="111"/>
      <c r="AQ193" s="111"/>
      <c r="AR193" s="111"/>
      <c r="AS193" s="111"/>
      <c r="AT193" s="111"/>
      <c r="AU193" s="111"/>
      <c r="AV193" s="111"/>
      <c r="AW193" s="111"/>
      <c r="AX193" s="111"/>
      <c r="AY193" s="111"/>
      <c r="AZ193" s="111"/>
      <c r="BA193" s="111"/>
      <c r="BB193" s="111"/>
      <c r="BC193" s="111"/>
      <c r="BD193" s="111"/>
      <c r="BE193" s="111"/>
      <c r="BF193" s="111"/>
      <c r="BG193" s="111"/>
      <c r="BH193" s="111"/>
      <c r="BI193" s="111"/>
      <c r="BJ193" s="111"/>
      <c r="BK193" s="111"/>
      <c r="BL193" s="111"/>
      <c r="BM193" s="111"/>
      <c r="BN193" s="111"/>
      <c r="BO193" s="111"/>
      <c r="BP193" s="111"/>
      <c r="BQ193" s="111"/>
      <c r="BR193" s="111"/>
      <c r="BS193" s="111"/>
      <c r="BT193" s="111"/>
      <c r="BU193" s="111"/>
      <c r="BV193" s="111"/>
      <c r="BW193" s="111"/>
      <c r="BX193" s="111"/>
      <c r="BY193" s="111"/>
      <c r="BZ193" s="111"/>
      <c r="CA193" s="111"/>
      <c r="CB193" s="111"/>
      <c r="CC193" s="111"/>
      <c r="CD193" s="111"/>
      <c r="CE193" s="111"/>
      <c r="CF193" s="111"/>
      <c r="CG193" s="111"/>
      <c r="CH193" s="111"/>
      <c r="CI193" s="111"/>
      <c r="CJ193" s="111"/>
      <c r="CK193" s="111"/>
      <c r="CL193" s="111"/>
      <c r="CM193" s="111"/>
      <c r="CN193" s="111"/>
      <c r="CO193" s="111"/>
      <c r="CP193" s="111"/>
      <c r="CQ193" s="111"/>
      <c r="CR193" s="111"/>
      <c r="CS193" s="111"/>
      <c r="CT193" s="111"/>
      <c r="CU193" s="111"/>
      <c r="CV193" s="111"/>
      <c r="CW193" s="111"/>
      <c r="CX193" s="111"/>
      <c r="CY193" s="111"/>
      <c r="CZ193" s="111"/>
      <c r="DA193" s="111"/>
      <c r="DB193" s="111"/>
      <c r="DC193" s="111"/>
      <c r="DD193" s="111"/>
      <c r="DE193" s="111"/>
      <c r="DF193" s="111"/>
      <c r="DG193" s="111"/>
      <c r="DH193" s="111"/>
      <c r="DI193" s="111"/>
      <c r="DJ193" s="111"/>
      <c r="DK193" s="111"/>
      <c r="DL193" s="111"/>
      <c r="DM193" s="111"/>
      <c r="DN193" s="111"/>
      <c r="DO193" s="111"/>
      <c r="DP193" s="111"/>
      <c r="DQ193" s="111"/>
      <c r="DR193" s="111"/>
      <c r="DS193" s="111"/>
      <c r="DT193" s="111"/>
      <c r="DU193" s="111"/>
      <c r="DV193" s="111"/>
      <c r="DW193" s="111"/>
      <c r="DX193" s="111"/>
    </row>
    <row r="194" spans="1:128" s="3" customFormat="1" ht="12.75" customHeight="1" x14ac:dyDescent="0.3">
      <c r="A194" s="85"/>
      <c r="F194" s="66"/>
      <c r="G194" s="66"/>
      <c r="H194" s="111"/>
      <c r="I194" s="111"/>
      <c r="J194" s="111"/>
      <c r="K194" s="111"/>
      <c r="L194" s="111"/>
      <c r="M194" s="111"/>
      <c r="N194" s="111"/>
      <c r="O194" s="111"/>
      <c r="P194" s="111"/>
      <c r="Q194" s="111"/>
      <c r="R194" s="111"/>
      <c r="S194" s="111"/>
      <c r="T194" s="111"/>
      <c r="U194" s="111"/>
      <c r="V194" s="111"/>
      <c r="W194" s="111"/>
      <c r="X194" s="111"/>
      <c r="Y194" s="111"/>
      <c r="Z194" s="111"/>
      <c r="AA194" s="111"/>
      <c r="AB194" s="111"/>
      <c r="AC194" s="111"/>
      <c r="AD194" s="111"/>
      <c r="AE194" s="111"/>
      <c r="AF194" s="111"/>
      <c r="AG194" s="111"/>
      <c r="AH194" s="111"/>
      <c r="AI194" s="111"/>
      <c r="AJ194" s="111"/>
      <c r="AK194" s="111"/>
      <c r="AL194" s="111"/>
      <c r="AM194" s="111"/>
      <c r="AN194" s="111"/>
      <c r="AO194" s="111"/>
      <c r="AP194" s="111"/>
      <c r="AQ194" s="111"/>
      <c r="AR194" s="111"/>
      <c r="AS194" s="111"/>
      <c r="AT194" s="111"/>
      <c r="AU194" s="111"/>
      <c r="AV194" s="111"/>
      <c r="AW194" s="111"/>
      <c r="AX194" s="111"/>
      <c r="AY194" s="111"/>
      <c r="AZ194" s="111"/>
      <c r="BA194" s="111"/>
      <c r="BB194" s="111"/>
      <c r="BC194" s="111"/>
      <c r="BD194" s="111"/>
      <c r="BE194" s="111"/>
      <c r="BF194" s="111"/>
      <c r="BG194" s="111"/>
      <c r="BH194" s="111"/>
      <c r="BI194" s="111"/>
      <c r="BJ194" s="111"/>
      <c r="BK194" s="111"/>
      <c r="BL194" s="111"/>
      <c r="BM194" s="111"/>
      <c r="BN194" s="111"/>
      <c r="BO194" s="111"/>
      <c r="BP194" s="111"/>
      <c r="BQ194" s="111"/>
      <c r="BR194" s="111"/>
      <c r="BS194" s="111"/>
      <c r="BT194" s="111"/>
      <c r="BU194" s="111"/>
      <c r="BV194" s="111"/>
      <c r="BW194" s="111"/>
      <c r="BX194" s="111"/>
      <c r="BY194" s="111"/>
      <c r="BZ194" s="111"/>
      <c r="CA194" s="111"/>
      <c r="CB194" s="111"/>
      <c r="CC194" s="111"/>
      <c r="CD194" s="111"/>
      <c r="CE194" s="111"/>
      <c r="CF194" s="111"/>
      <c r="CG194" s="111"/>
      <c r="CH194" s="111"/>
      <c r="CI194" s="111"/>
      <c r="CJ194" s="111"/>
      <c r="CK194" s="111"/>
      <c r="CL194" s="111"/>
      <c r="CM194" s="111"/>
      <c r="CN194" s="111"/>
      <c r="CO194" s="111"/>
      <c r="CP194" s="111"/>
      <c r="CQ194" s="111"/>
      <c r="CR194" s="111"/>
      <c r="CS194" s="111"/>
      <c r="CT194" s="111"/>
      <c r="CU194" s="111"/>
      <c r="CV194" s="111"/>
      <c r="CW194" s="111"/>
      <c r="CX194" s="111"/>
      <c r="CY194" s="111"/>
      <c r="CZ194" s="111"/>
      <c r="DA194" s="111"/>
      <c r="DB194" s="111"/>
      <c r="DC194" s="111"/>
      <c r="DD194" s="111"/>
      <c r="DE194" s="111"/>
      <c r="DF194" s="111"/>
      <c r="DG194" s="111"/>
      <c r="DH194" s="111"/>
      <c r="DI194" s="111"/>
      <c r="DJ194" s="111"/>
      <c r="DK194" s="111"/>
      <c r="DL194" s="111"/>
      <c r="DM194" s="111"/>
      <c r="DN194" s="111"/>
      <c r="DO194" s="111"/>
      <c r="DP194" s="111"/>
      <c r="DQ194" s="111"/>
      <c r="DR194" s="111"/>
      <c r="DS194" s="111"/>
      <c r="DT194" s="111"/>
      <c r="DU194" s="111"/>
      <c r="DV194" s="111"/>
      <c r="DW194" s="111"/>
      <c r="DX194" s="111"/>
    </row>
    <row r="195" spans="1:128" s="3" customFormat="1" ht="12.75" customHeight="1" x14ac:dyDescent="0.3">
      <c r="A195" s="85"/>
      <c r="F195" s="66"/>
      <c r="G195" s="66"/>
      <c r="H195" s="111"/>
      <c r="I195" s="111"/>
      <c r="J195" s="111"/>
      <c r="K195" s="111"/>
      <c r="L195" s="111"/>
      <c r="M195" s="111"/>
      <c r="N195" s="111"/>
      <c r="O195" s="111"/>
      <c r="P195" s="111"/>
      <c r="Q195" s="111"/>
      <c r="R195" s="111"/>
      <c r="S195" s="111"/>
      <c r="T195" s="111"/>
      <c r="U195" s="111"/>
      <c r="V195" s="111"/>
      <c r="W195" s="111"/>
      <c r="X195" s="111"/>
      <c r="Y195" s="111"/>
      <c r="Z195" s="111"/>
      <c r="AA195" s="111"/>
      <c r="AB195" s="111"/>
      <c r="AC195" s="111"/>
      <c r="AD195" s="111"/>
      <c r="AE195" s="111"/>
      <c r="AF195" s="111"/>
      <c r="AG195" s="111"/>
      <c r="AH195" s="111"/>
      <c r="AI195" s="111"/>
      <c r="AJ195" s="111"/>
      <c r="AK195" s="111"/>
      <c r="AL195" s="111"/>
      <c r="AM195" s="111"/>
      <c r="AN195" s="111"/>
      <c r="AO195" s="111"/>
      <c r="AP195" s="111"/>
      <c r="AQ195" s="111"/>
      <c r="AR195" s="111"/>
      <c r="AS195" s="111"/>
      <c r="AT195" s="111"/>
      <c r="AU195" s="111"/>
      <c r="AV195" s="111"/>
      <c r="AW195" s="111"/>
      <c r="AX195" s="111"/>
      <c r="AY195" s="111"/>
      <c r="AZ195" s="111"/>
      <c r="BA195" s="111"/>
      <c r="BB195" s="111"/>
      <c r="BC195" s="111"/>
      <c r="BD195" s="111"/>
      <c r="BE195" s="111"/>
      <c r="BF195" s="111"/>
      <c r="BG195" s="111"/>
      <c r="BH195" s="111"/>
      <c r="BI195" s="111"/>
      <c r="BJ195" s="111"/>
      <c r="BK195" s="111"/>
      <c r="BL195" s="111"/>
      <c r="BM195" s="111"/>
      <c r="BN195" s="111"/>
      <c r="BO195" s="111"/>
      <c r="BP195" s="111"/>
      <c r="BQ195" s="111"/>
      <c r="BR195" s="111"/>
      <c r="BS195" s="111"/>
      <c r="BT195" s="111"/>
      <c r="BU195" s="111"/>
      <c r="BV195" s="111"/>
      <c r="BW195" s="111"/>
      <c r="BX195" s="111"/>
      <c r="BY195" s="111"/>
      <c r="BZ195" s="111"/>
      <c r="CA195" s="111"/>
      <c r="CB195" s="111"/>
      <c r="CC195" s="111"/>
      <c r="CD195" s="111"/>
      <c r="CE195" s="111"/>
      <c r="CF195" s="111"/>
      <c r="CG195" s="111"/>
      <c r="CH195" s="111"/>
      <c r="CI195" s="111"/>
      <c r="CJ195" s="111"/>
      <c r="CK195" s="111"/>
      <c r="CL195" s="111"/>
      <c r="CM195" s="111"/>
      <c r="CN195" s="111"/>
      <c r="CO195" s="111"/>
      <c r="CP195" s="111"/>
      <c r="CQ195" s="111"/>
      <c r="CR195" s="111"/>
      <c r="CS195" s="111"/>
      <c r="CT195" s="111"/>
      <c r="CU195" s="111"/>
      <c r="CV195" s="111"/>
      <c r="CW195" s="111"/>
      <c r="CX195" s="111"/>
      <c r="CY195" s="111"/>
      <c r="CZ195" s="111"/>
      <c r="DA195" s="111"/>
      <c r="DB195" s="111"/>
      <c r="DC195" s="111"/>
      <c r="DD195" s="111"/>
      <c r="DE195" s="111"/>
      <c r="DF195" s="111"/>
      <c r="DG195" s="111"/>
      <c r="DH195" s="111"/>
      <c r="DI195" s="111"/>
      <c r="DJ195" s="111"/>
      <c r="DK195" s="111"/>
      <c r="DL195" s="111"/>
      <c r="DM195" s="111"/>
      <c r="DN195" s="111"/>
      <c r="DO195" s="111"/>
      <c r="DP195" s="111"/>
      <c r="DQ195" s="111"/>
      <c r="DR195" s="111"/>
      <c r="DS195" s="111"/>
      <c r="DT195" s="111"/>
      <c r="DU195" s="111"/>
      <c r="DV195" s="111"/>
      <c r="DW195" s="111"/>
      <c r="DX195" s="111"/>
    </row>
    <row r="196" spans="1:128" s="3" customFormat="1" ht="12.75" customHeight="1" x14ac:dyDescent="0.3">
      <c r="A196" s="85"/>
      <c r="F196" s="66"/>
      <c r="G196" s="66"/>
      <c r="H196" s="111"/>
      <c r="I196" s="111"/>
      <c r="J196" s="111"/>
      <c r="K196" s="111"/>
      <c r="L196" s="111"/>
      <c r="M196" s="111"/>
      <c r="N196" s="111"/>
      <c r="O196" s="111"/>
      <c r="P196" s="111"/>
      <c r="Q196" s="111"/>
      <c r="R196" s="111"/>
      <c r="S196" s="111"/>
      <c r="T196" s="111"/>
      <c r="U196" s="111"/>
      <c r="V196" s="111"/>
      <c r="W196" s="111"/>
      <c r="X196" s="111"/>
      <c r="Y196" s="111"/>
      <c r="Z196" s="111"/>
      <c r="AA196" s="111"/>
      <c r="AB196" s="111"/>
      <c r="AC196" s="111"/>
      <c r="AD196" s="111"/>
      <c r="AE196" s="111"/>
      <c r="AF196" s="111"/>
      <c r="AG196" s="111"/>
      <c r="AH196" s="111"/>
      <c r="AI196" s="111"/>
      <c r="AJ196" s="111"/>
      <c r="AK196" s="111"/>
      <c r="AL196" s="111"/>
      <c r="AM196" s="111"/>
      <c r="AN196" s="111"/>
      <c r="AO196" s="111"/>
      <c r="AP196" s="111"/>
      <c r="AQ196" s="111"/>
      <c r="AR196" s="111"/>
      <c r="AS196" s="111"/>
      <c r="AT196" s="111"/>
      <c r="AU196" s="111"/>
      <c r="AV196" s="111"/>
      <c r="AW196" s="111"/>
      <c r="AX196" s="111"/>
      <c r="AY196" s="111"/>
      <c r="AZ196" s="111"/>
      <c r="BA196" s="111"/>
      <c r="BB196" s="111"/>
      <c r="BC196" s="111"/>
      <c r="BD196" s="111"/>
      <c r="BE196" s="111"/>
      <c r="BF196" s="111"/>
      <c r="BG196" s="111"/>
      <c r="BH196" s="111"/>
      <c r="BI196" s="111"/>
      <c r="BJ196" s="111"/>
      <c r="BK196" s="111"/>
      <c r="BL196" s="111"/>
      <c r="BM196" s="111"/>
      <c r="BN196" s="111"/>
      <c r="BO196" s="111"/>
      <c r="BP196" s="111"/>
      <c r="BQ196" s="111"/>
      <c r="BR196" s="111"/>
      <c r="BS196" s="111"/>
      <c r="BT196" s="111"/>
      <c r="BU196" s="111"/>
      <c r="BV196" s="111"/>
      <c r="BW196" s="111"/>
      <c r="BX196" s="111"/>
      <c r="BY196" s="111"/>
      <c r="BZ196" s="111"/>
      <c r="CA196" s="111"/>
      <c r="CB196" s="111"/>
      <c r="CC196" s="111"/>
      <c r="CD196" s="111"/>
      <c r="CE196" s="111"/>
      <c r="CF196" s="111"/>
      <c r="CG196" s="111"/>
      <c r="CH196" s="111"/>
      <c r="CI196" s="111"/>
      <c r="CJ196" s="111"/>
      <c r="CK196" s="111"/>
      <c r="CL196" s="111"/>
      <c r="CM196" s="111"/>
      <c r="CN196" s="111"/>
      <c r="CO196" s="111"/>
      <c r="CP196" s="111"/>
      <c r="CQ196" s="111"/>
      <c r="CR196" s="111"/>
      <c r="CS196" s="111"/>
      <c r="CT196" s="111"/>
      <c r="CU196" s="111"/>
      <c r="CV196" s="111"/>
      <c r="CW196" s="111"/>
      <c r="CX196" s="111"/>
      <c r="CY196" s="111"/>
      <c r="CZ196" s="111"/>
      <c r="DA196" s="111"/>
      <c r="DB196" s="111"/>
      <c r="DC196" s="111"/>
      <c r="DD196" s="111"/>
      <c r="DE196" s="111"/>
      <c r="DF196" s="111"/>
      <c r="DG196" s="111"/>
      <c r="DH196" s="111"/>
      <c r="DI196" s="111"/>
      <c r="DJ196" s="111"/>
      <c r="DK196" s="111"/>
      <c r="DL196" s="111"/>
      <c r="DM196" s="111"/>
      <c r="DN196" s="111"/>
      <c r="DO196" s="111"/>
      <c r="DP196" s="111"/>
      <c r="DQ196" s="111"/>
      <c r="DR196" s="111"/>
      <c r="DS196" s="111"/>
      <c r="DT196" s="111"/>
      <c r="DU196" s="111"/>
      <c r="DV196" s="111"/>
      <c r="DW196" s="111"/>
      <c r="DX196" s="111"/>
    </row>
    <row r="197" spans="1:128" s="3" customFormat="1" ht="12.75" customHeight="1" x14ac:dyDescent="0.3">
      <c r="A197" s="85"/>
      <c r="F197" s="66"/>
      <c r="G197" s="66"/>
      <c r="H197" s="111"/>
      <c r="I197" s="111"/>
      <c r="J197" s="111"/>
      <c r="K197" s="111"/>
      <c r="L197" s="111"/>
      <c r="M197" s="111"/>
      <c r="N197" s="111"/>
      <c r="O197" s="111"/>
      <c r="P197" s="111"/>
      <c r="Q197" s="111"/>
      <c r="R197" s="111"/>
      <c r="S197" s="111"/>
      <c r="T197" s="111"/>
      <c r="U197" s="111"/>
      <c r="V197" s="111"/>
      <c r="W197" s="111"/>
      <c r="X197" s="111"/>
      <c r="Y197" s="111"/>
      <c r="Z197" s="111"/>
      <c r="AA197" s="111"/>
      <c r="AB197" s="111"/>
      <c r="AC197" s="111"/>
      <c r="AD197" s="111"/>
      <c r="AE197" s="111"/>
      <c r="AF197" s="111"/>
      <c r="AG197" s="111"/>
      <c r="AH197" s="111"/>
      <c r="AI197" s="111"/>
      <c r="AJ197" s="111"/>
      <c r="AK197" s="111"/>
      <c r="AL197" s="111"/>
      <c r="AM197" s="111"/>
      <c r="AN197" s="111"/>
      <c r="AO197" s="111"/>
      <c r="AP197" s="111"/>
      <c r="AQ197" s="111"/>
      <c r="AR197" s="111"/>
      <c r="AS197" s="111"/>
      <c r="AT197" s="111"/>
      <c r="AU197" s="111"/>
      <c r="AV197" s="111"/>
      <c r="AW197" s="111"/>
      <c r="AX197" s="111"/>
      <c r="AY197" s="111"/>
      <c r="AZ197" s="111"/>
      <c r="BA197" s="111"/>
      <c r="BB197" s="111"/>
      <c r="BC197" s="111"/>
      <c r="BD197" s="111"/>
      <c r="BE197" s="111"/>
      <c r="BF197" s="111"/>
      <c r="BG197" s="111"/>
      <c r="BH197" s="111"/>
      <c r="BI197" s="111"/>
      <c r="BJ197" s="111"/>
      <c r="BK197" s="111"/>
      <c r="BL197" s="111"/>
      <c r="BM197" s="111"/>
      <c r="BN197" s="111"/>
      <c r="BO197" s="111"/>
      <c r="BP197" s="111"/>
      <c r="BQ197" s="111"/>
      <c r="BR197" s="111"/>
      <c r="BS197" s="111"/>
      <c r="BT197" s="111"/>
      <c r="BU197" s="111"/>
      <c r="BV197" s="111"/>
      <c r="BW197" s="111"/>
      <c r="BX197" s="111"/>
      <c r="BY197" s="111"/>
      <c r="BZ197" s="111"/>
      <c r="CA197" s="111"/>
      <c r="CB197" s="111"/>
      <c r="CC197" s="111"/>
      <c r="CD197" s="111"/>
      <c r="CE197" s="111"/>
      <c r="CF197" s="111"/>
      <c r="CG197" s="111"/>
      <c r="CH197" s="111"/>
      <c r="CI197" s="111"/>
      <c r="CJ197" s="111"/>
      <c r="CK197" s="111"/>
      <c r="CL197" s="111"/>
      <c r="CM197" s="111"/>
      <c r="CN197" s="111"/>
      <c r="CO197" s="111"/>
      <c r="CP197" s="111"/>
      <c r="CQ197" s="111"/>
      <c r="CR197" s="111"/>
      <c r="CS197" s="111"/>
      <c r="CT197" s="111"/>
      <c r="CU197" s="111"/>
      <c r="CV197" s="111"/>
      <c r="CW197" s="111"/>
      <c r="CX197" s="111"/>
      <c r="CY197" s="111"/>
      <c r="CZ197" s="111"/>
      <c r="DA197" s="111"/>
      <c r="DB197" s="111"/>
      <c r="DC197" s="111"/>
      <c r="DD197" s="111"/>
      <c r="DE197" s="111"/>
      <c r="DF197" s="111"/>
      <c r="DG197" s="111"/>
      <c r="DH197" s="111"/>
      <c r="DI197" s="111"/>
      <c r="DJ197" s="111"/>
      <c r="DK197" s="111"/>
      <c r="DL197" s="111"/>
      <c r="DM197" s="111"/>
      <c r="DN197" s="111"/>
      <c r="DO197" s="111"/>
      <c r="DP197" s="111"/>
      <c r="DQ197" s="111"/>
      <c r="DR197" s="111"/>
      <c r="DS197" s="111"/>
      <c r="DT197" s="111"/>
      <c r="DU197" s="111"/>
      <c r="DV197" s="111"/>
      <c r="DW197" s="111"/>
      <c r="DX197" s="111"/>
    </row>
    <row r="198" spans="1:128" s="3" customFormat="1" ht="12.75" customHeight="1" x14ac:dyDescent="0.3">
      <c r="A198" s="85"/>
      <c r="F198" s="66"/>
      <c r="G198" s="66"/>
      <c r="H198" s="111"/>
      <c r="I198" s="111"/>
      <c r="J198" s="111"/>
      <c r="K198" s="111"/>
      <c r="L198" s="111"/>
      <c r="M198" s="111"/>
      <c r="N198" s="111"/>
      <c r="O198" s="111"/>
      <c r="P198" s="111"/>
      <c r="Q198" s="111"/>
      <c r="R198" s="111"/>
      <c r="S198" s="111"/>
      <c r="T198" s="111"/>
      <c r="U198" s="111"/>
      <c r="V198" s="111"/>
      <c r="W198" s="111"/>
      <c r="X198" s="111"/>
      <c r="Y198" s="111"/>
      <c r="Z198" s="111"/>
      <c r="AA198" s="111"/>
      <c r="AB198" s="111"/>
      <c r="AC198" s="111"/>
      <c r="AD198" s="111"/>
      <c r="AE198" s="111"/>
      <c r="AF198" s="111"/>
      <c r="AG198" s="111"/>
      <c r="AH198" s="111"/>
      <c r="AI198" s="111"/>
      <c r="AJ198" s="111"/>
      <c r="AK198" s="111"/>
      <c r="AL198" s="111"/>
      <c r="AM198" s="111"/>
      <c r="AN198" s="111"/>
      <c r="AO198" s="111"/>
      <c r="AP198" s="111"/>
      <c r="AQ198" s="111"/>
      <c r="AR198" s="111"/>
      <c r="AS198" s="111"/>
      <c r="AT198" s="111"/>
      <c r="AU198" s="111"/>
      <c r="AV198" s="111"/>
      <c r="AW198" s="111"/>
      <c r="AX198" s="111"/>
      <c r="AY198" s="111"/>
      <c r="AZ198" s="111"/>
      <c r="BA198" s="111"/>
      <c r="BB198" s="111"/>
      <c r="BC198" s="111"/>
      <c r="BD198" s="111"/>
      <c r="BE198" s="111"/>
      <c r="BF198" s="111"/>
      <c r="BG198" s="111"/>
      <c r="BH198" s="111"/>
      <c r="BI198" s="111"/>
      <c r="BJ198" s="111"/>
      <c r="BK198" s="111"/>
      <c r="BL198" s="111"/>
      <c r="BM198" s="111"/>
      <c r="BN198" s="111"/>
      <c r="BO198" s="111"/>
      <c r="BP198" s="111"/>
      <c r="BQ198" s="111"/>
      <c r="BR198" s="111"/>
      <c r="BS198" s="111"/>
      <c r="BT198" s="111"/>
      <c r="BU198" s="111"/>
      <c r="BV198" s="111"/>
      <c r="BW198" s="111"/>
      <c r="BX198" s="111"/>
      <c r="BY198" s="111"/>
      <c r="BZ198" s="111"/>
      <c r="CA198" s="111"/>
      <c r="CB198" s="111"/>
      <c r="CC198" s="111"/>
      <c r="CD198" s="111"/>
      <c r="CE198" s="111"/>
      <c r="CF198" s="111"/>
      <c r="CG198" s="111"/>
      <c r="CH198" s="111"/>
      <c r="CI198" s="111"/>
      <c r="CJ198" s="111"/>
      <c r="CK198" s="111"/>
      <c r="CL198" s="111"/>
      <c r="CM198" s="111"/>
      <c r="CN198" s="111"/>
      <c r="CO198" s="111"/>
      <c r="CP198" s="111"/>
      <c r="CQ198" s="111"/>
      <c r="CR198" s="111"/>
      <c r="CS198" s="111"/>
      <c r="CT198" s="111"/>
      <c r="CU198" s="111"/>
      <c r="CV198" s="111"/>
      <c r="CW198" s="111"/>
      <c r="CX198" s="111"/>
      <c r="CY198" s="111"/>
      <c r="CZ198" s="111"/>
      <c r="DA198" s="111"/>
      <c r="DB198" s="111"/>
      <c r="DC198" s="111"/>
      <c r="DD198" s="111"/>
      <c r="DE198" s="111"/>
      <c r="DF198" s="111"/>
      <c r="DG198" s="111"/>
      <c r="DH198" s="111"/>
      <c r="DI198" s="111"/>
      <c r="DJ198" s="111"/>
      <c r="DK198" s="111"/>
      <c r="DL198" s="111"/>
      <c r="DM198" s="111"/>
      <c r="DN198" s="111"/>
      <c r="DO198" s="111"/>
      <c r="DP198" s="111"/>
      <c r="DQ198" s="111"/>
      <c r="DR198" s="111"/>
      <c r="DS198" s="111"/>
      <c r="DT198" s="111"/>
      <c r="DU198" s="111"/>
      <c r="DV198" s="111"/>
      <c r="DW198" s="111"/>
      <c r="DX198" s="111"/>
    </row>
    <row r="199" spans="1:128" s="3" customFormat="1" ht="12.75" customHeight="1" x14ac:dyDescent="0.3">
      <c r="A199" s="85"/>
      <c r="F199" s="66"/>
      <c r="G199" s="66"/>
      <c r="H199" s="111"/>
      <c r="I199" s="111"/>
      <c r="J199" s="111"/>
      <c r="K199" s="111"/>
      <c r="L199" s="111"/>
      <c r="M199" s="111"/>
      <c r="N199" s="111"/>
      <c r="O199" s="111"/>
      <c r="P199" s="111"/>
      <c r="Q199" s="111"/>
      <c r="R199" s="111"/>
      <c r="S199" s="111"/>
      <c r="T199" s="111"/>
      <c r="U199" s="111"/>
      <c r="V199" s="111"/>
      <c r="W199" s="111"/>
      <c r="X199" s="111"/>
      <c r="Y199" s="111"/>
      <c r="Z199" s="111"/>
      <c r="AA199" s="111"/>
      <c r="AB199" s="111"/>
      <c r="AC199" s="111"/>
      <c r="AD199" s="111"/>
      <c r="AE199" s="111"/>
      <c r="AF199" s="111"/>
      <c r="AG199" s="111"/>
      <c r="AH199" s="111"/>
      <c r="AI199" s="111"/>
      <c r="AJ199" s="111"/>
      <c r="AK199" s="111"/>
      <c r="AL199" s="111"/>
      <c r="AM199" s="111"/>
      <c r="AN199" s="111"/>
      <c r="AO199" s="111"/>
      <c r="AP199" s="111"/>
      <c r="AQ199" s="111"/>
      <c r="AR199" s="111"/>
      <c r="AS199" s="111"/>
      <c r="AT199" s="111"/>
      <c r="AU199" s="111"/>
      <c r="AV199" s="111"/>
      <c r="AW199" s="111"/>
      <c r="AX199" s="111"/>
      <c r="AY199" s="111"/>
      <c r="AZ199" s="111"/>
      <c r="BA199" s="111"/>
      <c r="BB199" s="111"/>
      <c r="BC199" s="111"/>
      <c r="BD199" s="111"/>
      <c r="BE199" s="111"/>
      <c r="BF199" s="111"/>
      <c r="BG199" s="111"/>
      <c r="BH199" s="111"/>
      <c r="BI199" s="111"/>
      <c r="BJ199" s="111"/>
      <c r="BK199" s="111"/>
      <c r="BL199" s="111"/>
      <c r="BM199" s="111"/>
      <c r="BN199" s="111"/>
      <c r="BO199" s="111"/>
      <c r="BP199" s="111"/>
      <c r="BQ199" s="111"/>
      <c r="BR199" s="111"/>
      <c r="BS199" s="111"/>
      <c r="BT199" s="111"/>
      <c r="BU199" s="111"/>
      <c r="BV199" s="111"/>
      <c r="BW199" s="111"/>
      <c r="BX199" s="111"/>
      <c r="BY199" s="111"/>
      <c r="BZ199" s="111"/>
      <c r="CA199" s="111"/>
      <c r="CB199" s="111"/>
      <c r="CC199" s="111"/>
      <c r="CD199" s="111"/>
      <c r="CE199" s="111"/>
      <c r="CF199" s="111"/>
      <c r="CG199" s="111"/>
      <c r="CH199" s="111"/>
      <c r="CI199" s="111"/>
      <c r="CJ199" s="111"/>
      <c r="CK199" s="111"/>
      <c r="CL199" s="111"/>
      <c r="CM199" s="111"/>
      <c r="CN199" s="111"/>
      <c r="CO199" s="111"/>
      <c r="CP199" s="111"/>
      <c r="CQ199" s="111"/>
      <c r="CR199" s="111"/>
      <c r="CS199" s="111"/>
      <c r="CT199" s="111"/>
      <c r="CU199" s="111"/>
      <c r="CV199" s="111"/>
      <c r="CW199" s="111"/>
      <c r="CX199" s="111"/>
      <c r="CY199" s="111"/>
      <c r="CZ199" s="111"/>
      <c r="DA199" s="111"/>
      <c r="DB199" s="111"/>
      <c r="DC199" s="111"/>
      <c r="DD199" s="111"/>
      <c r="DE199" s="111"/>
      <c r="DF199" s="111"/>
      <c r="DG199" s="111"/>
      <c r="DH199" s="111"/>
      <c r="DI199" s="111"/>
      <c r="DJ199" s="111"/>
      <c r="DK199" s="111"/>
      <c r="DL199" s="111"/>
      <c r="DM199" s="111"/>
      <c r="DN199" s="111"/>
      <c r="DO199" s="111"/>
      <c r="DP199" s="111"/>
      <c r="DQ199" s="111"/>
      <c r="DR199" s="111"/>
      <c r="DS199" s="111"/>
      <c r="DT199" s="111"/>
      <c r="DU199" s="111"/>
      <c r="DV199" s="111"/>
      <c r="DW199" s="111"/>
      <c r="DX199" s="111"/>
    </row>
    <row r="200" spans="1:128" s="3" customFormat="1" ht="12.75" customHeight="1" x14ac:dyDescent="0.3">
      <c r="A200" s="85"/>
      <c r="F200" s="66"/>
      <c r="G200" s="66"/>
      <c r="H200" s="111"/>
      <c r="I200" s="111"/>
      <c r="J200" s="111"/>
      <c r="K200" s="111"/>
      <c r="L200" s="111"/>
      <c r="M200" s="111"/>
      <c r="N200" s="111"/>
      <c r="O200" s="111"/>
      <c r="P200" s="111"/>
      <c r="Q200" s="111"/>
      <c r="R200" s="111"/>
      <c r="S200" s="111"/>
      <c r="T200" s="111"/>
      <c r="U200" s="111"/>
      <c r="V200" s="111"/>
      <c r="W200" s="111"/>
      <c r="X200" s="111"/>
      <c r="Y200" s="111"/>
      <c r="Z200" s="111"/>
      <c r="AA200" s="111"/>
      <c r="AB200" s="111"/>
      <c r="AC200" s="111"/>
      <c r="AD200" s="111"/>
      <c r="AE200" s="111"/>
      <c r="AF200" s="111"/>
      <c r="AG200" s="111"/>
      <c r="AH200" s="111"/>
      <c r="AI200" s="111"/>
      <c r="AJ200" s="111"/>
      <c r="AK200" s="111"/>
      <c r="AL200" s="111"/>
      <c r="AM200" s="111"/>
      <c r="AN200" s="111"/>
      <c r="AO200" s="111"/>
      <c r="AP200" s="111"/>
      <c r="AQ200" s="111"/>
      <c r="AR200" s="111"/>
      <c r="AS200" s="111"/>
      <c r="AT200" s="111"/>
      <c r="AU200" s="111"/>
      <c r="AV200" s="111"/>
      <c r="AW200" s="111"/>
      <c r="AX200" s="111"/>
      <c r="AY200" s="111"/>
      <c r="AZ200" s="111"/>
      <c r="BA200" s="111"/>
      <c r="BB200" s="111"/>
      <c r="BC200" s="111"/>
      <c r="BD200" s="111"/>
      <c r="BE200" s="111"/>
      <c r="BF200" s="111"/>
      <c r="BG200" s="111"/>
      <c r="BH200" s="111"/>
      <c r="BI200" s="111"/>
      <c r="BJ200" s="111"/>
      <c r="BK200" s="111"/>
      <c r="BL200" s="111"/>
      <c r="BM200" s="111"/>
      <c r="BN200" s="111"/>
      <c r="BO200" s="111"/>
      <c r="BP200" s="111"/>
      <c r="BQ200" s="111"/>
      <c r="BR200" s="111"/>
      <c r="BS200" s="111"/>
      <c r="BT200" s="111"/>
      <c r="BU200" s="111"/>
      <c r="BV200" s="111"/>
      <c r="BW200" s="111"/>
      <c r="BX200" s="111"/>
      <c r="BY200" s="111"/>
      <c r="BZ200" s="111"/>
      <c r="CA200" s="111"/>
      <c r="CB200" s="111"/>
      <c r="CC200" s="111"/>
      <c r="CD200" s="111"/>
      <c r="CE200" s="111"/>
      <c r="CF200" s="111"/>
      <c r="CG200" s="111"/>
      <c r="CH200" s="111"/>
      <c r="CI200" s="111"/>
      <c r="CJ200" s="111"/>
      <c r="CK200" s="111"/>
      <c r="CL200" s="111"/>
      <c r="CM200" s="111"/>
      <c r="CN200" s="111"/>
      <c r="CO200" s="111"/>
      <c r="CP200" s="111"/>
      <c r="CQ200" s="111"/>
      <c r="CR200" s="111"/>
      <c r="CS200" s="111"/>
      <c r="CT200" s="111"/>
      <c r="CU200" s="111"/>
      <c r="CV200" s="111"/>
      <c r="CW200" s="111"/>
      <c r="CX200" s="111"/>
      <c r="CY200" s="111"/>
      <c r="CZ200" s="111"/>
      <c r="DA200" s="111"/>
      <c r="DB200" s="111"/>
      <c r="DC200" s="111"/>
      <c r="DD200" s="111"/>
      <c r="DE200" s="111"/>
      <c r="DF200" s="111"/>
      <c r="DG200" s="111"/>
      <c r="DH200" s="111"/>
      <c r="DI200" s="111"/>
      <c r="DJ200" s="111"/>
      <c r="DK200" s="111"/>
      <c r="DL200" s="111"/>
      <c r="DM200" s="111"/>
      <c r="DN200" s="111"/>
      <c r="DO200" s="111"/>
      <c r="DP200" s="111"/>
      <c r="DQ200" s="111"/>
      <c r="DR200" s="111"/>
      <c r="DS200" s="111"/>
      <c r="DT200" s="111"/>
      <c r="DU200" s="111"/>
      <c r="DV200" s="111"/>
      <c r="DW200" s="111"/>
      <c r="DX200" s="111"/>
    </row>
    <row r="201" spans="1:128" s="3" customFormat="1" ht="12.75" customHeight="1" x14ac:dyDescent="0.3">
      <c r="A201" s="85"/>
      <c r="F201" s="66"/>
      <c r="G201" s="66"/>
      <c r="H201" s="111"/>
      <c r="I201" s="111"/>
      <c r="J201" s="111"/>
      <c r="K201" s="111"/>
      <c r="L201" s="111"/>
      <c r="M201" s="111"/>
      <c r="N201" s="111"/>
      <c r="O201" s="111"/>
      <c r="P201" s="111"/>
      <c r="Q201" s="111"/>
      <c r="R201" s="111"/>
      <c r="S201" s="111"/>
      <c r="T201" s="111"/>
      <c r="U201" s="111"/>
      <c r="V201" s="111"/>
      <c r="W201" s="111"/>
      <c r="X201" s="111"/>
      <c r="Y201" s="111"/>
      <c r="Z201" s="111"/>
      <c r="AA201" s="111"/>
      <c r="AB201" s="111"/>
      <c r="AC201" s="111"/>
      <c r="AD201" s="111"/>
      <c r="AE201" s="111"/>
      <c r="AF201" s="111"/>
      <c r="AG201" s="111"/>
      <c r="AH201" s="111"/>
      <c r="AI201" s="111"/>
      <c r="AJ201" s="111"/>
      <c r="AK201" s="111"/>
      <c r="AL201" s="111"/>
      <c r="AM201" s="111"/>
      <c r="AN201" s="111"/>
      <c r="AO201" s="111"/>
      <c r="AP201" s="111"/>
      <c r="AQ201" s="111"/>
      <c r="AR201" s="111"/>
      <c r="AS201" s="111"/>
      <c r="AT201" s="111"/>
      <c r="AU201" s="111"/>
      <c r="AV201" s="111"/>
      <c r="AW201" s="111"/>
      <c r="AX201" s="111"/>
      <c r="AY201" s="111"/>
      <c r="AZ201" s="111"/>
      <c r="BA201" s="111"/>
      <c r="BB201" s="111"/>
      <c r="BC201" s="111"/>
      <c r="BD201" s="111"/>
      <c r="BE201" s="111"/>
      <c r="BF201" s="111"/>
      <c r="BG201" s="111"/>
      <c r="BH201" s="111"/>
      <c r="BI201" s="111"/>
      <c r="BJ201" s="111"/>
      <c r="BK201" s="111"/>
      <c r="BL201" s="111"/>
      <c r="BM201" s="111"/>
      <c r="BN201" s="111"/>
      <c r="BO201" s="111"/>
      <c r="BP201" s="111"/>
      <c r="BQ201" s="111"/>
      <c r="BR201" s="111"/>
      <c r="BS201" s="111"/>
      <c r="BT201" s="111"/>
      <c r="BU201" s="111"/>
      <c r="BV201" s="111"/>
      <c r="BW201" s="111"/>
      <c r="BX201" s="111"/>
      <c r="BY201" s="111"/>
      <c r="BZ201" s="111"/>
      <c r="CA201" s="111"/>
      <c r="CB201" s="111"/>
      <c r="CC201" s="111"/>
      <c r="CD201" s="111"/>
      <c r="CE201" s="111"/>
      <c r="CF201" s="111"/>
      <c r="CG201" s="111"/>
      <c r="CH201" s="111"/>
      <c r="CI201" s="111"/>
      <c r="CJ201" s="111"/>
      <c r="CK201" s="111"/>
      <c r="CL201" s="111"/>
      <c r="CM201" s="111"/>
      <c r="CN201" s="111"/>
      <c r="CO201" s="111"/>
      <c r="CP201" s="111"/>
      <c r="CQ201" s="111"/>
      <c r="CR201" s="111"/>
      <c r="CS201" s="111"/>
      <c r="CT201" s="111"/>
      <c r="CU201" s="111"/>
      <c r="CV201" s="111"/>
      <c r="CW201" s="111"/>
      <c r="CX201" s="111"/>
      <c r="CY201" s="111"/>
      <c r="CZ201" s="111"/>
      <c r="DA201" s="111"/>
      <c r="DB201" s="111"/>
      <c r="DC201" s="111"/>
      <c r="DD201" s="111"/>
      <c r="DE201" s="111"/>
      <c r="DF201" s="111"/>
      <c r="DG201" s="111"/>
      <c r="DH201" s="111"/>
      <c r="DI201" s="111"/>
      <c r="DJ201" s="111"/>
      <c r="DK201" s="111"/>
      <c r="DL201" s="111"/>
      <c r="DM201" s="111"/>
      <c r="DN201" s="111"/>
      <c r="DO201" s="111"/>
      <c r="DP201" s="111"/>
      <c r="DQ201" s="111"/>
      <c r="DR201" s="111"/>
      <c r="DS201" s="111"/>
      <c r="DT201" s="111"/>
      <c r="DU201" s="111"/>
      <c r="DV201" s="111"/>
      <c r="DW201" s="111"/>
      <c r="DX201" s="111"/>
    </row>
    <row r="202" spans="1:128" s="3" customFormat="1" ht="12.75" customHeight="1" x14ac:dyDescent="0.3">
      <c r="A202" s="85"/>
      <c r="F202" s="66"/>
      <c r="G202" s="66"/>
      <c r="H202" s="111"/>
      <c r="I202" s="111"/>
      <c r="J202" s="111"/>
      <c r="K202" s="111"/>
      <c r="L202" s="111"/>
      <c r="M202" s="111"/>
      <c r="N202" s="111"/>
      <c r="O202" s="111"/>
      <c r="P202" s="111"/>
      <c r="Q202" s="111"/>
      <c r="R202" s="111"/>
      <c r="S202" s="111"/>
      <c r="T202" s="111"/>
      <c r="U202" s="111"/>
      <c r="V202" s="111"/>
      <c r="W202" s="111"/>
      <c r="X202" s="111"/>
      <c r="Y202" s="111"/>
      <c r="Z202" s="111"/>
      <c r="AA202" s="111"/>
      <c r="AB202" s="111"/>
      <c r="AC202" s="111"/>
      <c r="AD202" s="111"/>
      <c r="AE202" s="111"/>
      <c r="AF202" s="111"/>
      <c r="AG202" s="111"/>
      <c r="AH202" s="111"/>
      <c r="AI202" s="111"/>
      <c r="AJ202" s="111"/>
      <c r="AK202" s="111"/>
      <c r="AL202" s="111"/>
      <c r="AM202" s="111"/>
      <c r="AN202" s="111"/>
      <c r="AO202" s="111"/>
      <c r="AP202" s="111"/>
      <c r="AQ202" s="111"/>
      <c r="AR202" s="111"/>
      <c r="AS202" s="111"/>
      <c r="AT202" s="111"/>
      <c r="AU202" s="111"/>
      <c r="AV202" s="111"/>
      <c r="AW202" s="111"/>
      <c r="AX202" s="111"/>
      <c r="AY202" s="111"/>
      <c r="AZ202" s="111"/>
      <c r="BA202" s="111"/>
      <c r="BB202" s="111"/>
      <c r="BC202" s="111"/>
      <c r="BD202" s="111"/>
      <c r="BE202" s="111"/>
      <c r="BF202" s="111"/>
      <c r="BG202" s="111"/>
      <c r="BH202" s="111"/>
      <c r="BI202" s="111"/>
      <c r="BJ202" s="111"/>
      <c r="BK202" s="111"/>
      <c r="BL202" s="111"/>
      <c r="BM202" s="111"/>
      <c r="BN202" s="111"/>
      <c r="BO202" s="111"/>
      <c r="BP202" s="111"/>
      <c r="BQ202" s="111"/>
      <c r="BR202" s="111"/>
      <c r="BS202" s="111"/>
      <c r="BT202" s="111"/>
      <c r="BU202" s="111"/>
      <c r="BV202" s="111"/>
      <c r="BW202" s="111"/>
      <c r="BX202" s="111"/>
      <c r="BY202" s="111"/>
      <c r="BZ202" s="111"/>
      <c r="CA202" s="111"/>
      <c r="CB202" s="111"/>
      <c r="CC202" s="111"/>
      <c r="CD202" s="111"/>
      <c r="CE202" s="111"/>
      <c r="CF202" s="111"/>
      <c r="CG202" s="111"/>
      <c r="CH202" s="111"/>
      <c r="CI202" s="111"/>
      <c r="CJ202" s="111"/>
      <c r="CK202" s="111"/>
      <c r="CL202" s="111"/>
      <c r="CM202" s="111"/>
      <c r="CN202" s="111"/>
      <c r="CO202" s="111"/>
      <c r="CP202" s="111"/>
      <c r="CQ202" s="111"/>
      <c r="CR202" s="111"/>
      <c r="CS202" s="111"/>
      <c r="CT202" s="111"/>
      <c r="CU202" s="111"/>
      <c r="CV202" s="111"/>
      <c r="CW202" s="111"/>
      <c r="CX202" s="111"/>
      <c r="CY202" s="111"/>
      <c r="CZ202" s="111"/>
      <c r="DA202" s="111"/>
      <c r="DB202" s="111"/>
      <c r="DC202" s="111"/>
      <c r="DD202" s="111"/>
      <c r="DE202" s="111"/>
      <c r="DF202" s="111"/>
      <c r="DG202" s="111"/>
      <c r="DH202" s="111"/>
      <c r="DI202" s="111"/>
      <c r="DJ202" s="111"/>
      <c r="DK202" s="111"/>
      <c r="DL202" s="111"/>
      <c r="DM202" s="111"/>
      <c r="DN202" s="111"/>
      <c r="DO202" s="111"/>
      <c r="DP202" s="111"/>
      <c r="DQ202" s="111"/>
      <c r="DR202" s="111"/>
      <c r="DS202" s="111"/>
      <c r="DT202" s="111"/>
      <c r="DU202" s="111"/>
      <c r="DV202" s="111"/>
      <c r="DW202" s="111"/>
      <c r="DX202" s="111"/>
    </row>
    <row r="203" spans="1:128" s="3" customFormat="1" ht="12.75" customHeight="1" x14ac:dyDescent="0.3">
      <c r="A203" s="85"/>
      <c r="F203" s="66"/>
      <c r="G203" s="66"/>
      <c r="H203" s="111"/>
      <c r="I203" s="111"/>
      <c r="J203" s="111"/>
      <c r="K203" s="111"/>
      <c r="L203" s="111"/>
      <c r="M203" s="111"/>
      <c r="N203" s="111"/>
      <c r="O203" s="111"/>
      <c r="P203" s="111"/>
      <c r="Q203" s="111"/>
      <c r="R203" s="111"/>
      <c r="S203" s="111"/>
      <c r="T203" s="111"/>
      <c r="U203" s="111"/>
      <c r="V203" s="111"/>
      <c r="W203" s="111"/>
      <c r="X203" s="111"/>
      <c r="Y203" s="111"/>
      <c r="Z203" s="111"/>
      <c r="AA203" s="111"/>
      <c r="AB203" s="111"/>
      <c r="AC203" s="111"/>
      <c r="AD203" s="111"/>
      <c r="AE203" s="111"/>
      <c r="AF203" s="111"/>
      <c r="AG203" s="111"/>
      <c r="AH203" s="111"/>
      <c r="AI203" s="111"/>
      <c r="AJ203" s="111"/>
      <c r="AK203" s="111"/>
      <c r="AL203" s="111"/>
      <c r="AM203" s="111"/>
      <c r="AN203" s="111"/>
      <c r="AO203" s="111"/>
      <c r="AP203" s="111"/>
      <c r="AQ203" s="111"/>
      <c r="AR203" s="111"/>
      <c r="AS203" s="111"/>
      <c r="AT203" s="111"/>
      <c r="AU203" s="111"/>
      <c r="AV203" s="111"/>
      <c r="AW203" s="111"/>
      <c r="AX203" s="111"/>
      <c r="AY203" s="111"/>
      <c r="AZ203" s="111"/>
      <c r="BA203" s="111"/>
      <c r="BB203" s="111"/>
      <c r="BC203" s="111"/>
      <c r="BD203" s="111"/>
      <c r="BE203" s="111"/>
      <c r="BF203" s="111"/>
      <c r="BG203" s="111"/>
      <c r="BH203" s="111"/>
      <c r="BI203" s="111"/>
      <c r="BJ203" s="111"/>
      <c r="BK203" s="111"/>
      <c r="BL203" s="111"/>
      <c r="BM203" s="111"/>
      <c r="BN203" s="111"/>
      <c r="BO203" s="111"/>
      <c r="BP203" s="111"/>
      <c r="BQ203" s="111"/>
      <c r="BR203" s="111"/>
      <c r="BS203" s="111"/>
      <c r="BT203" s="111"/>
      <c r="BU203" s="111"/>
      <c r="BV203" s="111"/>
      <c r="BW203" s="111"/>
      <c r="BX203" s="111"/>
      <c r="BY203" s="111"/>
      <c r="BZ203" s="111"/>
      <c r="CA203" s="111"/>
      <c r="CB203" s="111"/>
      <c r="CC203" s="111"/>
      <c r="CD203" s="111"/>
      <c r="CE203" s="111"/>
      <c r="CF203" s="111"/>
      <c r="CG203" s="111"/>
      <c r="CH203" s="111"/>
      <c r="CI203" s="111"/>
      <c r="CJ203" s="111"/>
      <c r="CK203" s="111"/>
      <c r="CL203" s="111"/>
      <c r="CM203" s="111"/>
      <c r="CN203" s="111"/>
      <c r="CO203" s="111"/>
      <c r="CP203" s="111"/>
      <c r="CQ203" s="111"/>
      <c r="CR203" s="111"/>
      <c r="CS203" s="111"/>
      <c r="CT203" s="111"/>
      <c r="CU203" s="111"/>
      <c r="CV203" s="111"/>
      <c r="CW203" s="111"/>
      <c r="CX203" s="111"/>
      <c r="CY203" s="111"/>
      <c r="CZ203" s="111"/>
      <c r="DA203" s="111"/>
      <c r="DB203" s="111"/>
      <c r="DC203" s="111"/>
      <c r="DD203" s="111"/>
      <c r="DE203" s="111"/>
      <c r="DF203" s="111"/>
      <c r="DG203" s="111"/>
      <c r="DH203" s="111"/>
      <c r="DI203" s="111"/>
      <c r="DJ203" s="111"/>
      <c r="DK203" s="111"/>
      <c r="DL203" s="111"/>
      <c r="DM203" s="111"/>
      <c r="DN203" s="111"/>
      <c r="DO203" s="111"/>
      <c r="DP203" s="111"/>
      <c r="DQ203" s="111"/>
      <c r="DR203" s="111"/>
      <c r="DS203" s="111"/>
      <c r="DT203" s="111"/>
      <c r="DU203" s="111"/>
      <c r="DV203" s="111"/>
      <c r="DW203" s="111"/>
      <c r="DX203" s="111"/>
    </row>
    <row r="204" spans="1:128" s="3" customFormat="1" ht="12.75" customHeight="1" x14ac:dyDescent="0.3">
      <c r="F204" s="66"/>
      <c r="G204" s="66"/>
      <c r="H204" s="111"/>
      <c r="I204" s="111"/>
      <c r="J204" s="111"/>
      <c r="K204" s="111"/>
      <c r="L204" s="111"/>
      <c r="M204" s="111"/>
      <c r="N204" s="111"/>
      <c r="O204" s="111"/>
      <c r="P204" s="111"/>
      <c r="Q204" s="111"/>
      <c r="R204" s="111"/>
      <c r="S204" s="111"/>
      <c r="T204" s="111"/>
      <c r="U204" s="111"/>
      <c r="V204" s="111"/>
      <c r="W204" s="111"/>
      <c r="X204" s="111"/>
      <c r="Y204" s="111"/>
      <c r="Z204" s="111"/>
      <c r="AA204" s="111"/>
      <c r="AB204" s="111"/>
      <c r="AC204" s="111"/>
      <c r="AD204" s="111"/>
      <c r="AE204" s="111"/>
      <c r="AF204" s="111"/>
      <c r="AG204" s="111"/>
      <c r="AH204" s="111"/>
      <c r="AI204" s="111"/>
      <c r="AJ204" s="111"/>
      <c r="AK204" s="111"/>
      <c r="AL204" s="111"/>
      <c r="AM204" s="111"/>
      <c r="AN204" s="111"/>
      <c r="AO204" s="111"/>
      <c r="AP204" s="111"/>
      <c r="AQ204" s="111"/>
      <c r="AR204" s="111"/>
      <c r="AS204" s="111"/>
      <c r="AT204" s="111"/>
      <c r="AU204" s="111"/>
      <c r="AV204" s="111"/>
      <c r="AW204" s="111"/>
      <c r="AX204" s="111"/>
      <c r="AY204" s="111"/>
      <c r="AZ204" s="111"/>
      <c r="BA204" s="111"/>
      <c r="BB204" s="111"/>
      <c r="BC204" s="111"/>
      <c r="BD204" s="111"/>
      <c r="BE204" s="111"/>
      <c r="BF204" s="111"/>
      <c r="BG204" s="111"/>
      <c r="BH204" s="111"/>
      <c r="BI204" s="111"/>
      <c r="BJ204" s="111"/>
      <c r="BK204" s="111"/>
      <c r="BL204" s="111"/>
      <c r="BM204" s="111"/>
      <c r="BN204" s="111"/>
      <c r="BO204" s="111"/>
      <c r="BP204" s="111"/>
      <c r="BQ204" s="111"/>
      <c r="BR204" s="111"/>
      <c r="BS204" s="111"/>
      <c r="BT204" s="111"/>
      <c r="BU204" s="111"/>
      <c r="BV204" s="111"/>
      <c r="BW204" s="111"/>
      <c r="BX204" s="111"/>
      <c r="BY204" s="111"/>
      <c r="BZ204" s="111"/>
      <c r="CA204" s="111"/>
      <c r="CB204" s="111"/>
      <c r="CC204" s="111"/>
      <c r="CD204" s="111"/>
      <c r="CE204" s="111"/>
      <c r="CF204" s="111"/>
      <c r="CG204" s="111"/>
      <c r="CH204" s="111"/>
      <c r="CI204" s="111"/>
      <c r="CJ204" s="111"/>
      <c r="CK204" s="111"/>
      <c r="CL204" s="111"/>
      <c r="CM204" s="111"/>
      <c r="CN204" s="111"/>
      <c r="CO204" s="111"/>
      <c r="CP204" s="111"/>
      <c r="CQ204" s="111"/>
      <c r="CR204" s="111"/>
      <c r="CS204" s="111"/>
      <c r="CT204" s="111"/>
      <c r="CU204" s="111"/>
      <c r="CV204" s="111"/>
      <c r="CW204" s="111"/>
      <c r="CX204" s="111"/>
      <c r="CY204" s="111"/>
      <c r="CZ204" s="111"/>
      <c r="DA204" s="111"/>
      <c r="DB204" s="111"/>
      <c r="DC204" s="111"/>
      <c r="DD204" s="111"/>
      <c r="DE204" s="111"/>
      <c r="DF204" s="111"/>
      <c r="DG204" s="111"/>
      <c r="DH204" s="111"/>
      <c r="DI204" s="111"/>
      <c r="DJ204" s="111"/>
      <c r="DK204" s="111"/>
      <c r="DL204" s="111"/>
      <c r="DM204" s="111"/>
      <c r="DN204" s="111"/>
      <c r="DO204" s="111"/>
      <c r="DP204" s="111"/>
      <c r="DQ204" s="111"/>
      <c r="DR204" s="111"/>
      <c r="DS204" s="111"/>
      <c r="DT204" s="111"/>
      <c r="DU204" s="111"/>
      <c r="DV204" s="111"/>
      <c r="DW204" s="111"/>
      <c r="DX204" s="111"/>
    </row>
    <row r="205" spans="1:128" s="3" customFormat="1" ht="12.75" customHeight="1" x14ac:dyDescent="0.3">
      <c r="A205" s="85"/>
      <c r="F205" s="66"/>
      <c r="G205" s="66"/>
      <c r="H205" s="111"/>
      <c r="I205" s="111"/>
      <c r="J205" s="111"/>
      <c r="K205" s="111"/>
      <c r="L205" s="111"/>
      <c r="M205" s="111"/>
      <c r="N205" s="111"/>
      <c r="O205" s="111"/>
      <c r="P205" s="111"/>
      <c r="Q205" s="111"/>
      <c r="R205" s="111"/>
      <c r="S205" s="111"/>
      <c r="T205" s="111"/>
      <c r="U205" s="111"/>
      <c r="V205" s="111"/>
      <c r="W205" s="111"/>
      <c r="X205" s="111"/>
      <c r="Y205" s="111"/>
      <c r="Z205" s="111"/>
      <c r="AA205" s="111"/>
      <c r="AB205" s="111"/>
      <c r="AC205" s="111"/>
      <c r="AD205" s="111"/>
      <c r="AE205" s="111"/>
      <c r="AF205" s="111"/>
      <c r="AG205" s="111"/>
      <c r="AH205" s="111"/>
      <c r="AI205" s="111"/>
      <c r="AJ205" s="111"/>
      <c r="AK205" s="111"/>
      <c r="AL205" s="111"/>
      <c r="AM205" s="111"/>
      <c r="AN205" s="111"/>
      <c r="AO205" s="111"/>
      <c r="AP205" s="111"/>
      <c r="AQ205" s="111"/>
      <c r="AR205" s="111"/>
      <c r="AS205" s="111"/>
      <c r="AT205" s="111"/>
      <c r="AU205" s="111"/>
      <c r="AV205" s="111"/>
      <c r="AW205" s="111"/>
      <c r="AX205" s="111"/>
      <c r="AY205" s="111"/>
      <c r="AZ205" s="111"/>
      <c r="BA205" s="111"/>
      <c r="BB205" s="111"/>
      <c r="BC205" s="111"/>
      <c r="BD205" s="111"/>
      <c r="BE205" s="111"/>
      <c r="BF205" s="111"/>
      <c r="BG205" s="111"/>
      <c r="BH205" s="111"/>
      <c r="BI205" s="111"/>
      <c r="BJ205" s="111"/>
      <c r="BK205" s="111"/>
      <c r="BL205" s="111"/>
      <c r="BM205" s="111"/>
      <c r="BN205" s="111"/>
      <c r="BO205" s="111"/>
      <c r="BP205" s="111"/>
      <c r="BQ205" s="111"/>
      <c r="BR205" s="111"/>
      <c r="BS205" s="111"/>
      <c r="BT205" s="111"/>
      <c r="BU205" s="111"/>
      <c r="BV205" s="111"/>
      <c r="BW205" s="111"/>
      <c r="BX205" s="111"/>
      <c r="BY205" s="111"/>
      <c r="BZ205" s="111"/>
      <c r="CA205" s="111"/>
      <c r="CB205" s="111"/>
      <c r="CC205" s="111"/>
      <c r="CD205" s="111"/>
      <c r="CE205" s="111"/>
      <c r="CF205" s="111"/>
      <c r="CG205" s="111"/>
      <c r="CH205" s="111"/>
      <c r="CI205" s="111"/>
      <c r="CJ205" s="111"/>
      <c r="CK205" s="111"/>
      <c r="CL205" s="111"/>
      <c r="CM205" s="111"/>
      <c r="CN205" s="111"/>
      <c r="CO205" s="111"/>
      <c r="CP205" s="111"/>
      <c r="CQ205" s="111"/>
      <c r="CR205" s="111"/>
      <c r="CS205" s="111"/>
      <c r="CT205" s="111"/>
      <c r="CU205" s="111"/>
      <c r="CV205" s="111"/>
      <c r="CW205" s="111"/>
      <c r="CX205" s="111"/>
      <c r="CY205" s="111"/>
      <c r="CZ205" s="111"/>
      <c r="DA205" s="111"/>
      <c r="DB205" s="111"/>
      <c r="DC205" s="111"/>
      <c r="DD205" s="111"/>
      <c r="DE205" s="111"/>
      <c r="DF205" s="111"/>
      <c r="DG205" s="111"/>
      <c r="DH205" s="111"/>
      <c r="DI205" s="111"/>
      <c r="DJ205" s="111"/>
      <c r="DK205" s="111"/>
      <c r="DL205" s="111"/>
      <c r="DM205" s="111"/>
      <c r="DN205" s="111"/>
      <c r="DO205" s="111"/>
      <c r="DP205" s="111"/>
      <c r="DQ205" s="111"/>
      <c r="DR205" s="111"/>
      <c r="DS205" s="111"/>
      <c r="DT205" s="111"/>
      <c r="DU205" s="111"/>
      <c r="DV205" s="111"/>
      <c r="DW205" s="111"/>
      <c r="DX205" s="111"/>
    </row>
    <row r="206" spans="1:128" s="3" customFormat="1" ht="12.75" customHeight="1" x14ac:dyDescent="0.3">
      <c r="A206" s="85"/>
      <c r="F206" s="66"/>
      <c r="G206" s="66"/>
      <c r="H206" s="111"/>
      <c r="I206" s="111"/>
      <c r="J206" s="111"/>
      <c r="K206" s="111"/>
      <c r="L206" s="111"/>
      <c r="M206" s="111"/>
      <c r="N206" s="111"/>
      <c r="O206" s="111"/>
      <c r="P206" s="111"/>
      <c r="Q206" s="111"/>
      <c r="R206" s="111"/>
      <c r="S206" s="111"/>
      <c r="T206" s="111"/>
      <c r="U206" s="111"/>
      <c r="V206" s="111"/>
      <c r="W206" s="111"/>
      <c r="X206" s="111"/>
      <c r="Y206" s="111"/>
      <c r="Z206" s="111"/>
      <c r="AA206" s="111"/>
      <c r="AB206" s="111"/>
      <c r="AC206" s="111"/>
      <c r="AD206" s="111"/>
      <c r="AE206" s="111"/>
      <c r="AF206" s="111"/>
      <c r="AG206" s="111"/>
      <c r="AH206" s="111"/>
      <c r="AI206" s="111"/>
      <c r="AJ206" s="111"/>
      <c r="AK206" s="111"/>
      <c r="AL206" s="111"/>
      <c r="AM206" s="111"/>
      <c r="AN206" s="111"/>
      <c r="AO206" s="111"/>
      <c r="AP206" s="111"/>
      <c r="AQ206" s="111"/>
      <c r="AR206" s="111"/>
      <c r="AS206" s="111"/>
      <c r="AT206" s="111"/>
      <c r="AU206" s="111"/>
      <c r="AV206" s="111"/>
      <c r="AW206" s="111"/>
      <c r="AX206" s="111"/>
      <c r="AY206" s="111"/>
      <c r="AZ206" s="111"/>
      <c r="BA206" s="111"/>
      <c r="BB206" s="111"/>
      <c r="BC206" s="111"/>
      <c r="BD206" s="111"/>
      <c r="BE206" s="111"/>
      <c r="BF206" s="111"/>
      <c r="BG206" s="111"/>
      <c r="BH206" s="111"/>
      <c r="BI206" s="111"/>
      <c r="BJ206" s="111"/>
      <c r="BK206" s="111"/>
      <c r="BL206" s="111"/>
      <c r="BM206" s="111"/>
      <c r="BN206" s="111"/>
      <c r="BO206" s="111"/>
      <c r="BP206" s="111"/>
      <c r="BQ206" s="111"/>
      <c r="BR206" s="111"/>
      <c r="BS206" s="111"/>
      <c r="BT206" s="111"/>
      <c r="BU206" s="111"/>
      <c r="BV206" s="111"/>
      <c r="BW206" s="111"/>
      <c r="BX206" s="111"/>
      <c r="BY206" s="111"/>
      <c r="BZ206" s="111"/>
      <c r="CA206" s="111"/>
      <c r="CB206" s="111"/>
      <c r="CC206" s="111"/>
      <c r="CD206" s="111"/>
      <c r="CE206" s="111"/>
      <c r="CF206" s="111"/>
      <c r="CG206" s="111"/>
      <c r="CH206" s="111"/>
      <c r="CI206" s="111"/>
      <c r="CJ206" s="111"/>
      <c r="CK206" s="111"/>
      <c r="CL206" s="111"/>
      <c r="CM206" s="111"/>
      <c r="CN206" s="111"/>
      <c r="CO206" s="111"/>
      <c r="CP206" s="111"/>
      <c r="CQ206" s="111"/>
      <c r="CR206" s="111"/>
      <c r="CS206" s="111"/>
      <c r="CT206" s="111"/>
      <c r="CU206" s="111"/>
      <c r="CV206" s="111"/>
      <c r="CW206" s="111"/>
      <c r="CX206" s="111"/>
      <c r="CY206" s="111"/>
      <c r="CZ206" s="111"/>
      <c r="DA206" s="111"/>
      <c r="DB206" s="111"/>
      <c r="DC206" s="111"/>
      <c r="DD206" s="111"/>
      <c r="DE206" s="111"/>
      <c r="DF206" s="111"/>
      <c r="DG206" s="111"/>
      <c r="DH206" s="111"/>
      <c r="DI206" s="111"/>
      <c r="DJ206" s="111"/>
      <c r="DK206" s="111"/>
      <c r="DL206" s="111"/>
      <c r="DM206" s="111"/>
      <c r="DN206" s="111"/>
      <c r="DO206" s="111"/>
      <c r="DP206" s="111"/>
      <c r="DQ206" s="111"/>
      <c r="DR206" s="111"/>
      <c r="DS206" s="111"/>
      <c r="DT206" s="111"/>
      <c r="DU206" s="111"/>
      <c r="DV206" s="111"/>
      <c r="DW206" s="111"/>
      <c r="DX206" s="111"/>
    </row>
    <row r="207" spans="1:128" s="3" customFormat="1" ht="12.75" customHeight="1" x14ac:dyDescent="0.3">
      <c r="A207" s="85"/>
      <c r="F207" s="66"/>
      <c r="G207" s="66"/>
      <c r="H207" s="111"/>
      <c r="I207" s="111"/>
      <c r="J207" s="111"/>
      <c r="K207" s="111"/>
      <c r="L207" s="111"/>
      <c r="M207" s="111"/>
      <c r="N207" s="111"/>
      <c r="O207" s="111"/>
      <c r="P207" s="111"/>
      <c r="Q207" s="111"/>
      <c r="R207" s="111"/>
      <c r="S207" s="111"/>
      <c r="T207" s="111"/>
      <c r="U207" s="111"/>
      <c r="V207" s="111"/>
      <c r="W207" s="111"/>
      <c r="X207" s="111"/>
      <c r="Y207" s="111"/>
      <c r="Z207" s="111"/>
      <c r="AA207" s="111"/>
      <c r="AB207" s="111"/>
      <c r="AC207" s="111"/>
      <c r="AD207" s="111"/>
      <c r="AE207" s="111"/>
      <c r="AF207" s="111"/>
      <c r="AG207" s="111"/>
      <c r="AH207" s="111"/>
      <c r="AI207" s="111"/>
      <c r="AJ207" s="111"/>
      <c r="AK207" s="111"/>
      <c r="AL207" s="111"/>
      <c r="AM207" s="111"/>
      <c r="AN207" s="111"/>
      <c r="AO207" s="111"/>
      <c r="AP207" s="111"/>
      <c r="AQ207" s="111"/>
      <c r="AR207" s="111"/>
      <c r="AS207" s="111"/>
      <c r="AT207" s="111"/>
      <c r="AU207" s="111"/>
      <c r="AV207" s="111"/>
      <c r="AW207" s="111"/>
      <c r="AX207" s="111"/>
      <c r="AY207" s="111"/>
      <c r="AZ207" s="111"/>
      <c r="BA207" s="111"/>
      <c r="BB207" s="111"/>
      <c r="BC207" s="111"/>
      <c r="BD207" s="111"/>
      <c r="BE207" s="111"/>
      <c r="BF207" s="111"/>
      <c r="BG207" s="111"/>
      <c r="BH207" s="111"/>
      <c r="BI207" s="111"/>
      <c r="BJ207" s="111"/>
      <c r="BK207" s="111"/>
      <c r="BL207" s="111"/>
      <c r="BM207" s="111"/>
      <c r="BN207" s="111"/>
      <c r="BO207" s="111"/>
      <c r="BP207" s="111"/>
      <c r="BQ207" s="111"/>
      <c r="BR207" s="111"/>
      <c r="BS207" s="111"/>
      <c r="BT207" s="111"/>
      <c r="BU207" s="111"/>
      <c r="BV207" s="111"/>
      <c r="BW207" s="111"/>
      <c r="BX207" s="111"/>
      <c r="BY207" s="111"/>
      <c r="BZ207" s="111"/>
      <c r="CA207" s="111"/>
      <c r="CB207" s="111"/>
      <c r="CC207" s="111"/>
      <c r="CD207" s="111"/>
      <c r="CE207" s="111"/>
      <c r="CF207" s="111"/>
      <c r="CG207" s="111"/>
      <c r="CH207" s="111"/>
      <c r="CI207" s="111"/>
      <c r="CJ207" s="111"/>
      <c r="CK207" s="111"/>
      <c r="CL207" s="111"/>
      <c r="CM207" s="111"/>
      <c r="CN207" s="111"/>
      <c r="CO207" s="111"/>
      <c r="CP207" s="111"/>
      <c r="CQ207" s="111"/>
      <c r="CR207" s="111"/>
      <c r="CS207" s="111"/>
      <c r="CT207" s="111"/>
      <c r="CU207" s="111"/>
      <c r="CV207" s="111"/>
      <c r="CW207" s="111"/>
      <c r="CX207" s="111"/>
      <c r="CY207" s="111"/>
      <c r="CZ207" s="111"/>
      <c r="DA207" s="111"/>
      <c r="DB207" s="111"/>
      <c r="DC207" s="111"/>
      <c r="DD207" s="111"/>
      <c r="DE207" s="111"/>
      <c r="DF207" s="111"/>
      <c r="DG207" s="111"/>
      <c r="DH207" s="111"/>
      <c r="DI207" s="111"/>
      <c r="DJ207" s="111"/>
      <c r="DK207" s="111"/>
      <c r="DL207" s="111"/>
      <c r="DM207" s="111"/>
      <c r="DN207" s="111"/>
      <c r="DO207" s="111"/>
      <c r="DP207" s="111"/>
      <c r="DQ207" s="111"/>
      <c r="DR207" s="111"/>
      <c r="DS207" s="111"/>
      <c r="DT207" s="111"/>
      <c r="DU207" s="111"/>
      <c r="DV207" s="111"/>
      <c r="DW207" s="111"/>
      <c r="DX207" s="111"/>
    </row>
    <row r="208" spans="1:128" s="3" customFormat="1" ht="12.75" customHeight="1" x14ac:dyDescent="0.3">
      <c r="A208" s="85"/>
      <c r="F208" s="66"/>
      <c r="G208" s="66"/>
      <c r="H208" s="111"/>
      <c r="I208" s="111"/>
      <c r="J208" s="111"/>
      <c r="K208" s="111"/>
      <c r="L208" s="111"/>
      <c r="M208" s="111"/>
      <c r="N208" s="111"/>
      <c r="O208" s="111"/>
      <c r="P208" s="111"/>
      <c r="Q208" s="111"/>
      <c r="R208" s="111"/>
      <c r="S208" s="111"/>
      <c r="T208" s="111"/>
      <c r="U208" s="111"/>
      <c r="V208" s="111"/>
      <c r="W208" s="111"/>
      <c r="X208" s="111"/>
      <c r="Y208" s="111"/>
      <c r="Z208" s="111"/>
      <c r="AA208" s="111"/>
      <c r="AB208" s="111"/>
      <c r="AC208" s="111"/>
      <c r="AD208" s="111"/>
      <c r="AE208" s="111"/>
      <c r="AF208" s="111"/>
      <c r="AG208" s="111"/>
      <c r="AH208" s="111"/>
      <c r="AI208" s="111"/>
      <c r="AJ208" s="111"/>
      <c r="AK208" s="111"/>
      <c r="AL208" s="111"/>
      <c r="AM208" s="111"/>
      <c r="AN208" s="111"/>
      <c r="AO208" s="111"/>
      <c r="AP208" s="111"/>
      <c r="AQ208" s="111"/>
      <c r="AR208" s="111"/>
      <c r="AS208" s="111"/>
      <c r="AT208" s="111"/>
      <c r="AU208" s="111"/>
      <c r="AV208" s="111"/>
      <c r="AW208" s="111"/>
      <c r="AX208" s="111"/>
      <c r="AY208" s="111"/>
      <c r="AZ208" s="111"/>
      <c r="BA208" s="111"/>
      <c r="BB208" s="111"/>
      <c r="BC208" s="111"/>
      <c r="BD208" s="111"/>
      <c r="BE208" s="111"/>
      <c r="BF208" s="111"/>
      <c r="BG208" s="111"/>
      <c r="BH208" s="111"/>
      <c r="BI208" s="111"/>
      <c r="BJ208" s="111"/>
      <c r="BK208" s="111"/>
      <c r="BL208" s="111"/>
      <c r="BM208" s="111"/>
      <c r="BN208" s="111"/>
      <c r="BO208" s="111"/>
      <c r="BP208" s="111"/>
      <c r="BQ208" s="111"/>
      <c r="BR208" s="111"/>
      <c r="BS208" s="111"/>
      <c r="BT208" s="111"/>
      <c r="BU208" s="111"/>
      <c r="BV208" s="111"/>
      <c r="BW208" s="111"/>
      <c r="BX208" s="111"/>
      <c r="BY208" s="111"/>
      <c r="BZ208" s="111"/>
      <c r="CA208" s="111"/>
      <c r="CB208" s="111"/>
      <c r="CC208" s="111"/>
      <c r="CD208" s="111"/>
      <c r="CE208" s="111"/>
      <c r="CF208" s="111"/>
      <c r="CG208" s="111"/>
      <c r="CH208" s="111"/>
      <c r="CI208" s="111"/>
      <c r="CJ208" s="111"/>
      <c r="CK208" s="111"/>
      <c r="CL208" s="111"/>
      <c r="CM208" s="111"/>
      <c r="CN208" s="111"/>
      <c r="CO208" s="111"/>
      <c r="CP208" s="111"/>
      <c r="CQ208" s="111"/>
      <c r="CR208" s="111"/>
      <c r="CS208" s="111"/>
      <c r="CT208" s="111"/>
      <c r="CU208" s="111"/>
      <c r="CV208" s="111"/>
      <c r="CW208" s="111"/>
      <c r="CX208" s="111"/>
      <c r="CY208" s="111"/>
      <c r="CZ208" s="111"/>
      <c r="DA208" s="111"/>
      <c r="DB208" s="111"/>
      <c r="DC208" s="111"/>
      <c r="DD208" s="111"/>
      <c r="DE208" s="111"/>
      <c r="DF208" s="111"/>
      <c r="DG208" s="111"/>
      <c r="DH208" s="111"/>
      <c r="DI208" s="111"/>
      <c r="DJ208" s="111"/>
      <c r="DK208" s="111"/>
      <c r="DL208" s="111"/>
      <c r="DM208" s="111"/>
      <c r="DN208" s="111"/>
      <c r="DO208" s="111"/>
      <c r="DP208" s="111"/>
      <c r="DQ208" s="111"/>
      <c r="DR208" s="111"/>
      <c r="DS208" s="111"/>
      <c r="DT208" s="111"/>
      <c r="DU208" s="111"/>
      <c r="DV208" s="111"/>
      <c r="DW208" s="111"/>
      <c r="DX208" s="111"/>
    </row>
    <row r="209" spans="1:128" s="3" customFormat="1" ht="12.75" customHeight="1" x14ac:dyDescent="0.3">
      <c r="A209" s="85"/>
      <c r="F209" s="66"/>
      <c r="G209" s="66"/>
      <c r="H209" s="111"/>
      <c r="I209" s="111"/>
      <c r="J209" s="111"/>
      <c r="K209" s="111"/>
      <c r="L209" s="111"/>
      <c r="M209" s="111"/>
      <c r="N209" s="111"/>
      <c r="O209" s="111"/>
      <c r="P209" s="111"/>
      <c r="Q209" s="111"/>
      <c r="R209" s="111"/>
      <c r="S209" s="111"/>
      <c r="T209" s="111"/>
      <c r="U209" s="111"/>
      <c r="V209" s="111"/>
      <c r="W209" s="111"/>
      <c r="X209" s="111"/>
      <c r="Y209" s="111"/>
      <c r="Z209" s="111"/>
      <c r="AA209" s="111"/>
      <c r="AB209" s="111"/>
      <c r="AC209" s="111"/>
      <c r="AD209" s="111"/>
      <c r="AE209" s="111"/>
      <c r="AF209" s="111"/>
      <c r="AG209" s="111"/>
      <c r="AH209" s="111"/>
      <c r="AI209" s="111"/>
      <c r="AJ209" s="111"/>
      <c r="AK209" s="111"/>
      <c r="AL209" s="111"/>
      <c r="AM209" s="111"/>
      <c r="AN209" s="111"/>
      <c r="AO209" s="111"/>
      <c r="AP209" s="111"/>
      <c r="AQ209" s="111"/>
      <c r="AR209" s="111"/>
      <c r="AS209" s="111"/>
      <c r="AT209" s="111"/>
      <c r="AU209" s="111"/>
      <c r="AV209" s="111"/>
      <c r="AW209" s="111"/>
      <c r="AX209" s="111"/>
      <c r="AY209" s="111"/>
      <c r="AZ209" s="111"/>
      <c r="BA209" s="111"/>
      <c r="BB209" s="111"/>
      <c r="BC209" s="111"/>
      <c r="BD209" s="111"/>
      <c r="BE209" s="111"/>
      <c r="BF209" s="111"/>
      <c r="BG209" s="111"/>
      <c r="BH209" s="111"/>
      <c r="BI209" s="111"/>
      <c r="BJ209" s="111"/>
      <c r="BK209" s="111"/>
      <c r="BL209" s="111"/>
      <c r="BM209" s="111"/>
      <c r="BN209" s="111"/>
      <c r="BO209" s="111"/>
      <c r="BP209" s="111"/>
      <c r="BQ209" s="111"/>
      <c r="BR209" s="111"/>
      <c r="BS209" s="111"/>
      <c r="BT209" s="111"/>
      <c r="BU209" s="111"/>
      <c r="BV209" s="111"/>
      <c r="BW209" s="111"/>
      <c r="BX209" s="111"/>
      <c r="BY209" s="111"/>
      <c r="BZ209" s="111"/>
      <c r="CA209" s="111"/>
      <c r="CB209" s="111"/>
      <c r="CC209" s="111"/>
      <c r="CD209" s="111"/>
      <c r="CE209" s="111"/>
      <c r="CF209" s="111"/>
      <c r="CG209" s="111"/>
      <c r="CH209" s="111"/>
      <c r="CI209" s="111"/>
      <c r="CJ209" s="111"/>
      <c r="CK209" s="111"/>
      <c r="CL209" s="111"/>
      <c r="CM209" s="111"/>
      <c r="CN209" s="111"/>
      <c r="CO209" s="111"/>
      <c r="CP209" s="111"/>
      <c r="CQ209" s="111"/>
      <c r="CR209" s="111"/>
      <c r="CS209" s="111"/>
      <c r="CT209" s="111"/>
      <c r="CU209" s="111"/>
      <c r="CV209" s="111"/>
      <c r="CW209" s="111"/>
      <c r="CX209" s="111"/>
      <c r="CY209" s="111"/>
      <c r="CZ209" s="111"/>
      <c r="DA209" s="111"/>
      <c r="DB209" s="111"/>
      <c r="DC209" s="111"/>
      <c r="DD209" s="111"/>
      <c r="DE209" s="111"/>
      <c r="DF209" s="111"/>
      <c r="DG209" s="111"/>
      <c r="DH209" s="111"/>
      <c r="DI209" s="111"/>
      <c r="DJ209" s="111"/>
      <c r="DK209" s="111"/>
      <c r="DL209" s="111"/>
      <c r="DM209" s="111"/>
      <c r="DN209" s="111"/>
      <c r="DO209" s="111"/>
      <c r="DP209" s="111"/>
      <c r="DQ209" s="111"/>
      <c r="DR209" s="111"/>
      <c r="DS209" s="111"/>
      <c r="DT209" s="111"/>
      <c r="DU209" s="111"/>
      <c r="DV209" s="111"/>
      <c r="DW209" s="111"/>
      <c r="DX209" s="111"/>
    </row>
    <row r="210" spans="1:128" s="3" customFormat="1" ht="12.75" customHeight="1" x14ac:dyDescent="0.3">
      <c r="A210" s="85"/>
      <c r="F210" s="66"/>
      <c r="G210" s="66"/>
      <c r="H210" s="111"/>
      <c r="I210" s="111"/>
      <c r="J210" s="111"/>
      <c r="K210" s="111"/>
      <c r="L210" s="111"/>
      <c r="M210" s="111"/>
      <c r="N210" s="111"/>
      <c r="O210" s="111"/>
      <c r="P210" s="111"/>
      <c r="Q210" s="111"/>
      <c r="R210" s="111"/>
      <c r="S210" s="111"/>
      <c r="T210" s="111"/>
      <c r="U210" s="111"/>
      <c r="V210" s="111"/>
      <c r="W210" s="111"/>
      <c r="X210" s="111"/>
      <c r="Y210" s="111"/>
      <c r="Z210" s="111"/>
      <c r="AA210" s="111"/>
      <c r="AB210" s="111"/>
      <c r="AC210" s="111"/>
      <c r="AD210" s="111"/>
      <c r="AE210" s="111"/>
      <c r="AF210" s="111"/>
      <c r="AG210" s="111"/>
      <c r="AH210" s="111"/>
      <c r="AI210" s="111"/>
      <c r="AJ210" s="111"/>
      <c r="AK210" s="111"/>
      <c r="AL210" s="111"/>
      <c r="AM210" s="111"/>
      <c r="AN210" s="111"/>
      <c r="AO210" s="111"/>
      <c r="AP210" s="111"/>
      <c r="AQ210" s="111"/>
      <c r="AR210" s="111"/>
      <c r="AS210" s="111"/>
      <c r="AT210" s="111"/>
      <c r="AU210" s="111"/>
      <c r="AV210" s="111"/>
      <c r="AW210" s="111"/>
      <c r="AX210" s="111"/>
      <c r="AY210" s="111"/>
      <c r="AZ210" s="111"/>
      <c r="BA210" s="111"/>
      <c r="BB210" s="111"/>
      <c r="BC210" s="111"/>
      <c r="BD210" s="111"/>
      <c r="BE210" s="111"/>
      <c r="BF210" s="111"/>
      <c r="BG210" s="111"/>
      <c r="BH210" s="111"/>
      <c r="BI210" s="111"/>
      <c r="BJ210" s="111"/>
      <c r="BK210" s="111"/>
      <c r="BL210" s="111"/>
      <c r="BM210" s="111"/>
      <c r="BN210" s="111"/>
      <c r="BO210" s="111"/>
      <c r="BP210" s="111"/>
      <c r="BQ210" s="111"/>
      <c r="BR210" s="111"/>
      <c r="BS210" s="111"/>
      <c r="BT210" s="111"/>
      <c r="BU210" s="111"/>
      <c r="BV210" s="111"/>
      <c r="BW210" s="111"/>
      <c r="BX210" s="111"/>
      <c r="BY210" s="111"/>
      <c r="BZ210" s="111"/>
      <c r="CA210" s="111"/>
      <c r="CB210" s="111"/>
      <c r="CC210" s="111"/>
      <c r="CD210" s="111"/>
      <c r="CE210" s="111"/>
      <c r="CF210" s="111"/>
      <c r="CG210" s="111"/>
      <c r="CH210" s="111"/>
      <c r="CI210" s="111"/>
      <c r="CJ210" s="111"/>
      <c r="CK210" s="111"/>
      <c r="CL210" s="111"/>
      <c r="CM210" s="111"/>
      <c r="CN210" s="111"/>
      <c r="CO210" s="111"/>
      <c r="CP210" s="111"/>
      <c r="CQ210" s="111"/>
      <c r="CR210" s="111"/>
      <c r="CS210" s="111"/>
      <c r="CT210" s="111"/>
      <c r="CU210" s="111"/>
      <c r="CV210" s="111"/>
      <c r="CW210" s="111"/>
      <c r="CX210" s="111"/>
      <c r="CY210" s="111"/>
      <c r="CZ210" s="111"/>
      <c r="DA210" s="111"/>
      <c r="DB210" s="111"/>
      <c r="DC210" s="111"/>
      <c r="DD210" s="111"/>
      <c r="DE210" s="111"/>
      <c r="DF210" s="111"/>
      <c r="DG210" s="111"/>
      <c r="DH210" s="111"/>
      <c r="DI210" s="111"/>
      <c r="DJ210" s="111"/>
      <c r="DK210" s="111"/>
      <c r="DL210" s="111"/>
      <c r="DM210" s="111"/>
      <c r="DN210" s="111"/>
      <c r="DO210" s="111"/>
      <c r="DP210" s="111"/>
      <c r="DQ210" s="111"/>
      <c r="DR210" s="111"/>
      <c r="DS210" s="111"/>
      <c r="DT210" s="111"/>
      <c r="DU210" s="111"/>
      <c r="DV210" s="111"/>
      <c r="DW210" s="111"/>
      <c r="DX210" s="111"/>
    </row>
    <row r="211" spans="1:128" s="3" customFormat="1" ht="12.75" customHeight="1" x14ac:dyDescent="0.3">
      <c r="A211" s="85"/>
      <c r="F211" s="66"/>
      <c r="G211" s="66"/>
      <c r="H211" s="111"/>
      <c r="I211" s="111"/>
      <c r="J211" s="111"/>
      <c r="K211" s="111"/>
      <c r="L211" s="111"/>
      <c r="M211" s="111"/>
      <c r="N211" s="111"/>
      <c r="O211" s="111"/>
      <c r="P211" s="111"/>
      <c r="Q211" s="111"/>
      <c r="R211" s="111"/>
      <c r="S211" s="111"/>
      <c r="T211" s="111"/>
      <c r="U211" s="111"/>
      <c r="V211" s="111"/>
      <c r="W211" s="111"/>
      <c r="X211" s="111"/>
      <c r="Y211" s="111"/>
      <c r="Z211" s="111"/>
      <c r="AA211" s="111"/>
      <c r="AB211" s="111"/>
      <c r="AC211" s="111"/>
      <c r="AD211" s="111"/>
      <c r="AE211" s="111"/>
      <c r="AF211" s="111"/>
      <c r="AG211" s="111"/>
      <c r="AH211" s="111"/>
      <c r="AI211" s="111"/>
      <c r="AJ211" s="111"/>
      <c r="AK211" s="111"/>
      <c r="AL211" s="111"/>
      <c r="AM211" s="111"/>
      <c r="AN211" s="111"/>
      <c r="AO211" s="111"/>
      <c r="AP211" s="111"/>
      <c r="AQ211" s="111"/>
      <c r="AR211" s="111"/>
      <c r="AS211" s="111"/>
      <c r="AT211" s="111"/>
      <c r="AU211" s="111"/>
      <c r="AV211" s="111"/>
      <c r="AW211" s="111"/>
      <c r="AX211" s="111"/>
      <c r="AY211" s="111"/>
      <c r="AZ211" s="111"/>
      <c r="BA211" s="111"/>
      <c r="BB211" s="111"/>
      <c r="BC211" s="111"/>
      <c r="BD211" s="111"/>
      <c r="BE211" s="111"/>
      <c r="BF211" s="111"/>
      <c r="BG211" s="111"/>
      <c r="BH211" s="111"/>
      <c r="BI211" s="111"/>
      <c r="BJ211" s="111"/>
      <c r="BK211" s="111"/>
      <c r="BL211" s="111"/>
      <c r="BM211" s="111"/>
      <c r="BN211" s="111"/>
      <c r="BO211" s="111"/>
      <c r="BP211" s="111"/>
      <c r="BQ211" s="111"/>
      <c r="BR211" s="111"/>
      <c r="BS211" s="111"/>
      <c r="BT211" s="111"/>
      <c r="BU211" s="111"/>
      <c r="BV211" s="111"/>
      <c r="BW211" s="111"/>
      <c r="BX211" s="111"/>
      <c r="BY211" s="111"/>
      <c r="BZ211" s="111"/>
      <c r="CA211" s="111"/>
      <c r="CB211" s="111"/>
      <c r="CC211" s="111"/>
      <c r="CD211" s="111"/>
      <c r="CE211" s="111"/>
      <c r="CF211" s="111"/>
      <c r="CG211" s="111"/>
      <c r="CH211" s="111"/>
      <c r="CI211" s="111"/>
      <c r="CJ211" s="111"/>
      <c r="CK211" s="111"/>
      <c r="CL211" s="111"/>
      <c r="CM211" s="111"/>
      <c r="CN211" s="111"/>
      <c r="CO211" s="111"/>
      <c r="CP211" s="111"/>
      <c r="CQ211" s="111"/>
      <c r="CR211" s="111"/>
      <c r="CS211" s="111"/>
      <c r="CT211" s="111"/>
      <c r="CU211" s="111"/>
      <c r="CV211" s="111"/>
      <c r="CW211" s="111"/>
      <c r="CX211" s="111"/>
      <c r="CY211" s="111"/>
      <c r="CZ211" s="111"/>
      <c r="DA211" s="111"/>
      <c r="DB211" s="111"/>
      <c r="DC211" s="111"/>
      <c r="DD211" s="111"/>
      <c r="DE211" s="111"/>
      <c r="DF211" s="111"/>
      <c r="DG211" s="111"/>
      <c r="DH211" s="111"/>
      <c r="DI211" s="111"/>
      <c r="DJ211" s="111"/>
      <c r="DK211" s="111"/>
      <c r="DL211" s="111"/>
      <c r="DM211" s="111"/>
      <c r="DN211" s="111"/>
      <c r="DO211" s="111"/>
      <c r="DP211" s="111"/>
      <c r="DQ211" s="111"/>
      <c r="DR211" s="111"/>
      <c r="DS211" s="111"/>
      <c r="DT211" s="111"/>
      <c r="DU211" s="111"/>
      <c r="DV211" s="111"/>
      <c r="DW211" s="111"/>
      <c r="DX211" s="111"/>
    </row>
    <row r="212" spans="1:128" s="3" customFormat="1" ht="12.75" customHeight="1" x14ac:dyDescent="0.3">
      <c r="F212" s="66"/>
      <c r="G212" s="66"/>
      <c r="H212" s="111"/>
      <c r="I212" s="111"/>
      <c r="J212" s="111"/>
      <c r="K212" s="111"/>
      <c r="L212" s="111"/>
      <c r="M212" s="111"/>
      <c r="N212" s="111"/>
      <c r="O212" s="111"/>
      <c r="P212" s="111"/>
      <c r="Q212" s="111"/>
      <c r="R212" s="111"/>
      <c r="S212" s="111"/>
      <c r="T212" s="111"/>
      <c r="U212" s="111"/>
      <c r="V212" s="111"/>
      <c r="W212" s="111"/>
      <c r="X212" s="111"/>
      <c r="Y212" s="111"/>
      <c r="Z212" s="111"/>
      <c r="AA212" s="111"/>
      <c r="AB212" s="111"/>
      <c r="AC212" s="111"/>
      <c r="AD212" s="111"/>
      <c r="AE212" s="111"/>
      <c r="AF212" s="111"/>
      <c r="AG212" s="111"/>
      <c r="AH212" s="111"/>
      <c r="AI212" s="111"/>
      <c r="AJ212" s="111"/>
      <c r="AK212" s="111"/>
      <c r="AL212" s="111"/>
      <c r="AM212" s="111"/>
      <c r="AN212" s="111"/>
      <c r="AO212" s="111"/>
      <c r="AP212" s="111"/>
      <c r="AQ212" s="111"/>
      <c r="AR212" s="111"/>
      <c r="AS212" s="111"/>
      <c r="AT212" s="111"/>
      <c r="AU212" s="111"/>
      <c r="AV212" s="111"/>
      <c r="AW212" s="111"/>
      <c r="AX212" s="111"/>
      <c r="AY212" s="111"/>
      <c r="AZ212" s="111"/>
      <c r="BA212" s="111"/>
      <c r="BB212" s="111"/>
      <c r="BC212" s="111"/>
      <c r="BD212" s="111"/>
      <c r="BE212" s="111"/>
      <c r="BF212" s="111"/>
      <c r="BG212" s="111"/>
      <c r="BH212" s="111"/>
      <c r="BI212" s="111"/>
      <c r="BJ212" s="111"/>
      <c r="BK212" s="111"/>
      <c r="BL212" s="111"/>
      <c r="BM212" s="111"/>
      <c r="BN212" s="111"/>
      <c r="BO212" s="111"/>
      <c r="BP212" s="111"/>
      <c r="BQ212" s="111"/>
      <c r="BR212" s="111"/>
      <c r="BS212" s="111"/>
      <c r="BT212" s="111"/>
      <c r="BU212" s="111"/>
      <c r="BV212" s="111"/>
      <c r="BW212" s="111"/>
      <c r="BX212" s="111"/>
      <c r="BY212" s="111"/>
      <c r="BZ212" s="111"/>
      <c r="CA212" s="111"/>
      <c r="CB212" s="111"/>
      <c r="CC212" s="111"/>
      <c r="CD212" s="111"/>
      <c r="CE212" s="111"/>
      <c r="CF212" s="111"/>
      <c r="CG212" s="111"/>
      <c r="CH212" s="111"/>
      <c r="CI212" s="111"/>
      <c r="CJ212" s="111"/>
      <c r="CK212" s="111"/>
      <c r="CL212" s="111"/>
      <c r="CM212" s="111"/>
      <c r="CN212" s="111"/>
      <c r="CO212" s="111"/>
      <c r="CP212" s="111"/>
      <c r="CQ212" s="111"/>
      <c r="CR212" s="111"/>
      <c r="CS212" s="111"/>
      <c r="CT212" s="111"/>
      <c r="CU212" s="111"/>
      <c r="CV212" s="111"/>
      <c r="CW212" s="111"/>
      <c r="CX212" s="111"/>
      <c r="CY212" s="111"/>
      <c r="CZ212" s="111"/>
      <c r="DA212" s="111"/>
      <c r="DB212" s="111"/>
      <c r="DC212" s="111"/>
      <c r="DD212" s="111"/>
      <c r="DE212" s="111"/>
      <c r="DF212" s="111"/>
      <c r="DG212" s="111"/>
      <c r="DH212" s="111"/>
      <c r="DI212" s="111"/>
      <c r="DJ212" s="111"/>
      <c r="DK212" s="111"/>
      <c r="DL212" s="111"/>
      <c r="DM212" s="111"/>
      <c r="DN212" s="111"/>
      <c r="DO212" s="111"/>
      <c r="DP212" s="111"/>
      <c r="DQ212" s="111"/>
      <c r="DR212" s="111"/>
      <c r="DS212" s="111"/>
      <c r="DT212" s="111"/>
      <c r="DU212" s="111"/>
      <c r="DV212" s="111"/>
      <c r="DW212" s="111"/>
      <c r="DX212" s="111"/>
    </row>
    <row r="213" spans="1:128" s="3" customFormat="1" ht="12.75" customHeight="1" x14ac:dyDescent="0.3">
      <c r="A213" s="85"/>
      <c r="F213" s="66"/>
      <c r="G213" s="66"/>
      <c r="H213" s="111"/>
      <c r="I213" s="111"/>
      <c r="J213" s="111"/>
      <c r="K213" s="111"/>
      <c r="L213" s="111"/>
      <c r="M213" s="111"/>
      <c r="N213" s="111"/>
      <c r="O213" s="111"/>
      <c r="P213" s="111"/>
      <c r="Q213" s="111"/>
      <c r="R213" s="111"/>
      <c r="S213" s="111"/>
      <c r="T213" s="111"/>
      <c r="U213" s="111"/>
      <c r="V213" s="111"/>
      <c r="W213" s="111"/>
      <c r="X213" s="111"/>
      <c r="Y213" s="111"/>
      <c r="Z213" s="111"/>
      <c r="AA213" s="111"/>
      <c r="AB213" s="111"/>
      <c r="AC213" s="111"/>
      <c r="AD213" s="111"/>
      <c r="AE213" s="111"/>
      <c r="AF213" s="111"/>
      <c r="AG213" s="111"/>
      <c r="AH213" s="111"/>
      <c r="AI213" s="111"/>
      <c r="AJ213" s="111"/>
      <c r="AK213" s="111"/>
      <c r="AL213" s="111"/>
      <c r="AM213" s="111"/>
      <c r="AN213" s="111"/>
      <c r="AO213" s="111"/>
      <c r="AP213" s="111"/>
      <c r="AQ213" s="111"/>
      <c r="AR213" s="111"/>
      <c r="AS213" s="111"/>
      <c r="AT213" s="111"/>
      <c r="AU213" s="111"/>
      <c r="AV213" s="111"/>
      <c r="AW213" s="111"/>
      <c r="AX213" s="111"/>
      <c r="AY213" s="111"/>
      <c r="AZ213" s="111"/>
      <c r="BA213" s="111"/>
      <c r="BB213" s="111"/>
      <c r="BC213" s="111"/>
      <c r="BD213" s="111"/>
      <c r="BE213" s="111"/>
      <c r="BF213" s="111"/>
      <c r="BG213" s="111"/>
      <c r="BH213" s="111"/>
      <c r="BI213" s="111"/>
      <c r="BJ213" s="111"/>
      <c r="BK213" s="111"/>
      <c r="BL213" s="111"/>
      <c r="BM213" s="111"/>
      <c r="BN213" s="111"/>
      <c r="BO213" s="111"/>
      <c r="BP213" s="111"/>
      <c r="BQ213" s="111"/>
      <c r="BR213" s="111"/>
      <c r="BS213" s="111"/>
      <c r="BT213" s="111"/>
      <c r="BU213" s="111"/>
      <c r="BV213" s="111"/>
      <c r="BW213" s="111"/>
      <c r="BX213" s="111"/>
      <c r="BY213" s="111"/>
      <c r="BZ213" s="111"/>
      <c r="CA213" s="111"/>
      <c r="CB213" s="111"/>
      <c r="CC213" s="111"/>
      <c r="CD213" s="111"/>
      <c r="CE213" s="111"/>
      <c r="CF213" s="111"/>
      <c r="CG213" s="111"/>
      <c r="CH213" s="111"/>
      <c r="CI213" s="111"/>
      <c r="CJ213" s="111"/>
      <c r="CK213" s="111"/>
      <c r="CL213" s="111"/>
      <c r="CM213" s="111"/>
      <c r="CN213" s="111"/>
      <c r="CO213" s="111"/>
      <c r="CP213" s="111"/>
      <c r="CQ213" s="111"/>
      <c r="CR213" s="111"/>
      <c r="CS213" s="111"/>
      <c r="CT213" s="111"/>
      <c r="CU213" s="111"/>
      <c r="CV213" s="111"/>
      <c r="CW213" s="111"/>
      <c r="CX213" s="111"/>
      <c r="CY213" s="111"/>
      <c r="CZ213" s="111"/>
      <c r="DA213" s="111"/>
      <c r="DB213" s="111"/>
      <c r="DC213" s="111"/>
      <c r="DD213" s="111"/>
      <c r="DE213" s="111"/>
      <c r="DF213" s="111"/>
      <c r="DG213" s="111"/>
      <c r="DH213" s="111"/>
      <c r="DI213" s="111"/>
      <c r="DJ213" s="111"/>
      <c r="DK213" s="111"/>
      <c r="DL213" s="111"/>
      <c r="DM213" s="111"/>
      <c r="DN213" s="111"/>
      <c r="DO213" s="111"/>
      <c r="DP213" s="111"/>
      <c r="DQ213" s="111"/>
      <c r="DR213" s="111"/>
      <c r="DS213" s="111"/>
      <c r="DT213" s="111"/>
      <c r="DU213" s="111"/>
      <c r="DV213" s="111"/>
      <c r="DW213" s="111"/>
      <c r="DX213" s="111"/>
    </row>
    <row r="214" spans="1:128" s="3" customFormat="1" ht="12.75" customHeight="1" x14ac:dyDescent="0.3">
      <c r="A214" s="85"/>
      <c r="F214" s="66"/>
      <c r="G214" s="66"/>
      <c r="H214" s="111"/>
      <c r="I214" s="111"/>
      <c r="J214" s="111"/>
      <c r="K214" s="111"/>
      <c r="L214" s="111"/>
      <c r="M214" s="111"/>
      <c r="N214" s="111"/>
      <c r="O214" s="111"/>
      <c r="P214" s="111"/>
      <c r="Q214" s="111"/>
      <c r="R214" s="111"/>
      <c r="S214" s="111"/>
      <c r="T214" s="111"/>
      <c r="U214" s="111"/>
      <c r="V214" s="111"/>
      <c r="W214" s="111"/>
      <c r="X214" s="111"/>
      <c r="Y214" s="111"/>
      <c r="Z214" s="111"/>
      <c r="AA214" s="111"/>
      <c r="AB214" s="111"/>
      <c r="AC214" s="111"/>
      <c r="AD214" s="111"/>
      <c r="AE214" s="111"/>
      <c r="AF214" s="111"/>
      <c r="AG214" s="111"/>
      <c r="AH214" s="111"/>
      <c r="AI214" s="111"/>
      <c r="AJ214" s="111"/>
      <c r="AK214" s="111"/>
      <c r="AL214" s="111"/>
      <c r="AM214" s="111"/>
      <c r="AN214" s="111"/>
      <c r="AO214" s="111"/>
      <c r="AP214" s="111"/>
      <c r="AQ214" s="111"/>
      <c r="AR214" s="111"/>
      <c r="AS214" s="111"/>
      <c r="AT214" s="111"/>
      <c r="AU214" s="111"/>
      <c r="AV214" s="111"/>
      <c r="AW214" s="111"/>
      <c r="AX214" s="111"/>
      <c r="AY214" s="111"/>
      <c r="AZ214" s="111"/>
      <c r="BA214" s="111"/>
      <c r="BB214" s="111"/>
      <c r="BC214" s="111"/>
      <c r="BD214" s="111"/>
      <c r="BE214" s="111"/>
      <c r="BF214" s="111"/>
      <c r="BG214" s="111"/>
      <c r="BH214" s="111"/>
      <c r="BI214" s="111"/>
      <c r="BJ214" s="111"/>
      <c r="BK214" s="111"/>
      <c r="BL214" s="111"/>
      <c r="BM214" s="111"/>
      <c r="BN214" s="111"/>
      <c r="BO214" s="111"/>
      <c r="BP214" s="111"/>
      <c r="BQ214" s="111"/>
      <c r="BR214" s="111"/>
      <c r="BS214" s="111"/>
      <c r="BT214" s="111"/>
      <c r="BU214" s="111"/>
      <c r="BV214" s="111"/>
      <c r="BW214" s="111"/>
      <c r="BX214" s="111"/>
      <c r="BY214" s="111"/>
      <c r="BZ214" s="111"/>
      <c r="CA214" s="111"/>
      <c r="CB214" s="111"/>
      <c r="CC214" s="111"/>
      <c r="CD214" s="111"/>
      <c r="CE214" s="111"/>
      <c r="CF214" s="111"/>
      <c r="CG214" s="111"/>
      <c r="CH214" s="111"/>
      <c r="CI214" s="111"/>
      <c r="CJ214" s="111"/>
      <c r="CK214" s="111"/>
      <c r="CL214" s="111"/>
      <c r="CM214" s="111"/>
      <c r="CN214" s="111"/>
      <c r="CO214" s="111"/>
      <c r="CP214" s="111"/>
      <c r="CQ214" s="111"/>
      <c r="CR214" s="111"/>
      <c r="CS214" s="111"/>
      <c r="CT214" s="111"/>
      <c r="CU214" s="111"/>
      <c r="CV214" s="111"/>
      <c r="CW214" s="111"/>
      <c r="CX214" s="111"/>
      <c r="CY214" s="111"/>
      <c r="CZ214" s="111"/>
      <c r="DA214" s="111"/>
      <c r="DB214" s="111"/>
      <c r="DC214" s="111"/>
      <c r="DD214" s="111"/>
      <c r="DE214" s="111"/>
      <c r="DF214" s="111"/>
      <c r="DG214" s="111"/>
      <c r="DH214" s="111"/>
      <c r="DI214" s="111"/>
      <c r="DJ214" s="111"/>
      <c r="DK214" s="111"/>
      <c r="DL214" s="111"/>
      <c r="DM214" s="111"/>
      <c r="DN214" s="111"/>
      <c r="DO214" s="111"/>
      <c r="DP214" s="111"/>
      <c r="DQ214" s="111"/>
      <c r="DR214" s="111"/>
      <c r="DS214" s="111"/>
      <c r="DT214" s="111"/>
      <c r="DU214" s="111"/>
      <c r="DV214" s="111"/>
      <c r="DW214" s="111"/>
      <c r="DX214" s="111"/>
    </row>
    <row r="215" spans="1:128" s="3" customFormat="1" ht="12.75" customHeight="1" x14ac:dyDescent="0.3">
      <c r="A215" s="85"/>
      <c r="F215" s="66"/>
      <c r="G215" s="66"/>
      <c r="H215" s="111"/>
      <c r="I215" s="111"/>
      <c r="J215" s="111"/>
      <c r="K215" s="111"/>
      <c r="L215" s="111"/>
      <c r="M215" s="111"/>
      <c r="N215" s="111"/>
      <c r="O215" s="111"/>
      <c r="P215" s="111"/>
      <c r="Q215" s="111"/>
      <c r="R215" s="111"/>
      <c r="S215" s="111"/>
      <c r="T215" s="111"/>
      <c r="U215" s="111"/>
      <c r="V215" s="111"/>
      <c r="W215" s="111"/>
      <c r="X215" s="111"/>
      <c r="Y215" s="111"/>
      <c r="Z215" s="111"/>
      <c r="AA215" s="111"/>
      <c r="AB215" s="111"/>
      <c r="AC215" s="111"/>
      <c r="AD215" s="111"/>
      <c r="AE215" s="111"/>
      <c r="AF215" s="111"/>
      <c r="AG215" s="111"/>
      <c r="AH215" s="111"/>
      <c r="AI215" s="111"/>
      <c r="AJ215" s="111"/>
      <c r="AK215" s="111"/>
      <c r="AL215" s="111"/>
      <c r="AM215" s="111"/>
      <c r="AN215" s="111"/>
      <c r="AO215" s="111"/>
      <c r="AP215" s="111"/>
      <c r="AQ215" s="111"/>
      <c r="AR215" s="111"/>
      <c r="AS215" s="111"/>
      <c r="AT215" s="111"/>
      <c r="AU215" s="111"/>
      <c r="AV215" s="111"/>
      <c r="AW215" s="111"/>
      <c r="AX215" s="111"/>
      <c r="AY215" s="111"/>
      <c r="AZ215" s="111"/>
      <c r="BA215" s="111"/>
      <c r="BB215" s="111"/>
      <c r="BC215" s="111"/>
      <c r="BD215" s="111"/>
      <c r="BE215" s="111"/>
      <c r="BF215" s="111"/>
      <c r="BG215" s="111"/>
      <c r="BH215" s="111"/>
      <c r="BI215" s="111"/>
      <c r="BJ215" s="111"/>
      <c r="BK215" s="111"/>
      <c r="BL215" s="111"/>
      <c r="BM215" s="111"/>
      <c r="BN215" s="111"/>
      <c r="BO215" s="111"/>
      <c r="BP215" s="111"/>
      <c r="BQ215" s="111"/>
      <c r="BR215" s="111"/>
      <c r="BS215" s="111"/>
      <c r="BT215" s="111"/>
      <c r="BU215" s="111"/>
      <c r="BV215" s="111"/>
      <c r="BW215" s="111"/>
      <c r="BX215" s="111"/>
      <c r="BY215" s="111"/>
      <c r="BZ215" s="111"/>
      <c r="CA215" s="111"/>
      <c r="CB215" s="111"/>
      <c r="CC215" s="111"/>
      <c r="CD215" s="111"/>
      <c r="CE215" s="111"/>
      <c r="CF215" s="111"/>
      <c r="CG215" s="111"/>
      <c r="CH215" s="111"/>
      <c r="CI215" s="111"/>
      <c r="CJ215" s="111"/>
      <c r="CK215" s="111"/>
      <c r="CL215" s="111"/>
      <c r="CM215" s="111"/>
      <c r="CN215" s="111"/>
      <c r="CO215" s="111"/>
      <c r="CP215" s="111"/>
      <c r="CQ215" s="111"/>
      <c r="CR215" s="111"/>
      <c r="CS215" s="111"/>
      <c r="CT215" s="111"/>
      <c r="CU215" s="111"/>
      <c r="CV215" s="111"/>
      <c r="CW215" s="111"/>
      <c r="CX215" s="111"/>
      <c r="CY215" s="111"/>
      <c r="CZ215" s="111"/>
      <c r="DA215" s="111"/>
      <c r="DB215" s="111"/>
      <c r="DC215" s="111"/>
      <c r="DD215" s="111"/>
      <c r="DE215" s="111"/>
      <c r="DF215" s="111"/>
      <c r="DG215" s="111"/>
      <c r="DH215" s="111"/>
      <c r="DI215" s="111"/>
      <c r="DJ215" s="111"/>
      <c r="DK215" s="111"/>
      <c r="DL215" s="111"/>
      <c r="DM215" s="111"/>
      <c r="DN215" s="111"/>
      <c r="DO215" s="111"/>
      <c r="DP215" s="111"/>
      <c r="DQ215" s="111"/>
      <c r="DR215" s="111"/>
      <c r="DS215" s="111"/>
      <c r="DT215" s="111"/>
      <c r="DU215" s="111"/>
      <c r="DV215" s="111"/>
      <c r="DW215" s="111"/>
      <c r="DX215" s="111"/>
    </row>
    <row r="216" spans="1:128" s="3" customFormat="1" ht="12.75" customHeight="1" x14ac:dyDescent="0.3">
      <c r="A216" s="85"/>
      <c r="F216" s="66"/>
      <c r="G216" s="66"/>
      <c r="H216" s="111"/>
      <c r="I216" s="111"/>
      <c r="J216" s="111"/>
      <c r="K216" s="111"/>
      <c r="L216" s="111"/>
      <c r="M216" s="111"/>
      <c r="N216" s="111"/>
      <c r="O216" s="111"/>
      <c r="P216" s="111"/>
      <c r="Q216" s="111"/>
      <c r="R216" s="111"/>
      <c r="S216" s="111"/>
      <c r="T216" s="111"/>
      <c r="U216" s="111"/>
      <c r="V216" s="111"/>
      <c r="W216" s="111"/>
      <c r="X216" s="111"/>
      <c r="Y216" s="111"/>
      <c r="Z216" s="111"/>
      <c r="AA216" s="111"/>
      <c r="AB216" s="111"/>
      <c r="AC216" s="111"/>
      <c r="AD216" s="111"/>
      <c r="AE216" s="111"/>
      <c r="AF216" s="111"/>
      <c r="AG216" s="111"/>
      <c r="AH216" s="111"/>
      <c r="AI216" s="111"/>
      <c r="AJ216" s="111"/>
      <c r="AK216" s="111"/>
      <c r="AL216" s="111"/>
      <c r="AM216" s="111"/>
      <c r="AN216" s="111"/>
      <c r="AO216" s="111"/>
      <c r="AP216" s="111"/>
      <c r="AQ216" s="111"/>
      <c r="AR216" s="111"/>
      <c r="AS216" s="111"/>
      <c r="AT216" s="111"/>
      <c r="AU216" s="111"/>
      <c r="AV216" s="111"/>
      <c r="AW216" s="111"/>
      <c r="AX216" s="111"/>
      <c r="AY216" s="111"/>
      <c r="AZ216" s="111"/>
      <c r="BA216" s="111"/>
      <c r="BB216" s="111"/>
      <c r="BC216" s="111"/>
      <c r="BD216" s="111"/>
      <c r="BE216" s="111"/>
      <c r="BF216" s="111"/>
      <c r="BG216" s="111"/>
      <c r="BH216" s="111"/>
      <c r="BI216" s="111"/>
      <c r="BJ216" s="111"/>
      <c r="BK216" s="111"/>
      <c r="BL216" s="111"/>
      <c r="BM216" s="111"/>
      <c r="BN216" s="111"/>
      <c r="BO216" s="111"/>
      <c r="BP216" s="111"/>
      <c r="BQ216" s="111"/>
      <c r="BR216" s="111"/>
      <c r="BS216" s="111"/>
      <c r="BT216" s="111"/>
      <c r="BU216" s="111"/>
      <c r="BV216" s="111"/>
      <c r="BW216" s="111"/>
      <c r="BX216" s="111"/>
      <c r="BY216" s="111"/>
      <c r="BZ216" s="111"/>
      <c r="CA216" s="111"/>
      <c r="CB216" s="111"/>
      <c r="CC216" s="111"/>
      <c r="CD216" s="111"/>
      <c r="CE216" s="111"/>
      <c r="CF216" s="111"/>
      <c r="CG216" s="111"/>
      <c r="CH216" s="111"/>
      <c r="CI216" s="111"/>
      <c r="CJ216" s="111"/>
      <c r="CK216" s="111"/>
      <c r="CL216" s="111"/>
      <c r="CM216" s="111"/>
      <c r="CN216" s="111"/>
      <c r="CO216" s="111"/>
      <c r="CP216" s="111"/>
      <c r="CQ216" s="111"/>
      <c r="CR216" s="111"/>
      <c r="CS216" s="111"/>
      <c r="CT216" s="111"/>
      <c r="CU216" s="111"/>
      <c r="CV216" s="111"/>
      <c r="CW216" s="111"/>
      <c r="CX216" s="111"/>
      <c r="CY216" s="111"/>
      <c r="CZ216" s="111"/>
      <c r="DA216" s="111"/>
      <c r="DB216" s="111"/>
      <c r="DC216" s="111"/>
      <c r="DD216" s="111"/>
      <c r="DE216" s="111"/>
      <c r="DF216" s="111"/>
      <c r="DG216" s="111"/>
      <c r="DH216" s="111"/>
      <c r="DI216" s="111"/>
      <c r="DJ216" s="111"/>
      <c r="DK216" s="111"/>
      <c r="DL216" s="111"/>
      <c r="DM216" s="111"/>
      <c r="DN216" s="111"/>
      <c r="DO216" s="111"/>
      <c r="DP216" s="111"/>
      <c r="DQ216" s="111"/>
      <c r="DR216" s="111"/>
      <c r="DS216" s="111"/>
      <c r="DT216" s="111"/>
      <c r="DU216" s="111"/>
      <c r="DV216" s="111"/>
      <c r="DW216" s="111"/>
      <c r="DX216" s="111"/>
    </row>
    <row r="217" spans="1:128" s="3" customFormat="1" ht="12.75" customHeight="1" x14ac:dyDescent="0.3">
      <c r="F217" s="66"/>
      <c r="G217" s="66"/>
      <c r="H217" s="111"/>
      <c r="I217" s="111"/>
      <c r="J217" s="111"/>
      <c r="K217" s="111"/>
      <c r="L217" s="111"/>
      <c r="M217" s="111"/>
      <c r="N217" s="111"/>
      <c r="O217" s="111"/>
      <c r="P217" s="111"/>
      <c r="Q217" s="111"/>
      <c r="R217" s="111"/>
      <c r="S217" s="111"/>
      <c r="T217" s="111"/>
      <c r="U217" s="111"/>
      <c r="V217" s="111"/>
      <c r="W217" s="111"/>
      <c r="X217" s="111"/>
      <c r="Y217" s="111"/>
      <c r="Z217" s="111"/>
      <c r="AA217" s="111"/>
      <c r="AB217" s="111"/>
      <c r="AC217" s="111"/>
      <c r="AD217" s="111"/>
      <c r="AE217" s="111"/>
      <c r="AF217" s="111"/>
      <c r="AG217" s="111"/>
      <c r="AH217" s="111"/>
      <c r="AI217" s="111"/>
      <c r="AJ217" s="111"/>
      <c r="AK217" s="111"/>
      <c r="AL217" s="111"/>
      <c r="AM217" s="111"/>
      <c r="AN217" s="111"/>
      <c r="AO217" s="111"/>
      <c r="AP217" s="111"/>
      <c r="AQ217" s="111"/>
      <c r="AR217" s="111"/>
      <c r="AS217" s="111"/>
      <c r="AT217" s="111"/>
      <c r="AU217" s="111"/>
      <c r="AV217" s="111"/>
      <c r="AW217" s="111"/>
      <c r="AX217" s="111"/>
      <c r="AY217" s="111"/>
      <c r="AZ217" s="111"/>
      <c r="BA217" s="111"/>
      <c r="BB217" s="111"/>
      <c r="BC217" s="111"/>
      <c r="BD217" s="111"/>
      <c r="BE217" s="111"/>
      <c r="BF217" s="111"/>
      <c r="BG217" s="111"/>
      <c r="BH217" s="111"/>
      <c r="BI217" s="111"/>
      <c r="BJ217" s="111"/>
      <c r="BK217" s="111"/>
      <c r="BL217" s="111"/>
      <c r="BM217" s="111"/>
      <c r="BN217" s="111"/>
      <c r="BO217" s="111"/>
      <c r="BP217" s="111"/>
      <c r="BQ217" s="111"/>
      <c r="BR217" s="111"/>
      <c r="BS217" s="111"/>
      <c r="BT217" s="111"/>
      <c r="BU217" s="111"/>
      <c r="BV217" s="111"/>
      <c r="BW217" s="111"/>
      <c r="BX217" s="111"/>
      <c r="BY217" s="111"/>
      <c r="BZ217" s="111"/>
      <c r="CA217" s="111"/>
      <c r="CB217" s="111"/>
      <c r="CC217" s="111"/>
      <c r="CD217" s="111"/>
      <c r="CE217" s="111"/>
      <c r="CF217" s="111"/>
      <c r="CG217" s="111"/>
      <c r="CH217" s="111"/>
      <c r="CI217" s="111"/>
      <c r="CJ217" s="111"/>
      <c r="CK217" s="111"/>
      <c r="CL217" s="111"/>
      <c r="CM217" s="111"/>
      <c r="CN217" s="111"/>
      <c r="CO217" s="111"/>
      <c r="CP217" s="111"/>
      <c r="CQ217" s="111"/>
      <c r="CR217" s="111"/>
      <c r="CS217" s="111"/>
      <c r="CT217" s="111"/>
      <c r="CU217" s="111"/>
      <c r="CV217" s="111"/>
      <c r="CW217" s="111"/>
      <c r="CX217" s="111"/>
      <c r="CY217" s="111"/>
      <c r="CZ217" s="111"/>
      <c r="DA217" s="111"/>
      <c r="DB217" s="111"/>
      <c r="DC217" s="111"/>
      <c r="DD217" s="111"/>
      <c r="DE217" s="111"/>
      <c r="DF217" s="111"/>
      <c r="DG217" s="111"/>
      <c r="DH217" s="111"/>
      <c r="DI217" s="111"/>
      <c r="DJ217" s="111"/>
      <c r="DK217" s="111"/>
      <c r="DL217" s="111"/>
      <c r="DM217" s="111"/>
      <c r="DN217" s="111"/>
      <c r="DO217" s="111"/>
      <c r="DP217" s="111"/>
      <c r="DQ217" s="111"/>
      <c r="DR217" s="111"/>
      <c r="DS217" s="111"/>
      <c r="DT217" s="111"/>
      <c r="DU217" s="111"/>
      <c r="DV217" s="111"/>
      <c r="DW217" s="111"/>
      <c r="DX217" s="111"/>
    </row>
    <row r="218" spans="1:128" s="3" customFormat="1" ht="12.75" customHeight="1" x14ac:dyDescent="0.3">
      <c r="F218" s="66"/>
      <c r="G218" s="66"/>
      <c r="H218" s="111"/>
      <c r="I218" s="111"/>
      <c r="J218" s="111"/>
      <c r="K218" s="111"/>
      <c r="L218" s="111"/>
      <c r="M218" s="111"/>
      <c r="N218" s="111"/>
      <c r="O218" s="111"/>
      <c r="P218" s="111"/>
      <c r="Q218" s="111"/>
      <c r="R218" s="111"/>
      <c r="S218" s="111"/>
      <c r="T218" s="111"/>
      <c r="U218" s="111"/>
      <c r="V218" s="111"/>
      <c r="W218" s="111"/>
      <c r="X218" s="111"/>
      <c r="Y218" s="111"/>
      <c r="Z218" s="111"/>
      <c r="AA218" s="111"/>
      <c r="AB218" s="111"/>
      <c r="AC218" s="111"/>
      <c r="AD218" s="111"/>
      <c r="AE218" s="111"/>
      <c r="AF218" s="111"/>
      <c r="AG218" s="111"/>
      <c r="AH218" s="111"/>
      <c r="AI218" s="111"/>
      <c r="AJ218" s="111"/>
      <c r="AK218" s="111"/>
      <c r="AL218" s="111"/>
      <c r="AM218" s="111"/>
      <c r="AN218" s="111"/>
      <c r="AO218" s="111"/>
      <c r="AP218" s="111"/>
      <c r="AQ218" s="111"/>
      <c r="AR218" s="111"/>
      <c r="AS218" s="111"/>
      <c r="AT218" s="111"/>
      <c r="AU218" s="111"/>
      <c r="AV218" s="111"/>
      <c r="AW218" s="111"/>
      <c r="AX218" s="111"/>
      <c r="AY218" s="111"/>
      <c r="AZ218" s="111"/>
      <c r="BA218" s="111"/>
      <c r="BB218" s="111"/>
      <c r="BC218" s="111"/>
      <c r="BD218" s="111"/>
      <c r="BE218" s="111"/>
      <c r="BF218" s="111"/>
      <c r="BG218" s="111"/>
      <c r="BH218" s="111"/>
      <c r="BI218" s="111"/>
      <c r="BJ218" s="111"/>
      <c r="BK218" s="111"/>
      <c r="BL218" s="111"/>
      <c r="BM218" s="111"/>
      <c r="BN218" s="111"/>
      <c r="BO218" s="111"/>
      <c r="BP218" s="111"/>
      <c r="BQ218" s="111"/>
      <c r="BR218" s="111"/>
      <c r="BS218" s="111"/>
      <c r="BT218" s="111"/>
      <c r="BU218" s="111"/>
      <c r="BV218" s="111"/>
      <c r="BW218" s="111"/>
      <c r="BX218" s="111"/>
      <c r="BY218" s="111"/>
      <c r="BZ218" s="111"/>
      <c r="CA218" s="111"/>
      <c r="CB218" s="111"/>
      <c r="CC218" s="111"/>
      <c r="CD218" s="111"/>
      <c r="CE218" s="111"/>
      <c r="CF218" s="111"/>
      <c r="CG218" s="111"/>
      <c r="CH218" s="111"/>
      <c r="CI218" s="111"/>
      <c r="CJ218" s="111"/>
      <c r="CK218" s="111"/>
      <c r="CL218" s="111"/>
      <c r="CM218" s="111"/>
      <c r="CN218" s="111"/>
      <c r="CO218" s="111"/>
      <c r="CP218" s="111"/>
      <c r="CQ218" s="111"/>
      <c r="CR218" s="111"/>
      <c r="CS218" s="111"/>
      <c r="CT218" s="111"/>
      <c r="CU218" s="111"/>
      <c r="CV218" s="111"/>
      <c r="CW218" s="111"/>
      <c r="CX218" s="111"/>
      <c r="CY218" s="111"/>
      <c r="CZ218" s="111"/>
      <c r="DA218" s="111"/>
      <c r="DB218" s="111"/>
      <c r="DC218" s="111"/>
      <c r="DD218" s="111"/>
      <c r="DE218" s="111"/>
      <c r="DF218" s="111"/>
      <c r="DG218" s="111"/>
      <c r="DH218" s="111"/>
      <c r="DI218" s="111"/>
      <c r="DJ218" s="111"/>
      <c r="DK218" s="111"/>
      <c r="DL218" s="111"/>
      <c r="DM218" s="111"/>
      <c r="DN218" s="111"/>
      <c r="DO218" s="111"/>
      <c r="DP218" s="111"/>
      <c r="DQ218" s="111"/>
      <c r="DR218" s="111"/>
      <c r="DS218" s="111"/>
      <c r="DT218" s="111"/>
      <c r="DU218" s="111"/>
      <c r="DV218" s="111"/>
      <c r="DW218" s="111"/>
      <c r="DX218" s="111"/>
    </row>
    <row r="219" spans="1:128" s="3" customFormat="1" ht="12.75" customHeight="1" x14ac:dyDescent="0.3">
      <c r="F219" s="66"/>
      <c r="G219" s="66"/>
      <c r="H219" s="111"/>
      <c r="I219" s="111"/>
      <c r="J219" s="111"/>
      <c r="K219" s="111"/>
      <c r="L219" s="111"/>
      <c r="M219" s="111"/>
      <c r="N219" s="111"/>
      <c r="O219" s="111"/>
      <c r="P219" s="111"/>
      <c r="Q219" s="111"/>
      <c r="R219" s="111"/>
      <c r="S219" s="111"/>
      <c r="T219" s="111"/>
      <c r="U219" s="111"/>
      <c r="V219" s="111"/>
      <c r="W219" s="111"/>
      <c r="X219" s="111"/>
      <c r="Y219" s="111"/>
      <c r="Z219" s="111"/>
      <c r="AA219" s="111"/>
      <c r="AB219" s="111"/>
      <c r="AC219" s="111"/>
      <c r="AD219" s="111"/>
      <c r="AE219" s="111"/>
      <c r="AF219" s="111"/>
      <c r="AG219" s="111"/>
      <c r="AH219" s="111"/>
      <c r="AI219" s="111"/>
      <c r="AJ219" s="111"/>
      <c r="AK219" s="111"/>
      <c r="AL219" s="111"/>
      <c r="AM219" s="111"/>
      <c r="AN219" s="111"/>
      <c r="AO219" s="111"/>
      <c r="AP219" s="111"/>
      <c r="AQ219" s="111"/>
      <c r="AR219" s="111"/>
      <c r="AS219" s="111"/>
      <c r="AT219" s="111"/>
      <c r="AU219" s="111"/>
      <c r="AV219" s="111"/>
      <c r="AW219" s="111"/>
      <c r="AX219" s="111"/>
      <c r="AY219" s="111"/>
      <c r="AZ219" s="111"/>
      <c r="BA219" s="111"/>
      <c r="BB219" s="111"/>
      <c r="BC219" s="111"/>
      <c r="BD219" s="111"/>
      <c r="BE219" s="111"/>
      <c r="BF219" s="111"/>
      <c r="BG219" s="111"/>
      <c r="BH219" s="111"/>
      <c r="BI219" s="111"/>
      <c r="BJ219" s="111"/>
      <c r="BK219" s="111"/>
      <c r="BL219" s="111"/>
      <c r="BM219" s="111"/>
      <c r="BN219" s="111"/>
      <c r="BO219" s="111"/>
      <c r="BP219" s="111"/>
      <c r="BQ219" s="111"/>
      <c r="BR219" s="111"/>
      <c r="BS219" s="111"/>
      <c r="BT219" s="111"/>
      <c r="BU219" s="111"/>
      <c r="BV219" s="111"/>
      <c r="BW219" s="111"/>
      <c r="BX219" s="111"/>
      <c r="BY219" s="111"/>
      <c r="BZ219" s="111"/>
      <c r="CA219" s="111"/>
      <c r="CB219" s="111"/>
      <c r="CC219" s="111"/>
      <c r="CD219" s="111"/>
      <c r="CE219" s="111"/>
      <c r="CF219" s="111"/>
      <c r="CG219" s="111"/>
      <c r="CH219" s="111"/>
      <c r="CI219" s="111"/>
      <c r="CJ219" s="111"/>
      <c r="CK219" s="111"/>
      <c r="CL219" s="111"/>
      <c r="CM219" s="111"/>
      <c r="CN219" s="111"/>
      <c r="CO219" s="111"/>
      <c r="CP219" s="111"/>
      <c r="CQ219" s="111"/>
      <c r="CR219" s="111"/>
      <c r="CS219" s="111"/>
      <c r="CT219" s="111"/>
      <c r="CU219" s="111"/>
      <c r="CV219" s="111"/>
      <c r="CW219" s="111"/>
      <c r="CX219" s="111"/>
      <c r="CY219" s="111"/>
      <c r="CZ219" s="111"/>
      <c r="DA219" s="111"/>
      <c r="DB219" s="111"/>
      <c r="DC219" s="111"/>
      <c r="DD219" s="111"/>
      <c r="DE219" s="111"/>
      <c r="DF219" s="111"/>
      <c r="DG219" s="111"/>
      <c r="DH219" s="111"/>
      <c r="DI219" s="111"/>
      <c r="DJ219" s="111"/>
      <c r="DK219" s="111"/>
      <c r="DL219" s="111"/>
      <c r="DM219" s="111"/>
      <c r="DN219" s="111"/>
      <c r="DO219" s="111"/>
      <c r="DP219" s="111"/>
      <c r="DQ219" s="111"/>
      <c r="DR219" s="111"/>
      <c r="DS219" s="111"/>
      <c r="DT219" s="111"/>
      <c r="DU219" s="111"/>
      <c r="DV219" s="111"/>
      <c r="DW219" s="111"/>
      <c r="DX219" s="111"/>
    </row>
    <row r="220" spans="1:128" s="3" customFormat="1" ht="12.75" customHeight="1" x14ac:dyDescent="0.3">
      <c r="F220" s="66"/>
      <c r="G220" s="66"/>
      <c r="H220" s="111"/>
      <c r="I220" s="111"/>
      <c r="J220" s="111"/>
      <c r="K220" s="111"/>
      <c r="L220" s="111"/>
      <c r="M220" s="111"/>
      <c r="N220" s="111"/>
      <c r="O220" s="111"/>
      <c r="P220" s="111"/>
      <c r="Q220" s="111"/>
      <c r="R220" s="111"/>
      <c r="S220" s="111"/>
      <c r="T220" s="111"/>
      <c r="U220" s="111"/>
      <c r="V220" s="111"/>
      <c r="W220" s="111"/>
      <c r="X220" s="111"/>
      <c r="Y220" s="111"/>
      <c r="Z220" s="111"/>
      <c r="AA220" s="111"/>
      <c r="AB220" s="111"/>
      <c r="AC220" s="111"/>
      <c r="AD220" s="111"/>
      <c r="AE220" s="111"/>
      <c r="AF220" s="111"/>
      <c r="AG220" s="111"/>
      <c r="AH220" s="111"/>
      <c r="AI220" s="111"/>
      <c r="AJ220" s="111"/>
      <c r="AK220" s="111"/>
      <c r="AL220" s="111"/>
      <c r="AM220" s="111"/>
      <c r="AN220" s="111"/>
      <c r="AO220" s="111"/>
      <c r="AP220" s="111"/>
      <c r="AQ220" s="111"/>
      <c r="AR220" s="111"/>
      <c r="AS220" s="111"/>
      <c r="AT220" s="111"/>
      <c r="AU220" s="111"/>
      <c r="AV220" s="111"/>
      <c r="AW220" s="111"/>
      <c r="AX220" s="111"/>
      <c r="AY220" s="111"/>
      <c r="AZ220" s="111"/>
      <c r="BA220" s="111"/>
      <c r="BB220" s="111"/>
      <c r="BC220" s="111"/>
      <c r="BD220" s="111"/>
      <c r="BE220" s="111"/>
      <c r="BF220" s="111"/>
      <c r="BG220" s="111"/>
      <c r="BH220" s="111"/>
      <c r="BI220" s="111"/>
      <c r="BJ220" s="111"/>
      <c r="BK220" s="111"/>
      <c r="BL220" s="111"/>
      <c r="BM220" s="111"/>
      <c r="BN220" s="111"/>
      <c r="BO220" s="111"/>
      <c r="BP220" s="111"/>
      <c r="BQ220" s="111"/>
      <c r="BR220" s="111"/>
      <c r="BS220" s="111"/>
      <c r="BT220" s="111"/>
      <c r="BU220" s="111"/>
      <c r="BV220" s="111"/>
      <c r="BW220" s="111"/>
      <c r="BX220" s="111"/>
      <c r="BY220" s="111"/>
      <c r="BZ220" s="111"/>
      <c r="CA220" s="111"/>
      <c r="CB220" s="111"/>
      <c r="CC220" s="111"/>
      <c r="CD220" s="111"/>
      <c r="CE220" s="111"/>
      <c r="CF220" s="111"/>
      <c r="CG220" s="111"/>
      <c r="CH220" s="111"/>
      <c r="CI220" s="111"/>
      <c r="CJ220" s="111"/>
      <c r="CK220" s="111"/>
      <c r="CL220" s="111"/>
      <c r="CM220" s="111"/>
      <c r="CN220" s="111"/>
      <c r="CO220" s="111"/>
      <c r="CP220" s="111"/>
      <c r="CQ220" s="111"/>
      <c r="CR220" s="111"/>
      <c r="CS220" s="111"/>
      <c r="CT220" s="111"/>
      <c r="CU220" s="111"/>
      <c r="CV220" s="111"/>
      <c r="CW220" s="111"/>
      <c r="CX220" s="111"/>
      <c r="CY220" s="111"/>
      <c r="CZ220" s="111"/>
      <c r="DA220" s="111"/>
      <c r="DB220" s="111"/>
      <c r="DC220" s="111"/>
      <c r="DD220" s="111"/>
      <c r="DE220" s="111"/>
      <c r="DF220" s="111"/>
      <c r="DG220" s="111"/>
      <c r="DH220" s="111"/>
      <c r="DI220" s="111"/>
      <c r="DJ220" s="111"/>
      <c r="DK220" s="111"/>
      <c r="DL220" s="111"/>
      <c r="DM220" s="111"/>
      <c r="DN220" s="111"/>
      <c r="DO220" s="111"/>
      <c r="DP220" s="111"/>
      <c r="DQ220" s="111"/>
      <c r="DR220" s="111"/>
      <c r="DS220" s="111"/>
      <c r="DT220" s="111"/>
      <c r="DU220" s="111"/>
      <c r="DV220" s="111"/>
      <c r="DW220" s="111"/>
      <c r="DX220" s="111"/>
    </row>
    <row r="221" spans="1:128" s="3" customFormat="1" ht="12.75" customHeight="1" x14ac:dyDescent="0.3">
      <c r="F221" s="66"/>
      <c r="G221" s="66"/>
      <c r="H221" s="111"/>
      <c r="I221" s="111"/>
      <c r="J221" s="111"/>
      <c r="K221" s="111"/>
      <c r="L221" s="111"/>
      <c r="M221" s="111"/>
      <c r="N221" s="111"/>
      <c r="O221" s="111"/>
      <c r="P221" s="111"/>
      <c r="Q221" s="111"/>
      <c r="R221" s="111"/>
      <c r="S221" s="111"/>
      <c r="T221" s="111"/>
      <c r="U221" s="111"/>
      <c r="V221" s="111"/>
      <c r="W221" s="111"/>
      <c r="X221" s="111"/>
      <c r="Y221" s="111"/>
      <c r="Z221" s="111"/>
      <c r="AA221" s="111"/>
      <c r="AB221" s="111"/>
      <c r="AC221" s="111"/>
      <c r="AD221" s="111"/>
      <c r="AE221" s="111"/>
      <c r="AF221" s="111"/>
      <c r="AG221" s="111"/>
      <c r="AH221" s="111"/>
      <c r="AI221" s="111"/>
      <c r="AJ221" s="111"/>
      <c r="AK221" s="111"/>
      <c r="AL221" s="111"/>
      <c r="AM221" s="111"/>
      <c r="AN221" s="111"/>
      <c r="AO221" s="111"/>
      <c r="AP221" s="111"/>
      <c r="AQ221" s="111"/>
      <c r="AR221" s="111"/>
      <c r="AS221" s="111"/>
      <c r="AT221" s="111"/>
      <c r="AU221" s="111"/>
      <c r="AV221" s="111"/>
      <c r="AW221" s="111"/>
      <c r="AX221" s="111"/>
      <c r="AY221" s="111"/>
      <c r="AZ221" s="111"/>
      <c r="BA221" s="111"/>
      <c r="BB221" s="111"/>
      <c r="BC221" s="111"/>
      <c r="BD221" s="111"/>
      <c r="BE221" s="111"/>
      <c r="BF221" s="111"/>
      <c r="BG221" s="111"/>
      <c r="BH221" s="111"/>
      <c r="BI221" s="111"/>
      <c r="BJ221" s="111"/>
      <c r="BK221" s="111"/>
      <c r="BL221" s="111"/>
      <c r="BM221" s="111"/>
      <c r="BN221" s="111"/>
      <c r="BO221" s="111"/>
      <c r="BP221" s="111"/>
      <c r="BQ221" s="111"/>
      <c r="BR221" s="111"/>
      <c r="BS221" s="111"/>
      <c r="BT221" s="111"/>
      <c r="BU221" s="111"/>
      <c r="BV221" s="111"/>
      <c r="BW221" s="111"/>
      <c r="BX221" s="111"/>
      <c r="BY221" s="111"/>
      <c r="BZ221" s="111"/>
      <c r="CA221" s="111"/>
      <c r="CB221" s="111"/>
      <c r="CC221" s="111"/>
      <c r="CD221" s="111"/>
      <c r="CE221" s="111"/>
      <c r="CF221" s="111"/>
      <c r="CG221" s="111"/>
      <c r="CH221" s="111"/>
      <c r="CI221" s="111"/>
      <c r="CJ221" s="111"/>
      <c r="CK221" s="111"/>
      <c r="CL221" s="111"/>
      <c r="CM221" s="111"/>
      <c r="CN221" s="111"/>
      <c r="CO221" s="111"/>
      <c r="CP221" s="111"/>
      <c r="CQ221" s="111"/>
      <c r="CR221" s="111"/>
      <c r="CS221" s="111"/>
      <c r="CT221" s="111"/>
      <c r="CU221" s="111"/>
      <c r="CV221" s="111"/>
      <c r="CW221" s="111"/>
      <c r="CX221" s="111"/>
      <c r="CY221" s="111"/>
      <c r="CZ221" s="111"/>
      <c r="DA221" s="111"/>
      <c r="DB221" s="111"/>
      <c r="DC221" s="111"/>
      <c r="DD221" s="111"/>
      <c r="DE221" s="111"/>
      <c r="DF221" s="111"/>
      <c r="DG221" s="111"/>
      <c r="DH221" s="111"/>
      <c r="DI221" s="111"/>
      <c r="DJ221" s="111"/>
      <c r="DK221" s="111"/>
      <c r="DL221" s="111"/>
      <c r="DM221" s="111"/>
      <c r="DN221" s="111"/>
      <c r="DO221" s="111"/>
      <c r="DP221" s="111"/>
      <c r="DQ221" s="111"/>
      <c r="DR221" s="111"/>
      <c r="DS221" s="111"/>
      <c r="DT221" s="111"/>
      <c r="DU221" s="111"/>
      <c r="DV221" s="111"/>
      <c r="DW221" s="111"/>
      <c r="DX221" s="111"/>
    </row>
    <row r="222" spans="1:128" s="3" customFormat="1" ht="12.75" customHeight="1" x14ac:dyDescent="0.3">
      <c r="F222" s="66"/>
      <c r="G222" s="66"/>
      <c r="H222" s="111"/>
      <c r="I222" s="111"/>
      <c r="J222" s="111"/>
      <c r="K222" s="111"/>
      <c r="L222" s="111"/>
      <c r="M222" s="111"/>
      <c r="N222" s="111"/>
      <c r="O222" s="111"/>
      <c r="P222" s="111"/>
      <c r="Q222" s="111"/>
      <c r="R222" s="111"/>
      <c r="S222" s="111"/>
      <c r="T222" s="111"/>
      <c r="U222" s="111"/>
      <c r="V222" s="111"/>
      <c r="W222" s="111"/>
      <c r="X222" s="111"/>
      <c r="Y222" s="111"/>
      <c r="Z222" s="111"/>
      <c r="AA222" s="111"/>
      <c r="AB222" s="111"/>
      <c r="AC222" s="111"/>
      <c r="AD222" s="111"/>
      <c r="AE222" s="111"/>
      <c r="AF222" s="111"/>
      <c r="AG222" s="111"/>
      <c r="AH222" s="111"/>
      <c r="AI222" s="111"/>
      <c r="AJ222" s="111"/>
      <c r="AK222" s="111"/>
      <c r="AL222" s="111"/>
      <c r="AM222" s="111"/>
      <c r="AN222" s="111"/>
      <c r="AO222" s="111"/>
      <c r="AP222" s="111"/>
      <c r="AQ222" s="111"/>
      <c r="AR222" s="111"/>
      <c r="AS222" s="111"/>
      <c r="AT222" s="111"/>
      <c r="AU222" s="111"/>
      <c r="AV222" s="111"/>
      <c r="AW222" s="111"/>
      <c r="AX222" s="111"/>
      <c r="AY222" s="111"/>
      <c r="AZ222" s="111"/>
      <c r="BA222" s="111"/>
      <c r="BB222" s="111"/>
      <c r="BC222" s="111"/>
      <c r="BD222" s="111"/>
      <c r="BE222" s="111"/>
      <c r="BF222" s="111"/>
      <c r="BG222" s="111"/>
      <c r="BH222" s="111"/>
      <c r="BI222" s="111"/>
      <c r="BJ222" s="111"/>
      <c r="BK222" s="111"/>
      <c r="BL222" s="111"/>
      <c r="BM222" s="111"/>
      <c r="BN222" s="111"/>
      <c r="BO222" s="111"/>
      <c r="BP222" s="111"/>
      <c r="BQ222" s="111"/>
      <c r="BR222" s="111"/>
      <c r="BS222" s="111"/>
      <c r="BT222" s="111"/>
      <c r="BU222" s="111"/>
      <c r="BV222" s="111"/>
      <c r="BW222" s="111"/>
      <c r="BX222" s="111"/>
      <c r="BY222" s="111"/>
      <c r="BZ222" s="111"/>
      <c r="CA222" s="111"/>
      <c r="CB222" s="111"/>
      <c r="CC222" s="111"/>
      <c r="CD222" s="111"/>
      <c r="CE222" s="111"/>
      <c r="CF222" s="111"/>
      <c r="CG222" s="111"/>
      <c r="CH222" s="111"/>
      <c r="CI222" s="111"/>
      <c r="CJ222" s="111"/>
      <c r="CK222" s="111"/>
      <c r="CL222" s="111"/>
      <c r="CM222" s="111"/>
      <c r="CN222" s="111"/>
      <c r="CO222" s="111"/>
      <c r="CP222" s="111"/>
      <c r="CQ222" s="111"/>
      <c r="CR222" s="111"/>
      <c r="CS222" s="111"/>
      <c r="CT222" s="111"/>
      <c r="CU222" s="111"/>
      <c r="CV222" s="111"/>
      <c r="CW222" s="111"/>
      <c r="CX222" s="111"/>
      <c r="CY222" s="111"/>
      <c r="CZ222" s="111"/>
      <c r="DA222" s="111"/>
      <c r="DB222" s="111"/>
      <c r="DC222" s="111"/>
      <c r="DD222" s="111"/>
      <c r="DE222" s="111"/>
      <c r="DF222" s="111"/>
      <c r="DG222" s="111"/>
      <c r="DH222" s="111"/>
      <c r="DI222" s="111"/>
      <c r="DJ222" s="111"/>
      <c r="DK222" s="111"/>
      <c r="DL222" s="111"/>
      <c r="DM222" s="111"/>
      <c r="DN222" s="111"/>
      <c r="DO222" s="111"/>
      <c r="DP222" s="111"/>
      <c r="DQ222" s="111"/>
      <c r="DR222" s="111"/>
      <c r="DS222" s="111"/>
      <c r="DT222" s="111"/>
      <c r="DU222" s="111"/>
      <c r="DV222" s="111"/>
      <c r="DW222" s="111"/>
      <c r="DX222" s="111"/>
    </row>
    <row r="223" spans="1:128" s="3" customFormat="1" ht="12.75" customHeight="1" x14ac:dyDescent="0.3">
      <c r="F223" s="66"/>
      <c r="G223" s="66"/>
      <c r="H223" s="111"/>
      <c r="I223" s="111"/>
      <c r="J223" s="111"/>
      <c r="K223" s="111"/>
      <c r="L223" s="111"/>
      <c r="M223" s="111"/>
      <c r="N223" s="111"/>
      <c r="O223" s="111"/>
      <c r="P223" s="111"/>
      <c r="Q223" s="111"/>
      <c r="R223" s="111"/>
      <c r="S223" s="111"/>
      <c r="T223" s="111"/>
      <c r="U223" s="111"/>
      <c r="V223" s="111"/>
      <c r="W223" s="111"/>
      <c r="X223" s="111"/>
      <c r="Y223" s="111"/>
      <c r="Z223" s="111"/>
      <c r="AA223" s="111"/>
      <c r="AB223" s="111"/>
      <c r="AC223" s="111"/>
      <c r="AD223" s="111"/>
      <c r="AE223" s="111"/>
      <c r="AF223" s="111"/>
      <c r="AG223" s="111"/>
      <c r="AH223" s="111"/>
      <c r="AI223" s="111"/>
      <c r="AJ223" s="111"/>
      <c r="AK223" s="111"/>
      <c r="AL223" s="111"/>
      <c r="AM223" s="111"/>
      <c r="AN223" s="111"/>
      <c r="AO223" s="111"/>
      <c r="AP223" s="111"/>
      <c r="AQ223" s="111"/>
      <c r="AR223" s="111"/>
      <c r="AS223" s="111"/>
      <c r="AT223" s="111"/>
      <c r="AU223" s="111"/>
      <c r="AV223" s="111"/>
      <c r="AW223" s="111"/>
      <c r="AX223" s="111"/>
      <c r="AY223" s="111"/>
      <c r="AZ223" s="111"/>
      <c r="BA223" s="111"/>
      <c r="BB223" s="111"/>
      <c r="BC223" s="111"/>
      <c r="BD223" s="111"/>
      <c r="BE223" s="111"/>
      <c r="BF223" s="111"/>
      <c r="BG223" s="111"/>
      <c r="BH223" s="111"/>
      <c r="BI223" s="111"/>
      <c r="BJ223" s="111"/>
      <c r="BK223" s="111"/>
      <c r="BL223" s="111"/>
      <c r="BM223" s="111"/>
      <c r="BN223" s="111"/>
      <c r="BO223" s="111"/>
      <c r="BP223" s="111"/>
      <c r="BQ223" s="111"/>
      <c r="BR223" s="111"/>
      <c r="BS223" s="111"/>
      <c r="BT223" s="111"/>
      <c r="BU223" s="111"/>
      <c r="BV223" s="111"/>
      <c r="BW223" s="111"/>
      <c r="BX223" s="111"/>
      <c r="BY223" s="111"/>
      <c r="BZ223" s="111"/>
      <c r="CA223" s="111"/>
      <c r="CB223" s="111"/>
      <c r="CC223" s="111"/>
      <c r="CD223" s="111"/>
      <c r="CE223" s="111"/>
      <c r="CF223" s="111"/>
      <c r="CG223" s="111"/>
      <c r="CH223" s="111"/>
      <c r="CI223" s="111"/>
      <c r="CJ223" s="111"/>
      <c r="CK223" s="111"/>
      <c r="CL223" s="111"/>
      <c r="CM223" s="111"/>
      <c r="CN223" s="111"/>
      <c r="CO223" s="111"/>
      <c r="CP223" s="111"/>
      <c r="CQ223" s="111"/>
      <c r="CR223" s="111"/>
      <c r="CS223" s="111"/>
      <c r="CT223" s="111"/>
      <c r="CU223" s="111"/>
      <c r="CV223" s="111"/>
      <c r="CW223" s="111"/>
      <c r="CX223" s="111"/>
      <c r="CY223" s="111"/>
      <c r="CZ223" s="111"/>
      <c r="DA223" s="111"/>
      <c r="DB223" s="111"/>
      <c r="DC223" s="111"/>
      <c r="DD223" s="111"/>
      <c r="DE223" s="111"/>
      <c r="DF223" s="111"/>
      <c r="DG223" s="111"/>
      <c r="DH223" s="111"/>
      <c r="DI223" s="111"/>
      <c r="DJ223" s="111"/>
      <c r="DK223" s="111"/>
      <c r="DL223" s="111"/>
      <c r="DM223" s="111"/>
      <c r="DN223" s="111"/>
      <c r="DO223" s="111"/>
      <c r="DP223" s="111"/>
      <c r="DQ223" s="111"/>
      <c r="DR223" s="111"/>
      <c r="DS223" s="111"/>
      <c r="DT223" s="111"/>
      <c r="DU223" s="111"/>
      <c r="DV223" s="111"/>
      <c r="DW223" s="111"/>
      <c r="DX223" s="111"/>
    </row>
    <row r="224" spans="1:128" s="3" customFormat="1" ht="12.75" customHeight="1" x14ac:dyDescent="0.3">
      <c r="F224" s="66"/>
      <c r="G224" s="66"/>
      <c r="H224" s="111"/>
      <c r="I224" s="111"/>
      <c r="J224" s="111"/>
      <c r="K224" s="111"/>
      <c r="L224" s="111"/>
      <c r="M224" s="111"/>
      <c r="N224" s="111"/>
      <c r="O224" s="111"/>
      <c r="P224" s="111"/>
      <c r="Q224" s="111"/>
      <c r="R224" s="111"/>
      <c r="S224" s="111"/>
      <c r="T224" s="111"/>
      <c r="U224" s="111"/>
      <c r="V224" s="111"/>
      <c r="W224" s="111"/>
      <c r="X224" s="111"/>
      <c r="Y224" s="111"/>
      <c r="Z224" s="111"/>
      <c r="AA224" s="111"/>
      <c r="AB224" s="111"/>
      <c r="AC224" s="111"/>
      <c r="AD224" s="111"/>
      <c r="AE224" s="111"/>
      <c r="AF224" s="111"/>
      <c r="AG224" s="111"/>
      <c r="AH224" s="111"/>
      <c r="AI224" s="111"/>
      <c r="AJ224" s="111"/>
      <c r="AK224" s="111"/>
      <c r="AL224" s="111"/>
      <c r="AM224" s="111"/>
      <c r="AN224" s="111"/>
      <c r="AO224" s="111"/>
      <c r="AP224" s="111"/>
      <c r="AQ224" s="111"/>
      <c r="AR224" s="111"/>
      <c r="AS224" s="111"/>
      <c r="AT224" s="111"/>
      <c r="AU224" s="111"/>
      <c r="AV224" s="111"/>
      <c r="AW224" s="111"/>
      <c r="AX224" s="111"/>
      <c r="AY224" s="111"/>
      <c r="AZ224" s="111"/>
      <c r="BA224" s="111"/>
      <c r="BB224" s="111"/>
      <c r="BC224" s="111"/>
      <c r="BD224" s="111"/>
      <c r="BE224" s="111"/>
      <c r="BF224" s="111"/>
      <c r="BG224" s="111"/>
      <c r="BH224" s="111"/>
      <c r="BI224" s="111"/>
      <c r="BJ224" s="111"/>
      <c r="BK224" s="111"/>
      <c r="BL224" s="111"/>
      <c r="BM224" s="111"/>
      <c r="BN224" s="111"/>
      <c r="BO224" s="111"/>
      <c r="BP224" s="111"/>
      <c r="BQ224" s="111"/>
      <c r="BR224" s="111"/>
      <c r="BS224" s="111"/>
      <c r="BT224" s="111"/>
      <c r="BU224" s="111"/>
      <c r="BV224" s="111"/>
      <c r="BW224" s="111"/>
      <c r="BX224" s="111"/>
      <c r="BY224" s="111"/>
      <c r="BZ224" s="111"/>
      <c r="CA224" s="111"/>
      <c r="CB224" s="111"/>
      <c r="CC224" s="111"/>
      <c r="CD224" s="111"/>
      <c r="CE224" s="111"/>
      <c r="CF224" s="111"/>
      <c r="CG224" s="111"/>
      <c r="CH224" s="111"/>
      <c r="CI224" s="111"/>
      <c r="CJ224" s="111"/>
      <c r="CK224" s="111"/>
      <c r="CL224" s="111"/>
      <c r="CM224" s="111"/>
      <c r="CN224" s="111"/>
      <c r="CO224" s="111"/>
      <c r="CP224" s="111"/>
      <c r="CQ224" s="111"/>
      <c r="CR224" s="111"/>
      <c r="CS224" s="111"/>
      <c r="CT224" s="111"/>
      <c r="CU224" s="111"/>
      <c r="CV224" s="111"/>
      <c r="CW224" s="111"/>
      <c r="CX224" s="111"/>
      <c r="CY224" s="111"/>
      <c r="CZ224" s="111"/>
      <c r="DA224" s="111"/>
      <c r="DB224" s="111"/>
      <c r="DC224" s="111"/>
      <c r="DD224" s="111"/>
      <c r="DE224" s="111"/>
      <c r="DF224" s="111"/>
      <c r="DG224" s="111"/>
      <c r="DH224" s="111"/>
      <c r="DI224" s="111"/>
      <c r="DJ224" s="111"/>
      <c r="DK224" s="111"/>
      <c r="DL224" s="111"/>
      <c r="DM224" s="111"/>
      <c r="DN224" s="111"/>
      <c r="DO224" s="111"/>
      <c r="DP224" s="111"/>
      <c r="DQ224" s="111"/>
      <c r="DR224" s="111"/>
      <c r="DS224" s="111"/>
      <c r="DT224" s="111"/>
      <c r="DU224" s="111"/>
      <c r="DV224" s="111"/>
      <c r="DW224" s="111"/>
      <c r="DX224" s="111"/>
    </row>
    <row r="225" spans="6:128" s="3" customFormat="1" ht="12.75" customHeight="1" x14ac:dyDescent="0.3">
      <c r="F225" s="66"/>
      <c r="G225" s="66"/>
      <c r="H225" s="111"/>
      <c r="I225" s="111"/>
      <c r="J225" s="111"/>
      <c r="K225" s="111"/>
      <c r="L225" s="111"/>
      <c r="M225" s="111"/>
      <c r="N225" s="111"/>
      <c r="O225" s="111"/>
      <c r="P225" s="111"/>
      <c r="Q225" s="111"/>
      <c r="R225" s="111"/>
      <c r="S225" s="111"/>
      <c r="T225" s="111"/>
      <c r="U225" s="111"/>
      <c r="V225" s="111"/>
      <c r="W225" s="111"/>
      <c r="X225" s="111"/>
      <c r="Y225" s="111"/>
      <c r="Z225" s="111"/>
      <c r="AA225" s="111"/>
      <c r="AB225" s="111"/>
      <c r="AC225" s="111"/>
      <c r="AD225" s="111"/>
      <c r="AE225" s="111"/>
      <c r="AF225" s="111"/>
      <c r="AG225" s="111"/>
      <c r="AH225" s="111"/>
      <c r="AI225" s="111"/>
      <c r="AJ225" s="111"/>
      <c r="AK225" s="111"/>
      <c r="AL225" s="111"/>
      <c r="AM225" s="111"/>
      <c r="AN225" s="111"/>
      <c r="AO225" s="111"/>
      <c r="AP225" s="111"/>
      <c r="AQ225" s="111"/>
      <c r="AR225" s="111"/>
      <c r="AS225" s="111"/>
      <c r="AT225" s="111"/>
      <c r="AU225" s="111"/>
      <c r="AV225" s="111"/>
      <c r="AW225" s="111"/>
      <c r="AX225" s="111"/>
      <c r="AY225" s="111"/>
      <c r="AZ225" s="111"/>
      <c r="BA225" s="111"/>
      <c r="BB225" s="111"/>
      <c r="BC225" s="111"/>
      <c r="BD225" s="111"/>
      <c r="BE225" s="111"/>
      <c r="BF225" s="111"/>
      <c r="BG225" s="111"/>
      <c r="BH225" s="111"/>
      <c r="BI225" s="111"/>
      <c r="BJ225" s="111"/>
      <c r="BK225" s="111"/>
      <c r="BL225" s="111"/>
      <c r="BM225" s="111"/>
      <c r="BN225" s="111"/>
      <c r="BO225" s="111"/>
      <c r="BP225" s="111"/>
      <c r="BQ225" s="111"/>
      <c r="BR225" s="111"/>
      <c r="BS225" s="111"/>
      <c r="BT225" s="111"/>
      <c r="BU225" s="111"/>
      <c r="BV225" s="111"/>
      <c r="BW225" s="111"/>
      <c r="BX225" s="111"/>
      <c r="BY225" s="111"/>
      <c r="BZ225" s="111"/>
      <c r="CA225" s="111"/>
      <c r="CB225" s="111"/>
      <c r="CC225" s="111"/>
      <c r="CD225" s="111"/>
      <c r="CE225" s="111"/>
      <c r="CF225" s="111"/>
      <c r="CG225" s="111"/>
      <c r="CH225" s="111"/>
      <c r="CI225" s="111"/>
      <c r="CJ225" s="111"/>
      <c r="CK225" s="111"/>
      <c r="CL225" s="111"/>
      <c r="CM225" s="111"/>
      <c r="CN225" s="111"/>
      <c r="CO225" s="111"/>
      <c r="CP225" s="111"/>
      <c r="CQ225" s="111"/>
      <c r="CR225" s="111"/>
      <c r="CS225" s="111"/>
      <c r="CT225" s="111"/>
      <c r="CU225" s="111"/>
      <c r="CV225" s="111"/>
      <c r="CW225" s="111"/>
      <c r="CX225" s="111"/>
      <c r="CY225" s="111"/>
      <c r="CZ225" s="111"/>
      <c r="DA225" s="111"/>
      <c r="DB225" s="111"/>
      <c r="DC225" s="111"/>
      <c r="DD225" s="111"/>
      <c r="DE225" s="111"/>
      <c r="DF225" s="111"/>
      <c r="DG225" s="111"/>
      <c r="DH225" s="111"/>
      <c r="DI225" s="111"/>
      <c r="DJ225" s="111"/>
      <c r="DK225" s="111"/>
      <c r="DL225" s="111"/>
      <c r="DM225" s="111"/>
      <c r="DN225" s="111"/>
      <c r="DO225" s="111"/>
      <c r="DP225" s="111"/>
      <c r="DQ225" s="111"/>
      <c r="DR225" s="111"/>
      <c r="DS225" s="111"/>
      <c r="DT225" s="111"/>
      <c r="DU225" s="111"/>
      <c r="DV225" s="111"/>
      <c r="DW225" s="111"/>
      <c r="DX225" s="111"/>
    </row>
    <row r="226" spans="6:128" s="3" customFormat="1" ht="12.75" customHeight="1" x14ac:dyDescent="0.3">
      <c r="F226" s="66"/>
      <c r="G226" s="66"/>
      <c r="H226" s="111"/>
      <c r="I226" s="111"/>
      <c r="J226" s="111"/>
      <c r="K226" s="111"/>
      <c r="L226" s="111"/>
      <c r="M226" s="111"/>
      <c r="N226" s="111"/>
      <c r="O226" s="111"/>
      <c r="P226" s="111"/>
      <c r="Q226" s="111"/>
      <c r="R226" s="111"/>
      <c r="S226" s="111"/>
      <c r="T226" s="111"/>
      <c r="U226" s="111"/>
      <c r="V226" s="111"/>
      <c r="W226" s="111"/>
      <c r="X226" s="111"/>
      <c r="Y226" s="111"/>
      <c r="Z226" s="111"/>
      <c r="AA226" s="111"/>
      <c r="AB226" s="111"/>
      <c r="AC226" s="111"/>
      <c r="AD226" s="111"/>
      <c r="AE226" s="111"/>
      <c r="AF226" s="111"/>
      <c r="AG226" s="111"/>
      <c r="AH226" s="111"/>
      <c r="AI226" s="111"/>
      <c r="AJ226" s="111"/>
      <c r="AK226" s="111"/>
      <c r="AL226" s="111"/>
      <c r="AM226" s="111"/>
      <c r="AN226" s="111"/>
      <c r="AO226" s="111"/>
      <c r="AP226" s="111"/>
      <c r="AQ226" s="111"/>
      <c r="AR226" s="111"/>
      <c r="AS226" s="111"/>
      <c r="AT226" s="111"/>
      <c r="AU226" s="111"/>
      <c r="AV226" s="111"/>
      <c r="AW226" s="111"/>
      <c r="AX226" s="111"/>
      <c r="AY226" s="111"/>
      <c r="AZ226" s="111"/>
      <c r="BA226" s="111"/>
      <c r="BB226" s="111"/>
      <c r="BC226" s="111"/>
      <c r="BD226" s="111"/>
      <c r="BE226" s="111"/>
      <c r="BF226" s="111"/>
      <c r="BG226" s="111"/>
      <c r="BH226" s="111"/>
      <c r="BI226" s="111"/>
      <c r="BJ226" s="111"/>
      <c r="BK226" s="111"/>
      <c r="BL226" s="111"/>
      <c r="BM226" s="111"/>
      <c r="BN226" s="111"/>
      <c r="BO226" s="111"/>
      <c r="BP226" s="111"/>
      <c r="BQ226" s="111"/>
      <c r="BR226" s="111"/>
      <c r="BS226" s="111"/>
      <c r="BT226" s="111"/>
      <c r="BU226" s="111"/>
      <c r="BV226" s="111"/>
      <c r="BW226" s="111"/>
      <c r="BX226" s="111"/>
      <c r="BY226" s="111"/>
      <c r="BZ226" s="111"/>
      <c r="CA226" s="111"/>
      <c r="CB226" s="111"/>
      <c r="CC226" s="111"/>
      <c r="CD226" s="111"/>
      <c r="CE226" s="111"/>
      <c r="CF226" s="111"/>
      <c r="CG226" s="111"/>
      <c r="CH226" s="111"/>
      <c r="CI226" s="111"/>
      <c r="CJ226" s="111"/>
      <c r="CK226" s="111"/>
      <c r="CL226" s="111"/>
      <c r="CM226" s="111"/>
      <c r="CN226" s="111"/>
      <c r="CO226" s="111"/>
      <c r="CP226" s="111"/>
      <c r="CQ226" s="111"/>
      <c r="CR226" s="111"/>
      <c r="CS226" s="111"/>
      <c r="CT226" s="111"/>
      <c r="CU226" s="111"/>
      <c r="CV226" s="111"/>
      <c r="CW226" s="111"/>
      <c r="CX226" s="111"/>
      <c r="CY226" s="111"/>
      <c r="CZ226" s="111"/>
      <c r="DA226" s="111"/>
      <c r="DB226" s="111"/>
      <c r="DC226" s="111"/>
      <c r="DD226" s="111"/>
      <c r="DE226" s="111"/>
      <c r="DF226" s="111"/>
      <c r="DG226" s="111"/>
      <c r="DH226" s="111"/>
      <c r="DI226" s="111"/>
      <c r="DJ226" s="111"/>
      <c r="DK226" s="111"/>
      <c r="DL226" s="111"/>
      <c r="DM226" s="111"/>
      <c r="DN226" s="111"/>
      <c r="DO226" s="111"/>
      <c r="DP226" s="111"/>
      <c r="DQ226" s="111"/>
      <c r="DR226" s="111"/>
      <c r="DS226" s="111"/>
      <c r="DT226" s="111"/>
      <c r="DU226" s="111"/>
      <c r="DV226" s="111"/>
      <c r="DW226" s="111"/>
      <c r="DX226" s="111"/>
    </row>
    <row r="227" spans="6:128" s="3" customFormat="1" ht="12.75" customHeight="1" x14ac:dyDescent="0.3">
      <c r="F227" s="66"/>
      <c r="G227" s="66"/>
      <c r="H227" s="111"/>
      <c r="I227" s="111"/>
      <c r="J227" s="111"/>
      <c r="K227" s="111"/>
      <c r="L227" s="111"/>
      <c r="M227" s="111"/>
      <c r="N227" s="111"/>
      <c r="O227" s="111"/>
      <c r="P227" s="111"/>
      <c r="Q227" s="111"/>
      <c r="R227" s="111"/>
      <c r="S227" s="111"/>
      <c r="T227" s="111"/>
      <c r="U227" s="111"/>
      <c r="V227" s="111"/>
      <c r="W227" s="111"/>
      <c r="X227" s="111"/>
      <c r="Y227" s="111"/>
      <c r="Z227" s="111"/>
      <c r="AA227" s="111"/>
      <c r="AB227" s="111"/>
      <c r="AC227" s="111"/>
      <c r="AD227" s="111"/>
      <c r="AE227" s="111"/>
      <c r="AF227" s="111"/>
      <c r="AG227" s="111"/>
      <c r="AH227" s="111"/>
      <c r="AI227" s="111"/>
      <c r="AJ227" s="111"/>
      <c r="AK227" s="111"/>
      <c r="AL227" s="111"/>
      <c r="AM227" s="111"/>
      <c r="AN227" s="111"/>
      <c r="AO227" s="111"/>
      <c r="AP227" s="111"/>
      <c r="AQ227" s="111"/>
      <c r="AR227" s="111"/>
      <c r="AS227" s="111"/>
      <c r="AT227" s="111"/>
      <c r="AU227" s="111"/>
      <c r="AV227" s="111"/>
      <c r="AW227" s="111"/>
      <c r="AX227" s="111"/>
      <c r="AY227" s="111"/>
      <c r="AZ227" s="111"/>
      <c r="BA227" s="111"/>
      <c r="BB227" s="111"/>
      <c r="BC227" s="111"/>
      <c r="BD227" s="111"/>
      <c r="BE227" s="111"/>
      <c r="BF227" s="111"/>
      <c r="BG227" s="111"/>
      <c r="BH227" s="111"/>
      <c r="BI227" s="111"/>
      <c r="BJ227" s="111"/>
      <c r="BK227" s="111"/>
      <c r="BL227" s="111"/>
      <c r="BM227" s="111"/>
      <c r="BN227" s="111"/>
      <c r="BO227" s="111"/>
      <c r="BP227" s="111"/>
      <c r="BQ227" s="111"/>
      <c r="BR227" s="111"/>
      <c r="BS227" s="111"/>
      <c r="BT227" s="111"/>
      <c r="BU227" s="111"/>
      <c r="BV227" s="111"/>
      <c r="BW227" s="111"/>
      <c r="BX227" s="111"/>
      <c r="BY227" s="111"/>
      <c r="BZ227" s="111"/>
      <c r="CA227" s="111"/>
      <c r="CB227" s="111"/>
      <c r="CC227" s="111"/>
      <c r="CD227" s="111"/>
      <c r="CE227" s="111"/>
      <c r="CF227" s="111"/>
      <c r="CG227" s="111"/>
      <c r="CH227" s="111"/>
      <c r="CI227" s="111"/>
      <c r="CJ227" s="111"/>
      <c r="CK227" s="111"/>
      <c r="CL227" s="111"/>
      <c r="CM227" s="111"/>
      <c r="CN227" s="111"/>
      <c r="CO227" s="111"/>
      <c r="CP227" s="111"/>
      <c r="CQ227" s="111"/>
      <c r="CR227" s="111"/>
      <c r="CS227" s="111"/>
      <c r="CT227" s="111"/>
      <c r="CU227" s="111"/>
      <c r="CV227" s="111"/>
      <c r="CW227" s="111"/>
      <c r="CX227" s="111"/>
      <c r="CY227" s="111"/>
      <c r="CZ227" s="111"/>
      <c r="DA227" s="111"/>
      <c r="DB227" s="111"/>
      <c r="DC227" s="111"/>
      <c r="DD227" s="111"/>
      <c r="DE227" s="111"/>
      <c r="DF227" s="111"/>
      <c r="DG227" s="111"/>
      <c r="DH227" s="111"/>
      <c r="DI227" s="111"/>
      <c r="DJ227" s="111"/>
      <c r="DK227" s="111"/>
      <c r="DL227" s="111"/>
      <c r="DM227" s="111"/>
      <c r="DN227" s="111"/>
      <c r="DO227" s="111"/>
      <c r="DP227" s="111"/>
      <c r="DQ227" s="111"/>
      <c r="DR227" s="111"/>
      <c r="DS227" s="111"/>
      <c r="DT227" s="111"/>
      <c r="DU227" s="111"/>
      <c r="DV227" s="111"/>
      <c r="DW227" s="111"/>
      <c r="DX227" s="111"/>
    </row>
  </sheetData>
  <conditionalFormatting sqref="H13:DX14">
    <cfRule type="cellIs" dxfId="42" priority="3" operator="greaterThan">
      <formula>0</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5" tint="0.39997558519241921"/>
  </sheetPr>
  <dimension ref="A1:DZ562"/>
  <sheetViews>
    <sheetView showGridLines="0" zoomScale="80" zoomScaleNormal="80" zoomScalePageLayoutView="85" workbookViewId="0">
      <pane xSplit="8" ySplit="14" topLeftCell="BO136" activePane="bottomRight" state="frozen"/>
      <selection pane="topRight" activeCell="I1" sqref="I1"/>
      <selection pane="bottomLeft" activeCell="A15" sqref="A15"/>
      <selection pane="bottomRight" activeCell="BN245" sqref="BN245:BY245"/>
    </sheetView>
  </sheetViews>
  <sheetFormatPr baseColWidth="10" defaultColWidth="0" defaultRowHeight="12.75" customHeight="1" outlineLevelRow="2" x14ac:dyDescent="0.3"/>
  <cols>
    <col min="1" max="1" width="4" style="3" bestFit="1" customWidth="1"/>
    <col min="2" max="2" width="56.33203125" style="16" customWidth="1"/>
    <col min="3" max="3" width="4.109375" style="16" customWidth="1"/>
    <col min="4" max="4" width="11" style="16" customWidth="1"/>
    <col min="5" max="6" width="11.77734375" style="16" customWidth="1"/>
    <col min="7" max="8" width="11.77734375" style="18" customWidth="1"/>
    <col min="9" max="129" width="11.6640625" style="19" customWidth="1"/>
    <col min="130" max="130" width="11.6640625" style="16" customWidth="1"/>
    <col min="131" max="16384" width="11.6640625" style="16" hidden="1"/>
  </cols>
  <sheetData>
    <row r="1" spans="1:129" ht="12.75" customHeight="1" x14ac:dyDescent="0.3">
      <c r="B1" s="17"/>
      <c r="C1" s="17"/>
    </row>
    <row r="2" spans="1:129" ht="33.9" customHeight="1" x14ac:dyDescent="0.3">
      <c r="A2" s="16"/>
      <c r="B2" s="344" t="str">
        <f>+'Project Layout'!$B$2</f>
        <v>Antonio Bellet</v>
      </c>
      <c r="C2" s="344"/>
      <c r="D2" s="20"/>
      <c r="E2" s="20"/>
      <c r="F2" s="20"/>
      <c r="G2" s="21"/>
      <c r="H2" s="21"/>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c r="CA2" s="22"/>
      <c r="CB2" s="22"/>
      <c r="CC2" s="22"/>
      <c r="CD2" s="22"/>
      <c r="CE2" s="22"/>
      <c r="CF2" s="22"/>
      <c r="CG2" s="22"/>
      <c r="CH2" s="22"/>
      <c r="CI2" s="22"/>
      <c r="CJ2" s="22"/>
      <c r="CK2" s="22"/>
      <c r="CL2" s="22"/>
      <c r="CM2" s="22"/>
      <c r="CN2" s="22"/>
      <c r="CO2" s="22"/>
      <c r="CP2" s="22"/>
      <c r="CQ2" s="22"/>
      <c r="CR2" s="22"/>
      <c r="CS2" s="22"/>
      <c r="CT2" s="22"/>
      <c r="CU2" s="22"/>
      <c r="CV2" s="22"/>
      <c r="CW2" s="22"/>
      <c r="CX2" s="22"/>
      <c r="CY2" s="22"/>
      <c r="CZ2" s="22"/>
      <c r="DA2" s="22"/>
      <c r="DB2" s="22"/>
      <c r="DC2" s="22"/>
      <c r="DD2" s="22"/>
      <c r="DE2" s="22"/>
      <c r="DF2" s="22"/>
      <c r="DG2" s="22"/>
      <c r="DH2" s="22"/>
      <c r="DI2" s="22"/>
      <c r="DJ2" s="22"/>
      <c r="DK2" s="22"/>
      <c r="DL2" s="22"/>
      <c r="DM2" s="22"/>
      <c r="DN2" s="22"/>
      <c r="DO2" s="22"/>
      <c r="DP2" s="22"/>
      <c r="DQ2" s="22"/>
      <c r="DR2" s="22"/>
      <c r="DS2" s="22"/>
      <c r="DT2" s="22"/>
      <c r="DU2" s="22"/>
      <c r="DV2" s="22"/>
      <c r="DW2" s="22"/>
      <c r="DX2" s="22"/>
      <c r="DY2" s="22"/>
    </row>
    <row r="3" spans="1:129" ht="23.1" customHeight="1" x14ac:dyDescent="0.3">
      <c r="A3" s="16"/>
      <c r="B3" s="345" t="s">
        <v>150</v>
      </c>
      <c r="C3" s="345"/>
      <c r="D3" s="20"/>
      <c r="E3" s="20"/>
      <c r="F3" s="20"/>
      <c r="G3" s="21"/>
      <c r="H3" s="21"/>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row>
    <row r="4" spans="1:129" s="27" customFormat="1" ht="5.25" customHeight="1" x14ac:dyDescent="0.3">
      <c r="A4" s="23"/>
      <c r="B4" s="24"/>
      <c r="C4" s="24"/>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c r="BH4" s="25"/>
      <c r="BI4" s="25"/>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c r="DY4" s="26"/>
    </row>
    <row r="5" spans="1:129" ht="12.75" customHeight="1" x14ac:dyDescent="0.3">
      <c r="B5" s="17"/>
      <c r="C5" s="17"/>
      <c r="BG5" s="844"/>
    </row>
    <row r="6" spans="1:129" s="3" customFormat="1" ht="12.75" customHeight="1" x14ac:dyDescent="0.3">
      <c r="B6" s="673" t="s">
        <v>443</v>
      </c>
      <c r="C6" s="673"/>
      <c r="D6" s="191"/>
      <c r="E6" s="191"/>
      <c r="F6" s="191"/>
      <c r="G6" s="205"/>
      <c r="H6" s="205"/>
      <c r="I6" s="714">
        <f>+DATE(YEAR(I7),MONTH(I7),1)</f>
        <v>42979</v>
      </c>
      <c r="J6" s="714">
        <f>+I7+1</f>
        <v>43009</v>
      </c>
      <c r="K6" s="714">
        <f t="shared" ref="K6:BV6" si="0">+J7+1</f>
        <v>43040</v>
      </c>
      <c r="L6" s="714">
        <f t="shared" si="0"/>
        <v>43070</v>
      </c>
      <c r="M6" s="714">
        <f t="shared" si="0"/>
        <v>43101</v>
      </c>
      <c r="N6" s="714">
        <f t="shared" si="0"/>
        <v>43132</v>
      </c>
      <c r="O6" s="714">
        <f t="shared" si="0"/>
        <v>43160</v>
      </c>
      <c r="P6" s="714">
        <f t="shared" si="0"/>
        <v>43191</v>
      </c>
      <c r="Q6" s="714">
        <f t="shared" si="0"/>
        <v>43221</v>
      </c>
      <c r="R6" s="714">
        <f t="shared" si="0"/>
        <v>43252</v>
      </c>
      <c r="S6" s="714">
        <f t="shared" si="0"/>
        <v>43282</v>
      </c>
      <c r="T6" s="714">
        <f t="shared" si="0"/>
        <v>43313</v>
      </c>
      <c r="U6" s="714">
        <f t="shared" si="0"/>
        <v>43344</v>
      </c>
      <c r="V6" s="714">
        <f t="shared" si="0"/>
        <v>43374</v>
      </c>
      <c r="W6" s="714">
        <f t="shared" si="0"/>
        <v>43405</v>
      </c>
      <c r="X6" s="714">
        <f t="shared" si="0"/>
        <v>43435</v>
      </c>
      <c r="Y6" s="714">
        <f t="shared" si="0"/>
        <v>43466</v>
      </c>
      <c r="Z6" s="714">
        <f t="shared" si="0"/>
        <v>43497</v>
      </c>
      <c r="AA6" s="714">
        <f t="shared" si="0"/>
        <v>43525</v>
      </c>
      <c r="AB6" s="714">
        <f t="shared" si="0"/>
        <v>43556</v>
      </c>
      <c r="AC6" s="714">
        <f t="shared" si="0"/>
        <v>43586</v>
      </c>
      <c r="AD6" s="714">
        <f t="shared" si="0"/>
        <v>43617</v>
      </c>
      <c r="AE6" s="714">
        <f t="shared" si="0"/>
        <v>43647</v>
      </c>
      <c r="AF6" s="714">
        <f t="shared" si="0"/>
        <v>43678</v>
      </c>
      <c r="AG6" s="714">
        <f t="shared" si="0"/>
        <v>43709</v>
      </c>
      <c r="AH6" s="714">
        <f t="shared" si="0"/>
        <v>43739</v>
      </c>
      <c r="AI6" s="714">
        <f t="shared" si="0"/>
        <v>43770</v>
      </c>
      <c r="AJ6" s="714">
        <f t="shared" si="0"/>
        <v>43800</v>
      </c>
      <c r="AK6" s="714">
        <f t="shared" si="0"/>
        <v>43831</v>
      </c>
      <c r="AL6" s="714">
        <f t="shared" si="0"/>
        <v>43862</v>
      </c>
      <c r="AM6" s="714">
        <f t="shared" si="0"/>
        <v>43891</v>
      </c>
      <c r="AN6" s="714">
        <f t="shared" si="0"/>
        <v>43922</v>
      </c>
      <c r="AO6" s="714">
        <f t="shared" si="0"/>
        <v>43952</v>
      </c>
      <c r="AP6" s="714">
        <f t="shared" si="0"/>
        <v>43983</v>
      </c>
      <c r="AQ6" s="714">
        <f t="shared" si="0"/>
        <v>44013</v>
      </c>
      <c r="AR6" s="714">
        <f t="shared" si="0"/>
        <v>44044</v>
      </c>
      <c r="AS6" s="714">
        <f t="shared" si="0"/>
        <v>44075</v>
      </c>
      <c r="AT6" s="714">
        <f t="shared" si="0"/>
        <v>44105</v>
      </c>
      <c r="AU6" s="714">
        <f t="shared" si="0"/>
        <v>44136</v>
      </c>
      <c r="AV6" s="714">
        <f t="shared" si="0"/>
        <v>44166</v>
      </c>
      <c r="AW6" s="714">
        <f t="shared" si="0"/>
        <v>44197</v>
      </c>
      <c r="AX6" s="714">
        <f t="shared" si="0"/>
        <v>44228</v>
      </c>
      <c r="AY6" s="714">
        <f t="shared" si="0"/>
        <v>44256</v>
      </c>
      <c r="AZ6" s="714">
        <f t="shared" si="0"/>
        <v>44287</v>
      </c>
      <c r="BA6" s="714">
        <f t="shared" si="0"/>
        <v>44317</v>
      </c>
      <c r="BB6" s="714">
        <f t="shared" si="0"/>
        <v>44348</v>
      </c>
      <c r="BC6" s="714">
        <f t="shared" si="0"/>
        <v>44378</v>
      </c>
      <c r="BD6" s="714">
        <f t="shared" si="0"/>
        <v>44409</v>
      </c>
      <c r="BE6" s="714">
        <f t="shared" si="0"/>
        <v>44440</v>
      </c>
      <c r="BF6" s="714">
        <f t="shared" si="0"/>
        <v>44470</v>
      </c>
      <c r="BG6" s="714">
        <f t="shared" si="0"/>
        <v>44501</v>
      </c>
      <c r="BH6" s="714">
        <f t="shared" si="0"/>
        <v>44531</v>
      </c>
      <c r="BI6" s="714">
        <f t="shared" si="0"/>
        <v>44562</v>
      </c>
      <c r="BJ6" s="714">
        <f t="shared" si="0"/>
        <v>44593</v>
      </c>
      <c r="BK6" s="714">
        <f t="shared" si="0"/>
        <v>44621</v>
      </c>
      <c r="BL6" s="714">
        <f t="shared" si="0"/>
        <v>44652</v>
      </c>
      <c r="BM6" s="714">
        <f t="shared" si="0"/>
        <v>44682</v>
      </c>
      <c r="BN6" s="714">
        <f t="shared" si="0"/>
        <v>44713</v>
      </c>
      <c r="BO6" s="714">
        <f t="shared" si="0"/>
        <v>44743</v>
      </c>
      <c r="BP6" s="714">
        <f t="shared" si="0"/>
        <v>44774</v>
      </c>
      <c r="BQ6" s="714">
        <f t="shared" si="0"/>
        <v>44805</v>
      </c>
      <c r="BR6" s="714">
        <f t="shared" si="0"/>
        <v>44835</v>
      </c>
      <c r="BS6" s="714">
        <f t="shared" si="0"/>
        <v>44866</v>
      </c>
      <c r="BT6" s="714">
        <f t="shared" si="0"/>
        <v>44896</v>
      </c>
      <c r="BU6" s="714">
        <f t="shared" si="0"/>
        <v>44927</v>
      </c>
      <c r="BV6" s="714">
        <f t="shared" si="0"/>
        <v>44958</v>
      </c>
      <c r="BW6" s="714">
        <f t="shared" ref="BW6:DW6" si="1">+BV7+1</f>
        <v>44986</v>
      </c>
      <c r="BX6" s="714">
        <f t="shared" si="1"/>
        <v>45017</v>
      </c>
      <c r="BY6" s="714">
        <f t="shared" si="1"/>
        <v>45047</v>
      </c>
      <c r="BZ6" s="714">
        <f t="shared" si="1"/>
        <v>45078</v>
      </c>
      <c r="CA6" s="714">
        <f t="shared" si="1"/>
        <v>45108</v>
      </c>
      <c r="CB6" s="714">
        <f t="shared" si="1"/>
        <v>45139</v>
      </c>
      <c r="CC6" s="714">
        <f t="shared" si="1"/>
        <v>45170</v>
      </c>
      <c r="CD6" s="714">
        <f t="shared" si="1"/>
        <v>45200</v>
      </c>
      <c r="CE6" s="714">
        <f t="shared" si="1"/>
        <v>45231</v>
      </c>
      <c r="CF6" s="714">
        <f t="shared" si="1"/>
        <v>45261</v>
      </c>
      <c r="CG6" s="714">
        <f t="shared" si="1"/>
        <v>45292</v>
      </c>
      <c r="CH6" s="714">
        <f t="shared" si="1"/>
        <v>45323</v>
      </c>
      <c r="CI6" s="714">
        <f t="shared" si="1"/>
        <v>45352</v>
      </c>
      <c r="CJ6" s="714">
        <f t="shared" si="1"/>
        <v>45383</v>
      </c>
      <c r="CK6" s="714">
        <f t="shared" si="1"/>
        <v>45413</v>
      </c>
      <c r="CL6" s="714">
        <f t="shared" si="1"/>
        <v>45444</v>
      </c>
      <c r="CM6" s="714">
        <f t="shared" si="1"/>
        <v>45474</v>
      </c>
      <c r="CN6" s="714">
        <f t="shared" si="1"/>
        <v>45505</v>
      </c>
      <c r="CO6" s="714">
        <f t="shared" si="1"/>
        <v>45536</v>
      </c>
      <c r="CP6" s="714">
        <f t="shared" si="1"/>
        <v>45566</v>
      </c>
      <c r="CQ6" s="714">
        <f t="shared" si="1"/>
        <v>45597</v>
      </c>
      <c r="CR6" s="714">
        <f t="shared" si="1"/>
        <v>45627</v>
      </c>
      <c r="CS6" s="714">
        <f t="shared" si="1"/>
        <v>45658</v>
      </c>
      <c r="CT6" s="714">
        <f t="shared" si="1"/>
        <v>45689</v>
      </c>
      <c r="CU6" s="714">
        <f t="shared" si="1"/>
        <v>45717</v>
      </c>
      <c r="CV6" s="714">
        <f t="shared" si="1"/>
        <v>45748</v>
      </c>
      <c r="CW6" s="714">
        <f t="shared" si="1"/>
        <v>45778</v>
      </c>
      <c r="CX6" s="714">
        <f t="shared" si="1"/>
        <v>45809</v>
      </c>
      <c r="CY6" s="714">
        <f t="shared" si="1"/>
        <v>45839</v>
      </c>
      <c r="CZ6" s="714">
        <f t="shared" si="1"/>
        <v>45870</v>
      </c>
      <c r="DA6" s="714">
        <f t="shared" si="1"/>
        <v>45901</v>
      </c>
      <c r="DB6" s="714">
        <f t="shared" si="1"/>
        <v>45931</v>
      </c>
      <c r="DC6" s="714">
        <f t="shared" si="1"/>
        <v>45962</v>
      </c>
      <c r="DD6" s="714">
        <f t="shared" si="1"/>
        <v>45992</v>
      </c>
      <c r="DE6" s="714">
        <f t="shared" si="1"/>
        <v>46023</v>
      </c>
      <c r="DF6" s="714">
        <f t="shared" si="1"/>
        <v>46054</v>
      </c>
      <c r="DG6" s="714">
        <f t="shared" si="1"/>
        <v>46082</v>
      </c>
      <c r="DH6" s="714">
        <f t="shared" si="1"/>
        <v>46113</v>
      </c>
      <c r="DI6" s="714">
        <f t="shared" si="1"/>
        <v>46143</v>
      </c>
      <c r="DJ6" s="714">
        <f t="shared" si="1"/>
        <v>46174</v>
      </c>
      <c r="DK6" s="714">
        <f t="shared" si="1"/>
        <v>46204</v>
      </c>
      <c r="DL6" s="714">
        <f t="shared" si="1"/>
        <v>46235</v>
      </c>
      <c r="DM6" s="714">
        <f t="shared" si="1"/>
        <v>46266</v>
      </c>
      <c r="DN6" s="714">
        <f t="shared" si="1"/>
        <v>46296</v>
      </c>
      <c r="DO6" s="714">
        <f t="shared" si="1"/>
        <v>46327</v>
      </c>
      <c r="DP6" s="714">
        <f t="shared" si="1"/>
        <v>46357</v>
      </c>
      <c r="DQ6" s="714">
        <f t="shared" si="1"/>
        <v>46388</v>
      </c>
      <c r="DR6" s="714">
        <f t="shared" si="1"/>
        <v>46419</v>
      </c>
      <c r="DS6" s="714">
        <f t="shared" si="1"/>
        <v>46447</v>
      </c>
      <c r="DT6" s="714">
        <f t="shared" si="1"/>
        <v>46478</v>
      </c>
      <c r="DU6" s="714">
        <f t="shared" si="1"/>
        <v>46508</v>
      </c>
      <c r="DV6" s="714">
        <f t="shared" si="1"/>
        <v>46539</v>
      </c>
      <c r="DW6" s="714">
        <f t="shared" si="1"/>
        <v>46569</v>
      </c>
      <c r="DX6" s="714">
        <f t="shared" ref="DX6" si="2">+DW7+1</f>
        <v>46600</v>
      </c>
      <c r="DY6" s="714">
        <f t="shared" ref="DY6" si="3">+DX7+1</f>
        <v>46631</v>
      </c>
    </row>
    <row r="7" spans="1:129" s="3" customFormat="1" ht="12.75" customHeight="1" x14ac:dyDescent="0.3">
      <c r="B7" s="674">
        <f ca="1">+Inputs!K11</f>
        <v>8.3803448081016557E-2</v>
      </c>
      <c r="C7" s="674"/>
      <c r="D7" s="191"/>
      <c r="E7" s="191"/>
      <c r="F7" s="191"/>
      <c r="G7" s="205"/>
      <c r="H7" s="205"/>
      <c r="I7" s="715">
        <f>+Inputs!$L$73</f>
        <v>43008</v>
      </c>
      <c r="J7" s="714">
        <f t="shared" ref="J7:BU7" si="4">+EOMONTH(I7,1)</f>
        <v>43039</v>
      </c>
      <c r="K7" s="714">
        <f t="shared" si="4"/>
        <v>43069</v>
      </c>
      <c r="L7" s="714">
        <f t="shared" si="4"/>
        <v>43100</v>
      </c>
      <c r="M7" s="714">
        <f t="shared" si="4"/>
        <v>43131</v>
      </c>
      <c r="N7" s="714">
        <f t="shared" si="4"/>
        <v>43159</v>
      </c>
      <c r="O7" s="714">
        <f t="shared" si="4"/>
        <v>43190</v>
      </c>
      <c r="P7" s="714">
        <f t="shared" si="4"/>
        <v>43220</v>
      </c>
      <c r="Q7" s="714">
        <f t="shared" si="4"/>
        <v>43251</v>
      </c>
      <c r="R7" s="714">
        <f t="shared" si="4"/>
        <v>43281</v>
      </c>
      <c r="S7" s="714">
        <f t="shared" si="4"/>
        <v>43312</v>
      </c>
      <c r="T7" s="714">
        <f t="shared" si="4"/>
        <v>43343</v>
      </c>
      <c r="U7" s="714">
        <f t="shared" si="4"/>
        <v>43373</v>
      </c>
      <c r="V7" s="714">
        <f t="shared" si="4"/>
        <v>43404</v>
      </c>
      <c r="W7" s="714">
        <f t="shared" si="4"/>
        <v>43434</v>
      </c>
      <c r="X7" s="714">
        <f t="shared" si="4"/>
        <v>43465</v>
      </c>
      <c r="Y7" s="714">
        <f t="shared" si="4"/>
        <v>43496</v>
      </c>
      <c r="Z7" s="714">
        <f t="shared" si="4"/>
        <v>43524</v>
      </c>
      <c r="AA7" s="714">
        <f t="shared" si="4"/>
        <v>43555</v>
      </c>
      <c r="AB7" s="714">
        <f t="shared" si="4"/>
        <v>43585</v>
      </c>
      <c r="AC7" s="714">
        <f t="shared" si="4"/>
        <v>43616</v>
      </c>
      <c r="AD7" s="714">
        <f t="shared" si="4"/>
        <v>43646</v>
      </c>
      <c r="AE7" s="714">
        <f t="shared" si="4"/>
        <v>43677</v>
      </c>
      <c r="AF7" s="714">
        <f t="shared" si="4"/>
        <v>43708</v>
      </c>
      <c r="AG7" s="714">
        <f t="shared" si="4"/>
        <v>43738</v>
      </c>
      <c r="AH7" s="714">
        <f t="shared" si="4"/>
        <v>43769</v>
      </c>
      <c r="AI7" s="714">
        <f t="shared" si="4"/>
        <v>43799</v>
      </c>
      <c r="AJ7" s="714">
        <f t="shared" si="4"/>
        <v>43830</v>
      </c>
      <c r="AK7" s="714">
        <f t="shared" si="4"/>
        <v>43861</v>
      </c>
      <c r="AL7" s="714">
        <f t="shared" si="4"/>
        <v>43890</v>
      </c>
      <c r="AM7" s="714">
        <f t="shared" si="4"/>
        <v>43921</v>
      </c>
      <c r="AN7" s="714">
        <f t="shared" si="4"/>
        <v>43951</v>
      </c>
      <c r="AO7" s="714">
        <f t="shared" si="4"/>
        <v>43982</v>
      </c>
      <c r="AP7" s="714">
        <f t="shared" si="4"/>
        <v>44012</v>
      </c>
      <c r="AQ7" s="714">
        <f t="shared" si="4"/>
        <v>44043</v>
      </c>
      <c r="AR7" s="714">
        <f t="shared" si="4"/>
        <v>44074</v>
      </c>
      <c r="AS7" s="714">
        <f t="shared" si="4"/>
        <v>44104</v>
      </c>
      <c r="AT7" s="714">
        <f t="shared" si="4"/>
        <v>44135</v>
      </c>
      <c r="AU7" s="714">
        <f t="shared" si="4"/>
        <v>44165</v>
      </c>
      <c r="AV7" s="714">
        <f t="shared" si="4"/>
        <v>44196</v>
      </c>
      <c r="AW7" s="714">
        <f t="shared" si="4"/>
        <v>44227</v>
      </c>
      <c r="AX7" s="714">
        <f t="shared" si="4"/>
        <v>44255</v>
      </c>
      <c r="AY7" s="714">
        <f t="shared" si="4"/>
        <v>44286</v>
      </c>
      <c r="AZ7" s="714">
        <f t="shared" si="4"/>
        <v>44316</v>
      </c>
      <c r="BA7" s="714">
        <f t="shared" si="4"/>
        <v>44347</v>
      </c>
      <c r="BB7" s="714">
        <f t="shared" si="4"/>
        <v>44377</v>
      </c>
      <c r="BC7" s="714">
        <f t="shared" si="4"/>
        <v>44408</v>
      </c>
      <c r="BD7" s="714">
        <f t="shared" si="4"/>
        <v>44439</v>
      </c>
      <c r="BE7" s="714">
        <f t="shared" si="4"/>
        <v>44469</v>
      </c>
      <c r="BF7" s="714">
        <f t="shared" si="4"/>
        <v>44500</v>
      </c>
      <c r="BG7" s="714">
        <f t="shared" si="4"/>
        <v>44530</v>
      </c>
      <c r="BH7" s="714">
        <f t="shared" si="4"/>
        <v>44561</v>
      </c>
      <c r="BI7" s="714">
        <f t="shared" si="4"/>
        <v>44592</v>
      </c>
      <c r="BJ7" s="714">
        <f t="shared" si="4"/>
        <v>44620</v>
      </c>
      <c r="BK7" s="714">
        <f t="shared" si="4"/>
        <v>44651</v>
      </c>
      <c r="BL7" s="714">
        <f t="shared" si="4"/>
        <v>44681</v>
      </c>
      <c r="BM7" s="714">
        <f t="shared" si="4"/>
        <v>44712</v>
      </c>
      <c r="BN7" s="714">
        <f t="shared" si="4"/>
        <v>44742</v>
      </c>
      <c r="BO7" s="714">
        <f t="shared" si="4"/>
        <v>44773</v>
      </c>
      <c r="BP7" s="714">
        <f t="shared" si="4"/>
        <v>44804</v>
      </c>
      <c r="BQ7" s="714">
        <f t="shared" si="4"/>
        <v>44834</v>
      </c>
      <c r="BR7" s="714">
        <f t="shared" si="4"/>
        <v>44865</v>
      </c>
      <c r="BS7" s="714">
        <f t="shared" si="4"/>
        <v>44895</v>
      </c>
      <c r="BT7" s="714">
        <f t="shared" si="4"/>
        <v>44926</v>
      </c>
      <c r="BU7" s="714">
        <f t="shared" si="4"/>
        <v>44957</v>
      </c>
      <c r="BV7" s="714">
        <f t="shared" ref="BV7:DW7" si="5">+EOMONTH(BU7,1)</f>
        <v>44985</v>
      </c>
      <c r="BW7" s="714">
        <f t="shared" si="5"/>
        <v>45016</v>
      </c>
      <c r="BX7" s="714">
        <f t="shared" si="5"/>
        <v>45046</v>
      </c>
      <c r="BY7" s="714">
        <f t="shared" si="5"/>
        <v>45077</v>
      </c>
      <c r="BZ7" s="714">
        <f t="shared" si="5"/>
        <v>45107</v>
      </c>
      <c r="CA7" s="714">
        <f t="shared" si="5"/>
        <v>45138</v>
      </c>
      <c r="CB7" s="714">
        <f t="shared" si="5"/>
        <v>45169</v>
      </c>
      <c r="CC7" s="714">
        <f t="shared" si="5"/>
        <v>45199</v>
      </c>
      <c r="CD7" s="714">
        <f t="shared" si="5"/>
        <v>45230</v>
      </c>
      <c r="CE7" s="714">
        <f t="shared" si="5"/>
        <v>45260</v>
      </c>
      <c r="CF7" s="714">
        <f t="shared" si="5"/>
        <v>45291</v>
      </c>
      <c r="CG7" s="714">
        <f t="shared" si="5"/>
        <v>45322</v>
      </c>
      <c r="CH7" s="714">
        <f t="shared" si="5"/>
        <v>45351</v>
      </c>
      <c r="CI7" s="714">
        <f t="shared" si="5"/>
        <v>45382</v>
      </c>
      <c r="CJ7" s="714">
        <f t="shared" si="5"/>
        <v>45412</v>
      </c>
      <c r="CK7" s="714">
        <f t="shared" si="5"/>
        <v>45443</v>
      </c>
      <c r="CL7" s="714">
        <f t="shared" si="5"/>
        <v>45473</v>
      </c>
      <c r="CM7" s="714">
        <f t="shared" si="5"/>
        <v>45504</v>
      </c>
      <c r="CN7" s="714">
        <f t="shared" si="5"/>
        <v>45535</v>
      </c>
      <c r="CO7" s="714">
        <f t="shared" si="5"/>
        <v>45565</v>
      </c>
      <c r="CP7" s="714">
        <f t="shared" si="5"/>
        <v>45596</v>
      </c>
      <c r="CQ7" s="714">
        <f t="shared" si="5"/>
        <v>45626</v>
      </c>
      <c r="CR7" s="714">
        <f t="shared" si="5"/>
        <v>45657</v>
      </c>
      <c r="CS7" s="714">
        <f t="shared" si="5"/>
        <v>45688</v>
      </c>
      <c r="CT7" s="714">
        <f t="shared" si="5"/>
        <v>45716</v>
      </c>
      <c r="CU7" s="714">
        <f t="shared" si="5"/>
        <v>45747</v>
      </c>
      <c r="CV7" s="714">
        <f t="shared" si="5"/>
        <v>45777</v>
      </c>
      <c r="CW7" s="714">
        <f t="shared" si="5"/>
        <v>45808</v>
      </c>
      <c r="CX7" s="714">
        <f t="shared" si="5"/>
        <v>45838</v>
      </c>
      <c r="CY7" s="714">
        <f t="shared" si="5"/>
        <v>45869</v>
      </c>
      <c r="CZ7" s="714">
        <f t="shared" si="5"/>
        <v>45900</v>
      </c>
      <c r="DA7" s="714">
        <f t="shared" si="5"/>
        <v>45930</v>
      </c>
      <c r="DB7" s="714">
        <f t="shared" si="5"/>
        <v>45961</v>
      </c>
      <c r="DC7" s="714">
        <f t="shared" si="5"/>
        <v>45991</v>
      </c>
      <c r="DD7" s="714">
        <f t="shared" si="5"/>
        <v>46022</v>
      </c>
      <c r="DE7" s="714">
        <f t="shared" si="5"/>
        <v>46053</v>
      </c>
      <c r="DF7" s="714">
        <f t="shared" si="5"/>
        <v>46081</v>
      </c>
      <c r="DG7" s="714">
        <f t="shared" si="5"/>
        <v>46112</v>
      </c>
      <c r="DH7" s="714">
        <f t="shared" si="5"/>
        <v>46142</v>
      </c>
      <c r="DI7" s="714">
        <f t="shared" si="5"/>
        <v>46173</v>
      </c>
      <c r="DJ7" s="714">
        <f t="shared" si="5"/>
        <v>46203</v>
      </c>
      <c r="DK7" s="714">
        <f t="shared" si="5"/>
        <v>46234</v>
      </c>
      <c r="DL7" s="714">
        <f t="shared" si="5"/>
        <v>46265</v>
      </c>
      <c r="DM7" s="714">
        <f t="shared" si="5"/>
        <v>46295</v>
      </c>
      <c r="DN7" s="714">
        <f t="shared" si="5"/>
        <v>46326</v>
      </c>
      <c r="DO7" s="714">
        <f t="shared" si="5"/>
        <v>46356</v>
      </c>
      <c r="DP7" s="714">
        <f t="shared" si="5"/>
        <v>46387</v>
      </c>
      <c r="DQ7" s="714">
        <f t="shared" si="5"/>
        <v>46418</v>
      </c>
      <c r="DR7" s="714">
        <f t="shared" si="5"/>
        <v>46446</v>
      </c>
      <c r="DS7" s="714">
        <f t="shared" si="5"/>
        <v>46477</v>
      </c>
      <c r="DT7" s="714">
        <f t="shared" si="5"/>
        <v>46507</v>
      </c>
      <c r="DU7" s="714">
        <f t="shared" si="5"/>
        <v>46538</v>
      </c>
      <c r="DV7" s="714">
        <f t="shared" si="5"/>
        <v>46568</v>
      </c>
      <c r="DW7" s="714">
        <f t="shared" si="5"/>
        <v>46599</v>
      </c>
      <c r="DX7" s="714">
        <f t="shared" ref="DX7" si="6">+EOMONTH(DW7,1)</f>
        <v>46630</v>
      </c>
      <c r="DY7" s="714">
        <f t="shared" ref="DY7" si="7">+EOMONTH(DX7,1)</f>
        <v>46660</v>
      </c>
    </row>
    <row r="8" spans="1:129" s="3" customFormat="1" ht="12.75" customHeight="1" x14ac:dyDescent="0.3">
      <c r="B8" s="674">
        <f ca="1">+Inputs!$L$11</f>
        <v>0.12530249953269956</v>
      </c>
      <c r="C8" s="674"/>
      <c r="D8" s="191"/>
      <c r="E8" s="191"/>
      <c r="F8" s="191"/>
      <c r="G8" s="205"/>
      <c r="H8" s="205"/>
      <c r="I8" s="716">
        <f>+YEAR(I7)</f>
        <v>2017</v>
      </c>
      <c r="J8" s="716">
        <f t="shared" ref="J8:BU8" si="8">+YEAR(J7)</f>
        <v>2017</v>
      </c>
      <c r="K8" s="716">
        <f t="shared" si="8"/>
        <v>2017</v>
      </c>
      <c r="L8" s="716">
        <f t="shared" si="8"/>
        <v>2017</v>
      </c>
      <c r="M8" s="716">
        <f t="shared" si="8"/>
        <v>2018</v>
      </c>
      <c r="N8" s="716">
        <f t="shared" si="8"/>
        <v>2018</v>
      </c>
      <c r="O8" s="716">
        <f t="shared" si="8"/>
        <v>2018</v>
      </c>
      <c r="P8" s="716">
        <f t="shared" si="8"/>
        <v>2018</v>
      </c>
      <c r="Q8" s="716">
        <f t="shared" si="8"/>
        <v>2018</v>
      </c>
      <c r="R8" s="716">
        <f t="shared" si="8"/>
        <v>2018</v>
      </c>
      <c r="S8" s="716">
        <f t="shared" si="8"/>
        <v>2018</v>
      </c>
      <c r="T8" s="716">
        <f t="shared" si="8"/>
        <v>2018</v>
      </c>
      <c r="U8" s="716">
        <f t="shared" si="8"/>
        <v>2018</v>
      </c>
      <c r="V8" s="716">
        <f t="shared" si="8"/>
        <v>2018</v>
      </c>
      <c r="W8" s="716">
        <f t="shared" si="8"/>
        <v>2018</v>
      </c>
      <c r="X8" s="716">
        <f t="shared" si="8"/>
        <v>2018</v>
      </c>
      <c r="Y8" s="716">
        <f t="shared" si="8"/>
        <v>2019</v>
      </c>
      <c r="Z8" s="716">
        <f t="shared" si="8"/>
        <v>2019</v>
      </c>
      <c r="AA8" s="716">
        <f t="shared" si="8"/>
        <v>2019</v>
      </c>
      <c r="AB8" s="716">
        <f t="shared" si="8"/>
        <v>2019</v>
      </c>
      <c r="AC8" s="716">
        <f t="shared" si="8"/>
        <v>2019</v>
      </c>
      <c r="AD8" s="716">
        <f t="shared" si="8"/>
        <v>2019</v>
      </c>
      <c r="AE8" s="716">
        <f t="shared" si="8"/>
        <v>2019</v>
      </c>
      <c r="AF8" s="716">
        <f t="shared" si="8"/>
        <v>2019</v>
      </c>
      <c r="AG8" s="716">
        <f t="shared" si="8"/>
        <v>2019</v>
      </c>
      <c r="AH8" s="716">
        <f t="shared" si="8"/>
        <v>2019</v>
      </c>
      <c r="AI8" s="716">
        <f t="shared" si="8"/>
        <v>2019</v>
      </c>
      <c r="AJ8" s="716">
        <f t="shared" si="8"/>
        <v>2019</v>
      </c>
      <c r="AK8" s="716">
        <f t="shared" si="8"/>
        <v>2020</v>
      </c>
      <c r="AL8" s="716">
        <f t="shared" si="8"/>
        <v>2020</v>
      </c>
      <c r="AM8" s="716">
        <f t="shared" si="8"/>
        <v>2020</v>
      </c>
      <c r="AN8" s="716">
        <f t="shared" si="8"/>
        <v>2020</v>
      </c>
      <c r="AO8" s="716">
        <f t="shared" si="8"/>
        <v>2020</v>
      </c>
      <c r="AP8" s="716">
        <f t="shared" si="8"/>
        <v>2020</v>
      </c>
      <c r="AQ8" s="716">
        <f t="shared" si="8"/>
        <v>2020</v>
      </c>
      <c r="AR8" s="716">
        <f t="shared" si="8"/>
        <v>2020</v>
      </c>
      <c r="AS8" s="716">
        <f t="shared" si="8"/>
        <v>2020</v>
      </c>
      <c r="AT8" s="716">
        <f t="shared" si="8"/>
        <v>2020</v>
      </c>
      <c r="AU8" s="716">
        <f t="shared" si="8"/>
        <v>2020</v>
      </c>
      <c r="AV8" s="716">
        <f t="shared" si="8"/>
        <v>2020</v>
      </c>
      <c r="AW8" s="716">
        <f t="shared" si="8"/>
        <v>2021</v>
      </c>
      <c r="AX8" s="716">
        <f t="shared" si="8"/>
        <v>2021</v>
      </c>
      <c r="AY8" s="716">
        <f t="shared" si="8"/>
        <v>2021</v>
      </c>
      <c r="AZ8" s="716">
        <f t="shared" si="8"/>
        <v>2021</v>
      </c>
      <c r="BA8" s="716">
        <f t="shared" si="8"/>
        <v>2021</v>
      </c>
      <c r="BB8" s="716">
        <f t="shared" si="8"/>
        <v>2021</v>
      </c>
      <c r="BC8" s="716">
        <f t="shared" si="8"/>
        <v>2021</v>
      </c>
      <c r="BD8" s="716">
        <f t="shared" si="8"/>
        <v>2021</v>
      </c>
      <c r="BE8" s="716">
        <f t="shared" si="8"/>
        <v>2021</v>
      </c>
      <c r="BF8" s="716">
        <f t="shared" si="8"/>
        <v>2021</v>
      </c>
      <c r="BG8" s="716">
        <f t="shared" si="8"/>
        <v>2021</v>
      </c>
      <c r="BH8" s="716">
        <f t="shared" si="8"/>
        <v>2021</v>
      </c>
      <c r="BI8" s="716">
        <f t="shared" si="8"/>
        <v>2022</v>
      </c>
      <c r="BJ8" s="716">
        <f t="shared" si="8"/>
        <v>2022</v>
      </c>
      <c r="BK8" s="716">
        <f t="shared" si="8"/>
        <v>2022</v>
      </c>
      <c r="BL8" s="716">
        <f t="shared" si="8"/>
        <v>2022</v>
      </c>
      <c r="BM8" s="716">
        <f t="shared" si="8"/>
        <v>2022</v>
      </c>
      <c r="BN8" s="716">
        <f t="shared" si="8"/>
        <v>2022</v>
      </c>
      <c r="BO8" s="716">
        <f t="shared" si="8"/>
        <v>2022</v>
      </c>
      <c r="BP8" s="716">
        <f t="shared" si="8"/>
        <v>2022</v>
      </c>
      <c r="BQ8" s="716">
        <f t="shared" si="8"/>
        <v>2022</v>
      </c>
      <c r="BR8" s="716">
        <f t="shared" si="8"/>
        <v>2022</v>
      </c>
      <c r="BS8" s="716">
        <f t="shared" si="8"/>
        <v>2022</v>
      </c>
      <c r="BT8" s="716">
        <f t="shared" si="8"/>
        <v>2022</v>
      </c>
      <c r="BU8" s="716">
        <f t="shared" si="8"/>
        <v>2023</v>
      </c>
      <c r="BV8" s="716">
        <f t="shared" ref="BV8:DW8" si="9">+YEAR(BV7)</f>
        <v>2023</v>
      </c>
      <c r="BW8" s="716">
        <f t="shared" si="9"/>
        <v>2023</v>
      </c>
      <c r="BX8" s="716">
        <f t="shared" si="9"/>
        <v>2023</v>
      </c>
      <c r="BY8" s="716">
        <f t="shared" si="9"/>
        <v>2023</v>
      </c>
      <c r="BZ8" s="716">
        <f t="shared" si="9"/>
        <v>2023</v>
      </c>
      <c r="CA8" s="716">
        <f t="shared" si="9"/>
        <v>2023</v>
      </c>
      <c r="CB8" s="716">
        <f t="shared" si="9"/>
        <v>2023</v>
      </c>
      <c r="CC8" s="716">
        <f t="shared" si="9"/>
        <v>2023</v>
      </c>
      <c r="CD8" s="716">
        <f t="shared" si="9"/>
        <v>2023</v>
      </c>
      <c r="CE8" s="716">
        <f t="shared" si="9"/>
        <v>2023</v>
      </c>
      <c r="CF8" s="716">
        <f t="shared" si="9"/>
        <v>2023</v>
      </c>
      <c r="CG8" s="716">
        <f t="shared" si="9"/>
        <v>2024</v>
      </c>
      <c r="CH8" s="716">
        <f t="shared" si="9"/>
        <v>2024</v>
      </c>
      <c r="CI8" s="716">
        <f t="shared" si="9"/>
        <v>2024</v>
      </c>
      <c r="CJ8" s="716">
        <f t="shared" si="9"/>
        <v>2024</v>
      </c>
      <c r="CK8" s="716">
        <f t="shared" si="9"/>
        <v>2024</v>
      </c>
      <c r="CL8" s="716">
        <f t="shared" si="9"/>
        <v>2024</v>
      </c>
      <c r="CM8" s="716">
        <f t="shared" si="9"/>
        <v>2024</v>
      </c>
      <c r="CN8" s="716">
        <f t="shared" si="9"/>
        <v>2024</v>
      </c>
      <c r="CO8" s="716">
        <f t="shared" si="9"/>
        <v>2024</v>
      </c>
      <c r="CP8" s="716">
        <f t="shared" si="9"/>
        <v>2024</v>
      </c>
      <c r="CQ8" s="716">
        <f t="shared" si="9"/>
        <v>2024</v>
      </c>
      <c r="CR8" s="716">
        <f t="shared" si="9"/>
        <v>2024</v>
      </c>
      <c r="CS8" s="716">
        <f t="shared" si="9"/>
        <v>2025</v>
      </c>
      <c r="CT8" s="716">
        <f t="shared" si="9"/>
        <v>2025</v>
      </c>
      <c r="CU8" s="716">
        <f t="shared" si="9"/>
        <v>2025</v>
      </c>
      <c r="CV8" s="716">
        <f t="shared" si="9"/>
        <v>2025</v>
      </c>
      <c r="CW8" s="716">
        <f t="shared" si="9"/>
        <v>2025</v>
      </c>
      <c r="CX8" s="716">
        <f t="shared" si="9"/>
        <v>2025</v>
      </c>
      <c r="CY8" s="716">
        <f t="shared" si="9"/>
        <v>2025</v>
      </c>
      <c r="CZ8" s="716">
        <f t="shared" si="9"/>
        <v>2025</v>
      </c>
      <c r="DA8" s="716">
        <f t="shared" si="9"/>
        <v>2025</v>
      </c>
      <c r="DB8" s="716">
        <f t="shared" si="9"/>
        <v>2025</v>
      </c>
      <c r="DC8" s="716">
        <f t="shared" si="9"/>
        <v>2025</v>
      </c>
      <c r="DD8" s="716">
        <f t="shared" si="9"/>
        <v>2025</v>
      </c>
      <c r="DE8" s="716">
        <f t="shared" si="9"/>
        <v>2026</v>
      </c>
      <c r="DF8" s="716">
        <f t="shared" si="9"/>
        <v>2026</v>
      </c>
      <c r="DG8" s="716">
        <f t="shared" si="9"/>
        <v>2026</v>
      </c>
      <c r="DH8" s="716">
        <f t="shared" si="9"/>
        <v>2026</v>
      </c>
      <c r="DI8" s="716">
        <f t="shared" si="9"/>
        <v>2026</v>
      </c>
      <c r="DJ8" s="716">
        <f t="shared" si="9"/>
        <v>2026</v>
      </c>
      <c r="DK8" s="716">
        <f t="shared" si="9"/>
        <v>2026</v>
      </c>
      <c r="DL8" s="716">
        <f t="shared" si="9"/>
        <v>2026</v>
      </c>
      <c r="DM8" s="716">
        <f t="shared" si="9"/>
        <v>2026</v>
      </c>
      <c r="DN8" s="716">
        <f t="shared" si="9"/>
        <v>2026</v>
      </c>
      <c r="DO8" s="716">
        <f t="shared" si="9"/>
        <v>2026</v>
      </c>
      <c r="DP8" s="716">
        <f t="shared" si="9"/>
        <v>2026</v>
      </c>
      <c r="DQ8" s="716">
        <f t="shared" si="9"/>
        <v>2027</v>
      </c>
      <c r="DR8" s="716">
        <f t="shared" si="9"/>
        <v>2027</v>
      </c>
      <c r="DS8" s="716">
        <f t="shared" si="9"/>
        <v>2027</v>
      </c>
      <c r="DT8" s="716">
        <f t="shared" si="9"/>
        <v>2027</v>
      </c>
      <c r="DU8" s="716">
        <f t="shared" si="9"/>
        <v>2027</v>
      </c>
      <c r="DV8" s="716">
        <f t="shared" si="9"/>
        <v>2027</v>
      </c>
      <c r="DW8" s="716">
        <f t="shared" si="9"/>
        <v>2027</v>
      </c>
      <c r="DX8" s="716">
        <f t="shared" ref="DX8" si="10">+YEAR(DX7)</f>
        <v>2027</v>
      </c>
      <c r="DY8" s="716">
        <f t="shared" ref="DY8" si="11">+YEAR(DY7)</f>
        <v>2027</v>
      </c>
    </row>
    <row r="9" spans="1:129" s="3" customFormat="1" ht="12.75" customHeight="1" x14ac:dyDescent="0.3">
      <c r="B9" s="191"/>
      <c r="C9" s="191"/>
      <c r="D9" s="191"/>
      <c r="E9" s="191"/>
      <c r="F9" s="191"/>
      <c r="G9" s="205"/>
      <c r="H9" s="205"/>
      <c r="I9" s="717">
        <v>0</v>
      </c>
      <c r="J9" s="717">
        <f t="shared" ref="J9:BU9" si="12">+I9+1</f>
        <v>1</v>
      </c>
      <c r="K9" s="717">
        <f t="shared" si="12"/>
        <v>2</v>
      </c>
      <c r="L9" s="717">
        <f t="shared" si="12"/>
        <v>3</v>
      </c>
      <c r="M9" s="717">
        <f t="shared" si="12"/>
        <v>4</v>
      </c>
      <c r="N9" s="717">
        <f t="shared" si="12"/>
        <v>5</v>
      </c>
      <c r="O9" s="717">
        <f t="shared" si="12"/>
        <v>6</v>
      </c>
      <c r="P9" s="717">
        <f t="shared" si="12"/>
        <v>7</v>
      </c>
      <c r="Q9" s="717">
        <f t="shared" si="12"/>
        <v>8</v>
      </c>
      <c r="R9" s="717">
        <f t="shared" si="12"/>
        <v>9</v>
      </c>
      <c r="S9" s="717">
        <f t="shared" si="12"/>
        <v>10</v>
      </c>
      <c r="T9" s="717">
        <f t="shared" si="12"/>
        <v>11</v>
      </c>
      <c r="U9" s="717">
        <f t="shared" si="12"/>
        <v>12</v>
      </c>
      <c r="V9" s="717">
        <f t="shared" si="12"/>
        <v>13</v>
      </c>
      <c r="W9" s="717">
        <f t="shared" si="12"/>
        <v>14</v>
      </c>
      <c r="X9" s="717">
        <f t="shared" si="12"/>
        <v>15</v>
      </c>
      <c r="Y9" s="717">
        <f t="shared" si="12"/>
        <v>16</v>
      </c>
      <c r="Z9" s="717">
        <f t="shared" si="12"/>
        <v>17</v>
      </c>
      <c r="AA9" s="717">
        <f t="shared" si="12"/>
        <v>18</v>
      </c>
      <c r="AB9" s="717">
        <f t="shared" si="12"/>
        <v>19</v>
      </c>
      <c r="AC9" s="717">
        <f t="shared" si="12"/>
        <v>20</v>
      </c>
      <c r="AD9" s="717">
        <f t="shared" si="12"/>
        <v>21</v>
      </c>
      <c r="AE9" s="717">
        <f t="shared" si="12"/>
        <v>22</v>
      </c>
      <c r="AF9" s="717">
        <f t="shared" si="12"/>
        <v>23</v>
      </c>
      <c r="AG9" s="717">
        <f t="shared" si="12"/>
        <v>24</v>
      </c>
      <c r="AH9" s="717">
        <f t="shared" si="12"/>
        <v>25</v>
      </c>
      <c r="AI9" s="717">
        <f t="shared" si="12"/>
        <v>26</v>
      </c>
      <c r="AJ9" s="717">
        <f t="shared" si="12"/>
        <v>27</v>
      </c>
      <c r="AK9" s="717">
        <f t="shared" si="12"/>
        <v>28</v>
      </c>
      <c r="AL9" s="717">
        <f t="shared" si="12"/>
        <v>29</v>
      </c>
      <c r="AM9" s="717">
        <f t="shared" si="12"/>
        <v>30</v>
      </c>
      <c r="AN9" s="717">
        <f t="shared" si="12"/>
        <v>31</v>
      </c>
      <c r="AO9" s="717">
        <f t="shared" si="12"/>
        <v>32</v>
      </c>
      <c r="AP9" s="717">
        <f t="shared" si="12"/>
        <v>33</v>
      </c>
      <c r="AQ9" s="717">
        <f t="shared" si="12"/>
        <v>34</v>
      </c>
      <c r="AR9" s="717">
        <f t="shared" si="12"/>
        <v>35</v>
      </c>
      <c r="AS9" s="717">
        <f t="shared" si="12"/>
        <v>36</v>
      </c>
      <c r="AT9" s="717">
        <f t="shared" si="12"/>
        <v>37</v>
      </c>
      <c r="AU9" s="717">
        <f t="shared" si="12"/>
        <v>38</v>
      </c>
      <c r="AV9" s="717">
        <f t="shared" si="12"/>
        <v>39</v>
      </c>
      <c r="AW9" s="717">
        <f t="shared" si="12"/>
        <v>40</v>
      </c>
      <c r="AX9" s="717">
        <f t="shared" si="12"/>
        <v>41</v>
      </c>
      <c r="AY9" s="717">
        <f t="shared" si="12"/>
        <v>42</v>
      </c>
      <c r="AZ9" s="717">
        <f t="shared" si="12"/>
        <v>43</v>
      </c>
      <c r="BA9" s="717">
        <f t="shared" si="12"/>
        <v>44</v>
      </c>
      <c r="BB9" s="717">
        <f t="shared" si="12"/>
        <v>45</v>
      </c>
      <c r="BC9" s="717">
        <f t="shared" si="12"/>
        <v>46</v>
      </c>
      <c r="BD9" s="717">
        <f t="shared" si="12"/>
        <v>47</v>
      </c>
      <c r="BE9" s="717">
        <f t="shared" si="12"/>
        <v>48</v>
      </c>
      <c r="BF9" s="717">
        <f t="shared" si="12"/>
        <v>49</v>
      </c>
      <c r="BG9" s="717">
        <f t="shared" si="12"/>
        <v>50</v>
      </c>
      <c r="BH9" s="717">
        <f t="shared" si="12"/>
        <v>51</v>
      </c>
      <c r="BI9" s="717">
        <f t="shared" si="12"/>
        <v>52</v>
      </c>
      <c r="BJ9" s="717">
        <f t="shared" si="12"/>
        <v>53</v>
      </c>
      <c r="BK9" s="717">
        <f t="shared" si="12"/>
        <v>54</v>
      </c>
      <c r="BL9" s="717">
        <f t="shared" si="12"/>
        <v>55</v>
      </c>
      <c r="BM9" s="717">
        <f t="shared" si="12"/>
        <v>56</v>
      </c>
      <c r="BN9" s="717">
        <f t="shared" si="12"/>
        <v>57</v>
      </c>
      <c r="BO9" s="717">
        <f t="shared" si="12"/>
        <v>58</v>
      </c>
      <c r="BP9" s="717">
        <f t="shared" si="12"/>
        <v>59</v>
      </c>
      <c r="BQ9" s="717">
        <f t="shared" si="12"/>
        <v>60</v>
      </c>
      <c r="BR9" s="717">
        <f t="shared" si="12"/>
        <v>61</v>
      </c>
      <c r="BS9" s="717">
        <f t="shared" si="12"/>
        <v>62</v>
      </c>
      <c r="BT9" s="717">
        <f t="shared" si="12"/>
        <v>63</v>
      </c>
      <c r="BU9" s="717">
        <f t="shared" si="12"/>
        <v>64</v>
      </c>
      <c r="BV9" s="717">
        <f t="shared" ref="BV9:DW9" si="13">+BU9+1</f>
        <v>65</v>
      </c>
      <c r="BW9" s="717">
        <f t="shared" si="13"/>
        <v>66</v>
      </c>
      <c r="BX9" s="717">
        <f t="shared" si="13"/>
        <v>67</v>
      </c>
      <c r="BY9" s="717">
        <f t="shared" si="13"/>
        <v>68</v>
      </c>
      <c r="BZ9" s="717">
        <f t="shared" si="13"/>
        <v>69</v>
      </c>
      <c r="CA9" s="717">
        <f t="shared" si="13"/>
        <v>70</v>
      </c>
      <c r="CB9" s="717">
        <f t="shared" si="13"/>
        <v>71</v>
      </c>
      <c r="CC9" s="717">
        <f t="shared" si="13"/>
        <v>72</v>
      </c>
      <c r="CD9" s="717">
        <f t="shared" si="13"/>
        <v>73</v>
      </c>
      <c r="CE9" s="717">
        <f t="shared" si="13"/>
        <v>74</v>
      </c>
      <c r="CF9" s="717">
        <f t="shared" si="13"/>
        <v>75</v>
      </c>
      <c r="CG9" s="717">
        <f t="shared" si="13"/>
        <v>76</v>
      </c>
      <c r="CH9" s="717">
        <f t="shared" si="13"/>
        <v>77</v>
      </c>
      <c r="CI9" s="717">
        <f t="shared" si="13"/>
        <v>78</v>
      </c>
      <c r="CJ9" s="717">
        <f t="shared" si="13"/>
        <v>79</v>
      </c>
      <c r="CK9" s="717">
        <f t="shared" si="13"/>
        <v>80</v>
      </c>
      <c r="CL9" s="717">
        <f t="shared" si="13"/>
        <v>81</v>
      </c>
      <c r="CM9" s="717">
        <f t="shared" si="13"/>
        <v>82</v>
      </c>
      <c r="CN9" s="717">
        <f t="shared" si="13"/>
        <v>83</v>
      </c>
      <c r="CO9" s="717">
        <f t="shared" si="13"/>
        <v>84</v>
      </c>
      <c r="CP9" s="717">
        <f t="shared" si="13"/>
        <v>85</v>
      </c>
      <c r="CQ9" s="717">
        <f t="shared" si="13"/>
        <v>86</v>
      </c>
      <c r="CR9" s="717">
        <f t="shared" si="13"/>
        <v>87</v>
      </c>
      <c r="CS9" s="717">
        <f t="shared" si="13"/>
        <v>88</v>
      </c>
      <c r="CT9" s="717">
        <f t="shared" si="13"/>
        <v>89</v>
      </c>
      <c r="CU9" s="717">
        <f t="shared" si="13"/>
        <v>90</v>
      </c>
      <c r="CV9" s="717">
        <f t="shared" si="13"/>
        <v>91</v>
      </c>
      <c r="CW9" s="717">
        <f t="shared" si="13"/>
        <v>92</v>
      </c>
      <c r="CX9" s="717">
        <f t="shared" si="13"/>
        <v>93</v>
      </c>
      <c r="CY9" s="717">
        <f t="shared" si="13"/>
        <v>94</v>
      </c>
      <c r="CZ9" s="717">
        <f t="shared" si="13"/>
        <v>95</v>
      </c>
      <c r="DA9" s="717">
        <f t="shared" si="13"/>
        <v>96</v>
      </c>
      <c r="DB9" s="717">
        <f t="shared" si="13"/>
        <v>97</v>
      </c>
      <c r="DC9" s="717">
        <f t="shared" si="13"/>
        <v>98</v>
      </c>
      <c r="DD9" s="717">
        <f t="shared" si="13"/>
        <v>99</v>
      </c>
      <c r="DE9" s="717">
        <f t="shared" si="13"/>
        <v>100</v>
      </c>
      <c r="DF9" s="717">
        <f t="shared" si="13"/>
        <v>101</v>
      </c>
      <c r="DG9" s="717">
        <f t="shared" si="13"/>
        <v>102</v>
      </c>
      <c r="DH9" s="717">
        <f t="shared" si="13"/>
        <v>103</v>
      </c>
      <c r="DI9" s="717">
        <f t="shared" si="13"/>
        <v>104</v>
      </c>
      <c r="DJ9" s="717">
        <f t="shared" si="13"/>
        <v>105</v>
      </c>
      <c r="DK9" s="717">
        <f t="shared" si="13"/>
        <v>106</v>
      </c>
      <c r="DL9" s="717">
        <f t="shared" si="13"/>
        <v>107</v>
      </c>
      <c r="DM9" s="717">
        <f t="shared" si="13"/>
        <v>108</v>
      </c>
      <c r="DN9" s="717">
        <f t="shared" si="13"/>
        <v>109</v>
      </c>
      <c r="DO9" s="717">
        <f t="shared" si="13"/>
        <v>110</v>
      </c>
      <c r="DP9" s="717">
        <f t="shared" si="13"/>
        <v>111</v>
      </c>
      <c r="DQ9" s="717">
        <f t="shared" si="13"/>
        <v>112</v>
      </c>
      <c r="DR9" s="717">
        <f t="shared" si="13"/>
        <v>113</v>
      </c>
      <c r="DS9" s="717">
        <f t="shared" si="13"/>
        <v>114</v>
      </c>
      <c r="DT9" s="717">
        <f t="shared" si="13"/>
        <v>115</v>
      </c>
      <c r="DU9" s="717">
        <f t="shared" si="13"/>
        <v>116</v>
      </c>
      <c r="DV9" s="717">
        <f t="shared" si="13"/>
        <v>117</v>
      </c>
      <c r="DW9" s="717">
        <f t="shared" si="13"/>
        <v>118</v>
      </c>
      <c r="DX9" s="717">
        <f t="shared" ref="DX9" si="14">+DW9+1</f>
        <v>119</v>
      </c>
      <c r="DY9" s="717">
        <f t="shared" ref="DY9" si="15">+DX9+1</f>
        <v>120</v>
      </c>
    </row>
    <row r="10" spans="1:129" s="3" customFormat="1" ht="12.75" customHeight="1" x14ac:dyDescent="0.3">
      <c r="B10" s="673"/>
      <c r="C10" s="673"/>
      <c r="D10" s="191"/>
      <c r="E10" s="191"/>
      <c r="F10" s="191"/>
      <c r="G10" s="205"/>
      <c r="H10" s="205"/>
      <c r="I10" s="718">
        <v>1</v>
      </c>
      <c r="J10" s="718">
        <f t="shared" ref="J10:AO10" si="16">+ROUNDUP(J9/12,0)</f>
        <v>1</v>
      </c>
      <c r="K10" s="718">
        <f t="shared" si="16"/>
        <v>1</v>
      </c>
      <c r="L10" s="718">
        <f t="shared" si="16"/>
        <v>1</v>
      </c>
      <c r="M10" s="718">
        <f t="shared" si="16"/>
        <v>1</v>
      </c>
      <c r="N10" s="718">
        <f t="shared" si="16"/>
        <v>1</v>
      </c>
      <c r="O10" s="718">
        <f t="shared" si="16"/>
        <v>1</v>
      </c>
      <c r="P10" s="718">
        <f t="shared" si="16"/>
        <v>1</v>
      </c>
      <c r="Q10" s="718">
        <f t="shared" si="16"/>
        <v>1</v>
      </c>
      <c r="R10" s="718">
        <f t="shared" si="16"/>
        <v>1</v>
      </c>
      <c r="S10" s="718">
        <f t="shared" si="16"/>
        <v>1</v>
      </c>
      <c r="T10" s="718">
        <f t="shared" si="16"/>
        <v>1</v>
      </c>
      <c r="U10" s="718">
        <f t="shared" si="16"/>
        <v>1</v>
      </c>
      <c r="V10" s="718">
        <f t="shared" si="16"/>
        <v>2</v>
      </c>
      <c r="W10" s="718">
        <f t="shared" si="16"/>
        <v>2</v>
      </c>
      <c r="X10" s="718">
        <f t="shared" si="16"/>
        <v>2</v>
      </c>
      <c r="Y10" s="718">
        <f t="shared" si="16"/>
        <v>2</v>
      </c>
      <c r="Z10" s="718">
        <f t="shared" si="16"/>
        <v>2</v>
      </c>
      <c r="AA10" s="718">
        <f t="shared" si="16"/>
        <v>2</v>
      </c>
      <c r="AB10" s="718">
        <f t="shared" si="16"/>
        <v>2</v>
      </c>
      <c r="AC10" s="718">
        <f t="shared" si="16"/>
        <v>2</v>
      </c>
      <c r="AD10" s="718">
        <f t="shared" si="16"/>
        <v>2</v>
      </c>
      <c r="AE10" s="718">
        <f t="shared" si="16"/>
        <v>2</v>
      </c>
      <c r="AF10" s="718">
        <f t="shared" si="16"/>
        <v>2</v>
      </c>
      <c r="AG10" s="718">
        <f t="shared" si="16"/>
        <v>2</v>
      </c>
      <c r="AH10" s="718">
        <f t="shared" si="16"/>
        <v>3</v>
      </c>
      <c r="AI10" s="718">
        <f t="shared" si="16"/>
        <v>3</v>
      </c>
      <c r="AJ10" s="718">
        <f t="shared" si="16"/>
        <v>3</v>
      </c>
      <c r="AK10" s="718">
        <f t="shared" si="16"/>
        <v>3</v>
      </c>
      <c r="AL10" s="718">
        <f t="shared" si="16"/>
        <v>3</v>
      </c>
      <c r="AM10" s="718">
        <f t="shared" si="16"/>
        <v>3</v>
      </c>
      <c r="AN10" s="718">
        <f t="shared" si="16"/>
        <v>3</v>
      </c>
      <c r="AO10" s="718">
        <f t="shared" si="16"/>
        <v>3</v>
      </c>
      <c r="AP10" s="718">
        <f t="shared" ref="AP10:BU10" si="17">+ROUNDUP(AP9/12,0)</f>
        <v>3</v>
      </c>
      <c r="AQ10" s="718">
        <f t="shared" si="17"/>
        <v>3</v>
      </c>
      <c r="AR10" s="718">
        <f t="shared" si="17"/>
        <v>3</v>
      </c>
      <c r="AS10" s="718">
        <f t="shared" si="17"/>
        <v>3</v>
      </c>
      <c r="AT10" s="718">
        <f t="shared" si="17"/>
        <v>4</v>
      </c>
      <c r="AU10" s="718">
        <f t="shared" si="17"/>
        <v>4</v>
      </c>
      <c r="AV10" s="718">
        <f t="shared" si="17"/>
        <v>4</v>
      </c>
      <c r="AW10" s="718">
        <f t="shared" si="17"/>
        <v>4</v>
      </c>
      <c r="AX10" s="718">
        <f t="shared" si="17"/>
        <v>4</v>
      </c>
      <c r="AY10" s="718">
        <f t="shared" si="17"/>
        <v>4</v>
      </c>
      <c r="AZ10" s="718">
        <f t="shared" si="17"/>
        <v>4</v>
      </c>
      <c r="BA10" s="718">
        <f t="shared" si="17"/>
        <v>4</v>
      </c>
      <c r="BB10" s="718">
        <f t="shared" si="17"/>
        <v>4</v>
      </c>
      <c r="BC10" s="718">
        <f t="shared" si="17"/>
        <v>4</v>
      </c>
      <c r="BD10" s="718">
        <f t="shared" si="17"/>
        <v>4</v>
      </c>
      <c r="BE10" s="718">
        <f t="shared" si="17"/>
        <v>4</v>
      </c>
      <c r="BF10" s="718">
        <f t="shared" si="17"/>
        <v>5</v>
      </c>
      <c r="BG10" s="718">
        <f t="shared" si="17"/>
        <v>5</v>
      </c>
      <c r="BH10" s="718">
        <f t="shared" si="17"/>
        <v>5</v>
      </c>
      <c r="BI10" s="718">
        <f t="shared" si="17"/>
        <v>5</v>
      </c>
      <c r="BJ10" s="718">
        <f t="shared" si="17"/>
        <v>5</v>
      </c>
      <c r="BK10" s="718">
        <f t="shared" si="17"/>
        <v>5</v>
      </c>
      <c r="BL10" s="718">
        <f t="shared" si="17"/>
        <v>5</v>
      </c>
      <c r="BM10" s="718">
        <f t="shared" si="17"/>
        <v>5</v>
      </c>
      <c r="BN10" s="718">
        <f t="shared" si="17"/>
        <v>5</v>
      </c>
      <c r="BO10" s="718">
        <f t="shared" si="17"/>
        <v>5</v>
      </c>
      <c r="BP10" s="718">
        <f t="shared" si="17"/>
        <v>5</v>
      </c>
      <c r="BQ10" s="718">
        <f t="shared" si="17"/>
        <v>5</v>
      </c>
      <c r="BR10" s="718">
        <f t="shared" si="17"/>
        <v>6</v>
      </c>
      <c r="BS10" s="718">
        <f t="shared" si="17"/>
        <v>6</v>
      </c>
      <c r="BT10" s="718">
        <f t="shared" si="17"/>
        <v>6</v>
      </c>
      <c r="BU10" s="718">
        <f t="shared" si="17"/>
        <v>6</v>
      </c>
      <c r="BV10" s="718">
        <f t="shared" ref="BV10:DA10" si="18">+ROUNDUP(BV9/12,0)</f>
        <v>6</v>
      </c>
      <c r="BW10" s="718">
        <f t="shared" si="18"/>
        <v>6</v>
      </c>
      <c r="BX10" s="718">
        <f t="shared" si="18"/>
        <v>6</v>
      </c>
      <c r="BY10" s="718">
        <f t="shared" si="18"/>
        <v>6</v>
      </c>
      <c r="BZ10" s="718">
        <f t="shared" si="18"/>
        <v>6</v>
      </c>
      <c r="CA10" s="718">
        <f t="shared" si="18"/>
        <v>6</v>
      </c>
      <c r="CB10" s="718">
        <f t="shared" si="18"/>
        <v>6</v>
      </c>
      <c r="CC10" s="718">
        <f t="shared" si="18"/>
        <v>6</v>
      </c>
      <c r="CD10" s="718">
        <f t="shared" si="18"/>
        <v>7</v>
      </c>
      <c r="CE10" s="718">
        <f t="shared" si="18"/>
        <v>7</v>
      </c>
      <c r="CF10" s="718">
        <f t="shared" si="18"/>
        <v>7</v>
      </c>
      <c r="CG10" s="718">
        <f t="shared" si="18"/>
        <v>7</v>
      </c>
      <c r="CH10" s="718">
        <f t="shared" si="18"/>
        <v>7</v>
      </c>
      <c r="CI10" s="718">
        <f t="shared" si="18"/>
        <v>7</v>
      </c>
      <c r="CJ10" s="718">
        <f t="shared" si="18"/>
        <v>7</v>
      </c>
      <c r="CK10" s="718">
        <f t="shared" si="18"/>
        <v>7</v>
      </c>
      <c r="CL10" s="718">
        <f t="shared" si="18"/>
        <v>7</v>
      </c>
      <c r="CM10" s="718">
        <f t="shared" si="18"/>
        <v>7</v>
      </c>
      <c r="CN10" s="718">
        <f t="shared" si="18"/>
        <v>7</v>
      </c>
      <c r="CO10" s="718">
        <f t="shared" si="18"/>
        <v>7</v>
      </c>
      <c r="CP10" s="718">
        <f t="shared" si="18"/>
        <v>8</v>
      </c>
      <c r="CQ10" s="718">
        <f t="shared" si="18"/>
        <v>8</v>
      </c>
      <c r="CR10" s="718">
        <f t="shared" si="18"/>
        <v>8</v>
      </c>
      <c r="CS10" s="718">
        <f t="shared" si="18"/>
        <v>8</v>
      </c>
      <c r="CT10" s="718">
        <f t="shared" si="18"/>
        <v>8</v>
      </c>
      <c r="CU10" s="718">
        <f t="shared" si="18"/>
        <v>8</v>
      </c>
      <c r="CV10" s="718">
        <f t="shared" si="18"/>
        <v>8</v>
      </c>
      <c r="CW10" s="718">
        <f t="shared" si="18"/>
        <v>8</v>
      </c>
      <c r="CX10" s="718">
        <f t="shared" si="18"/>
        <v>8</v>
      </c>
      <c r="CY10" s="718">
        <f t="shared" si="18"/>
        <v>8</v>
      </c>
      <c r="CZ10" s="718">
        <f t="shared" si="18"/>
        <v>8</v>
      </c>
      <c r="DA10" s="718">
        <f t="shared" si="18"/>
        <v>8</v>
      </c>
      <c r="DB10" s="718">
        <f t="shared" ref="DB10:DW10" si="19">+ROUNDUP(DB9/12,0)</f>
        <v>9</v>
      </c>
      <c r="DC10" s="718">
        <f t="shared" si="19"/>
        <v>9</v>
      </c>
      <c r="DD10" s="718">
        <f t="shared" si="19"/>
        <v>9</v>
      </c>
      <c r="DE10" s="718">
        <f t="shared" si="19"/>
        <v>9</v>
      </c>
      <c r="DF10" s="718">
        <f t="shared" si="19"/>
        <v>9</v>
      </c>
      <c r="DG10" s="718">
        <f t="shared" si="19"/>
        <v>9</v>
      </c>
      <c r="DH10" s="718">
        <f t="shared" si="19"/>
        <v>9</v>
      </c>
      <c r="DI10" s="718">
        <f t="shared" si="19"/>
        <v>9</v>
      </c>
      <c r="DJ10" s="718">
        <f t="shared" si="19"/>
        <v>9</v>
      </c>
      <c r="DK10" s="718">
        <f t="shared" si="19"/>
        <v>9</v>
      </c>
      <c r="DL10" s="718">
        <f t="shared" si="19"/>
        <v>9</v>
      </c>
      <c r="DM10" s="718">
        <f t="shared" si="19"/>
        <v>9</v>
      </c>
      <c r="DN10" s="718">
        <f t="shared" si="19"/>
        <v>10</v>
      </c>
      <c r="DO10" s="718">
        <f t="shared" si="19"/>
        <v>10</v>
      </c>
      <c r="DP10" s="718">
        <f t="shared" si="19"/>
        <v>10</v>
      </c>
      <c r="DQ10" s="718">
        <f t="shared" si="19"/>
        <v>10</v>
      </c>
      <c r="DR10" s="718">
        <f t="shared" si="19"/>
        <v>10</v>
      </c>
      <c r="DS10" s="718">
        <f t="shared" si="19"/>
        <v>10</v>
      </c>
      <c r="DT10" s="718">
        <f t="shared" si="19"/>
        <v>10</v>
      </c>
      <c r="DU10" s="718">
        <f t="shared" si="19"/>
        <v>10</v>
      </c>
      <c r="DV10" s="718">
        <f t="shared" si="19"/>
        <v>10</v>
      </c>
      <c r="DW10" s="718">
        <f t="shared" si="19"/>
        <v>10</v>
      </c>
      <c r="DX10" s="718">
        <f t="shared" ref="DX10" si="20">+ROUNDUP(DX9/12,0)</f>
        <v>10</v>
      </c>
      <c r="DY10" s="718">
        <f t="shared" ref="DY10" si="21">+ROUNDUP(DY9/12,0)</f>
        <v>10</v>
      </c>
    </row>
    <row r="11" spans="1:129" s="3" customFormat="1" ht="11.7" customHeight="1" x14ac:dyDescent="0.3">
      <c r="B11" s="5"/>
      <c r="C11" s="5"/>
      <c r="G11" s="66"/>
      <c r="H11" s="66"/>
      <c r="I11" s="276"/>
      <c r="J11" s="276"/>
      <c r="K11" s="276"/>
      <c r="L11" s="276"/>
      <c r="M11" s="276"/>
      <c r="N11" s="276"/>
      <c r="O11" s="276"/>
      <c r="P11" s="276"/>
      <c r="Q11" s="276"/>
      <c r="R11" s="276"/>
      <c r="S11" s="276"/>
      <c r="T11" s="276"/>
      <c r="U11" s="276"/>
      <c r="V11" s="276"/>
      <c r="W11" s="276"/>
      <c r="X11" s="276"/>
      <c r="Y11" s="276"/>
      <c r="Z11" s="276"/>
      <c r="AA11" s="276"/>
      <c r="AB11" s="276"/>
      <c r="AC11" s="276"/>
      <c r="AD11" s="276"/>
      <c r="AE11" s="276"/>
      <c r="AF11" s="276"/>
      <c r="AG11" s="276"/>
      <c r="AH11" s="276"/>
      <c r="AI11" s="276"/>
      <c r="AJ11" s="276"/>
      <c r="AK11" s="276"/>
      <c r="AL11" s="276"/>
      <c r="AM11" s="276"/>
      <c r="AN11" s="276"/>
      <c r="AO11" s="276"/>
      <c r="AP11" s="276"/>
      <c r="AQ11" s="276"/>
      <c r="AR11" s="276"/>
      <c r="AS11" s="276"/>
      <c r="AT11" s="276"/>
      <c r="AU11" s="276"/>
      <c r="AV11" s="276"/>
      <c r="AW11" s="276"/>
      <c r="AX11" s="276"/>
      <c r="AY11" s="276"/>
      <c r="AZ11" s="276"/>
      <c r="BA11" s="276"/>
      <c r="BB11" s="276"/>
      <c r="BC11" s="276"/>
      <c r="BD11" s="276"/>
      <c r="BE11" s="276"/>
      <c r="BF11" s="276"/>
      <c r="BG11" s="276"/>
      <c r="BH11" s="276"/>
      <c r="BI11" s="276"/>
      <c r="BJ11" s="276"/>
      <c r="BK11" s="276"/>
      <c r="BL11" s="276"/>
      <c r="BM11" s="276"/>
      <c r="BN11" s="276"/>
      <c r="BO11" s="276"/>
      <c r="BP11" s="276"/>
      <c r="BQ11" s="276"/>
      <c r="BR11" s="276"/>
      <c r="BS11" s="276"/>
      <c r="BT11" s="276"/>
      <c r="BU11" s="276"/>
      <c r="BV11" s="276"/>
      <c r="BW11" s="276"/>
      <c r="BX11" s="276"/>
      <c r="BY11" s="276"/>
      <c r="BZ11" s="276"/>
      <c r="CA11" s="276"/>
      <c r="CB11" s="276"/>
      <c r="CC11" s="276"/>
      <c r="CD11" s="276"/>
      <c r="CE11" s="276"/>
      <c r="CF11" s="276"/>
      <c r="CG11" s="276"/>
      <c r="CH11" s="276"/>
      <c r="CI11" s="276"/>
      <c r="CJ11" s="276"/>
      <c r="CK11" s="276"/>
      <c r="CL11" s="276"/>
      <c r="CM11" s="276"/>
      <c r="CN11" s="276"/>
      <c r="CO11" s="276"/>
      <c r="CP11" s="276"/>
      <c r="CQ11" s="276"/>
      <c r="CR11" s="276"/>
      <c r="CS11" s="276"/>
      <c r="CT11" s="276"/>
      <c r="CU11" s="276"/>
      <c r="CV11" s="276"/>
      <c r="CW11" s="276"/>
      <c r="CX11" s="276"/>
      <c r="CY11" s="276"/>
      <c r="CZ11" s="276"/>
      <c r="DA11" s="276"/>
      <c r="DB11" s="276"/>
      <c r="DC11" s="276"/>
      <c r="DD11" s="276"/>
      <c r="DE11" s="276"/>
      <c r="DF11" s="276"/>
      <c r="DG11" s="276"/>
      <c r="DH11" s="276"/>
      <c r="DI11" s="276"/>
      <c r="DJ11" s="276"/>
      <c r="DK11" s="276"/>
      <c r="DL11" s="276"/>
      <c r="DM11" s="276"/>
      <c r="DN11" s="276"/>
      <c r="DO11" s="276"/>
      <c r="DP11" s="276"/>
      <c r="DQ11" s="276"/>
      <c r="DR11" s="276"/>
      <c r="DS11" s="276"/>
      <c r="DT11" s="276"/>
      <c r="DU11" s="276"/>
      <c r="DV11" s="276"/>
      <c r="DW11" s="276"/>
      <c r="DX11" s="276"/>
      <c r="DY11" s="276"/>
    </row>
    <row r="12" spans="1:129" s="3" customFormat="1" ht="11.7" customHeight="1" x14ac:dyDescent="0.3">
      <c r="B12" s="194" t="s">
        <v>152</v>
      </c>
      <c r="C12" s="194"/>
      <c r="D12" s="191"/>
      <c r="E12" s="191"/>
      <c r="F12" s="191"/>
      <c r="G12" s="205"/>
      <c r="H12" s="205"/>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c r="AG12" s="110"/>
      <c r="AH12" s="110"/>
      <c r="AI12" s="110"/>
      <c r="AJ12" s="110"/>
      <c r="AK12" s="110"/>
      <c r="AL12" s="110"/>
      <c r="AM12" s="110"/>
      <c r="AN12" s="110"/>
      <c r="AO12" s="110"/>
      <c r="AP12" s="110"/>
      <c r="AQ12" s="110"/>
      <c r="AR12" s="110"/>
      <c r="AS12" s="110"/>
      <c r="AT12" s="110"/>
      <c r="AU12" s="110"/>
      <c r="AV12" s="110"/>
      <c r="AW12" s="110"/>
      <c r="AX12" s="110"/>
      <c r="AY12" s="110"/>
      <c r="AZ12" s="110"/>
      <c r="BA12" s="110"/>
      <c r="BB12" s="110"/>
      <c r="BC12" s="110"/>
      <c r="BD12" s="110"/>
      <c r="BE12" s="110"/>
      <c r="BF12" s="110"/>
      <c r="BG12" s="110"/>
      <c r="BH12" s="110"/>
      <c r="BI12" s="110"/>
      <c r="BJ12" s="110"/>
      <c r="BK12" s="110"/>
      <c r="BL12" s="110"/>
      <c r="BM12" s="110"/>
      <c r="BN12" s="110"/>
      <c r="BO12" s="110"/>
      <c r="BP12" s="110"/>
      <c r="BQ12" s="110"/>
      <c r="BR12" s="110"/>
      <c r="BS12" s="110"/>
      <c r="BT12" s="110"/>
      <c r="BU12" s="110"/>
      <c r="BV12" s="110"/>
      <c r="BW12" s="110"/>
      <c r="BX12" s="110"/>
      <c r="BY12" s="110"/>
      <c r="BZ12" s="110"/>
      <c r="CA12" s="110"/>
      <c r="CB12" s="110"/>
      <c r="CC12" s="110"/>
      <c r="CD12" s="110"/>
      <c r="CE12" s="110"/>
      <c r="CF12" s="110"/>
      <c r="CG12" s="110"/>
      <c r="CH12" s="110"/>
      <c r="CI12" s="110"/>
      <c r="CJ12" s="110"/>
      <c r="CK12" s="110"/>
      <c r="CL12" s="110"/>
      <c r="CM12" s="110"/>
      <c r="CN12" s="110"/>
      <c r="CO12" s="110"/>
      <c r="CP12" s="110"/>
      <c r="CQ12" s="110"/>
      <c r="CR12" s="110"/>
      <c r="CS12" s="110"/>
      <c r="CT12" s="110"/>
      <c r="CU12" s="110"/>
      <c r="CV12" s="110"/>
      <c r="CW12" s="110"/>
      <c r="CX12" s="110"/>
      <c r="CY12" s="110"/>
      <c r="CZ12" s="110"/>
      <c r="DA12" s="110"/>
      <c r="DB12" s="110"/>
      <c r="DC12" s="110"/>
      <c r="DD12" s="110"/>
      <c r="DE12" s="110"/>
      <c r="DF12" s="110"/>
      <c r="DG12" s="110"/>
      <c r="DH12" s="110"/>
      <c r="DI12" s="110"/>
      <c r="DJ12" s="110"/>
      <c r="DK12" s="110"/>
      <c r="DL12" s="110"/>
      <c r="DM12" s="110"/>
      <c r="DN12" s="110"/>
      <c r="DO12" s="110"/>
      <c r="DP12" s="110"/>
      <c r="DQ12" s="110"/>
      <c r="DR12" s="110"/>
      <c r="DS12" s="110"/>
      <c r="DT12" s="110"/>
      <c r="DU12" s="110"/>
      <c r="DV12" s="110"/>
      <c r="DW12" s="110"/>
      <c r="DX12" s="110"/>
      <c r="DY12" s="110"/>
    </row>
    <row r="13" spans="1:129" s="3" customFormat="1" ht="11.7" customHeight="1" x14ac:dyDescent="0.25">
      <c r="B13" s="125" t="s">
        <v>161</v>
      </c>
      <c r="C13" s="125"/>
      <c r="H13" s="322">
        <f>+SUM(I13:DY13)</f>
        <v>50</v>
      </c>
      <c r="I13" s="293">
        <f>1*(AND(I$7&gt;'CapEx Budget'!$M$7,I7&lt;='CapEx Budget'!$M$16))</f>
        <v>0</v>
      </c>
      <c r="J13" s="293">
        <f>1*(AND(J$7&gt;'CapEx Budget'!$M$7,J7&lt;='CapEx Budget'!$M$16))</f>
        <v>1</v>
      </c>
      <c r="K13" s="293">
        <f>1*(AND(K$7&gt;'CapEx Budget'!$M$7,K7&lt;='CapEx Budget'!$M$16))</f>
        <v>1</v>
      </c>
      <c r="L13" s="293">
        <f>1*(AND(L$7&gt;'CapEx Budget'!$M$7,L7&lt;='CapEx Budget'!$M$16))</f>
        <v>1</v>
      </c>
      <c r="M13" s="293">
        <f>1*(AND(M$7&gt;'CapEx Budget'!$M$7,M7&lt;='CapEx Budget'!$M$16))</f>
        <v>1</v>
      </c>
      <c r="N13" s="293">
        <f>1*(AND(N$7&gt;'CapEx Budget'!$M$7,N7&lt;='CapEx Budget'!$M$16))</f>
        <v>1</v>
      </c>
      <c r="O13" s="293">
        <f>1*(AND(O$7&gt;'CapEx Budget'!$M$7,O7&lt;='CapEx Budget'!$M$16))</f>
        <v>1</v>
      </c>
      <c r="P13" s="293">
        <f>1*(AND(P$7&gt;'CapEx Budget'!$M$7,P7&lt;='CapEx Budget'!$M$16))</f>
        <v>1</v>
      </c>
      <c r="Q13" s="293">
        <f>1*(AND(Q$7&gt;'CapEx Budget'!$M$7,Q7&lt;='CapEx Budget'!$M$16))</f>
        <v>1</v>
      </c>
      <c r="R13" s="293">
        <f>1*(AND(R$7&gt;'CapEx Budget'!$M$7,R7&lt;='CapEx Budget'!$M$16))</f>
        <v>1</v>
      </c>
      <c r="S13" s="293">
        <f>1*(AND(S$7&gt;'CapEx Budget'!$M$7,S7&lt;='CapEx Budget'!$M$16))</f>
        <v>1</v>
      </c>
      <c r="T13" s="293">
        <f>1*(AND(T$7&gt;'CapEx Budget'!$M$7,T7&lt;='CapEx Budget'!$M$16))</f>
        <v>1</v>
      </c>
      <c r="U13" s="293">
        <f>1*(AND(U$7&gt;'CapEx Budget'!$M$7,U7&lt;='CapEx Budget'!$M$16))</f>
        <v>1</v>
      </c>
      <c r="V13" s="293">
        <f>1*(AND(V$7&gt;'CapEx Budget'!$M$7,V7&lt;='CapEx Budget'!$M$16))</f>
        <v>1</v>
      </c>
      <c r="W13" s="293">
        <f>1*(AND(W$7&gt;'CapEx Budget'!$M$7,W7&lt;='CapEx Budget'!$M$16))</f>
        <v>1</v>
      </c>
      <c r="X13" s="293">
        <f>1*(AND(X$7&gt;'CapEx Budget'!$M$7,X7&lt;='CapEx Budget'!$M$16))</f>
        <v>1</v>
      </c>
      <c r="Y13" s="293">
        <f>1*(AND(Y$7&gt;'CapEx Budget'!$M$7,Y7&lt;='CapEx Budget'!$M$16))</f>
        <v>1</v>
      </c>
      <c r="Z13" s="293">
        <f>1*(AND(Z$7&gt;'CapEx Budget'!$M$7,Z7&lt;='CapEx Budget'!$M$16))</f>
        <v>1</v>
      </c>
      <c r="AA13" s="293">
        <f>1*(AND(AA$7&gt;'CapEx Budget'!$M$7,AA7&lt;='CapEx Budget'!$M$16))</f>
        <v>1</v>
      </c>
      <c r="AB13" s="293">
        <f>1*(AND(AB$7&gt;'CapEx Budget'!$M$7,AB7&lt;='CapEx Budget'!$M$16))</f>
        <v>1</v>
      </c>
      <c r="AC13" s="293">
        <f>1*(AND(AC$7&gt;'CapEx Budget'!$M$7,AC7&lt;='CapEx Budget'!$M$16))</f>
        <v>1</v>
      </c>
      <c r="AD13" s="293">
        <f>1*(AND(AD$7&gt;'CapEx Budget'!$M$7,AD7&lt;='CapEx Budget'!$M$16))</f>
        <v>1</v>
      </c>
      <c r="AE13" s="293">
        <f>1*(AND(AE$7&gt;'CapEx Budget'!$M$7,AE7&lt;='CapEx Budget'!$M$16))</f>
        <v>1</v>
      </c>
      <c r="AF13" s="293">
        <f>1*(AND(AF$7&gt;'CapEx Budget'!$M$7,AF7&lt;='CapEx Budget'!$M$16))</f>
        <v>1</v>
      </c>
      <c r="AG13" s="293">
        <f>1*(AND(AG$7&gt;'CapEx Budget'!$M$7,AG7&lt;='CapEx Budget'!$M$16))</f>
        <v>1</v>
      </c>
      <c r="AH13" s="293">
        <f>1*(AND(AH$7&gt;'CapEx Budget'!$M$7,AH7&lt;='CapEx Budget'!$M$16))</f>
        <v>1</v>
      </c>
      <c r="AI13" s="293">
        <f>1*(AND(AI$7&gt;'CapEx Budget'!$M$7,AI7&lt;='CapEx Budget'!$M$16))</f>
        <v>1</v>
      </c>
      <c r="AJ13" s="293">
        <f>1*(AND(AJ$7&gt;'CapEx Budget'!$M$7,AJ7&lt;='CapEx Budget'!$M$16))</f>
        <v>1</v>
      </c>
      <c r="AK13" s="293">
        <f>1*(AND(AK$7&gt;'CapEx Budget'!$M$7,AK7&lt;='CapEx Budget'!$M$16))</f>
        <v>1</v>
      </c>
      <c r="AL13" s="293">
        <f>1*(AND(AL$7&gt;'CapEx Budget'!$M$7,AL7&lt;='CapEx Budget'!$M$16))</f>
        <v>1</v>
      </c>
      <c r="AM13" s="293">
        <f>1*(AND(AM$7&gt;'CapEx Budget'!$M$7,AM7&lt;='CapEx Budget'!$M$16))</f>
        <v>1</v>
      </c>
      <c r="AN13" s="293">
        <f>1*(AND(AN$7&gt;'CapEx Budget'!$M$7,AN7&lt;='CapEx Budget'!$M$16))</f>
        <v>1</v>
      </c>
      <c r="AO13" s="293">
        <f>1*(AND(AO$7&gt;'CapEx Budget'!$M$7,AO7&lt;='CapEx Budget'!$M$16))</f>
        <v>1</v>
      </c>
      <c r="AP13" s="293">
        <f>1*(AND(AP$7&gt;'CapEx Budget'!$M$7,AP7&lt;='CapEx Budget'!$M$16))</f>
        <v>1</v>
      </c>
      <c r="AQ13" s="293">
        <f>1*(AND(AQ$7&gt;'CapEx Budget'!$M$7,AQ7&lt;='CapEx Budget'!$M$16))</f>
        <v>1</v>
      </c>
      <c r="AR13" s="293">
        <f>1*(AND(AR$7&gt;'CapEx Budget'!$M$7,AR7&lt;='CapEx Budget'!$M$16))</f>
        <v>1</v>
      </c>
      <c r="AS13" s="293">
        <f>1*(AND(AS$7&gt;'CapEx Budget'!$M$7,AS7&lt;='CapEx Budget'!$M$16))</f>
        <v>1</v>
      </c>
      <c r="AT13" s="293">
        <f>1*(AND(AT$7&gt;'CapEx Budget'!$M$7,AT7&lt;='CapEx Budget'!$M$16))</f>
        <v>1</v>
      </c>
      <c r="AU13" s="293">
        <f>1*(AND(AU$7&gt;'CapEx Budget'!$M$7,AU7&lt;='CapEx Budget'!$M$16))</f>
        <v>1</v>
      </c>
      <c r="AV13" s="293">
        <f>1*(AND(AV$7&gt;'CapEx Budget'!$M$7,AV7&lt;='CapEx Budget'!$M$16))</f>
        <v>1</v>
      </c>
      <c r="AW13" s="293">
        <f>1*(AND(AW$7&gt;'CapEx Budget'!$M$7,AW7&lt;='CapEx Budget'!$M$16))</f>
        <v>1</v>
      </c>
      <c r="AX13" s="293">
        <f>1*(AND(AX$7&gt;'CapEx Budget'!$M$7,AX7&lt;='CapEx Budget'!$M$16))</f>
        <v>1</v>
      </c>
      <c r="AY13" s="293">
        <f>1*(AND(AY$7&gt;'CapEx Budget'!$M$7,AY7&lt;='CapEx Budget'!$M$16))</f>
        <v>1</v>
      </c>
      <c r="AZ13" s="293">
        <f>1*(AND(AZ$7&gt;'CapEx Budget'!$M$7,AZ7&lt;='CapEx Budget'!$M$16))</f>
        <v>1</v>
      </c>
      <c r="BA13" s="293">
        <f>1*(AND(BA$7&gt;'CapEx Budget'!$M$7,BA7&lt;='CapEx Budget'!$M$16))</f>
        <v>1</v>
      </c>
      <c r="BB13" s="293">
        <f>1*(AND(BB$7&gt;'CapEx Budget'!$M$7,BB7&lt;='CapEx Budget'!$M$16))</f>
        <v>1</v>
      </c>
      <c r="BC13" s="293">
        <f>1*(AND(BC$7&gt;'CapEx Budget'!$M$7,BC7&lt;='CapEx Budget'!$M$16))</f>
        <v>1</v>
      </c>
      <c r="BD13" s="293">
        <f>1*(AND(BD$7&gt;'CapEx Budget'!$M$7,BD7&lt;='CapEx Budget'!$M$16))</f>
        <v>1</v>
      </c>
      <c r="BE13" s="293">
        <f>1*(AND(BE$7&gt;'CapEx Budget'!$M$7,BE7&lt;='CapEx Budget'!$M$16))</f>
        <v>1</v>
      </c>
      <c r="BF13" s="293">
        <f>1*(AND(BF$7&gt;'CapEx Budget'!$M$7,BF7&lt;='CapEx Budget'!$M$16))</f>
        <v>1</v>
      </c>
      <c r="BG13" s="293">
        <f>1*(AND(BG$7&gt;'CapEx Budget'!$M$7,BG7&lt;='CapEx Budget'!$M$16))</f>
        <v>1</v>
      </c>
      <c r="BH13" s="293">
        <f>1*(AND(BH$7&gt;'CapEx Budget'!$M$7,BH7&lt;='CapEx Budget'!$M$16))</f>
        <v>0</v>
      </c>
      <c r="BI13" s="293">
        <f>1*(AND(BI$7&gt;'CapEx Budget'!$M$7,BI7&lt;='CapEx Budget'!$M$16))</f>
        <v>0</v>
      </c>
      <c r="BJ13" s="293">
        <f>1*(AND(BJ$7&gt;'CapEx Budget'!$M$7,BJ7&lt;='CapEx Budget'!$M$16))</f>
        <v>0</v>
      </c>
      <c r="BK13" s="293">
        <f>1*(AND(BK$7&gt;'CapEx Budget'!$M$7,BK7&lt;='CapEx Budget'!$M$16))</f>
        <v>0</v>
      </c>
      <c r="BL13" s="293">
        <f>1*(AND(BL$7&gt;'CapEx Budget'!$M$7,BL7&lt;='CapEx Budget'!$M$16))</f>
        <v>0</v>
      </c>
      <c r="BM13" s="293">
        <f>1*(AND(BM$7&gt;'CapEx Budget'!$M$7,BM7&lt;='CapEx Budget'!$M$16))</f>
        <v>0</v>
      </c>
      <c r="BN13" s="293">
        <f>1*(AND(BN$7&gt;'CapEx Budget'!$M$7,BN7&lt;='CapEx Budget'!$M$16))</f>
        <v>0</v>
      </c>
      <c r="BO13" s="293">
        <f>1*(AND(BO$7&gt;'CapEx Budget'!$M$7,BO7&lt;='CapEx Budget'!$M$16))</f>
        <v>0</v>
      </c>
      <c r="BP13" s="293">
        <f>1*(AND(BP$7&gt;'CapEx Budget'!$M$7,BP7&lt;='CapEx Budget'!$M$16))</f>
        <v>0</v>
      </c>
      <c r="BQ13" s="293">
        <f>1*(AND(BQ$7&gt;'CapEx Budget'!$M$7,BQ7&lt;='CapEx Budget'!$M$16))</f>
        <v>0</v>
      </c>
      <c r="BR13" s="293">
        <f>1*(AND(BR$7&gt;'CapEx Budget'!$M$7,BR7&lt;='CapEx Budget'!$M$16))</f>
        <v>0</v>
      </c>
      <c r="BS13" s="293">
        <f>1*(AND(BS$7&gt;'CapEx Budget'!$M$7,BS7&lt;='CapEx Budget'!$M$16))</f>
        <v>0</v>
      </c>
      <c r="BT13" s="293">
        <f>1*(AND(BT$7&gt;'CapEx Budget'!$M$7,BT7&lt;='CapEx Budget'!$M$16))</f>
        <v>0</v>
      </c>
      <c r="BU13" s="293">
        <f>1*(AND(BU$7&gt;'CapEx Budget'!$M$7,BU7&lt;='CapEx Budget'!$M$16))</f>
        <v>0</v>
      </c>
      <c r="BV13" s="293">
        <f>1*(AND(BV$7&gt;'CapEx Budget'!$M$7,BV7&lt;='CapEx Budget'!$M$16))</f>
        <v>0</v>
      </c>
      <c r="BW13" s="293">
        <f>1*(AND(BW$7&gt;'CapEx Budget'!$M$7,BW7&lt;='CapEx Budget'!$M$16))</f>
        <v>0</v>
      </c>
      <c r="BX13" s="293">
        <f>1*(AND(BX$7&gt;'CapEx Budget'!$M$7,BX7&lt;='CapEx Budget'!$M$16))</f>
        <v>0</v>
      </c>
      <c r="BY13" s="293">
        <f>1*(AND(BY$7&gt;'CapEx Budget'!$M$7,BY7&lt;='CapEx Budget'!$M$16))</f>
        <v>0</v>
      </c>
      <c r="BZ13" s="293">
        <f>1*(AND(BZ$7&gt;'CapEx Budget'!$M$7,BZ7&lt;='CapEx Budget'!$M$16))</f>
        <v>0</v>
      </c>
      <c r="CA13" s="293">
        <f>1*(AND(CA$7&gt;'CapEx Budget'!$M$7,CA7&lt;='CapEx Budget'!$M$16))</f>
        <v>0</v>
      </c>
      <c r="CB13" s="293">
        <f>1*(AND(CB$7&gt;'CapEx Budget'!$M$7,CB7&lt;='CapEx Budget'!$M$16))</f>
        <v>0</v>
      </c>
      <c r="CC13" s="293">
        <f>1*(AND(CC$7&gt;'CapEx Budget'!$M$7,CC7&lt;='CapEx Budget'!$M$16))</f>
        <v>0</v>
      </c>
      <c r="CD13" s="293">
        <f>1*(AND(CD$7&gt;'CapEx Budget'!$M$7,CD7&lt;='CapEx Budget'!$M$16))</f>
        <v>0</v>
      </c>
      <c r="CE13" s="293">
        <f>1*(AND(CE$7&gt;'CapEx Budget'!$M$7,CE7&lt;='CapEx Budget'!$M$16))</f>
        <v>0</v>
      </c>
      <c r="CF13" s="293">
        <f>1*(AND(CF$7&gt;'CapEx Budget'!$M$7,CF7&lt;='CapEx Budget'!$M$16))</f>
        <v>0</v>
      </c>
      <c r="CG13" s="293">
        <f>1*(AND(CG$7&gt;'CapEx Budget'!$M$7,CG7&lt;='CapEx Budget'!$M$16))</f>
        <v>0</v>
      </c>
      <c r="CH13" s="293">
        <f>1*(AND(CH$7&gt;'CapEx Budget'!$M$7,CH7&lt;='CapEx Budget'!$M$16))</f>
        <v>0</v>
      </c>
      <c r="CI13" s="293">
        <f>1*(AND(CI$7&gt;'CapEx Budget'!$M$7,CI7&lt;='CapEx Budget'!$M$16))</f>
        <v>0</v>
      </c>
      <c r="CJ13" s="293">
        <f>1*(AND(CJ$7&gt;'CapEx Budget'!$M$7,CJ7&lt;='CapEx Budget'!$M$16))</f>
        <v>0</v>
      </c>
      <c r="CK13" s="293">
        <f>1*(AND(CK$7&gt;'CapEx Budget'!$M$7,CK7&lt;='CapEx Budget'!$M$16))</f>
        <v>0</v>
      </c>
      <c r="CL13" s="293">
        <f>1*(AND(CL$7&gt;'CapEx Budget'!$M$7,CL7&lt;='CapEx Budget'!$M$16))</f>
        <v>0</v>
      </c>
      <c r="CM13" s="293">
        <f>1*(AND(CM$7&gt;'CapEx Budget'!$M$7,CM7&lt;='CapEx Budget'!$M$16))</f>
        <v>0</v>
      </c>
      <c r="CN13" s="293">
        <f>1*(AND(CN$7&gt;'CapEx Budget'!$M$7,CN7&lt;='CapEx Budget'!$M$16))</f>
        <v>0</v>
      </c>
      <c r="CO13" s="293">
        <f>1*(AND(CO$7&gt;'CapEx Budget'!$M$7,CO7&lt;='CapEx Budget'!$M$16))</f>
        <v>0</v>
      </c>
      <c r="CP13" s="293">
        <f>1*(AND(CP$7&gt;'CapEx Budget'!$M$7,CP7&lt;='CapEx Budget'!$M$16))</f>
        <v>0</v>
      </c>
      <c r="CQ13" s="293">
        <f>1*(AND(CQ$7&gt;'CapEx Budget'!$M$7,CQ7&lt;='CapEx Budget'!$M$16))</f>
        <v>0</v>
      </c>
      <c r="CR13" s="293">
        <f>1*(AND(CR$7&gt;'CapEx Budget'!$M$7,CR7&lt;='CapEx Budget'!$M$16))</f>
        <v>0</v>
      </c>
      <c r="CS13" s="293">
        <f>1*(AND(CS$7&gt;'CapEx Budget'!$M$7,CS7&lt;='CapEx Budget'!$M$16))</f>
        <v>0</v>
      </c>
      <c r="CT13" s="293">
        <f>1*(AND(CT$7&gt;'CapEx Budget'!$M$7,CT7&lt;='CapEx Budget'!$M$16))</f>
        <v>0</v>
      </c>
      <c r="CU13" s="293">
        <f>1*(AND(CU$7&gt;'CapEx Budget'!$M$7,CU7&lt;='CapEx Budget'!$M$16))</f>
        <v>0</v>
      </c>
      <c r="CV13" s="293">
        <f>1*(AND(CV$7&gt;'CapEx Budget'!$M$7,CV7&lt;='CapEx Budget'!$M$16))</f>
        <v>0</v>
      </c>
      <c r="CW13" s="293">
        <f>1*(AND(CW$7&gt;'CapEx Budget'!$M$7,CW7&lt;='CapEx Budget'!$M$16))</f>
        <v>0</v>
      </c>
      <c r="CX13" s="293">
        <f>1*(AND(CX$7&gt;'CapEx Budget'!$M$7,CX7&lt;='CapEx Budget'!$M$16))</f>
        <v>0</v>
      </c>
      <c r="CY13" s="293">
        <f>1*(AND(CY$7&gt;'CapEx Budget'!$M$7,CY7&lt;='CapEx Budget'!$M$16))</f>
        <v>0</v>
      </c>
      <c r="CZ13" s="293">
        <f>1*(AND(CZ$7&gt;'CapEx Budget'!$M$7,CZ7&lt;='CapEx Budget'!$M$16))</f>
        <v>0</v>
      </c>
      <c r="DA13" s="293">
        <f>1*(AND(DA$7&gt;'CapEx Budget'!$M$7,DA7&lt;='CapEx Budget'!$M$16))</f>
        <v>0</v>
      </c>
      <c r="DB13" s="293">
        <f>1*(AND(DB$7&gt;'CapEx Budget'!$M$7,DB7&lt;='CapEx Budget'!$M$16))</f>
        <v>0</v>
      </c>
      <c r="DC13" s="293">
        <f>1*(AND(DC$7&gt;'CapEx Budget'!$M$7,DC7&lt;='CapEx Budget'!$M$16))</f>
        <v>0</v>
      </c>
      <c r="DD13" s="293">
        <f>1*(AND(DD$7&gt;'CapEx Budget'!$M$7,DD7&lt;='CapEx Budget'!$M$16))</f>
        <v>0</v>
      </c>
      <c r="DE13" s="293">
        <f>1*(AND(DE$7&gt;'CapEx Budget'!$M$7,DE7&lt;='CapEx Budget'!$M$16))</f>
        <v>0</v>
      </c>
      <c r="DF13" s="293">
        <f>1*(AND(DF$7&gt;'CapEx Budget'!$M$7,DF7&lt;='CapEx Budget'!$M$16))</f>
        <v>0</v>
      </c>
      <c r="DG13" s="293">
        <f>1*(AND(DG$7&gt;'CapEx Budget'!$M$7,DG7&lt;='CapEx Budget'!$M$16))</f>
        <v>0</v>
      </c>
      <c r="DH13" s="293">
        <f>1*(AND(DH$7&gt;'CapEx Budget'!$M$7,DH7&lt;='CapEx Budget'!$M$16))</f>
        <v>0</v>
      </c>
      <c r="DI13" s="293">
        <f>1*(AND(DI$7&gt;'CapEx Budget'!$M$7,DI7&lt;='CapEx Budget'!$M$16))</f>
        <v>0</v>
      </c>
      <c r="DJ13" s="293">
        <f>1*(AND(DJ$7&gt;'CapEx Budget'!$M$7,DJ7&lt;='CapEx Budget'!$M$16))</f>
        <v>0</v>
      </c>
      <c r="DK13" s="293">
        <f>1*(AND(DK$7&gt;'CapEx Budget'!$M$7,DK7&lt;='CapEx Budget'!$M$16))</f>
        <v>0</v>
      </c>
      <c r="DL13" s="293">
        <f>1*(AND(DL$7&gt;'CapEx Budget'!$M$7,DL7&lt;='CapEx Budget'!$M$16))</f>
        <v>0</v>
      </c>
      <c r="DM13" s="293">
        <f>1*(AND(DM$7&gt;'CapEx Budget'!$M$7,DM7&lt;='CapEx Budget'!$M$16))</f>
        <v>0</v>
      </c>
      <c r="DN13" s="293">
        <f>1*(AND(DN$7&gt;'CapEx Budget'!$M$7,DN7&lt;='CapEx Budget'!$M$16))</f>
        <v>0</v>
      </c>
      <c r="DO13" s="293">
        <f>1*(AND(DO$7&gt;'CapEx Budget'!$M$7,DO7&lt;='CapEx Budget'!$M$16))</f>
        <v>0</v>
      </c>
      <c r="DP13" s="293">
        <f>1*(AND(DP$7&gt;'CapEx Budget'!$M$7,DP7&lt;='CapEx Budget'!$M$16))</f>
        <v>0</v>
      </c>
      <c r="DQ13" s="293">
        <f>1*(AND(DQ$7&gt;'CapEx Budget'!$M$7,DQ7&lt;='CapEx Budget'!$M$16))</f>
        <v>0</v>
      </c>
      <c r="DR13" s="293">
        <f>1*(AND(DR$7&gt;'CapEx Budget'!$M$7,DR7&lt;='CapEx Budget'!$M$16))</f>
        <v>0</v>
      </c>
      <c r="DS13" s="293">
        <f>1*(AND(DS$7&gt;'CapEx Budget'!$M$7,DS7&lt;='CapEx Budget'!$M$16))</f>
        <v>0</v>
      </c>
      <c r="DT13" s="293">
        <f>1*(AND(DT$7&gt;'CapEx Budget'!$M$7,DT7&lt;='CapEx Budget'!$M$16))</f>
        <v>0</v>
      </c>
      <c r="DU13" s="293">
        <f>1*(AND(DU$7&gt;'CapEx Budget'!$M$7,DU7&lt;='CapEx Budget'!$M$16))</f>
        <v>0</v>
      </c>
      <c r="DV13" s="293">
        <f>1*(AND(DV$7&gt;'CapEx Budget'!$M$7,DV7&lt;='CapEx Budget'!$M$16))</f>
        <v>0</v>
      </c>
      <c r="DW13" s="293">
        <f>1*(AND(DW$7&gt;'CapEx Budget'!$M$7,DW7&lt;='CapEx Budget'!$M$16))</f>
        <v>0</v>
      </c>
      <c r="DX13" s="293">
        <f>1*(AND(DX$7&gt;'CapEx Budget'!$M$7,DX7&lt;='CapEx Budget'!$M$16))</f>
        <v>0</v>
      </c>
      <c r="DY13" s="293">
        <f>1*(AND(DY$7&gt;'CapEx Budget'!$M$7,DY7&lt;='CapEx Budget'!$M$16))</f>
        <v>0</v>
      </c>
    </row>
    <row r="14" spans="1:129" s="3" customFormat="1" ht="11.7" customHeight="1" x14ac:dyDescent="0.25">
      <c r="B14" s="125" t="s">
        <v>167</v>
      </c>
      <c r="C14" s="125"/>
      <c r="H14" s="322">
        <f>+SUM(I14:DY14)</f>
        <v>25</v>
      </c>
      <c r="I14" s="293">
        <f>1*(AND(I$7&gt;'CapEx Budget'!$M$16,I$7&lt;=Inputs!$K$81))</f>
        <v>0</v>
      </c>
      <c r="J14" s="293">
        <f>1*(AND(J$7&gt;'CapEx Budget'!$M$16,J$7&lt;=Inputs!$K$81))</f>
        <v>0</v>
      </c>
      <c r="K14" s="293">
        <f>1*(AND(K$7&gt;'CapEx Budget'!$M$16,K$7&lt;=Inputs!$K$81))</f>
        <v>0</v>
      </c>
      <c r="L14" s="293">
        <f>1*(AND(L$7&gt;'CapEx Budget'!$M$16,L$7&lt;=Inputs!$K$81))</f>
        <v>0</v>
      </c>
      <c r="M14" s="293">
        <f>1*(AND(M$7&gt;'CapEx Budget'!$M$16,M$7&lt;=Inputs!$K$81))</f>
        <v>0</v>
      </c>
      <c r="N14" s="293">
        <f>1*(AND(N$7&gt;'CapEx Budget'!$M$16,N$7&lt;=Inputs!$K$81))</f>
        <v>0</v>
      </c>
      <c r="O14" s="293">
        <f>1*(AND(O$7&gt;'CapEx Budget'!$M$16,O$7&lt;=Inputs!$K$81))</f>
        <v>0</v>
      </c>
      <c r="P14" s="293">
        <f>1*(AND(P$7&gt;'CapEx Budget'!$M$16,P$7&lt;=Inputs!$K$81))</f>
        <v>0</v>
      </c>
      <c r="Q14" s="293">
        <f>1*(AND(Q$7&gt;'CapEx Budget'!$M$16,Q$7&lt;=Inputs!$K$81))</f>
        <v>0</v>
      </c>
      <c r="R14" s="293">
        <f>1*(AND(R$7&gt;'CapEx Budget'!$M$16,R$7&lt;=Inputs!$K$81))</f>
        <v>0</v>
      </c>
      <c r="S14" s="293">
        <f>1*(AND(S$7&gt;'CapEx Budget'!$M$16,S$7&lt;=Inputs!$K$81))</f>
        <v>0</v>
      </c>
      <c r="T14" s="293">
        <f>1*(AND(T$7&gt;'CapEx Budget'!$M$16,T$7&lt;=Inputs!$K$81))</f>
        <v>0</v>
      </c>
      <c r="U14" s="293">
        <f>1*(AND(U$7&gt;'CapEx Budget'!$M$16,U$7&lt;=Inputs!$K$81))</f>
        <v>0</v>
      </c>
      <c r="V14" s="293">
        <f>1*(AND(V$7&gt;'CapEx Budget'!$M$16,V$7&lt;=Inputs!$K$81))</f>
        <v>0</v>
      </c>
      <c r="W14" s="293">
        <f>1*(AND(W$7&gt;'CapEx Budget'!$M$16,W$7&lt;=Inputs!$K$81))</f>
        <v>0</v>
      </c>
      <c r="X14" s="293">
        <f>1*(AND(X$7&gt;'CapEx Budget'!$M$16,X$7&lt;=Inputs!$K$81))</f>
        <v>0</v>
      </c>
      <c r="Y14" s="293">
        <f>1*(AND(Y$7&gt;'CapEx Budget'!$M$16,Y$7&lt;=Inputs!$K$81))</f>
        <v>0</v>
      </c>
      <c r="Z14" s="293">
        <f>1*(AND(Z$7&gt;'CapEx Budget'!$M$16,Z$7&lt;=Inputs!$K$81))</f>
        <v>0</v>
      </c>
      <c r="AA14" s="293">
        <f>1*(AND(AA$7&gt;'CapEx Budget'!$M$16,AA$7&lt;=Inputs!$K$81))</f>
        <v>0</v>
      </c>
      <c r="AB14" s="293">
        <f>1*(AND(AB$7&gt;'CapEx Budget'!$M$16,AB$7&lt;=Inputs!$K$81))</f>
        <v>0</v>
      </c>
      <c r="AC14" s="293">
        <f>1*(AND(AC$7&gt;'CapEx Budget'!$M$16,AC$7&lt;=Inputs!$K$81))</f>
        <v>0</v>
      </c>
      <c r="AD14" s="293">
        <f>1*(AND(AD$7&gt;'CapEx Budget'!$M$16,AD$7&lt;=Inputs!$K$81))</f>
        <v>0</v>
      </c>
      <c r="AE14" s="293">
        <f>1*(AND(AE$7&gt;'CapEx Budget'!$M$16,AE$7&lt;=Inputs!$K$81))</f>
        <v>0</v>
      </c>
      <c r="AF14" s="293">
        <f>1*(AND(AF$7&gt;'CapEx Budget'!$M$16,AF$7&lt;=Inputs!$K$81))</f>
        <v>0</v>
      </c>
      <c r="AG14" s="293">
        <f>1*(AND(AG$7&gt;'CapEx Budget'!$M$16,AG$7&lt;=Inputs!$K$81))</f>
        <v>0</v>
      </c>
      <c r="AH14" s="293">
        <f>1*(AND(AH$7&gt;'CapEx Budget'!$M$16,AH$7&lt;=Inputs!$K$81))</f>
        <v>0</v>
      </c>
      <c r="AI14" s="293">
        <f>1*(AND(AI$7&gt;'CapEx Budget'!$M$16,AI$7&lt;=Inputs!$K$81))</f>
        <v>0</v>
      </c>
      <c r="AJ14" s="293">
        <f>1*(AND(AJ$7&gt;'CapEx Budget'!$M$16,AJ$7&lt;=Inputs!$K$81))</f>
        <v>0</v>
      </c>
      <c r="AK14" s="293">
        <f>1*(AND(AK$7&gt;'CapEx Budget'!$M$16,AK$7&lt;=Inputs!$K$81))</f>
        <v>0</v>
      </c>
      <c r="AL14" s="293">
        <f>1*(AND(AL$7&gt;'CapEx Budget'!$M$16,AL$7&lt;=Inputs!$K$81))</f>
        <v>0</v>
      </c>
      <c r="AM14" s="293">
        <f>1*(AND(AM$7&gt;'CapEx Budget'!$M$16,AM$7&lt;=Inputs!$K$81))</f>
        <v>0</v>
      </c>
      <c r="AN14" s="293">
        <f>1*(AND(AN$7&gt;'CapEx Budget'!$M$16,AN$7&lt;=Inputs!$K$81))</f>
        <v>0</v>
      </c>
      <c r="AO14" s="293">
        <f>1*(AND(AO$7&gt;'CapEx Budget'!$M$16,AO$7&lt;=Inputs!$K$81))</f>
        <v>0</v>
      </c>
      <c r="AP14" s="293">
        <f>1*(AND(AP$7&gt;'CapEx Budget'!$M$16,AP$7&lt;=Inputs!$K$81))</f>
        <v>0</v>
      </c>
      <c r="AQ14" s="293">
        <f>1*(AND(AQ$7&gt;'CapEx Budget'!$M$16,AQ$7&lt;=Inputs!$K$81))</f>
        <v>0</v>
      </c>
      <c r="AR14" s="293">
        <f>1*(AND(AR$7&gt;'CapEx Budget'!$M$16,AR$7&lt;=Inputs!$K$81))</f>
        <v>0</v>
      </c>
      <c r="AS14" s="293">
        <f>1*(AND(AS$7&gt;'CapEx Budget'!$M$16,AS$7&lt;=Inputs!$K$81))</f>
        <v>0</v>
      </c>
      <c r="AT14" s="293">
        <f>1*(AND(AT$7&gt;'CapEx Budget'!$M$16,AT$7&lt;=Inputs!$K$81))</f>
        <v>0</v>
      </c>
      <c r="AU14" s="293">
        <f>1*(AND(AU$7&gt;'CapEx Budget'!$M$16,AU$7&lt;=Inputs!$K$81))</f>
        <v>0</v>
      </c>
      <c r="AV14" s="293">
        <f>1*(AND(AV$7&gt;'CapEx Budget'!$M$16,AV$7&lt;=Inputs!$K$81))</f>
        <v>0</v>
      </c>
      <c r="AW14" s="293">
        <f>1*(AND(AW$7&gt;'CapEx Budget'!$M$16,AW$7&lt;=Inputs!$K$81))</f>
        <v>0</v>
      </c>
      <c r="AX14" s="293">
        <f>1*(AND(AX$7&gt;'CapEx Budget'!$M$16,AX$7&lt;=Inputs!$K$81))</f>
        <v>0</v>
      </c>
      <c r="AY14" s="293">
        <f>1*(AND(AY$7&gt;'CapEx Budget'!$M$16,AY$7&lt;=Inputs!$K$81))</f>
        <v>0</v>
      </c>
      <c r="AZ14" s="293">
        <f>1*(AND(AZ$7&gt;'CapEx Budget'!$M$16,AZ$7&lt;=Inputs!$K$81))</f>
        <v>0</v>
      </c>
      <c r="BA14" s="293">
        <f>1*(AND(BA$7&gt;'CapEx Budget'!$M$16,BA$7&lt;=Inputs!$K$81))</f>
        <v>0</v>
      </c>
      <c r="BB14" s="293">
        <f>1*(AND(BB$7&gt;'CapEx Budget'!$M$16,BB$7&lt;=Inputs!$K$81))</f>
        <v>0</v>
      </c>
      <c r="BC14" s="293">
        <f>1*(AND(BC$7&gt;'CapEx Budget'!$M$16,BC$7&lt;=Inputs!$K$81))</f>
        <v>0</v>
      </c>
      <c r="BD14" s="293">
        <f>1*(AND(BD$7&gt;'CapEx Budget'!$M$16,BD$7&lt;=Inputs!$K$81))</f>
        <v>0</v>
      </c>
      <c r="BE14" s="293">
        <f>1*(AND(BE$7&gt;'CapEx Budget'!$M$16,BE$7&lt;=Inputs!$K$81))</f>
        <v>0</v>
      </c>
      <c r="BF14" s="293">
        <f>1*(AND(BF$7&gt;'CapEx Budget'!$M$16,BF$7&lt;=Inputs!$K$81))</f>
        <v>0</v>
      </c>
      <c r="BG14" s="293">
        <f>1*(AND(BG$7&gt;'CapEx Budget'!$M$16,BG$7&lt;=Inputs!$K$81))</f>
        <v>0</v>
      </c>
      <c r="BH14" s="293">
        <f>1*(AND(BH$7&gt;'CapEx Budget'!$M$16,BH$7&lt;=Inputs!$K$81))</f>
        <v>1</v>
      </c>
      <c r="BI14" s="293">
        <f>1*(AND(BI$7&gt;'CapEx Budget'!$M$16,BI$7&lt;=Inputs!$K$81))</f>
        <v>1</v>
      </c>
      <c r="BJ14" s="293">
        <f>1*(AND(BJ$7&gt;'CapEx Budget'!$M$16,BJ$7&lt;=Inputs!$K$81))</f>
        <v>1</v>
      </c>
      <c r="BK14" s="293">
        <f>1*(AND(BK$7&gt;'CapEx Budget'!$M$16,BK$7&lt;=Inputs!$K$81))</f>
        <v>1</v>
      </c>
      <c r="BL14" s="293">
        <f>1*(AND(BL$7&gt;'CapEx Budget'!$M$16,BL$7&lt;=Inputs!$K$81))</f>
        <v>1</v>
      </c>
      <c r="BM14" s="293">
        <f>1*(AND(BM$7&gt;'CapEx Budget'!$M$16,BM$7&lt;=Inputs!$K$81))</f>
        <v>1</v>
      </c>
      <c r="BN14" s="293">
        <f>1*(AND(BN$7&gt;'CapEx Budget'!$M$16,BN$7&lt;=Inputs!$K$81))</f>
        <v>1</v>
      </c>
      <c r="BO14" s="293">
        <f>1*(AND(BO$7&gt;'CapEx Budget'!$M$16,BO$7&lt;=Inputs!$K$81))</f>
        <v>1</v>
      </c>
      <c r="BP14" s="293">
        <f>1*(AND(BP$7&gt;'CapEx Budget'!$M$16,BP$7&lt;=Inputs!$K$81))</f>
        <v>1</v>
      </c>
      <c r="BQ14" s="293">
        <f>1*(AND(BQ$7&gt;'CapEx Budget'!$M$16,BQ$7&lt;=Inputs!$K$81))</f>
        <v>1</v>
      </c>
      <c r="BR14" s="293">
        <f>1*(AND(BR$7&gt;'CapEx Budget'!$M$16,BR$7&lt;=Inputs!$K$81))</f>
        <v>1</v>
      </c>
      <c r="BS14" s="293">
        <f>1*(AND(BS$7&gt;'CapEx Budget'!$M$16,BS$7&lt;=Inputs!$K$81))</f>
        <v>1</v>
      </c>
      <c r="BT14" s="293">
        <f>1*(AND(BT$7&gt;'CapEx Budget'!$M$16,BT$7&lt;=Inputs!$K$81))</f>
        <v>1</v>
      </c>
      <c r="BU14" s="293">
        <f>1*(AND(BU$7&gt;'CapEx Budget'!$M$16,BU$7&lt;=Inputs!$K$81))</f>
        <v>1</v>
      </c>
      <c r="BV14" s="293">
        <f>1*(AND(BV$7&gt;'CapEx Budget'!$M$16,BV$7&lt;=Inputs!$K$81))</f>
        <v>1</v>
      </c>
      <c r="BW14" s="293">
        <f>1*(AND(BW$7&gt;'CapEx Budget'!$M$16,BW$7&lt;=Inputs!$K$81))</f>
        <v>1</v>
      </c>
      <c r="BX14" s="293">
        <f>1*(AND(BX$7&gt;'CapEx Budget'!$M$16,BX$7&lt;=Inputs!$K$81))</f>
        <v>1</v>
      </c>
      <c r="BY14" s="293">
        <f>1*(AND(BY$7&gt;'CapEx Budget'!$M$16,BY$7&lt;=Inputs!$K$81))</f>
        <v>1</v>
      </c>
      <c r="BZ14" s="293">
        <f>1*(AND(BZ$7&gt;'CapEx Budget'!$M$16,BZ$7&lt;=Inputs!$K$81))</f>
        <v>1</v>
      </c>
      <c r="CA14" s="293">
        <f>1*(AND(CA$7&gt;'CapEx Budget'!$M$16,CA$7&lt;=Inputs!$K$81))</f>
        <v>1</v>
      </c>
      <c r="CB14" s="293">
        <f>1*(AND(CB$7&gt;'CapEx Budget'!$M$16,CB$7&lt;=Inputs!$K$81))</f>
        <v>1</v>
      </c>
      <c r="CC14" s="293">
        <f>1*(AND(CC$7&gt;'CapEx Budget'!$M$16,CC$7&lt;=Inputs!$K$81))</f>
        <v>1</v>
      </c>
      <c r="CD14" s="293">
        <f>1*(AND(CD$7&gt;'CapEx Budget'!$M$16,CD$7&lt;=Inputs!$K$81))</f>
        <v>1</v>
      </c>
      <c r="CE14" s="293">
        <f>1*(AND(CE$7&gt;'CapEx Budget'!$M$16,CE$7&lt;=Inputs!$K$81))</f>
        <v>1</v>
      </c>
      <c r="CF14" s="293">
        <f>1*(AND(CF$7&gt;'CapEx Budget'!$M$16,CF$7&lt;=Inputs!$K$81))</f>
        <v>1</v>
      </c>
      <c r="CG14" s="293">
        <f>1*(AND(CG$7&gt;'CapEx Budget'!$M$16,CG$7&lt;=Inputs!$K$81))</f>
        <v>0</v>
      </c>
      <c r="CH14" s="293">
        <f>1*(AND(CH$7&gt;'CapEx Budget'!$M$16,CH$7&lt;=Inputs!$K$81))</f>
        <v>0</v>
      </c>
      <c r="CI14" s="293">
        <f>1*(AND(CI$7&gt;'CapEx Budget'!$M$16,CI$7&lt;=Inputs!$K$81))</f>
        <v>0</v>
      </c>
      <c r="CJ14" s="293">
        <f>1*(AND(CJ$7&gt;'CapEx Budget'!$M$16,CJ$7&lt;=Inputs!$K$81))</f>
        <v>0</v>
      </c>
      <c r="CK14" s="293">
        <f>1*(AND(CK$7&gt;'CapEx Budget'!$M$16,CK$7&lt;=Inputs!$K$81))</f>
        <v>0</v>
      </c>
      <c r="CL14" s="293">
        <f>1*(AND(CL$7&gt;'CapEx Budget'!$M$16,CL$7&lt;=Inputs!$K$81))</f>
        <v>0</v>
      </c>
      <c r="CM14" s="293">
        <f>1*(AND(CM$7&gt;'CapEx Budget'!$M$16,CM$7&lt;=Inputs!$K$81))</f>
        <v>0</v>
      </c>
      <c r="CN14" s="293">
        <f>1*(AND(CN$7&gt;'CapEx Budget'!$M$16,CN$7&lt;=Inputs!$K$81))</f>
        <v>0</v>
      </c>
      <c r="CO14" s="293">
        <f>1*(AND(CO$7&gt;'CapEx Budget'!$M$16,CO$7&lt;=Inputs!$K$81))</f>
        <v>0</v>
      </c>
      <c r="CP14" s="293">
        <f>1*(AND(CP$7&gt;'CapEx Budget'!$M$16,CP$7&lt;=Inputs!$K$81))</f>
        <v>0</v>
      </c>
      <c r="CQ14" s="293">
        <f>1*(AND(CQ$7&gt;'CapEx Budget'!$M$16,CQ$7&lt;=Inputs!$K$81))</f>
        <v>0</v>
      </c>
      <c r="CR14" s="293">
        <f>1*(AND(CR$7&gt;'CapEx Budget'!$M$16,CR$7&lt;=Inputs!$K$81))</f>
        <v>0</v>
      </c>
      <c r="CS14" s="293">
        <f>1*(AND(CS$7&gt;'CapEx Budget'!$M$16,CS$7&lt;=Inputs!$K$81))</f>
        <v>0</v>
      </c>
      <c r="CT14" s="293">
        <f>1*(AND(CT$7&gt;'CapEx Budget'!$M$16,CT$7&lt;=Inputs!$K$81))</f>
        <v>0</v>
      </c>
      <c r="CU14" s="293">
        <f>1*(AND(CU$7&gt;'CapEx Budget'!$M$16,CU$7&lt;=Inputs!$K$81))</f>
        <v>0</v>
      </c>
      <c r="CV14" s="293">
        <f>1*(AND(CV$7&gt;'CapEx Budget'!$M$16,CV$7&lt;=Inputs!$K$81))</f>
        <v>0</v>
      </c>
      <c r="CW14" s="293">
        <f>1*(AND(CW$7&gt;'CapEx Budget'!$M$16,CW$7&lt;=Inputs!$K$81))</f>
        <v>0</v>
      </c>
      <c r="CX14" s="293">
        <f>1*(AND(CX$7&gt;'CapEx Budget'!$M$16,CX$7&lt;=Inputs!$K$81))</f>
        <v>0</v>
      </c>
      <c r="CY14" s="293">
        <f>1*(AND(CY$7&gt;'CapEx Budget'!$M$16,CY$7&lt;=Inputs!$K$81))</f>
        <v>0</v>
      </c>
      <c r="CZ14" s="293">
        <f>1*(AND(CZ$7&gt;'CapEx Budget'!$M$16,CZ$7&lt;=Inputs!$K$81))</f>
        <v>0</v>
      </c>
      <c r="DA14" s="293">
        <f>1*(AND(DA$7&gt;'CapEx Budget'!$M$16,DA$7&lt;=Inputs!$K$81))</f>
        <v>0</v>
      </c>
      <c r="DB14" s="293">
        <f>1*(AND(DB$7&gt;'CapEx Budget'!$M$16,DB$7&lt;=Inputs!$K$81))</f>
        <v>0</v>
      </c>
      <c r="DC14" s="293">
        <f>1*(AND(DC$7&gt;'CapEx Budget'!$M$16,DC$7&lt;=Inputs!$K$81))</f>
        <v>0</v>
      </c>
      <c r="DD14" s="293">
        <f>1*(AND(DD$7&gt;'CapEx Budget'!$M$16,DD$7&lt;=Inputs!$K$81))</f>
        <v>0</v>
      </c>
      <c r="DE14" s="293">
        <f>1*(AND(DE$7&gt;'CapEx Budget'!$M$16,DE$7&lt;=Inputs!$K$81))</f>
        <v>0</v>
      </c>
      <c r="DF14" s="293">
        <f>1*(AND(DF$7&gt;'CapEx Budget'!$M$16,DF$7&lt;=Inputs!$K$81))</f>
        <v>0</v>
      </c>
      <c r="DG14" s="293">
        <f>1*(AND(DG$7&gt;'CapEx Budget'!$M$16,DG$7&lt;=Inputs!$K$81))</f>
        <v>0</v>
      </c>
      <c r="DH14" s="293">
        <f>1*(AND(DH$7&gt;'CapEx Budget'!$M$16,DH$7&lt;=Inputs!$K$81))</f>
        <v>0</v>
      </c>
      <c r="DI14" s="293">
        <f>1*(AND(DI$7&gt;'CapEx Budget'!$M$16,DI$7&lt;=Inputs!$K$81))</f>
        <v>0</v>
      </c>
      <c r="DJ14" s="293">
        <f>1*(AND(DJ$7&gt;'CapEx Budget'!$M$16,DJ$7&lt;=Inputs!$K$81))</f>
        <v>0</v>
      </c>
      <c r="DK14" s="293">
        <f>1*(AND(DK$7&gt;'CapEx Budget'!$M$16,DK$7&lt;=Inputs!$K$81))</f>
        <v>0</v>
      </c>
      <c r="DL14" s="293">
        <f>1*(AND(DL$7&gt;'CapEx Budget'!$M$16,DL$7&lt;=Inputs!$K$81))</f>
        <v>0</v>
      </c>
      <c r="DM14" s="293">
        <f>1*(AND(DM$7&gt;'CapEx Budget'!$M$16,DM$7&lt;=Inputs!$K$81))</f>
        <v>0</v>
      </c>
      <c r="DN14" s="293">
        <f>1*(AND(DN$7&gt;'CapEx Budget'!$M$16,DN$7&lt;=Inputs!$K$81))</f>
        <v>0</v>
      </c>
      <c r="DO14" s="293">
        <f>1*(AND(DO$7&gt;'CapEx Budget'!$M$16,DO$7&lt;=Inputs!$K$81))</f>
        <v>0</v>
      </c>
      <c r="DP14" s="293">
        <f>1*(AND(DP$7&gt;'CapEx Budget'!$M$16,DP$7&lt;=Inputs!$K$81))</f>
        <v>0</v>
      </c>
      <c r="DQ14" s="293">
        <f>1*(AND(DQ$7&gt;'CapEx Budget'!$M$16,DQ$7&lt;=Inputs!$K$81))</f>
        <v>0</v>
      </c>
      <c r="DR14" s="293">
        <f>1*(AND(DR$7&gt;'CapEx Budget'!$M$16,DR$7&lt;=Inputs!$K$81))</f>
        <v>0</v>
      </c>
      <c r="DS14" s="293">
        <f>1*(AND(DS$7&gt;'CapEx Budget'!$M$16,DS$7&lt;=Inputs!$K$81))</f>
        <v>0</v>
      </c>
      <c r="DT14" s="293">
        <f>1*(AND(DT$7&gt;'CapEx Budget'!$M$16,DT$7&lt;=Inputs!$K$81))</f>
        <v>0</v>
      </c>
      <c r="DU14" s="293">
        <f>1*(AND(DU$7&gt;'CapEx Budget'!$M$16,DU$7&lt;=Inputs!$K$81))</f>
        <v>0</v>
      </c>
      <c r="DV14" s="293">
        <f>1*(AND(DV$7&gt;'CapEx Budget'!$M$16,DV$7&lt;=Inputs!$K$81))</f>
        <v>0</v>
      </c>
      <c r="DW14" s="293">
        <f>1*(AND(DW$7&gt;'CapEx Budget'!$M$16,DW$7&lt;=Inputs!$K$81))</f>
        <v>0</v>
      </c>
      <c r="DX14" s="293">
        <f>1*(AND(DX$7&gt;'CapEx Budget'!$M$16,DX$7&lt;=Inputs!$K$81))</f>
        <v>0</v>
      </c>
      <c r="DY14" s="293">
        <f>1*(AND(DY$7&gt;'CapEx Budget'!$M$16,DY$7&lt;=Inputs!$K$81))</f>
        <v>0</v>
      </c>
    </row>
    <row r="15" spans="1:129" s="3" customFormat="1" ht="11.7" customHeight="1" x14ac:dyDescent="0.3">
      <c r="B15" s="5"/>
      <c r="C15" s="5"/>
      <c r="G15" s="66"/>
      <c r="H15" s="66"/>
      <c r="I15" s="111"/>
      <c r="J15" s="111"/>
      <c r="K15" s="111"/>
      <c r="L15" s="111"/>
      <c r="M15" s="111"/>
      <c r="N15" s="111"/>
      <c r="O15" s="111"/>
      <c r="P15" s="111"/>
      <c r="Q15" s="111"/>
      <c r="R15" s="111"/>
      <c r="S15" s="111"/>
      <c r="T15" s="111"/>
      <c r="U15" s="111"/>
      <c r="V15" s="111"/>
      <c r="W15" s="111"/>
      <c r="X15" s="111"/>
      <c r="Y15" s="111"/>
      <c r="Z15" s="111"/>
      <c r="AA15" s="111"/>
      <c r="AB15" s="111"/>
      <c r="AC15" s="111"/>
      <c r="AD15" s="111"/>
      <c r="AE15" s="111"/>
      <c r="AF15" s="111"/>
      <c r="AG15" s="111"/>
      <c r="AH15" s="111"/>
      <c r="AI15" s="111"/>
      <c r="AJ15" s="111"/>
      <c r="AK15" s="111"/>
      <c r="AL15" s="111"/>
      <c r="AM15" s="111"/>
      <c r="AN15" s="111"/>
      <c r="AO15" s="111"/>
      <c r="AP15" s="111"/>
      <c r="AQ15" s="111"/>
      <c r="AR15" s="111"/>
      <c r="AS15" s="111"/>
      <c r="AT15" s="111"/>
      <c r="AU15" s="111"/>
      <c r="AV15" s="111"/>
      <c r="AW15" s="111"/>
      <c r="AX15" s="111"/>
      <c r="AY15" s="111"/>
      <c r="AZ15" s="111"/>
      <c r="BA15" s="111"/>
      <c r="BB15" s="111"/>
      <c r="BC15" s="111"/>
      <c r="BD15" s="111"/>
      <c r="BE15" s="111"/>
      <c r="BF15" s="111"/>
      <c r="BG15" s="111"/>
      <c r="BH15" s="111"/>
      <c r="BI15" s="111"/>
      <c r="BJ15" s="111"/>
      <c r="BK15" s="111"/>
      <c r="BL15" s="111"/>
      <c r="BM15" s="111"/>
      <c r="BN15" s="111"/>
      <c r="BO15" s="111"/>
      <c r="BP15" s="111"/>
      <c r="BQ15" s="111"/>
      <c r="BR15" s="111"/>
      <c r="BS15" s="111"/>
      <c r="BT15" s="111"/>
      <c r="BU15" s="111"/>
      <c r="BV15" s="111"/>
      <c r="BW15" s="111"/>
      <c r="BX15" s="111"/>
      <c r="BY15" s="111"/>
      <c r="BZ15" s="111"/>
      <c r="CA15" s="111"/>
      <c r="CB15" s="111"/>
      <c r="CC15" s="111"/>
      <c r="CD15" s="111"/>
      <c r="CE15" s="111"/>
      <c r="CF15" s="111"/>
      <c r="CG15" s="111"/>
      <c r="CH15" s="111"/>
      <c r="CI15" s="111"/>
      <c r="CJ15" s="111"/>
      <c r="CK15" s="111"/>
      <c r="CL15" s="111"/>
      <c r="CM15" s="111"/>
      <c r="CN15" s="111"/>
      <c r="CO15" s="111"/>
      <c r="CP15" s="111"/>
      <c r="CQ15" s="111"/>
      <c r="CR15" s="111"/>
      <c r="CS15" s="111"/>
      <c r="CT15" s="111"/>
      <c r="CU15" s="111"/>
      <c r="CV15" s="111"/>
      <c r="CW15" s="111"/>
      <c r="CX15" s="111"/>
      <c r="CY15" s="111"/>
      <c r="CZ15" s="111"/>
      <c r="DA15" s="111"/>
      <c r="DB15" s="111"/>
      <c r="DC15" s="111"/>
      <c r="DD15" s="111"/>
      <c r="DE15" s="111"/>
      <c r="DF15" s="111"/>
      <c r="DG15" s="111"/>
      <c r="DH15" s="111"/>
      <c r="DI15" s="111"/>
      <c r="DJ15" s="111"/>
      <c r="DK15" s="111"/>
      <c r="DL15" s="111"/>
      <c r="DM15" s="111"/>
      <c r="DN15" s="111"/>
      <c r="DO15" s="111"/>
      <c r="DP15" s="111"/>
      <c r="DQ15" s="111"/>
      <c r="DR15" s="111"/>
      <c r="DS15" s="111"/>
      <c r="DT15" s="111"/>
      <c r="DU15" s="111"/>
      <c r="DV15" s="111"/>
      <c r="DW15" s="111"/>
      <c r="DX15" s="111"/>
      <c r="DY15" s="111"/>
    </row>
    <row r="16" spans="1:129" s="3" customFormat="1" ht="11.7" customHeight="1" x14ac:dyDescent="0.3">
      <c r="B16" s="313" t="s">
        <v>103</v>
      </c>
      <c r="C16" s="313"/>
      <c r="D16" s="314"/>
      <c r="E16" s="314"/>
      <c r="F16" s="314"/>
      <c r="G16" s="315"/>
      <c r="H16" s="315"/>
      <c r="I16" s="316"/>
      <c r="J16" s="316"/>
      <c r="K16" s="316"/>
      <c r="L16" s="316"/>
      <c r="M16" s="316"/>
      <c r="N16" s="316"/>
      <c r="O16" s="316"/>
      <c r="P16" s="316"/>
      <c r="Q16" s="316"/>
      <c r="R16" s="316"/>
      <c r="S16" s="316"/>
      <c r="T16" s="316"/>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c r="AS16" s="316"/>
      <c r="AT16" s="316"/>
      <c r="AU16" s="316"/>
      <c r="AV16" s="316"/>
      <c r="AW16" s="316"/>
      <c r="AX16" s="316"/>
      <c r="AY16" s="316"/>
      <c r="AZ16" s="316"/>
      <c r="BA16" s="316"/>
      <c r="BB16" s="316"/>
      <c r="BC16" s="316"/>
      <c r="BD16" s="316"/>
      <c r="BE16" s="316"/>
      <c r="BF16" s="316"/>
      <c r="BG16" s="316"/>
      <c r="BH16" s="316"/>
      <c r="BI16" s="316"/>
      <c r="BJ16" s="316"/>
      <c r="BK16" s="316"/>
      <c r="BL16" s="316"/>
      <c r="BM16" s="316"/>
      <c r="BN16" s="316"/>
      <c r="BO16" s="316"/>
      <c r="BP16" s="316"/>
      <c r="BQ16" s="316"/>
      <c r="BR16" s="316"/>
      <c r="BS16" s="316"/>
      <c r="BT16" s="316"/>
      <c r="BU16" s="316"/>
      <c r="BV16" s="316"/>
      <c r="BW16" s="316"/>
      <c r="BX16" s="316"/>
      <c r="BY16" s="316"/>
      <c r="BZ16" s="316"/>
      <c r="CA16" s="316"/>
      <c r="CB16" s="316"/>
      <c r="CC16" s="316"/>
      <c r="CD16" s="316"/>
      <c r="CE16" s="316"/>
      <c r="CF16" s="316"/>
      <c r="CG16" s="316"/>
      <c r="CH16" s="316"/>
      <c r="CI16" s="316"/>
      <c r="CJ16" s="316"/>
      <c r="CK16" s="316"/>
      <c r="CL16" s="316"/>
      <c r="CM16" s="316"/>
      <c r="CN16" s="316"/>
      <c r="CO16" s="316"/>
      <c r="CP16" s="316"/>
      <c r="CQ16" s="316"/>
      <c r="CR16" s="316"/>
      <c r="CS16" s="316"/>
      <c r="CT16" s="316"/>
      <c r="CU16" s="316"/>
      <c r="CV16" s="316"/>
      <c r="CW16" s="316"/>
      <c r="CX16" s="316"/>
      <c r="CY16" s="316"/>
      <c r="CZ16" s="316"/>
      <c r="DA16" s="316"/>
      <c r="DB16" s="316"/>
      <c r="DC16" s="316"/>
      <c r="DD16" s="316"/>
      <c r="DE16" s="316"/>
      <c r="DF16" s="316"/>
      <c r="DG16" s="316"/>
      <c r="DH16" s="316"/>
      <c r="DI16" s="316"/>
      <c r="DJ16" s="316"/>
      <c r="DK16" s="316"/>
      <c r="DL16" s="316"/>
      <c r="DM16" s="316"/>
      <c r="DN16" s="316"/>
      <c r="DO16" s="316"/>
      <c r="DP16" s="316"/>
      <c r="DQ16" s="316"/>
      <c r="DR16" s="316"/>
      <c r="DS16" s="316"/>
      <c r="DT16" s="316"/>
      <c r="DU16" s="316"/>
      <c r="DV16" s="316"/>
      <c r="DW16" s="316"/>
      <c r="DX16" s="316"/>
      <c r="DY16" s="316"/>
    </row>
    <row r="17" spans="2:129" s="3" customFormat="1" ht="11.7" customHeight="1" outlineLevel="1" x14ac:dyDescent="0.3">
      <c r="B17" s="5"/>
      <c r="C17" s="5"/>
      <c r="G17" s="66"/>
      <c r="H17" s="66"/>
      <c r="I17" s="111"/>
      <c r="J17" s="111"/>
      <c r="K17" s="111"/>
      <c r="L17" s="111"/>
      <c r="M17" s="111"/>
      <c r="N17" s="111"/>
      <c r="O17" s="111"/>
      <c r="P17" s="111"/>
      <c r="Q17" s="111"/>
      <c r="R17" s="111"/>
      <c r="S17" s="111"/>
      <c r="T17" s="111"/>
      <c r="U17" s="111"/>
      <c r="V17" s="111"/>
      <c r="W17" s="111"/>
      <c r="X17" s="111"/>
      <c r="Y17" s="111"/>
      <c r="Z17" s="111"/>
      <c r="AA17" s="111"/>
      <c r="AB17" s="111"/>
      <c r="AC17" s="111"/>
      <c r="AD17" s="111"/>
      <c r="AE17" s="111"/>
      <c r="AF17" s="111"/>
      <c r="AG17" s="111"/>
      <c r="AH17" s="111"/>
      <c r="AI17" s="111"/>
      <c r="AJ17" s="111"/>
      <c r="AK17" s="111"/>
      <c r="AL17" s="111"/>
      <c r="AM17" s="111"/>
      <c r="AN17" s="111"/>
      <c r="AO17" s="111"/>
      <c r="AP17" s="111"/>
      <c r="AQ17" s="111"/>
      <c r="AR17" s="111"/>
      <c r="AS17" s="111"/>
      <c r="AT17" s="111"/>
      <c r="AU17" s="111"/>
      <c r="AV17" s="111"/>
      <c r="AW17" s="111"/>
      <c r="AX17" s="111"/>
      <c r="AY17" s="111"/>
      <c r="AZ17" s="111"/>
      <c r="BA17" s="111"/>
      <c r="BB17" s="111"/>
      <c r="BC17" s="111"/>
      <c r="BD17" s="111"/>
      <c r="BE17" s="111"/>
      <c r="BF17" s="111"/>
      <c r="BG17" s="111"/>
      <c r="BH17" s="111"/>
      <c r="BI17" s="111"/>
      <c r="BJ17" s="111"/>
      <c r="BK17" s="111"/>
      <c r="BL17" s="111"/>
      <c r="BM17" s="111"/>
      <c r="BN17" s="111"/>
      <c r="BO17" s="111"/>
      <c r="BP17" s="111"/>
      <c r="BQ17" s="111"/>
      <c r="BR17" s="111"/>
      <c r="BS17" s="111"/>
      <c r="BT17" s="111"/>
      <c r="BU17" s="111"/>
      <c r="BV17" s="111"/>
      <c r="BW17" s="111"/>
      <c r="BX17" s="111"/>
      <c r="BY17" s="111"/>
      <c r="BZ17" s="111"/>
      <c r="CA17" s="111"/>
      <c r="CB17" s="111"/>
      <c r="CC17" s="111"/>
      <c r="CD17" s="111"/>
      <c r="CE17" s="111"/>
      <c r="CF17" s="111"/>
      <c r="CG17" s="111"/>
      <c r="CH17" s="111"/>
      <c r="CI17" s="111"/>
      <c r="CJ17" s="111"/>
      <c r="CK17" s="111"/>
      <c r="CL17" s="111"/>
      <c r="CM17" s="111"/>
      <c r="CN17" s="111"/>
      <c r="CO17" s="111"/>
      <c r="CP17" s="111"/>
      <c r="CQ17" s="111"/>
      <c r="CR17" s="111"/>
      <c r="CS17" s="111"/>
      <c r="CT17" s="111"/>
      <c r="CU17" s="111"/>
      <c r="CV17" s="111"/>
      <c r="CW17" s="111"/>
      <c r="CX17" s="111"/>
      <c r="CY17" s="111"/>
      <c r="CZ17" s="111"/>
      <c r="DA17" s="111"/>
      <c r="DB17" s="111"/>
      <c r="DC17" s="111"/>
      <c r="DD17" s="111"/>
      <c r="DE17" s="111"/>
      <c r="DF17" s="111"/>
      <c r="DG17" s="111"/>
      <c r="DH17" s="111"/>
      <c r="DI17" s="111"/>
      <c r="DJ17" s="111"/>
      <c r="DK17" s="111"/>
      <c r="DL17" s="111"/>
      <c r="DM17" s="111"/>
      <c r="DN17" s="111"/>
      <c r="DO17" s="111"/>
      <c r="DP17" s="111"/>
      <c r="DQ17" s="111"/>
      <c r="DR17" s="111"/>
      <c r="DS17" s="111"/>
      <c r="DT17" s="111"/>
      <c r="DU17" s="111"/>
      <c r="DV17" s="111"/>
      <c r="DW17" s="111"/>
      <c r="DX17" s="111"/>
      <c r="DY17" s="111"/>
    </row>
    <row r="18" spans="2:129" s="3" customFormat="1" ht="11.7" customHeight="1" outlineLevel="1" x14ac:dyDescent="0.3">
      <c r="B18" s="5" t="s">
        <v>669</v>
      </c>
      <c r="C18" s="5"/>
      <c r="G18" s="66"/>
      <c r="H18" s="66"/>
      <c r="I18" s="111"/>
      <c r="J18" s="111"/>
      <c r="K18" s="111"/>
      <c r="L18" s="111"/>
      <c r="M18" s="111"/>
      <c r="N18" s="111"/>
      <c r="O18" s="111"/>
      <c r="P18" s="111"/>
      <c r="Q18" s="111"/>
      <c r="R18" s="111"/>
      <c r="S18" s="111"/>
      <c r="T18" s="111"/>
      <c r="U18" s="111"/>
      <c r="V18" s="111"/>
      <c r="W18" s="111"/>
      <c r="X18" s="111"/>
      <c r="Y18" s="111"/>
      <c r="Z18" s="111"/>
      <c r="AA18" s="111"/>
      <c r="AB18" s="111"/>
      <c r="AC18" s="111"/>
      <c r="AD18" s="111"/>
      <c r="AE18" s="111"/>
      <c r="AF18" s="111"/>
      <c r="AG18" s="111"/>
      <c r="AH18" s="111"/>
      <c r="AI18" s="111"/>
      <c r="AJ18" s="111"/>
      <c r="AK18" s="111"/>
      <c r="AL18" s="111"/>
      <c r="AM18" s="111"/>
      <c r="AN18" s="111"/>
      <c r="AO18" s="111"/>
      <c r="AP18" s="111"/>
      <c r="AQ18" s="111"/>
      <c r="AR18" s="111"/>
      <c r="AS18" s="111"/>
      <c r="AT18" s="111"/>
      <c r="AU18" s="111"/>
      <c r="AV18" s="111"/>
      <c r="AW18" s="111"/>
      <c r="AX18" s="111"/>
      <c r="AY18" s="111"/>
      <c r="AZ18" s="111"/>
      <c r="BA18" s="111"/>
      <c r="BB18" s="111"/>
      <c r="BC18" s="111"/>
      <c r="BD18" s="111"/>
      <c r="BE18" s="111"/>
      <c r="BF18" s="111"/>
      <c r="BG18" s="111"/>
      <c r="BH18" s="111"/>
      <c r="BI18" s="111"/>
      <c r="BJ18" s="111"/>
      <c r="BK18" s="111"/>
      <c r="BL18" s="111"/>
      <c r="BM18" s="111"/>
      <c r="BN18" s="111"/>
      <c r="BO18" s="111"/>
      <c r="BP18" s="111"/>
      <c r="BQ18" s="111"/>
      <c r="BR18" s="111"/>
      <c r="BS18" s="111"/>
      <c r="BT18" s="111"/>
      <c r="BU18" s="111"/>
      <c r="BV18" s="111"/>
      <c r="BW18" s="111"/>
      <c r="BX18" s="111"/>
      <c r="BY18" s="111"/>
      <c r="BZ18" s="111"/>
      <c r="CA18" s="111"/>
      <c r="CB18" s="111"/>
      <c r="CC18" s="111"/>
      <c r="CD18" s="111"/>
      <c r="CE18" s="111"/>
      <c r="CF18" s="111"/>
      <c r="CG18" s="111"/>
      <c r="CH18" s="111"/>
      <c r="CI18" s="111"/>
      <c r="CJ18" s="111"/>
      <c r="CK18" s="111"/>
      <c r="CL18" s="111"/>
      <c r="CM18" s="111"/>
      <c r="CN18" s="111"/>
      <c r="CO18" s="111"/>
      <c r="CP18" s="111"/>
      <c r="CQ18" s="111"/>
      <c r="CR18" s="111"/>
      <c r="CS18" s="111"/>
      <c r="CT18" s="111"/>
      <c r="CU18" s="111"/>
      <c r="CV18" s="111"/>
      <c r="CW18" s="111"/>
      <c r="CX18" s="111"/>
      <c r="CY18" s="111"/>
      <c r="CZ18" s="111"/>
      <c r="DA18" s="111"/>
      <c r="DB18" s="111"/>
      <c r="DC18" s="111"/>
      <c r="DD18" s="111"/>
      <c r="DE18" s="111"/>
      <c r="DF18" s="111"/>
      <c r="DG18" s="111"/>
      <c r="DH18" s="111"/>
      <c r="DI18" s="111"/>
      <c r="DJ18" s="111"/>
      <c r="DK18" s="111"/>
      <c r="DL18" s="111"/>
      <c r="DM18" s="111"/>
      <c r="DN18" s="111"/>
      <c r="DO18" s="111"/>
      <c r="DP18" s="111"/>
      <c r="DQ18" s="111"/>
      <c r="DR18" s="111"/>
      <c r="DS18" s="111"/>
      <c r="DT18" s="111"/>
      <c r="DU18" s="111"/>
      <c r="DV18" s="111"/>
      <c r="DW18" s="111"/>
      <c r="DX18" s="111"/>
      <c r="DY18" s="111"/>
    </row>
    <row r="19" spans="2:129" s="3" customFormat="1" ht="11.7" customHeight="1" outlineLevel="1" x14ac:dyDescent="0.3">
      <c r="B19" s="112" t="s">
        <v>43</v>
      </c>
      <c r="C19" s="112"/>
      <c r="D19" s="66" t="s">
        <v>62</v>
      </c>
      <c r="E19" s="66" t="s">
        <v>458</v>
      </c>
      <c r="F19" s="66"/>
      <c r="G19" s="66"/>
      <c r="H19" s="66"/>
      <c r="I19" s="111"/>
      <c r="J19" s="111"/>
      <c r="K19" s="111"/>
      <c r="L19" s="111"/>
      <c r="M19" s="111"/>
      <c r="N19" s="111"/>
      <c r="O19" s="111"/>
      <c r="P19" s="111"/>
      <c r="Q19" s="111"/>
      <c r="R19" s="111"/>
      <c r="S19" s="111"/>
      <c r="T19" s="111"/>
      <c r="U19" s="111"/>
      <c r="V19" s="111"/>
      <c r="W19" s="111"/>
      <c r="X19" s="111"/>
      <c r="Y19" s="111"/>
      <c r="Z19" s="111"/>
      <c r="AA19" s="111"/>
      <c r="AB19" s="111"/>
      <c r="AC19" s="111"/>
      <c r="AD19" s="111"/>
      <c r="AE19" s="111"/>
      <c r="AF19" s="111"/>
      <c r="AG19" s="111"/>
      <c r="AH19" s="111"/>
      <c r="AI19" s="111"/>
      <c r="AJ19" s="111"/>
      <c r="AK19" s="111"/>
      <c r="AL19" s="111"/>
      <c r="AM19" s="111"/>
      <c r="AN19" s="111"/>
      <c r="AO19" s="111"/>
      <c r="AP19" s="111"/>
      <c r="AQ19" s="111"/>
      <c r="AR19" s="111"/>
      <c r="AS19" s="111"/>
      <c r="AT19" s="111"/>
      <c r="AU19" s="111"/>
      <c r="AV19" s="111"/>
      <c r="AW19" s="111"/>
      <c r="AX19" s="111"/>
      <c r="AY19" s="111"/>
      <c r="AZ19" s="111"/>
      <c r="BA19" s="111"/>
      <c r="BB19" s="111"/>
      <c r="BC19" s="111"/>
      <c r="BD19" s="111"/>
      <c r="BE19" s="111"/>
      <c r="BF19" s="111"/>
      <c r="BG19" s="111"/>
      <c r="BH19" s="111"/>
      <c r="BI19" s="111"/>
      <c r="BJ19" s="111"/>
      <c r="BK19" s="111"/>
      <c r="BL19" s="111"/>
      <c r="BM19" s="111"/>
      <c r="BN19" s="111"/>
      <c r="BO19" s="111"/>
      <c r="BP19" s="111"/>
      <c r="BQ19" s="111"/>
      <c r="BR19" s="111"/>
      <c r="BS19" s="111"/>
      <c r="BT19" s="111"/>
      <c r="BU19" s="111"/>
      <c r="BV19" s="111"/>
      <c r="BW19" s="111"/>
      <c r="BX19" s="111"/>
      <c r="BY19" s="111"/>
      <c r="BZ19" s="111"/>
      <c r="CA19" s="111"/>
      <c r="CB19" s="111"/>
      <c r="CC19" s="111"/>
      <c r="CD19" s="111"/>
      <c r="CE19" s="111"/>
      <c r="CF19" s="111"/>
      <c r="CG19" s="111"/>
      <c r="CH19" s="111"/>
      <c r="CI19" s="111"/>
      <c r="CJ19" s="111"/>
      <c r="CK19" s="111"/>
      <c r="CL19" s="111"/>
      <c r="CM19" s="111"/>
      <c r="CN19" s="111"/>
      <c r="CO19" s="111"/>
      <c r="CP19" s="111"/>
      <c r="CQ19" s="111"/>
      <c r="CR19" s="111"/>
      <c r="CS19" s="111"/>
      <c r="CT19" s="111"/>
      <c r="CU19" s="111"/>
      <c r="CV19" s="111"/>
      <c r="CW19" s="111"/>
      <c r="CX19" s="111"/>
      <c r="CY19" s="111"/>
      <c r="CZ19" s="111"/>
      <c r="DA19" s="111"/>
      <c r="DB19" s="111"/>
      <c r="DC19" s="111"/>
      <c r="DD19" s="111"/>
      <c r="DE19" s="111"/>
      <c r="DF19" s="111"/>
      <c r="DG19" s="111"/>
      <c r="DH19" s="111"/>
      <c r="DI19" s="111"/>
      <c r="DJ19" s="111"/>
      <c r="DK19" s="111"/>
      <c r="DL19" s="111"/>
      <c r="DM19" s="111"/>
      <c r="DN19" s="111"/>
      <c r="DO19" s="111"/>
      <c r="DP19" s="111"/>
      <c r="DQ19" s="111"/>
      <c r="DR19" s="111"/>
      <c r="DS19" s="111"/>
      <c r="DT19" s="111"/>
      <c r="DU19" s="111"/>
      <c r="DV19" s="111"/>
      <c r="DW19" s="111"/>
      <c r="DX19" s="111"/>
      <c r="DY19" s="111"/>
    </row>
    <row r="20" spans="2:129" s="3" customFormat="1" ht="11.7" customHeight="1" outlineLevel="1" x14ac:dyDescent="0.25">
      <c r="B20" s="113" t="str">
        <f>+'CapEx Budget'!$B$33</f>
        <v>Land Cost</v>
      </c>
      <c r="C20" s="113"/>
      <c r="D20" s="289">
        <f>+'CapEx Budget'!$G$33</f>
        <v>148941.59999999948</v>
      </c>
      <c r="E20" s="292">
        <f>EOMONTH(Inputs!$K$91,1)</f>
        <v>44561</v>
      </c>
      <c r="F20" s="66"/>
      <c r="G20" s="290">
        <f t="shared" ref="G20:G33" si="22">+SUM(I20:DY20)</f>
        <v>-148941.6</v>
      </c>
      <c r="I20" s="300">
        <v>-148941.6</v>
      </c>
      <c r="J20" s="300">
        <v>0</v>
      </c>
      <c r="K20" s="300">
        <v>0</v>
      </c>
      <c r="L20" s="300">
        <v>0</v>
      </c>
      <c r="M20" s="300">
        <v>0</v>
      </c>
      <c r="N20" s="300">
        <v>0</v>
      </c>
      <c r="O20" s="300">
        <v>0</v>
      </c>
      <c r="P20" s="300">
        <v>0</v>
      </c>
      <c r="Q20" s="300">
        <v>0</v>
      </c>
      <c r="R20" s="300">
        <v>0</v>
      </c>
      <c r="S20" s="300">
        <v>0</v>
      </c>
      <c r="T20" s="300">
        <v>0</v>
      </c>
      <c r="U20" s="300">
        <v>0</v>
      </c>
      <c r="V20" s="300">
        <v>0</v>
      </c>
      <c r="W20" s="300">
        <v>0</v>
      </c>
      <c r="X20" s="300">
        <v>0</v>
      </c>
      <c r="Y20" s="300">
        <v>0</v>
      </c>
      <c r="Z20" s="300">
        <v>0</v>
      </c>
      <c r="AA20" s="300">
        <v>0</v>
      </c>
      <c r="AB20" s="300">
        <v>0</v>
      </c>
      <c r="AC20" s="300">
        <v>0</v>
      </c>
      <c r="AD20" s="300">
        <v>0</v>
      </c>
      <c r="AE20" s="300">
        <v>0</v>
      </c>
      <c r="AF20" s="300">
        <v>0</v>
      </c>
      <c r="AG20" s="300">
        <v>0</v>
      </c>
      <c r="AH20" s="300">
        <v>0</v>
      </c>
      <c r="AI20" s="300">
        <v>0</v>
      </c>
      <c r="AJ20" s="300">
        <v>0</v>
      </c>
      <c r="AK20" s="300">
        <v>0</v>
      </c>
      <c r="AL20" s="300">
        <v>0</v>
      </c>
      <c r="AM20" s="300">
        <v>0</v>
      </c>
      <c r="AN20" s="300">
        <v>0</v>
      </c>
      <c r="AO20" s="300">
        <v>0</v>
      </c>
      <c r="AP20" s="300">
        <v>0</v>
      </c>
      <c r="AQ20" s="300">
        <v>0</v>
      </c>
      <c r="AR20" s="300">
        <v>0</v>
      </c>
      <c r="AS20" s="300">
        <v>0</v>
      </c>
      <c r="AT20" s="300">
        <v>0</v>
      </c>
      <c r="AU20" s="300">
        <v>0</v>
      </c>
      <c r="AV20" s="300">
        <v>0</v>
      </c>
      <c r="AW20" s="300">
        <v>0</v>
      </c>
      <c r="AX20" s="300">
        <v>0</v>
      </c>
      <c r="AY20" s="300">
        <v>0</v>
      </c>
      <c r="AZ20" s="300">
        <v>0</v>
      </c>
      <c r="BA20" s="300">
        <v>0</v>
      </c>
      <c r="BB20" s="300">
        <v>0</v>
      </c>
      <c r="BC20" s="300">
        <v>0</v>
      </c>
      <c r="BD20" s="300">
        <v>0</v>
      </c>
      <c r="BE20" s="300">
        <v>0</v>
      </c>
      <c r="BF20" s="300">
        <v>0</v>
      </c>
      <c r="BG20" s="300">
        <v>0</v>
      </c>
      <c r="BH20" s="300">
        <v>0</v>
      </c>
      <c r="BI20" s="300">
        <v>0</v>
      </c>
      <c r="BJ20" s="300">
        <v>0</v>
      </c>
      <c r="BK20" s="300">
        <v>0</v>
      </c>
      <c r="BL20" s="300">
        <v>0</v>
      </c>
      <c r="BM20" s="300">
        <v>0</v>
      </c>
      <c r="BN20" s="300">
        <v>0</v>
      </c>
      <c r="BO20" s="300">
        <v>0</v>
      </c>
      <c r="BP20" s="300">
        <v>0</v>
      </c>
      <c r="BQ20" s="300">
        <v>0</v>
      </c>
      <c r="BR20" s="300">
        <v>0</v>
      </c>
      <c r="BS20" s="300">
        <v>0</v>
      </c>
      <c r="BT20" s="300">
        <v>0</v>
      </c>
      <c r="BU20" s="300">
        <v>0</v>
      </c>
      <c r="BV20" s="300">
        <v>0</v>
      </c>
      <c r="BW20" s="300">
        <v>0</v>
      </c>
      <c r="BX20" s="300">
        <v>0</v>
      </c>
      <c r="BY20" s="300">
        <v>0</v>
      </c>
      <c r="BZ20" s="300">
        <v>0</v>
      </c>
      <c r="CA20" s="300">
        <v>0</v>
      </c>
      <c r="CB20" s="300">
        <v>0</v>
      </c>
      <c r="CC20" s="300">
        <v>0</v>
      </c>
      <c r="CD20" s="300">
        <v>0</v>
      </c>
      <c r="CE20" s="300">
        <v>0</v>
      </c>
      <c r="CF20" s="300">
        <v>0</v>
      </c>
      <c r="CG20" s="300">
        <v>0</v>
      </c>
      <c r="CH20" s="300">
        <v>0</v>
      </c>
      <c r="CI20" s="300">
        <v>0</v>
      </c>
      <c r="CJ20" s="300">
        <v>0</v>
      </c>
      <c r="CK20" s="300">
        <v>0</v>
      </c>
      <c r="CL20" s="300">
        <v>0</v>
      </c>
      <c r="CM20" s="300">
        <v>0</v>
      </c>
      <c r="CN20" s="300">
        <v>0</v>
      </c>
      <c r="CO20" s="300">
        <v>0</v>
      </c>
      <c r="CP20" s="300">
        <v>0</v>
      </c>
      <c r="CQ20" s="300">
        <v>0</v>
      </c>
      <c r="CR20" s="300">
        <v>0</v>
      </c>
      <c r="CS20" s="300">
        <v>0</v>
      </c>
      <c r="CT20" s="300">
        <v>0</v>
      </c>
      <c r="CU20" s="300">
        <v>0</v>
      </c>
      <c r="CV20" s="300">
        <v>0</v>
      </c>
      <c r="CW20" s="300">
        <v>0</v>
      </c>
      <c r="CX20" s="300">
        <v>0</v>
      </c>
      <c r="CY20" s="300">
        <v>0</v>
      </c>
      <c r="CZ20" s="300">
        <v>0</v>
      </c>
      <c r="DA20" s="300">
        <v>0</v>
      </c>
      <c r="DB20" s="300">
        <v>0</v>
      </c>
      <c r="DC20" s="300">
        <v>0</v>
      </c>
      <c r="DD20" s="300">
        <v>0</v>
      </c>
      <c r="DE20" s="300">
        <v>0</v>
      </c>
      <c r="DF20" s="300">
        <v>0</v>
      </c>
      <c r="DG20" s="300">
        <v>0</v>
      </c>
      <c r="DH20" s="300">
        <v>0</v>
      </c>
      <c r="DI20" s="300">
        <v>0</v>
      </c>
      <c r="DJ20" s="300">
        <v>0</v>
      </c>
      <c r="DK20" s="300">
        <v>0</v>
      </c>
      <c r="DL20" s="300">
        <v>0</v>
      </c>
      <c r="DM20" s="300">
        <v>0</v>
      </c>
      <c r="DN20" s="300">
        <v>0</v>
      </c>
      <c r="DO20" s="300">
        <v>0</v>
      </c>
      <c r="DP20" s="300">
        <v>0</v>
      </c>
      <c r="DQ20" s="300">
        <v>0</v>
      </c>
      <c r="DR20" s="300">
        <v>0</v>
      </c>
      <c r="DS20" s="300">
        <v>0</v>
      </c>
      <c r="DT20" s="300">
        <v>0</v>
      </c>
      <c r="DU20" s="300">
        <v>0</v>
      </c>
      <c r="DV20" s="300">
        <v>0</v>
      </c>
      <c r="DW20" s="300">
        <v>0</v>
      </c>
      <c r="DX20" s="300">
        <v>0</v>
      </c>
      <c r="DY20" s="300">
        <v>0</v>
      </c>
    </row>
    <row r="21" spans="2:129" s="3" customFormat="1" ht="11.7" customHeight="1" outlineLevel="1" x14ac:dyDescent="0.25">
      <c r="B21" s="113" t="str">
        <f>+'CapEx Budget'!$B$34</f>
        <v>Appraisal</v>
      </c>
      <c r="C21" s="113"/>
      <c r="D21" s="289">
        <f>+'CapEx Budget'!$G$34</f>
        <v>78.793727310320463</v>
      </c>
      <c r="E21" s="292">
        <f>EOMONTH(Inputs!$K$91,1)</f>
        <v>44561</v>
      </c>
      <c r="F21" s="66"/>
      <c r="G21" s="290">
        <f t="shared" si="22"/>
        <v>-78.791977967191571</v>
      </c>
      <c r="I21" s="300">
        <v>0</v>
      </c>
      <c r="J21" s="300">
        <v>0</v>
      </c>
      <c r="K21" s="300">
        <v>0</v>
      </c>
      <c r="L21" s="300">
        <v>0</v>
      </c>
      <c r="M21" s="300">
        <v>0</v>
      </c>
      <c r="N21" s="300">
        <v>0</v>
      </c>
      <c r="O21" s="300">
        <v>0</v>
      </c>
      <c r="P21" s="300">
        <v>0</v>
      </c>
      <c r="Q21" s="300">
        <v>0</v>
      </c>
      <c r="R21" s="300">
        <v>0</v>
      </c>
      <c r="S21" s="300">
        <v>0</v>
      </c>
      <c r="T21" s="300">
        <v>0</v>
      </c>
      <c r="U21" s="300">
        <v>0</v>
      </c>
      <c r="V21" s="300">
        <v>0</v>
      </c>
      <c r="W21" s="300">
        <v>0</v>
      </c>
      <c r="X21" s="300">
        <v>0</v>
      </c>
      <c r="Y21" s="300">
        <v>0</v>
      </c>
      <c r="Z21" s="300">
        <v>0</v>
      </c>
      <c r="AA21" s="300">
        <v>0</v>
      </c>
      <c r="AB21" s="300">
        <v>0</v>
      </c>
      <c r="AC21" s="300">
        <v>0</v>
      </c>
      <c r="AD21" s="300">
        <v>-23.96</v>
      </c>
      <c r="AE21" s="300">
        <v>0</v>
      </c>
      <c r="AF21" s="300">
        <v>0</v>
      </c>
      <c r="AG21" s="300">
        <v>0</v>
      </c>
      <c r="AH21" s="300">
        <v>0</v>
      </c>
      <c r="AI21" s="300">
        <v>0</v>
      </c>
      <c r="AJ21" s="300">
        <v>0</v>
      </c>
      <c r="AK21" s="300">
        <v>0</v>
      </c>
      <c r="AL21" s="300">
        <v>0</v>
      </c>
      <c r="AM21" s="300">
        <v>0</v>
      </c>
      <c r="AN21" s="300">
        <v>0</v>
      </c>
      <c r="AO21" s="300">
        <v>0</v>
      </c>
      <c r="AP21" s="300">
        <v>0</v>
      </c>
      <c r="AQ21" s="300">
        <v>0</v>
      </c>
      <c r="AR21" s="300">
        <v>0</v>
      </c>
      <c r="AS21" s="300">
        <v>0</v>
      </c>
      <c r="AT21" s="300">
        <v>0</v>
      </c>
      <c r="AU21" s="300">
        <v>0</v>
      </c>
      <c r="AV21" s="300">
        <v>0</v>
      </c>
      <c r="AW21" s="300">
        <v>0</v>
      </c>
      <c r="AX21" s="300">
        <v>0</v>
      </c>
      <c r="AY21" s="300">
        <v>-29.885146654960135</v>
      </c>
      <c r="AZ21" s="300">
        <v>0</v>
      </c>
      <c r="BA21" s="300">
        <v>0</v>
      </c>
      <c r="BB21" s="300">
        <v>0</v>
      </c>
      <c r="BC21" s="300">
        <v>0</v>
      </c>
      <c r="BD21" s="300">
        <v>0</v>
      </c>
      <c r="BE21" s="300">
        <v>0</v>
      </c>
      <c r="BF21" s="300">
        <v>-24.946831312231438</v>
      </c>
      <c r="BG21" s="300">
        <v>0</v>
      </c>
      <c r="BH21" s="300">
        <v>0</v>
      </c>
      <c r="BI21" s="300">
        <v>0</v>
      </c>
      <c r="BJ21" s="300">
        <v>0</v>
      </c>
      <c r="BK21" s="300">
        <v>0</v>
      </c>
      <c r="BL21" s="300">
        <v>0</v>
      </c>
      <c r="BM21" s="300">
        <v>0</v>
      </c>
      <c r="BN21" s="300">
        <v>0</v>
      </c>
      <c r="BO21" s="300">
        <v>0</v>
      </c>
      <c r="BP21" s="300">
        <v>0</v>
      </c>
      <c r="BQ21" s="300">
        <v>0</v>
      </c>
      <c r="BR21" s="300">
        <v>0</v>
      </c>
      <c r="BS21" s="300">
        <v>0</v>
      </c>
      <c r="BT21" s="300">
        <v>0</v>
      </c>
      <c r="BU21" s="300">
        <v>0</v>
      </c>
      <c r="BV21" s="300">
        <v>0</v>
      </c>
      <c r="BW21" s="300">
        <v>0</v>
      </c>
      <c r="BX21" s="300">
        <v>0</v>
      </c>
      <c r="BY21" s="300">
        <v>0</v>
      </c>
      <c r="BZ21" s="300">
        <v>0</v>
      </c>
      <c r="CA21" s="300">
        <v>0</v>
      </c>
      <c r="CB21" s="300">
        <v>0</v>
      </c>
      <c r="CC21" s="300">
        <v>0</v>
      </c>
      <c r="CD21" s="300">
        <v>0</v>
      </c>
      <c r="CE21" s="300">
        <v>0</v>
      </c>
      <c r="CF21" s="300">
        <v>0</v>
      </c>
      <c r="CG21" s="300">
        <v>0</v>
      </c>
      <c r="CH21" s="300">
        <v>0</v>
      </c>
      <c r="CI21" s="300">
        <v>0</v>
      </c>
      <c r="CJ21" s="300">
        <v>0</v>
      </c>
      <c r="CK21" s="300">
        <v>0</v>
      </c>
      <c r="CL21" s="300">
        <v>0</v>
      </c>
      <c r="CM21" s="300">
        <v>0</v>
      </c>
      <c r="CN21" s="300">
        <v>0</v>
      </c>
      <c r="CO21" s="300">
        <v>0</v>
      </c>
      <c r="CP21" s="300">
        <v>0</v>
      </c>
      <c r="CQ21" s="300">
        <v>0</v>
      </c>
      <c r="CR21" s="300">
        <v>0</v>
      </c>
      <c r="CS21" s="300">
        <v>0</v>
      </c>
      <c r="CT21" s="300">
        <v>0</v>
      </c>
      <c r="CU21" s="300">
        <v>0</v>
      </c>
      <c r="CV21" s="300">
        <v>0</v>
      </c>
      <c r="CW21" s="300">
        <v>0</v>
      </c>
      <c r="CX21" s="300">
        <v>0</v>
      </c>
      <c r="CY21" s="300">
        <v>0</v>
      </c>
      <c r="CZ21" s="300">
        <v>0</v>
      </c>
      <c r="DA21" s="300">
        <v>0</v>
      </c>
      <c r="DB21" s="300">
        <v>0</v>
      </c>
      <c r="DC21" s="300">
        <v>0</v>
      </c>
      <c r="DD21" s="300">
        <v>0</v>
      </c>
      <c r="DE21" s="300">
        <v>0</v>
      </c>
      <c r="DF21" s="300">
        <v>0</v>
      </c>
      <c r="DG21" s="300">
        <v>0</v>
      </c>
      <c r="DH21" s="300">
        <v>0</v>
      </c>
      <c r="DI21" s="300">
        <v>0</v>
      </c>
      <c r="DJ21" s="300">
        <v>0</v>
      </c>
      <c r="DK21" s="300">
        <v>0</v>
      </c>
      <c r="DL21" s="300">
        <v>0</v>
      </c>
      <c r="DM21" s="300">
        <v>0</v>
      </c>
      <c r="DN21" s="300">
        <v>0</v>
      </c>
      <c r="DO21" s="300">
        <v>0</v>
      </c>
      <c r="DP21" s="300">
        <v>0</v>
      </c>
      <c r="DQ21" s="300">
        <v>0</v>
      </c>
      <c r="DR21" s="300">
        <v>0</v>
      </c>
      <c r="DS21" s="300">
        <v>0</v>
      </c>
      <c r="DT21" s="300">
        <v>0</v>
      </c>
      <c r="DU21" s="300">
        <v>0</v>
      </c>
      <c r="DV21" s="300">
        <v>0</v>
      </c>
      <c r="DW21" s="300">
        <v>0</v>
      </c>
      <c r="DX21" s="300">
        <v>0</v>
      </c>
      <c r="DY21" s="300">
        <v>0</v>
      </c>
    </row>
    <row r="22" spans="2:129" s="3" customFormat="1" ht="11.7" customHeight="1" outlineLevel="1" x14ac:dyDescent="0.25">
      <c r="B22" s="113" t="str">
        <f>+'CapEx Budget'!$B$35</f>
        <v>Brokerage commission</v>
      </c>
      <c r="C22" s="113"/>
      <c r="D22" s="289">
        <f>+'CapEx Budget'!G35</f>
        <v>2963.8068221862859</v>
      </c>
      <c r="E22" s="292">
        <f>EOMONTH(Inputs!$K$91,1)</f>
        <v>44561</v>
      </c>
      <c r="F22" s="66"/>
      <c r="G22" s="290">
        <f t="shared" si="22"/>
        <v>-2963.8068221862859</v>
      </c>
      <c r="I22" s="300">
        <v>0</v>
      </c>
      <c r="J22" s="300">
        <v>0</v>
      </c>
      <c r="K22" s="300">
        <v>0</v>
      </c>
      <c r="L22" s="300">
        <v>-2963.8068221862859</v>
      </c>
      <c r="M22" s="300">
        <v>0</v>
      </c>
      <c r="N22" s="300">
        <v>0</v>
      </c>
      <c r="O22" s="300">
        <v>0</v>
      </c>
      <c r="P22" s="300">
        <v>0</v>
      </c>
      <c r="Q22" s="300">
        <v>0</v>
      </c>
      <c r="R22" s="300">
        <v>0</v>
      </c>
      <c r="S22" s="300">
        <v>0</v>
      </c>
      <c r="T22" s="300">
        <v>0</v>
      </c>
      <c r="U22" s="300">
        <v>0</v>
      </c>
      <c r="V22" s="300">
        <v>0</v>
      </c>
      <c r="W22" s="300">
        <v>0</v>
      </c>
      <c r="X22" s="300">
        <v>0</v>
      </c>
      <c r="Y22" s="300">
        <v>0</v>
      </c>
      <c r="Z22" s="300">
        <v>0</v>
      </c>
      <c r="AA22" s="300">
        <v>0</v>
      </c>
      <c r="AB22" s="300">
        <v>0</v>
      </c>
      <c r="AC22" s="300">
        <v>0</v>
      </c>
      <c r="AD22" s="300">
        <v>0</v>
      </c>
      <c r="AE22" s="300">
        <v>0</v>
      </c>
      <c r="AF22" s="300">
        <v>0</v>
      </c>
      <c r="AG22" s="300">
        <v>0</v>
      </c>
      <c r="AH22" s="300">
        <v>0</v>
      </c>
      <c r="AI22" s="300">
        <v>0</v>
      </c>
      <c r="AJ22" s="300">
        <v>0</v>
      </c>
      <c r="AK22" s="300">
        <v>0</v>
      </c>
      <c r="AL22" s="300">
        <v>0</v>
      </c>
      <c r="AM22" s="300">
        <v>0</v>
      </c>
      <c r="AN22" s="300">
        <v>0</v>
      </c>
      <c r="AO22" s="300">
        <v>0</v>
      </c>
      <c r="AP22" s="300">
        <v>0</v>
      </c>
      <c r="AQ22" s="300">
        <v>0</v>
      </c>
      <c r="AR22" s="300">
        <v>0</v>
      </c>
      <c r="AS22" s="300">
        <v>0</v>
      </c>
      <c r="AT22" s="300">
        <v>0</v>
      </c>
      <c r="AU22" s="300">
        <v>0</v>
      </c>
      <c r="AV22" s="300">
        <v>0</v>
      </c>
      <c r="AW22" s="300">
        <v>0</v>
      </c>
      <c r="AX22" s="300">
        <v>0</v>
      </c>
      <c r="AY22" s="300">
        <v>0</v>
      </c>
      <c r="AZ22" s="300">
        <v>0</v>
      </c>
      <c r="BA22" s="300">
        <v>0</v>
      </c>
      <c r="BB22" s="300">
        <v>0</v>
      </c>
      <c r="BC22" s="300">
        <v>0</v>
      </c>
      <c r="BD22" s="300">
        <v>0</v>
      </c>
      <c r="BE22" s="300">
        <v>0</v>
      </c>
      <c r="BF22" s="300">
        <v>0</v>
      </c>
      <c r="BG22" s="300">
        <v>0</v>
      </c>
      <c r="BH22" s="300">
        <v>0</v>
      </c>
      <c r="BI22" s="300">
        <v>0</v>
      </c>
      <c r="BJ22" s="300">
        <v>0</v>
      </c>
      <c r="BK22" s="300">
        <v>0</v>
      </c>
      <c r="BL22" s="300">
        <v>0</v>
      </c>
      <c r="BM22" s="300">
        <v>0</v>
      </c>
      <c r="BN22" s="300">
        <v>0</v>
      </c>
      <c r="BO22" s="300">
        <v>0</v>
      </c>
      <c r="BP22" s="300">
        <v>0</v>
      </c>
      <c r="BQ22" s="300">
        <v>0</v>
      </c>
      <c r="BR22" s="300">
        <v>0</v>
      </c>
      <c r="BS22" s="300">
        <v>0</v>
      </c>
      <c r="BT22" s="300">
        <v>0</v>
      </c>
      <c r="BU22" s="300">
        <v>0</v>
      </c>
      <c r="BV22" s="300">
        <v>0</v>
      </c>
      <c r="BW22" s="300">
        <v>0</v>
      </c>
      <c r="BX22" s="300">
        <v>0</v>
      </c>
      <c r="BY22" s="300">
        <v>0</v>
      </c>
      <c r="BZ22" s="300">
        <v>0</v>
      </c>
      <c r="CA22" s="300">
        <v>0</v>
      </c>
      <c r="CB22" s="300">
        <v>0</v>
      </c>
      <c r="CC22" s="300">
        <v>0</v>
      </c>
      <c r="CD22" s="300">
        <v>0</v>
      </c>
      <c r="CE22" s="300">
        <v>0</v>
      </c>
      <c r="CF22" s="300">
        <v>0</v>
      </c>
      <c r="CG22" s="300">
        <v>0</v>
      </c>
      <c r="CH22" s="300">
        <v>0</v>
      </c>
      <c r="CI22" s="300">
        <v>0</v>
      </c>
      <c r="CJ22" s="300">
        <v>0</v>
      </c>
      <c r="CK22" s="300">
        <v>0</v>
      </c>
      <c r="CL22" s="300">
        <v>0</v>
      </c>
      <c r="CM22" s="300">
        <v>0</v>
      </c>
      <c r="CN22" s="300">
        <v>0</v>
      </c>
      <c r="CO22" s="300">
        <v>0</v>
      </c>
      <c r="CP22" s="300">
        <v>0</v>
      </c>
      <c r="CQ22" s="300">
        <v>0</v>
      </c>
      <c r="CR22" s="300">
        <v>0</v>
      </c>
      <c r="CS22" s="300">
        <v>0</v>
      </c>
      <c r="CT22" s="300">
        <v>0</v>
      </c>
      <c r="CU22" s="300">
        <v>0</v>
      </c>
      <c r="CV22" s="300">
        <v>0</v>
      </c>
      <c r="CW22" s="300">
        <v>0</v>
      </c>
      <c r="CX22" s="300">
        <v>0</v>
      </c>
      <c r="CY22" s="300">
        <v>0</v>
      </c>
      <c r="CZ22" s="300">
        <v>0</v>
      </c>
      <c r="DA22" s="300">
        <v>0</v>
      </c>
      <c r="DB22" s="300">
        <v>0</v>
      </c>
      <c r="DC22" s="300">
        <v>0</v>
      </c>
      <c r="DD22" s="300">
        <v>0</v>
      </c>
      <c r="DE22" s="300">
        <v>0</v>
      </c>
      <c r="DF22" s="300">
        <v>0</v>
      </c>
      <c r="DG22" s="300">
        <v>0</v>
      </c>
      <c r="DH22" s="300">
        <v>0</v>
      </c>
      <c r="DI22" s="300">
        <v>0</v>
      </c>
      <c r="DJ22" s="300">
        <v>0</v>
      </c>
      <c r="DK22" s="300">
        <v>0</v>
      </c>
      <c r="DL22" s="300">
        <v>0</v>
      </c>
      <c r="DM22" s="300">
        <v>0</v>
      </c>
      <c r="DN22" s="300">
        <v>0</v>
      </c>
      <c r="DO22" s="300">
        <v>0</v>
      </c>
      <c r="DP22" s="300">
        <v>0</v>
      </c>
      <c r="DQ22" s="300">
        <v>0</v>
      </c>
      <c r="DR22" s="300">
        <v>0</v>
      </c>
      <c r="DS22" s="300">
        <v>0</v>
      </c>
      <c r="DT22" s="300">
        <v>0</v>
      </c>
      <c r="DU22" s="300">
        <v>0</v>
      </c>
      <c r="DV22" s="300">
        <v>0</v>
      </c>
      <c r="DW22" s="300">
        <v>0</v>
      </c>
      <c r="DX22" s="300">
        <v>0</v>
      </c>
      <c r="DY22" s="300">
        <v>0</v>
      </c>
    </row>
    <row r="23" spans="2:129" s="3" customFormat="1" ht="11.7" customHeight="1" outlineLevel="1" x14ac:dyDescent="0.25">
      <c r="B23" s="113" t="str">
        <f>+'CapEx Budget'!$B$36</f>
        <v>Soil Mechanics Report</v>
      </c>
      <c r="C23" s="113"/>
      <c r="D23" s="289">
        <f>+'CapEx Budget'!$G$36</f>
        <v>626.03412449654195</v>
      </c>
      <c r="E23" s="292">
        <f>EOMONTH(Inputs!$K$91,1)</f>
        <v>44561</v>
      </c>
      <c r="F23" s="66"/>
      <c r="G23" s="290">
        <f t="shared" si="22"/>
        <v>-625.91685800116807</v>
      </c>
      <c r="I23" s="300">
        <v>0</v>
      </c>
      <c r="J23" s="300">
        <v>0</v>
      </c>
      <c r="K23" s="300">
        <v>0</v>
      </c>
      <c r="L23" s="300">
        <v>0</v>
      </c>
      <c r="M23" s="300">
        <v>0</v>
      </c>
      <c r="N23" s="300">
        <v>0</v>
      </c>
      <c r="O23" s="300">
        <v>0</v>
      </c>
      <c r="P23" s="300">
        <v>0</v>
      </c>
      <c r="Q23" s="300">
        <v>0</v>
      </c>
      <c r="R23" s="300">
        <v>-367.10599511543245</v>
      </c>
      <c r="S23" s="300">
        <v>0</v>
      </c>
      <c r="T23" s="300">
        <v>0</v>
      </c>
      <c r="U23" s="300">
        <v>0</v>
      </c>
      <c r="V23" s="300">
        <v>-59.639746396533049</v>
      </c>
      <c r="W23" s="300">
        <v>-99.775455911841874</v>
      </c>
      <c r="X23" s="300">
        <v>0</v>
      </c>
      <c r="Y23" s="300">
        <v>0</v>
      </c>
      <c r="Z23" s="300">
        <v>0</v>
      </c>
      <c r="AA23" s="300">
        <v>0</v>
      </c>
      <c r="AB23" s="300">
        <v>-51</v>
      </c>
      <c r="AC23" s="300">
        <v>0</v>
      </c>
      <c r="AD23" s="300">
        <v>-48.395660577360687</v>
      </c>
      <c r="AE23" s="300">
        <v>0</v>
      </c>
      <c r="AF23" s="300">
        <v>0</v>
      </c>
      <c r="AG23" s="300">
        <v>0</v>
      </c>
      <c r="AH23" s="300">
        <v>0</v>
      </c>
      <c r="AI23" s="300">
        <v>0</v>
      </c>
      <c r="AJ23" s="300">
        <v>0</v>
      </c>
      <c r="AK23" s="300">
        <v>0</v>
      </c>
      <c r="AL23" s="300">
        <v>0</v>
      </c>
      <c r="AM23" s="300">
        <v>0</v>
      </c>
      <c r="AN23" s="300">
        <v>0</v>
      </c>
      <c r="AO23" s="300">
        <v>0</v>
      </c>
      <c r="AP23" s="300">
        <v>0</v>
      </c>
      <c r="AQ23" s="300">
        <v>0</v>
      </c>
      <c r="AR23" s="300">
        <v>0</v>
      </c>
      <c r="AS23" s="300">
        <v>0</v>
      </c>
      <c r="AT23" s="300">
        <v>0</v>
      </c>
      <c r="AU23" s="300">
        <v>0</v>
      </c>
      <c r="AV23" s="300">
        <v>0</v>
      </c>
      <c r="AW23" s="300">
        <v>0</v>
      </c>
      <c r="AX23" s="300">
        <v>0</v>
      </c>
      <c r="AY23" s="300">
        <v>0</v>
      </c>
      <c r="AZ23" s="300">
        <v>0</v>
      </c>
      <c r="BA23" s="300">
        <v>0</v>
      </c>
      <c r="BB23" s="300">
        <v>0</v>
      </c>
      <c r="BC23" s="300">
        <v>0</v>
      </c>
      <c r="BD23" s="300">
        <v>0</v>
      </c>
      <c r="BE23" s="300">
        <v>0</v>
      </c>
      <c r="BF23" s="300">
        <v>0</v>
      </c>
      <c r="BG23" s="300">
        <v>0</v>
      </c>
      <c r="BH23" s="300">
        <v>0</v>
      </c>
      <c r="BI23" s="300">
        <v>0</v>
      </c>
      <c r="BJ23" s="300">
        <v>0</v>
      </c>
      <c r="BK23" s="300">
        <v>0</v>
      </c>
      <c r="BL23" s="300">
        <v>0</v>
      </c>
      <c r="BM23" s="300">
        <v>0</v>
      </c>
      <c r="BN23" s="300">
        <v>0</v>
      </c>
      <c r="BO23" s="300">
        <v>0</v>
      </c>
      <c r="BP23" s="300">
        <v>0</v>
      </c>
      <c r="BQ23" s="300">
        <v>0</v>
      </c>
      <c r="BR23" s="300">
        <v>0</v>
      </c>
      <c r="BS23" s="300">
        <v>0</v>
      </c>
      <c r="BT23" s="300">
        <v>0</v>
      </c>
      <c r="BU23" s="300">
        <v>0</v>
      </c>
      <c r="BV23" s="300">
        <v>0</v>
      </c>
      <c r="BW23" s="300">
        <v>0</v>
      </c>
      <c r="BX23" s="300">
        <v>0</v>
      </c>
      <c r="BY23" s="300">
        <v>0</v>
      </c>
      <c r="BZ23" s="300">
        <v>0</v>
      </c>
      <c r="CA23" s="300">
        <v>0</v>
      </c>
      <c r="CB23" s="300">
        <v>0</v>
      </c>
      <c r="CC23" s="300">
        <v>0</v>
      </c>
      <c r="CD23" s="300">
        <v>0</v>
      </c>
      <c r="CE23" s="300">
        <v>0</v>
      </c>
      <c r="CF23" s="300">
        <v>0</v>
      </c>
      <c r="CG23" s="300">
        <v>0</v>
      </c>
      <c r="CH23" s="300">
        <v>0</v>
      </c>
      <c r="CI23" s="300">
        <v>0</v>
      </c>
      <c r="CJ23" s="300">
        <v>0</v>
      </c>
      <c r="CK23" s="300">
        <v>0</v>
      </c>
      <c r="CL23" s="300">
        <v>0</v>
      </c>
      <c r="CM23" s="300">
        <v>0</v>
      </c>
      <c r="CN23" s="300">
        <v>0</v>
      </c>
      <c r="CO23" s="300">
        <v>0</v>
      </c>
      <c r="CP23" s="300">
        <v>0</v>
      </c>
      <c r="CQ23" s="300">
        <v>0</v>
      </c>
      <c r="CR23" s="300">
        <v>0</v>
      </c>
      <c r="CS23" s="300">
        <v>0</v>
      </c>
      <c r="CT23" s="300">
        <v>0</v>
      </c>
      <c r="CU23" s="300">
        <v>0</v>
      </c>
      <c r="CV23" s="300">
        <v>0</v>
      </c>
      <c r="CW23" s="300">
        <v>0</v>
      </c>
      <c r="CX23" s="300">
        <v>0</v>
      </c>
      <c r="CY23" s="300">
        <v>0</v>
      </c>
      <c r="CZ23" s="300">
        <v>0</v>
      </c>
      <c r="DA23" s="300">
        <v>0</v>
      </c>
      <c r="DB23" s="300">
        <v>0</v>
      </c>
      <c r="DC23" s="300">
        <v>0</v>
      </c>
      <c r="DD23" s="300">
        <v>0</v>
      </c>
      <c r="DE23" s="300">
        <v>0</v>
      </c>
      <c r="DF23" s="300">
        <v>0</v>
      </c>
      <c r="DG23" s="300">
        <v>0</v>
      </c>
      <c r="DH23" s="300">
        <v>0</v>
      </c>
      <c r="DI23" s="300">
        <v>0</v>
      </c>
      <c r="DJ23" s="300">
        <v>0</v>
      </c>
      <c r="DK23" s="300">
        <v>0</v>
      </c>
      <c r="DL23" s="300">
        <v>0</v>
      </c>
      <c r="DM23" s="300">
        <v>0</v>
      </c>
      <c r="DN23" s="300">
        <v>0</v>
      </c>
      <c r="DO23" s="300">
        <v>0</v>
      </c>
      <c r="DP23" s="300">
        <v>0</v>
      </c>
      <c r="DQ23" s="300">
        <v>0</v>
      </c>
      <c r="DR23" s="300">
        <v>0</v>
      </c>
      <c r="DS23" s="300">
        <v>0</v>
      </c>
      <c r="DT23" s="300">
        <v>0</v>
      </c>
      <c r="DU23" s="300">
        <v>0</v>
      </c>
      <c r="DV23" s="300">
        <v>0</v>
      </c>
      <c r="DW23" s="300">
        <v>0</v>
      </c>
      <c r="DX23" s="300">
        <v>0</v>
      </c>
      <c r="DY23" s="300">
        <v>0</v>
      </c>
    </row>
    <row r="24" spans="2:129" s="3" customFormat="1" ht="11.7" customHeight="1" outlineLevel="1" x14ac:dyDescent="0.25">
      <c r="B24" s="113" t="str">
        <f>+'CapEx Budget'!$B$37</f>
        <v>Investment Vehicle Formation (Trustee)</v>
      </c>
      <c r="C24" s="113"/>
      <c r="D24" s="289">
        <f>+'CapEx Budget'!$G$37</f>
        <v>0</v>
      </c>
      <c r="E24" s="292">
        <f>EOMONTH(Inputs!$K$91,1)</f>
        <v>44561</v>
      </c>
      <c r="F24" s="66"/>
      <c r="G24" s="290">
        <f t="shared" si="22"/>
        <v>0</v>
      </c>
      <c r="I24" s="300">
        <v>0</v>
      </c>
      <c r="J24" s="300">
        <v>0</v>
      </c>
      <c r="K24" s="300">
        <v>0</v>
      </c>
      <c r="L24" s="300">
        <v>0</v>
      </c>
      <c r="M24" s="300">
        <v>0</v>
      </c>
      <c r="N24" s="300">
        <v>0</v>
      </c>
      <c r="O24" s="300">
        <v>0</v>
      </c>
      <c r="P24" s="300">
        <v>0</v>
      </c>
      <c r="Q24" s="300">
        <v>0</v>
      </c>
      <c r="R24" s="300">
        <v>0</v>
      </c>
      <c r="S24" s="300">
        <v>0</v>
      </c>
      <c r="T24" s="300">
        <v>0</v>
      </c>
      <c r="U24" s="300">
        <v>0</v>
      </c>
      <c r="V24" s="300">
        <v>0</v>
      </c>
      <c r="W24" s="300">
        <v>0</v>
      </c>
      <c r="X24" s="300">
        <v>0</v>
      </c>
      <c r="Y24" s="300">
        <v>0</v>
      </c>
      <c r="Z24" s="300">
        <v>0</v>
      </c>
      <c r="AA24" s="300">
        <v>0</v>
      </c>
      <c r="AB24" s="300">
        <v>0</v>
      </c>
      <c r="AC24" s="300">
        <v>0</v>
      </c>
      <c r="AD24" s="300">
        <v>0</v>
      </c>
      <c r="AE24" s="300">
        <v>0</v>
      </c>
      <c r="AF24" s="300">
        <v>0</v>
      </c>
      <c r="AG24" s="300">
        <v>0</v>
      </c>
      <c r="AH24" s="300">
        <v>0</v>
      </c>
      <c r="AI24" s="300">
        <v>0</v>
      </c>
      <c r="AJ24" s="300">
        <v>0</v>
      </c>
      <c r="AK24" s="300">
        <v>0</v>
      </c>
      <c r="AL24" s="300">
        <v>0</v>
      </c>
      <c r="AM24" s="300">
        <v>0</v>
      </c>
      <c r="AN24" s="300">
        <v>0</v>
      </c>
      <c r="AO24" s="300">
        <v>0</v>
      </c>
      <c r="AP24" s="300">
        <v>0</v>
      </c>
      <c r="AQ24" s="300">
        <v>0</v>
      </c>
      <c r="AR24" s="300">
        <v>0</v>
      </c>
      <c r="AS24" s="300">
        <v>0</v>
      </c>
      <c r="AT24" s="300">
        <v>0</v>
      </c>
      <c r="AU24" s="300">
        <v>0</v>
      </c>
      <c r="AV24" s="300">
        <v>0</v>
      </c>
      <c r="AW24" s="300">
        <v>0</v>
      </c>
      <c r="AX24" s="300">
        <v>0</v>
      </c>
      <c r="AY24" s="300">
        <v>0</v>
      </c>
      <c r="AZ24" s="300">
        <v>0</v>
      </c>
      <c r="BA24" s="300">
        <v>0</v>
      </c>
      <c r="BB24" s="300">
        <v>0</v>
      </c>
      <c r="BC24" s="300">
        <v>0</v>
      </c>
      <c r="BD24" s="300">
        <v>0</v>
      </c>
      <c r="BE24" s="300">
        <v>0</v>
      </c>
      <c r="BF24" s="300">
        <v>0</v>
      </c>
      <c r="BG24" s="300">
        <v>0</v>
      </c>
      <c r="BH24" s="300">
        <v>0</v>
      </c>
      <c r="BI24" s="300">
        <v>0</v>
      </c>
      <c r="BJ24" s="300">
        <v>0</v>
      </c>
      <c r="BK24" s="300">
        <v>0</v>
      </c>
      <c r="BL24" s="300">
        <v>0</v>
      </c>
      <c r="BM24" s="300">
        <v>0</v>
      </c>
      <c r="BN24" s="300">
        <v>0</v>
      </c>
      <c r="BO24" s="300">
        <v>0</v>
      </c>
      <c r="BP24" s="300">
        <v>0</v>
      </c>
      <c r="BQ24" s="300">
        <v>0</v>
      </c>
      <c r="BR24" s="300">
        <v>0</v>
      </c>
      <c r="BS24" s="300">
        <v>0</v>
      </c>
      <c r="BT24" s="300">
        <v>0</v>
      </c>
      <c r="BU24" s="300">
        <v>0</v>
      </c>
      <c r="BV24" s="300">
        <v>0</v>
      </c>
      <c r="BW24" s="300">
        <v>0</v>
      </c>
      <c r="BX24" s="300">
        <v>0</v>
      </c>
      <c r="BY24" s="300">
        <v>0</v>
      </c>
      <c r="BZ24" s="300">
        <v>0</v>
      </c>
      <c r="CA24" s="300">
        <v>0</v>
      </c>
      <c r="CB24" s="300">
        <v>0</v>
      </c>
      <c r="CC24" s="300">
        <v>0</v>
      </c>
      <c r="CD24" s="300">
        <v>0</v>
      </c>
      <c r="CE24" s="300">
        <v>0</v>
      </c>
      <c r="CF24" s="300">
        <v>0</v>
      </c>
      <c r="CG24" s="300">
        <v>0</v>
      </c>
      <c r="CH24" s="300">
        <v>0</v>
      </c>
      <c r="CI24" s="300">
        <v>0</v>
      </c>
      <c r="CJ24" s="300">
        <v>0</v>
      </c>
      <c r="CK24" s="300">
        <v>0</v>
      </c>
      <c r="CL24" s="300">
        <v>0</v>
      </c>
      <c r="CM24" s="300">
        <v>0</v>
      </c>
      <c r="CN24" s="300">
        <v>0</v>
      </c>
      <c r="CO24" s="300">
        <v>0</v>
      </c>
      <c r="CP24" s="300">
        <v>0</v>
      </c>
      <c r="CQ24" s="300">
        <v>0</v>
      </c>
      <c r="CR24" s="300">
        <v>0</v>
      </c>
      <c r="CS24" s="300">
        <v>0</v>
      </c>
      <c r="CT24" s="300">
        <v>0</v>
      </c>
      <c r="CU24" s="300">
        <v>0</v>
      </c>
      <c r="CV24" s="300">
        <v>0</v>
      </c>
      <c r="CW24" s="300">
        <v>0</v>
      </c>
      <c r="CX24" s="300">
        <v>0</v>
      </c>
      <c r="CY24" s="300">
        <v>0</v>
      </c>
      <c r="CZ24" s="300">
        <v>0</v>
      </c>
      <c r="DA24" s="300">
        <v>0</v>
      </c>
      <c r="DB24" s="300">
        <v>0</v>
      </c>
      <c r="DC24" s="300">
        <v>0</v>
      </c>
      <c r="DD24" s="300">
        <v>0</v>
      </c>
      <c r="DE24" s="300">
        <v>0</v>
      </c>
      <c r="DF24" s="300">
        <v>0</v>
      </c>
      <c r="DG24" s="300">
        <v>0</v>
      </c>
      <c r="DH24" s="300">
        <v>0</v>
      </c>
      <c r="DI24" s="300">
        <v>0</v>
      </c>
      <c r="DJ24" s="300">
        <v>0</v>
      </c>
      <c r="DK24" s="300">
        <v>0</v>
      </c>
      <c r="DL24" s="300">
        <v>0</v>
      </c>
      <c r="DM24" s="300">
        <v>0</v>
      </c>
      <c r="DN24" s="300">
        <v>0</v>
      </c>
      <c r="DO24" s="300">
        <v>0</v>
      </c>
      <c r="DP24" s="300">
        <v>0</v>
      </c>
      <c r="DQ24" s="300">
        <v>0</v>
      </c>
      <c r="DR24" s="300">
        <v>0</v>
      </c>
      <c r="DS24" s="300">
        <v>0</v>
      </c>
      <c r="DT24" s="300">
        <v>0</v>
      </c>
      <c r="DU24" s="300">
        <v>0</v>
      </c>
      <c r="DV24" s="300">
        <v>0</v>
      </c>
      <c r="DW24" s="300">
        <v>0</v>
      </c>
      <c r="DX24" s="300">
        <v>0</v>
      </c>
      <c r="DY24" s="300">
        <v>0</v>
      </c>
    </row>
    <row r="25" spans="2:129" s="3" customFormat="1" ht="11.7" customHeight="1" outlineLevel="1" x14ac:dyDescent="0.25">
      <c r="B25" s="113" t="str">
        <f>+'CapEx Budget'!$B$38</f>
        <v>Legal Expenses</v>
      </c>
      <c r="C25" s="113"/>
      <c r="D25" s="289">
        <f>+'CapEx Budget'!$G$38</f>
        <v>2600</v>
      </c>
      <c r="E25" s="292">
        <f>EOMONTH(Inputs!$K$91,2)</f>
        <v>44592</v>
      </c>
      <c r="F25" s="66"/>
      <c r="G25" s="290">
        <f t="shared" si="22"/>
        <v>-2285.4536610582936</v>
      </c>
      <c r="I25" s="300">
        <v>0</v>
      </c>
      <c r="J25" s="300">
        <v>0</v>
      </c>
      <c r="K25" s="300">
        <v>0</v>
      </c>
      <c r="L25" s="300">
        <v>0</v>
      </c>
      <c r="M25" s="300">
        <v>0</v>
      </c>
      <c r="N25" s="300">
        <v>-116.8</v>
      </c>
      <c r="O25" s="300">
        <v>0</v>
      </c>
      <c r="P25" s="300">
        <v>-74.466370653581336</v>
      </c>
      <c r="Q25" s="300">
        <v>0</v>
      </c>
      <c r="R25" s="300">
        <v>-190.49</v>
      </c>
      <c r="S25" s="300">
        <v>0</v>
      </c>
      <c r="T25" s="300">
        <v>0</v>
      </c>
      <c r="U25" s="300">
        <v>0</v>
      </c>
      <c r="V25" s="300">
        <v>-2.2000000000000002</v>
      </c>
      <c r="W25" s="300">
        <v>-88.16</v>
      </c>
      <c r="X25" s="300">
        <v>-42.574278993558984</v>
      </c>
      <c r="Y25" s="300">
        <v>0</v>
      </c>
      <c r="Z25" s="300">
        <v>0</v>
      </c>
      <c r="AA25" s="300">
        <v>0</v>
      </c>
      <c r="AB25" s="300">
        <v>0</v>
      </c>
      <c r="AC25" s="300">
        <v>0</v>
      </c>
      <c r="AD25" s="300">
        <v>0</v>
      </c>
      <c r="AE25" s="300">
        <v>0</v>
      </c>
      <c r="AF25" s="300">
        <v>-119.80509003907216</v>
      </c>
      <c r="AG25" s="300">
        <v>0</v>
      </c>
      <c r="AH25" s="300">
        <v>0</v>
      </c>
      <c r="AI25" s="300">
        <v>-179.51178664843974</v>
      </c>
      <c r="AJ25" s="300">
        <v>0</v>
      </c>
      <c r="AK25" s="300">
        <v>0</v>
      </c>
      <c r="AL25" s="300">
        <v>-52.3</v>
      </c>
      <c r="AM25" s="300">
        <v>0</v>
      </c>
      <c r="AN25" s="300">
        <v>0</v>
      </c>
      <c r="AO25" s="300">
        <v>0</v>
      </c>
      <c r="AP25" s="300">
        <v>-196</v>
      </c>
      <c r="AQ25" s="300">
        <v>-150.09</v>
      </c>
      <c r="AR25" s="300">
        <v>0</v>
      </c>
      <c r="AS25" s="300">
        <v>-11.4</v>
      </c>
      <c r="AT25" s="300">
        <v>-0.36</v>
      </c>
      <c r="AU25" s="300">
        <v>0</v>
      </c>
      <c r="AV25" s="300">
        <v>0</v>
      </c>
      <c r="AW25" s="300">
        <v>-81.8</v>
      </c>
      <c r="AX25" s="300">
        <v>-302.39999999999998</v>
      </c>
      <c r="AY25" s="300">
        <v>-7.4961347236416742</v>
      </c>
      <c r="AZ25" s="300">
        <v>0</v>
      </c>
      <c r="BA25" s="300">
        <v>0</v>
      </c>
      <c r="BB25" s="300">
        <v>-167.1</v>
      </c>
      <c r="BC25" s="300">
        <v>0</v>
      </c>
      <c r="BD25" s="300">
        <v>-132</v>
      </c>
      <c r="BE25" s="300">
        <v>-13.9</v>
      </c>
      <c r="BF25" s="300">
        <v>0</v>
      </c>
      <c r="BG25" s="300">
        <v>-93</v>
      </c>
      <c r="BH25" s="300">
        <v>-7.6</v>
      </c>
      <c r="BI25" s="300">
        <v>0</v>
      </c>
      <c r="BJ25" s="300">
        <v>0</v>
      </c>
      <c r="BK25" s="300">
        <v>-256</v>
      </c>
      <c r="BL25" s="300">
        <v>0</v>
      </c>
      <c r="BM25" s="300">
        <v>0</v>
      </c>
      <c r="BN25" s="300">
        <v>0</v>
      </c>
      <c r="BO25" s="300">
        <v>0</v>
      </c>
      <c r="BP25" s="300">
        <v>0</v>
      </c>
      <c r="BQ25" s="300">
        <v>0</v>
      </c>
      <c r="BR25" s="300">
        <v>0</v>
      </c>
      <c r="BS25" s="300">
        <v>0</v>
      </c>
      <c r="BT25" s="300">
        <v>0</v>
      </c>
      <c r="BU25" s="300">
        <v>0</v>
      </c>
      <c r="BV25" s="300">
        <v>0</v>
      </c>
      <c r="BW25" s="300">
        <v>0</v>
      </c>
      <c r="BX25" s="300">
        <v>0</v>
      </c>
      <c r="BY25" s="300">
        <v>0</v>
      </c>
      <c r="BZ25" s="300">
        <v>0</v>
      </c>
      <c r="CA25" s="300">
        <v>0</v>
      </c>
      <c r="CB25" s="300">
        <v>0</v>
      </c>
      <c r="CC25" s="300">
        <v>0</v>
      </c>
      <c r="CD25" s="300">
        <v>0</v>
      </c>
      <c r="CE25" s="300">
        <v>0</v>
      </c>
      <c r="CF25" s="300">
        <v>0</v>
      </c>
      <c r="CG25" s="300">
        <v>0</v>
      </c>
      <c r="CH25" s="300">
        <v>0</v>
      </c>
      <c r="CI25" s="300">
        <v>0</v>
      </c>
      <c r="CJ25" s="300">
        <v>0</v>
      </c>
      <c r="CK25" s="300">
        <v>0</v>
      </c>
      <c r="CL25" s="300">
        <v>0</v>
      </c>
      <c r="CM25" s="300">
        <v>0</v>
      </c>
      <c r="CN25" s="300">
        <v>0</v>
      </c>
      <c r="CO25" s="300">
        <v>0</v>
      </c>
      <c r="CP25" s="300">
        <v>0</v>
      </c>
      <c r="CQ25" s="300">
        <v>0</v>
      </c>
      <c r="CR25" s="300">
        <v>0</v>
      </c>
      <c r="CS25" s="300">
        <v>0</v>
      </c>
      <c r="CT25" s="300">
        <v>0</v>
      </c>
      <c r="CU25" s="300">
        <v>0</v>
      </c>
      <c r="CV25" s="300">
        <v>0</v>
      </c>
      <c r="CW25" s="300">
        <v>0</v>
      </c>
      <c r="CX25" s="300">
        <v>0</v>
      </c>
      <c r="CY25" s="300">
        <v>0</v>
      </c>
      <c r="CZ25" s="300">
        <v>0</v>
      </c>
      <c r="DA25" s="300">
        <v>0</v>
      </c>
      <c r="DB25" s="300">
        <v>0</v>
      </c>
      <c r="DC25" s="300">
        <v>0</v>
      </c>
      <c r="DD25" s="300">
        <v>0</v>
      </c>
      <c r="DE25" s="300">
        <v>0</v>
      </c>
      <c r="DF25" s="300">
        <v>0</v>
      </c>
      <c r="DG25" s="300">
        <v>0</v>
      </c>
      <c r="DH25" s="300">
        <v>0</v>
      </c>
      <c r="DI25" s="300">
        <v>0</v>
      </c>
      <c r="DJ25" s="300">
        <v>0</v>
      </c>
      <c r="DK25" s="300">
        <v>0</v>
      </c>
      <c r="DL25" s="300">
        <v>0</v>
      </c>
      <c r="DM25" s="300">
        <v>0</v>
      </c>
      <c r="DN25" s="300">
        <v>0</v>
      </c>
      <c r="DO25" s="300">
        <v>0</v>
      </c>
      <c r="DP25" s="300">
        <v>0</v>
      </c>
      <c r="DQ25" s="300">
        <v>0</v>
      </c>
      <c r="DR25" s="300">
        <v>0</v>
      </c>
      <c r="DS25" s="300">
        <v>0</v>
      </c>
      <c r="DT25" s="300">
        <v>0</v>
      </c>
      <c r="DU25" s="300">
        <v>0</v>
      </c>
      <c r="DV25" s="300">
        <v>0</v>
      </c>
      <c r="DW25" s="300">
        <v>0</v>
      </c>
      <c r="DX25" s="300">
        <v>0</v>
      </c>
      <c r="DY25" s="300">
        <v>0</v>
      </c>
    </row>
    <row r="26" spans="2:129" s="3" customFormat="1" ht="11.7" customHeight="1" outlineLevel="1" x14ac:dyDescent="0.25">
      <c r="B26" s="113" t="str">
        <f>+'CapEx Budget'!$B$39</f>
        <v>Market Studies</v>
      </c>
      <c r="C26" s="113"/>
      <c r="D26" s="289">
        <f>+'CapEx Budget'!$G$39</f>
        <v>589.02366370807522</v>
      </c>
      <c r="E26" s="292">
        <f>EOMONTH(Inputs!$K$91,1)</f>
        <v>44561</v>
      </c>
      <c r="F26" s="66"/>
      <c r="G26" s="290">
        <f t="shared" si="22"/>
        <v>-589.02366370807522</v>
      </c>
      <c r="I26" s="300">
        <v>0</v>
      </c>
      <c r="J26" s="300">
        <v>0</v>
      </c>
      <c r="K26" s="300">
        <v>0</v>
      </c>
      <c r="L26" s="300">
        <v>0</v>
      </c>
      <c r="M26" s="300">
        <v>0</v>
      </c>
      <c r="N26" s="300">
        <v>0</v>
      </c>
      <c r="O26" s="300">
        <v>0</v>
      </c>
      <c r="P26" s="300">
        <v>0</v>
      </c>
      <c r="Q26" s="300">
        <v>-294.65238966132887</v>
      </c>
      <c r="R26" s="300">
        <v>0</v>
      </c>
      <c r="S26" s="300">
        <v>0</v>
      </c>
      <c r="T26" s="300">
        <v>-294.37127404674629</v>
      </c>
      <c r="U26" s="300">
        <v>0</v>
      </c>
      <c r="V26" s="300">
        <v>0</v>
      </c>
      <c r="W26" s="300">
        <v>0</v>
      </c>
      <c r="X26" s="300">
        <v>0</v>
      </c>
      <c r="Y26" s="300">
        <v>0</v>
      </c>
      <c r="Z26" s="300">
        <v>0</v>
      </c>
      <c r="AA26" s="300">
        <v>0</v>
      </c>
      <c r="AB26" s="300">
        <v>0</v>
      </c>
      <c r="AC26" s="300">
        <v>0</v>
      </c>
      <c r="AD26" s="300">
        <v>0</v>
      </c>
      <c r="AE26" s="300">
        <v>0</v>
      </c>
      <c r="AF26" s="300">
        <v>0</v>
      </c>
      <c r="AG26" s="300">
        <v>0</v>
      </c>
      <c r="AH26" s="300">
        <v>0</v>
      </c>
      <c r="AI26" s="300">
        <v>0</v>
      </c>
      <c r="AJ26" s="300">
        <v>0</v>
      </c>
      <c r="AK26" s="300">
        <v>0</v>
      </c>
      <c r="AL26" s="300">
        <v>0</v>
      </c>
      <c r="AM26" s="300">
        <v>0</v>
      </c>
      <c r="AN26" s="300">
        <v>0</v>
      </c>
      <c r="AO26" s="300">
        <v>0</v>
      </c>
      <c r="AP26" s="300">
        <v>0</v>
      </c>
      <c r="AQ26" s="300">
        <v>0</v>
      </c>
      <c r="AR26" s="300">
        <v>0</v>
      </c>
      <c r="AS26" s="300">
        <v>0</v>
      </c>
      <c r="AT26" s="300">
        <v>0</v>
      </c>
      <c r="AU26" s="300">
        <v>0</v>
      </c>
      <c r="AV26" s="300">
        <v>0</v>
      </c>
      <c r="AW26" s="300">
        <v>0</v>
      </c>
      <c r="AX26" s="300">
        <v>0</v>
      </c>
      <c r="AY26" s="300">
        <v>0</v>
      </c>
      <c r="AZ26" s="300">
        <v>0</v>
      </c>
      <c r="BA26" s="300">
        <v>0</v>
      </c>
      <c r="BB26" s="300">
        <v>0</v>
      </c>
      <c r="BC26" s="300">
        <v>0</v>
      </c>
      <c r="BD26" s="300">
        <v>0</v>
      </c>
      <c r="BE26" s="300">
        <v>0</v>
      </c>
      <c r="BF26" s="300">
        <v>0</v>
      </c>
      <c r="BG26" s="300">
        <v>0</v>
      </c>
      <c r="BH26" s="300">
        <v>0</v>
      </c>
      <c r="BI26" s="300">
        <v>0</v>
      </c>
      <c r="BJ26" s="300">
        <v>0</v>
      </c>
      <c r="BK26" s="300">
        <v>0</v>
      </c>
      <c r="BL26" s="300">
        <v>0</v>
      </c>
      <c r="BM26" s="300">
        <v>0</v>
      </c>
      <c r="BN26" s="300">
        <v>0</v>
      </c>
      <c r="BO26" s="300">
        <v>0</v>
      </c>
      <c r="BP26" s="300">
        <v>0</v>
      </c>
      <c r="BQ26" s="300">
        <v>0</v>
      </c>
      <c r="BR26" s="300">
        <v>0</v>
      </c>
      <c r="BS26" s="300">
        <v>0</v>
      </c>
      <c r="BT26" s="300">
        <v>0</v>
      </c>
      <c r="BU26" s="300">
        <v>0</v>
      </c>
      <c r="BV26" s="300">
        <v>0</v>
      </c>
      <c r="BW26" s="300">
        <v>0</v>
      </c>
      <c r="BX26" s="300">
        <v>0</v>
      </c>
      <c r="BY26" s="300">
        <v>0</v>
      </c>
      <c r="BZ26" s="300">
        <v>0</v>
      </c>
      <c r="CA26" s="300">
        <v>0</v>
      </c>
      <c r="CB26" s="300">
        <v>0</v>
      </c>
      <c r="CC26" s="300">
        <v>0</v>
      </c>
      <c r="CD26" s="300">
        <v>0</v>
      </c>
      <c r="CE26" s="300">
        <v>0</v>
      </c>
      <c r="CF26" s="300">
        <v>0</v>
      </c>
      <c r="CG26" s="300">
        <v>0</v>
      </c>
      <c r="CH26" s="300">
        <v>0</v>
      </c>
      <c r="CI26" s="300">
        <v>0</v>
      </c>
      <c r="CJ26" s="300">
        <v>0</v>
      </c>
      <c r="CK26" s="300">
        <v>0</v>
      </c>
      <c r="CL26" s="300">
        <v>0</v>
      </c>
      <c r="CM26" s="300">
        <v>0</v>
      </c>
      <c r="CN26" s="300">
        <v>0</v>
      </c>
      <c r="CO26" s="300">
        <v>0</v>
      </c>
      <c r="CP26" s="300">
        <v>0</v>
      </c>
      <c r="CQ26" s="300">
        <v>0</v>
      </c>
      <c r="CR26" s="300">
        <v>0</v>
      </c>
      <c r="CS26" s="300">
        <v>0</v>
      </c>
      <c r="CT26" s="300">
        <v>0</v>
      </c>
      <c r="CU26" s="300">
        <v>0</v>
      </c>
      <c r="CV26" s="300">
        <v>0</v>
      </c>
      <c r="CW26" s="300">
        <v>0</v>
      </c>
      <c r="CX26" s="300">
        <v>0</v>
      </c>
      <c r="CY26" s="300">
        <v>0</v>
      </c>
      <c r="CZ26" s="300">
        <v>0</v>
      </c>
      <c r="DA26" s="300">
        <v>0</v>
      </c>
      <c r="DB26" s="300">
        <v>0</v>
      </c>
      <c r="DC26" s="300">
        <v>0</v>
      </c>
      <c r="DD26" s="300">
        <v>0</v>
      </c>
      <c r="DE26" s="300">
        <v>0</v>
      </c>
      <c r="DF26" s="300">
        <v>0</v>
      </c>
      <c r="DG26" s="300">
        <v>0</v>
      </c>
      <c r="DH26" s="300">
        <v>0</v>
      </c>
      <c r="DI26" s="300">
        <v>0</v>
      </c>
      <c r="DJ26" s="300">
        <v>0</v>
      </c>
      <c r="DK26" s="300">
        <v>0</v>
      </c>
      <c r="DL26" s="300">
        <v>0</v>
      </c>
      <c r="DM26" s="300">
        <v>0</v>
      </c>
      <c r="DN26" s="300">
        <v>0</v>
      </c>
      <c r="DO26" s="300">
        <v>0</v>
      </c>
      <c r="DP26" s="300">
        <v>0</v>
      </c>
      <c r="DQ26" s="300">
        <v>0</v>
      </c>
      <c r="DR26" s="300">
        <v>0</v>
      </c>
      <c r="DS26" s="300">
        <v>0</v>
      </c>
      <c r="DT26" s="300">
        <v>0</v>
      </c>
      <c r="DU26" s="300">
        <v>0</v>
      </c>
      <c r="DV26" s="300">
        <v>0</v>
      </c>
      <c r="DW26" s="300">
        <v>0</v>
      </c>
      <c r="DX26" s="300">
        <v>0</v>
      </c>
      <c r="DY26" s="300">
        <v>0</v>
      </c>
    </row>
    <row r="27" spans="2:129" s="3" customFormat="1" ht="11.7" customHeight="1" outlineLevel="1" x14ac:dyDescent="0.25">
      <c r="B27" s="113" t="str">
        <f>+'CapEx Budget'!$B$40</f>
        <v>Notary Fee &amp; Expenses</v>
      </c>
      <c r="C27" s="113"/>
      <c r="D27" s="289">
        <f>+'CapEx Budget'!$G$40</f>
        <v>0</v>
      </c>
      <c r="E27" s="292">
        <f>EOMONTH(Inputs!$K$91,1)</f>
        <v>44561</v>
      </c>
      <c r="F27" s="66"/>
      <c r="G27" s="290">
        <f t="shared" si="22"/>
        <v>0</v>
      </c>
      <c r="I27" s="300">
        <v>0</v>
      </c>
      <c r="J27" s="300">
        <v>0</v>
      </c>
      <c r="K27" s="300">
        <v>0</v>
      </c>
      <c r="L27" s="300">
        <v>0</v>
      </c>
      <c r="M27" s="300">
        <v>0</v>
      </c>
      <c r="N27" s="300">
        <v>0</v>
      </c>
      <c r="O27" s="300">
        <v>0</v>
      </c>
      <c r="P27" s="300">
        <v>0</v>
      </c>
      <c r="Q27" s="300">
        <v>0</v>
      </c>
      <c r="R27" s="300">
        <v>0</v>
      </c>
      <c r="S27" s="300">
        <v>0</v>
      </c>
      <c r="T27" s="300">
        <v>0</v>
      </c>
      <c r="U27" s="300">
        <v>0</v>
      </c>
      <c r="V27" s="300">
        <v>0</v>
      </c>
      <c r="W27" s="300">
        <v>0</v>
      </c>
      <c r="X27" s="300">
        <v>0</v>
      </c>
      <c r="Y27" s="300">
        <v>0</v>
      </c>
      <c r="Z27" s="300">
        <v>0</v>
      </c>
      <c r="AA27" s="300">
        <v>0</v>
      </c>
      <c r="AB27" s="300">
        <v>0</v>
      </c>
      <c r="AC27" s="300">
        <v>0</v>
      </c>
      <c r="AD27" s="300">
        <v>0</v>
      </c>
      <c r="AE27" s="300">
        <v>0</v>
      </c>
      <c r="AF27" s="300">
        <v>0</v>
      </c>
      <c r="AG27" s="300">
        <v>0</v>
      </c>
      <c r="AH27" s="300">
        <v>0</v>
      </c>
      <c r="AI27" s="300">
        <v>0</v>
      </c>
      <c r="AJ27" s="300">
        <v>0</v>
      </c>
      <c r="AK27" s="300">
        <v>0</v>
      </c>
      <c r="AL27" s="300">
        <v>0</v>
      </c>
      <c r="AM27" s="300">
        <v>0</v>
      </c>
      <c r="AN27" s="300">
        <v>0</v>
      </c>
      <c r="AO27" s="300">
        <v>0</v>
      </c>
      <c r="AP27" s="300">
        <v>0</v>
      </c>
      <c r="AQ27" s="300">
        <v>0</v>
      </c>
      <c r="AR27" s="300">
        <v>0</v>
      </c>
      <c r="AS27" s="300">
        <v>0</v>
      </c>
      <c r="AT27" s="300">
        <v>0</v>
      </c>
      <c r="AU27" s="300">
        <v>0</v>
      </c>
      <c r="AV27" s="300">
        <v>0</v>
      </c>
      <c r="AW27" s="300">
        <v>0</v>
      </c>
      <c r="AX27" s="300">
        <v>0</v>
      </c>
      <c r="AY27" s="300">
        <v>0</v>
      </c>
      <c r="AZ27" s="300">
        <v>0</v>
      </c>
      <c r="BA27" s="300">
        <v>0</v>
      </c>
      <c r="BB27" s="300">
        <v>0</v>
      </c>
      <c r="BC27" s="300">
        <v>0</v>
      </c>
      <c r="BD27" s="300">
        <v>0</v>
      </c>
      <c r="BE27" s="300">
        <v>0</v>
      </c>
      <c r="BF27" s="300">
        <v>0</v>
      </c>
      <c r="BG27" s="300">
        <v>0</v>
      </c>
      <c r="BH27" s="300">
        <v>0</v>
      </c>
      <c r="BI27" s="300">
        <v>0</v>
      </c>
      <c r="BJ27" s="300">
        <v>0</v>
      </c>
      <c r="BK27" s="300">
        <v>0</v>
      </c>
      <c r="BL27" s="300">
        <v>0</v>
      </c>
      <c r="BM27" s="300">
        <v>0</v>
      </c>
      <c r="BN27" s="300">
        <v>0</v>
      </c>
      <c r="BO27" s="300">
        <v>0</v>
      </c>
      <c r="BP27" s="300">
        <v>0</v>
      </c>
      <c r="BQ27" s="300">
        <v>0</v>
      </c>
      <c r="BR27" s="300">
        <v>0</v>
      </c>
      <c r="BS27" s="300">
        <v>0</v>
      </c>
      <c r="BT27" s="300">
        <v>0</v>
      </c>
      <c r="BU27" s="300">
        <v>0</v>
      </c>
      <c r="BV27" s="300">
        <v>0</v>
      </c>
      <c r="BW27" s="300">
        <v>0</v>
      </c>
      <c r="BX27" s="300">
        <v>0</v>
      </c>
      <c r="BY27" s="300">
        <v>0</v>
      </c>
      <c r="BZ27" s="300">
        <v>0</v>
      </c>
      <c r="CA27" s="300">
        <v>0</v>
      </c>
      <c r="CB27" s="300">
        <v>0</v>
      </c>
      <c r="CC27" s="300">
        <v>0</v>
      </c>
      <c r="CD27" s="300">
        <v>0</v>
      </c>
      <c r="CE27" s="300">
        <v>0</v>
      </c>
      <c r="CF27" s="300">
        <v>0</v>
      </c>
      <c r="CG27" s="300">
        <v>0</v>
      </c>
      <c r="CH27" s="300">
        <v>0</v>
      </c>
      <c r="CI27" s="300">
        <v>0</v>
      </c>
      <c r="CJ27" s="300">
        <v>0</v>
      </c>
      <c r="CK27" s="300">
        <v>0</v>
      </c>
      <c r="CL27" s="300">
        <v>0</v>
      </c>
      <c r="CM27" s="300">
        <v>0</v>
      </c>
      <c r="CN27" s="300">
        <v>0</v>
      </c>
      <c r="CO27" s="300">
        <v>0</v>
      </c>
      <c r="CP27" s="300">
        <v>0</v>
      </c>
      <c r="CQ27" s="300">
        <v>0</v>
      </c>
      <c r="CR27" s="300">
        <v>0</v>
      </c>
      <c r="CS27" s="300">
        <v>0</v>
      </c>
      <c r="CT27" s="300">
        <v>0</v>
      </c>
      <c r="CU27" s="300">
        <v>0</v>
      </c>
      <c r="CV27" s="300">
        <v>0</v>
      </c>
      <c r="CW27" s="300">
        <v>0</v>
      </c>
      <c r="CX27" s="300">
        <v>0</v>
      </c>
      <c r="CY27" s="300">
        <v>0</v>
      </c>
      <c r="CZ27" s="300">
        <v>0</v>
      </c>
      <c r="DA27" s="300">
        <v>0</v>
      </c>
      <c r="DB27" s="300">
        <v>0</v>
      </c>
      <c r="DC27" s="300">
        <v>0</v>
      </c>
      <c r="DD27" s="300">
        <v>0</v>
      </c>
      <c r="DE27" s="300">
        <v>0</v>
      </c>
      <c r="DF27" s="300">
        <v>0</v>
      </c>
      <c r="DG27" s="300">
        <v>0</v>
      </c>
      <c r="DH27" s="300">
        <v>0</v>
      </c>
      <c r="DI27" s="300">
        <v>0</v>
      </c>
      <c r="DJ27" s="300">
        <v>0</v>
      </c>
      <c r="DK27" s="300">
        <v>0</v>
      </c>
      <c r="DL27" s="300">
        <v>0</v>
      </c>
      <c r="DM27" s="300">
        <v>0</v>
      </c>
      <c r="DN27" s="300">
        <v>0</v>
      </c>
      <c r="DO27" s="300">
        <v>0</v>
      </c>
      <c r="DP27" s="300">
        <v>0</v>
      </c>
      <c r="DQ27" s="300">
        <v>0</v>
      </c>
      <c r="DR27" s="300">
        <v>0</v>
      </c>
      <c r="DS27" s="300">
        <v>0</v>
      </c>
      <c r="DT27" s="300">
        <v>0</v>
      </c>
      <c r="DU27" s="300">
        <v>0</v>
      </c>
      <c r="DV27" s="300">
        <v>0</v>
      </c>
      <c r="DW27" s="300">
        <v>0</v>
      </c>
      <c r="DX27" s="300">
        <v>0</v>
      </c>
      <c r="DY27" s="300">
        <v>0</v>
      </c>
    </row>
    <row r="28" spans="2:129" s="3" customFormat="1" ht="11.7" customHeight="1" outlineLevel="1" x14ac:dyDescent="0.25">
      <c r="B28" s="113" t="str">
        <f>+'CapEx Budget'!$B$41</f>
        <v>Other Expenses</v>
      </c>
      <c r="C28" s="113"/>
      <c r="D28" s="289">
        <f>+'CapEx Budget'!$G$41</f>
        <v>0</v>
      </c>
      <c r="E28" s="292">
        <f>EOMONTH(Inputs!$K$91,1)</f>
        <v>44561</v>
      </c>
      <c r="F28" s="66"/>
      <c r="G28" s="290">
        <f t="shared" si="22"/>
        <v>0</v>
      </c>
      <c r="I28" s="300">
        <v>0</v>
      </c>
      <c r="J28" s="300">
        <v>0</v>
      </c>
      <c r="K28" s="300">
        <v>0</v>
      </c>
      <c r="L28" s="300">
        <v>0</v>
      </c>
      <c r="M28" s="300">
        <v>0</v>
      </c>
      <c r="N28" s="300">
        <v>0</v>
      </c>
      <c r="O28" s="300">
        <v>0</v>
      </c>
      <c r="P28" s="300">
        <v>0</v>
      </c>
      <c r="Q28" s="300">
        <v>0</v>
      </c>
      <c r="R28" s="300">
        <v>0</v>
      </c>
      <c r="S28" s="300">
        <v>0</v>
      </c>
      <c r="T28" s="300">
        <v>0</v>
      </c>
      <c r="U28" s="300">
        <v>0</v>
      </c>
      <c r="V28" s="300">
        <v>0</v>
      </c>
      <c r="W28" s="300">
        <v>0</v>
      </c>
      <c r="X28" s="300">
        <v>0</v>
      </c>
      <c r="Y28" s="300">
        <v>0</v>
      </c>
      <c r="Z28" s="300">
        <v>0</v>
      </c>
      <c r="AA28" s="300">
        <v>0</v>
      </c>
      <c r="AB28" s="300">
        <v>0</v>
      </c>
      <c r="AC28" s="300">
        <v>0</v>
      </c>
      <c r="AD28" s="300">
        <v>0</v>
      </c>
      <c r="AE28" s="300">
        <v>0</v>
      </c>
      <c r="AF28" s="300">
        <v>0</v>
      </c>
      <c r="AG28" s="300">
        <v>0</v>
      </c>
      <c r="AH28" s="300">
        <v>0</v>
      </c>
      <c r="AI28" s="300">
        <v>0</v>
      </c>
      <c r="AJ28" s="300">
        <v>0</v>
      </c>
      <c r="AK28" s="300">
        <v>0</v>
      </c>
      <c r="AL28" s="300">
        <v>0</v>
      </c>
      <c r="AM28" s="300">
        <v>0</v>
      </c>
      <c r="AN28" s="300">
        <v>0</v>
      </c>
      <c r="AO28" s="300">
        <v>0</v>
      </c>
      <c r="AP28" s="300">
        <v>0</v>
      </c>
      <c r="AQ28" s="300">
        <v>0</v>
      </c>
      <c r="AR28" s="300">
        <v>0</v>
      </c>
      <c r="AS28" s="300">
        <v>0</v>
      </c>
      <c r="AT28" s="300">
        <v>0</v>
      </c>
      <c r="AU28" s="300">
        <v>0</v>
      </c>
      <c r="AV28" s="300">
        <v>0</v>
      </c>
      <c r="AW28" s="300">
        <v>0</v>
      </c>
      <c r="AX28" s="300">
        <v>0</v>
      </c>
      <c r="AY28" s="300">
        <v>0</v>
      </c>
      <c r="AZ28" s="300">
        <v>0</v>
      </c>
      <c r="BA28" s="300">
        <v>0</v>
      </c>
      <c r="BB28" s="300">
        <v>0</v>
      </c>
      <c r="BC28" s="300">
        <v>0</v>
      </c>
      <c r="BD28" s="300">
        <v>0</v>
      </c>
      <c r="BE28" s="300">
        <v>0</v>
      </c>
      <c r="BF28" s="300">
        <v>0</v>
      </c>
      <c r="BG28" s="300">
        <v>0</v>
      </c>
      <c r="BH28" s="300">
        <v>0</v>
      </c>
      <c r="BI28" s="300">
        <v>0</v>
      </c>
      <c r="BJ28" s="300">
        <v>0</v>
      </c>
      <c r="BK28" s="300">
        <v>0</v>
      </c>
      <c r="BL28" s="300">
        <v>0</v>
      </c>
      <c r="BM28" s="300">
        <v>0</v>
      </c>
      <c r="BN28" s="300">
        <v>0</v>
      </c>
      <c r="BO28" s="300">
        <v>0</v>
      </c>
      <c r="BP28" s="300">
        <v>0</v>
      </c>
      <c r="BQ28" s="300">
        <v>0</v>
      </c>
      <c r="BR28" s="300">
        <v>0</v>
      </c>
      <c r="BS28" s="300">
        <v>0</v>
      </c>
      <c r="BT28" s="300">
        <v>0</v>
      </c>
      <c r="BU28" s="300">
        <v>0</v>
      </c>
      <c r="BV28" s="300">
        <v>0</v>
      </c>
      <c r="BW28" s="300">
        <v>0</v>
      </c>
      <c r="BX28" s="300">
        <v>0</v>
      </c>
      <c r="BY28" s="300">
        <v>0</v>
      </c>
      <c r="BZ28" s="300">
        <v>0</v>
      </c>
      <c r="CA28" s="300">
        <v>0</v>
      </c>
      <c r="CB28" s="300">
        <v>0</v>
      </c>
      <c r="CC28" s="300">
        <v>0</v>
      </c>
      <c r="CD28" s="300">
        <v>0</v>
      </c>
      <c r="CE28" s="300">
        <v>0</v>
      </c>
      <c r="CF28" s="300">
        <v>0</v>
      </c>
      <c r="CG28" s="300">
        <v>0</v>
      </c>
      <c r="CH28" s="300">
        <v>0</v>
      </c>
      <c r="CI28" s="300">
        <v>0</v>
      </c>
      <c r="CJ28" s="300">
        <v>0</v>
      </c>
      <c r="CK28" s="300">
        <v>0</v>
      </c>
      <c r="CL28" s="300">
        <v>0</v>
      </c>
      <c r="CM28" s="300">
        <v>0</v>
      </c>
      <c r="CN28" s="300">
        <v>0</v>
      </c>
      <c r="CO28" s="300">
        <v>0</v>
      </c>
      <c r="CP28" s="300">
        <v>0</v>
      </c>
      <c r="CQ28" s="300">
        <v>0</v>
      </c>
      <c r="CR28" s="300">
        <v>0</v>
      </c>
      <c r="CS28" s="300">
        <v>0</v>
      </c>
      <c r="CT28" s="300">
        <v>0</v>
      </c>
      <c r="CU28" s="300">
        <v>0</v>
      </c>
      <c r="CV28" s="300">
        <v>0</v>
      </c>
      <c r="CW28" s="300">
        <v>0</v>
      </c>
      <c r="CX28" s="300">
        <v>0</v>
      </c>
      <c r="CY28" s="300">
        <v>0</v>
      </c>
      <c r="CZ28" s="300">
        <v>0</v>
      </c>
      <c r="DA28" s="300">
        <v>0</v>
      </c>
      <c r="DB28" s="300">
        <v>0</v>
      </c>
      <c r="DC28" s="300">
        <v>0</v>
      </c>
      <c r="DD28" s="300">
        <v>0</v>
      </c>
      <c r="DE28" s="300">
        <v>0</v>
      </c>
      <c r="DF28" s="300">
        <v>0</v>
      </c>
      <c r="DG28" s="300">
        <v>0</v>
      </c>
      <c r="DH28" s="300">
        <v>0</v>
      </c>
      <c r="DI28" s="300">
        <v>0</v>
      </c>
      <c r="DJ28" s="300">
        <v>0</v>
      </c>
      <c r="DK28" s="300">
        <v>0</v>
      </c>
      <c r="DL28" s="300">
        <v>0</v>
      </c>
      <c r="DM28" s="300">
        <v>0</v>
      </c>
      <c r="DN28" s="300">
        <v>0</v>
      </c>
      <c r="DO28" s="300">
        <v>0</v>
      </c>
      <c r="DP28" s="300">
        <v>0</v>
      </c>
      <c r="DQ28" s="300">
        <v>0</v>
      </c>
      <c r="DR28" s="300">
        <v>0</v>
      </c>
      <c r="DS28" s="300">
        <v>0</v>
      </c>
      <c r="DT28" s="300">
        <v>0</v>
      </c>
      <c r="DU28" s="300">
        <v>0</v>
      </c>
      <c r="DV28" s="300">
        <v>0</v>
      </c>
      <c r="DW28" s="300">
        <v>0</v>
      </c>
      <c r="DX28" s="300">
        <v>0</v>
      </c>
      <c r="DY28" s="300">
        <v>0</v>
      </c>
    </row>
    <row r="29" spans="2:129" s="3" customFormat="1" ht="11.7" customHeight="1" outlineLevel="1" x14ac:dyDescent="0.25">
      <c r="B29" s="113" t="str">
        <f>+'CapEx Budget'!$B$42</f>
        <v>Preliminary Layouts &amp; "Anteproyecto" Approval</v>
      </c>
      <c r="C29" s="113"/>
      <c r="D29" s="289">
        <f>+'CapEx Budget'!$G$42</f>
        <v>116.227566842572</v>
      </c>
      <c r="E29" s="292">
        <f>EOMONTH(Inputs!$K$91,1)</f>
        <v>44561</v>
      </c>
      <c r="F29" s="66"/>
      <c r="G29" s="290">
        <f t="shared" si="22"/>
        <v>-116.26509460373312</v>
      </c>
      <c r="I29" s="300">
        <v>0</v>
      </c>
      <c r="J29" s="300">
        <v>-116.26509460373312</v>
      </c>
      <c r="K29" s="300">
        <v>0</v>
      </c>
      <c r="L29" s="300">
        <v>0</v>
      </c>
      <c r="M29" s="300">
        <v>0</v>
      </c>
      <c r="N29" s="300">
        <v>0</v>
      </c>
      <c r="O29" s="300">
        <v>0</v>
      </c>
      <c r="P29" s="300">
        <v>0</v>
      </c>
      <c r="Q29" s="300">
        <v>0</v>
      </c>
      <c r="R29" s="300">
        <v>0</v>
      </c>
      <c r="S29" s="300">
        <v>0</v>
      </c>
      <c r="T29" s="300">
        <v>0</v>
      </c>
      <c r="U29" s="300">
        <v>0</v>
      </c>
      <c r="V29" s="300">
        <v>0</v>
      </c>
      <c r="W29" s="300">
        <v>0</v>
      </c>
      <c r="X29" s="300">
        <v>0</v>
      </c>
      <c r="Y29" s="300">
        <v>0</v>
      </c>
      <c r="Z29" s="300">
        <v>0</v>
      </c>
      <c r="AA29" s="300">
        <v>0</v>
      </c>
      <c r="AB29" s="300">
        <v>0</v>
      </c>
      <c r="AC29" s="300">
        <v>0</v>
      </c>
      <c r="AD29" s="300">
        <v>0</v>
      </c>
      <c r="AE29" s="300">
        <v>0</v>
      </c>
      <c r="AF29" s="300">
        <v>0</v>
      </c>
      <c r="AG29" s="300">
        <v>0</v>
      </c>
      <c r="AH29" s="300">
        <v>0</v>
      </c>
      <c r="AI29" s="300">
        <v>0</v>
      </c>
      <c r="AJ29" s="300">
        <v>0</v>
      </c>
      <c r="AK29" s="300">
        <v>0</v>
      </c>
      <c r="AL29" s="300">
        <v>0</v>
      </c>
      <c r="AM29" s="300">
        <v>0</v>
      </c>
      <c r="AN29" s="300">
        <v>0</v>
      </c>
      <c r="AO29" s="300">
        <v>0</v>
      </c>
      <c r="AP29" s="300">
        <v>0</v>
      </c>
      <c r="AQ29" s="300">
        <v>0</v>
      </c>
      <c r="AR29" s="300">
        <v>0</v>
      </c>
      <c r="AS29" s="300">
        <v>0</v>
      </c>
      <c r="AT29" s="300">
        <v>0</v>
      </c>
      <c r="AU29" s="300">
        <v>0</v>
      </c>
      <c r="AV29" s="300">
        <v>0</v>
      </c>
      <c r="AW29" s="300">
        <v>0</v>
      </c>
      <c r="AX29" s="300">
        <v>0</v>
      </c>
      <c r="AY29" s="300">
        <v>0</v>
      </c>
      <c r="AZ29" s="300">
        <v>0</v>
      </c>
      <c r="BA29" s="300">
        <v>0</v>
      </c>
      <c r="BB29" s="300">
        <v>0</v>
      </c>
      <c r="BC29" s="300">
        <v>0</v>
      </c>
      <c r="BD29" s="300">
        <v>0</v>
      </c>
      <c r="BE29" s="300">
        <v>0</v>
      </c>
      <c r="BF29" s="300">
        <v>0</v>
      </c>
      <c r="BG29" s="300">
        <v>0</v>
      </c>
      <c r="BH29" s="300">
        <v>0</v>
      </c>
      <c r="BI29" s="300">
        <v>0</v>
      </c>
      <c r="BJ29" s="300">
        <v>0</v>
      </c>
      <c r="BK29" s="300">
        <v>0</v>
      </c>
      <c r="BL29" s="300">
        <v>0</v>
      </c>
      <c r="BM29" s="300">
        <v>0</v>
      </c>
      <c r="BN29" s="300">
        <v>0</v>
      </c>
      <c r="BO29" s="300">
        <v>0</v>
      </c>
      <c r="BP29" s="300">
        <v>0</v>
      </c>
      <c r="BQ29" s="300">
        <v>0</v>
      </c>
      <c r="BR29" s="300">
        <v>0</v>
      </c>
      <c r="BS29" s="300">
        <v>0</v>
      </c>
      <c r="BT29" s="300">
        <v>0</v>
      </c>
      <c r="BU29" s="300">
        <v>0</v>
      </c>
      <c r="BV29" s="300">
        <v>0</v>
      </c>
      <c r="BW29" s="300">
        <v>0</v>
      </c>
      <c r="BX29" s="300">
        <v>0</v>
      </c>
      <c r="BY29" s="300">
        <v>0</v>
      </c>
      <c r="BZ29" s="300">
        <v>0</v>
      </c>
      <c r="CA29" s="300">
        <v>0</v>
      </c>
      <c r="CB29" s="300">
        <v>0</v>
      </c>
      <c r="CC29" s="300">
        <v>0</v>
      </c>
      <c r="CD29" s="300">
        <v>0</v>
      </c>
      <c r="CE29" s="300">
        <v>0</v>
      </c>
      <c r="CF29" s="300">
        <v>0</v>
      </c>
      <c r="CG29" s="300">
        <v>0</v>
      </c>
      <c r="CH29" s="300">
        <v>0</v>
      </c>
      <c r="CI29" s="300">
        <v>0</v>
      </c>
      <c r="CJ29" s="300">
        <v>0</v>
      </c>
      <c r="CK29" s="300">
        <v>0</v>
      </c>
      <c r="CL29" s="300">
        <v>0</v>
      </c>
      <c r="CM29" s="300">
        <v>0</v>
      </c>
      <c r="CN29" s="300">
        <v>0</v>
      </c>
      <c r="CO29" s="300">
        <v>0</v>
      </c>
      <c r="CP29" s="300">
        <v>0</v>
      </c>
      <c r="CQ29" s="300">
        <v>0</v>
      </c>
      <c r="CR29" s="300">
        <v>0</v>
      </c>
      <c r="CS29" s="300">
        <v>0</v>
      </c>
      <c r="CT29" s="300">
        <v>0</v>
      </c>
      <c r="CU29" s="300">
        <v>0</v>
      </c>
      <c r="CV29" s="300">
        <v>0</v>
      </c>
      <c r="CW29" s="300">
        <v>0</v>
      </c>
      <c r="CX29" s="300">
        <v>0</v>
      </c>
      <c r="CY29" s="300">
        <v>0</v>
      </c>
      <c r="CZ29" s="300">
        <v>0</v>
      </c>
      <c r="DA29" s="300">
        <v>0</v>
      </c>
      <c r="DB29" s="300">
        <v>0</v>
      </c>
      <c r="DC29" s="300">
        <v>0</v>
      </c>
      <c r="DD29" s="300">
        <v>0</v>
      </c>
      <c r="DE29" s="300">
        <v>0</v>
      </c>
      <c r="DF29" s="300">
        <v>0</v>
      </c>
      <c r="DG29" s="300">
        <v>0</v>
      </c>
      <c r="DH29" s="300">
        <v>0</v>
      </c>
      <c r="DI29" s="300">
        <v>0</v>
      </c>
      <c r="DJ29" s="300">
        <v>0</v>
      </c>
      <c r="DK29" s="300">
        <v>0</v>
      </c>
      <c r="DL29" s="300">
        <v>0</v>
      </c>
      <c r="DM29" s="300">
        <v>0</v>
      </c>
      <c r="DN29" s="300">
        <v>0</v>
      </c>
      <c r="DO29" s="300">
        <v>0</v>
      </c>
      <c r="DP29" s="300">
        <v>0</v>
      </c>
      <c r="DQ29" s="300">
        <v>0</v>
      </c>
      <c r="DR29" s="300">
        <v>0</v>
      </c>
      <c r="DS29" s="300">
        <v>0</v>
      </c>
      <c r="DT29" s="300">
        <v>0</v>
      </c>
      <c r="DU29" s="300">
        <v>0</v>
      </c>
      <c r="DV29" s="300">
        <v>0</v>
      </c>
      <c r="DW29" s="300">
        <v>0</v>
      </c>
      <c r="DX29" s="300">
        <v>0</v>
      </c>
      <c r="DY29" s="300">
        <v>0</v>
      </c>
    </row>
    <row r="30" spans="2:129" s="3" customFormat="1" ht="11.7" customHeight="1" outlineLevel="1" x14ac:dyDescent="0.25">
      <c r="B30" s="113" t="str">
        <f>+'CapEx Budget'!$B$43</f>
        <v>Registration Expenses</v>
      </c>
      <c r="C30" s="113"/>
      <c r="D30" s="289">
        <f>+'CapEx Budget'!$G$43</f>
        <v>30.9384126831741</v>
      </c>
      <c r="E30" s="292">
        <f>EOMONTH(Inputs!$K$91,1)</f>
        <v>44561</v>
      </c>
      <c r="F30" s="66"/>
      <c r="G30" s="290">
        <f t="shared" si="22"/>
        <v>-30.94</v>
      </c>
      <c r="I30" s="300">
        <v>0</v>
      </c>
      <c r="J30" s="300">
        <v>-30.94</v>
      </c>
      <c r="K30" s="300">
        <v>0</v>
      </c>
      <c r="L30" s="300">
        <v>0</v>
      </c>
      <c r="M30" s="300">
        <v>0</v>
      </c>
      <c r="N30" s="300">
        <v>0</v>
      </c>
      <c r="O30" s="300">
        <v>0</v>
      </c>
      <c r="P30" s="300">
        <v>0</v>
      </c>
      <c r="Q30" s="300">
        <v>0</v>
      </c>
      <c r="R30" s="300">
        <v>0</v>
      </c>
      <c r="S30" s="300">
        <v>0</v>
      </c>
      <c r="T30" s="300">
        <v>0</v>
      </c>
      <c r="U30" s="300">
        <v>0</v>
      </c>
      <c r="V30" s="300">
        <v>0</v>
      </c>
      <c r="W30" s="300">
        <v>0</v>
      </c>
      <c r="X30" s="300">
        <v>0</v>
      </c>
      <c r="Y30" s="300">
        <v>0</v>
      </c>
      <c r="Z30" s="300">
        <v>0</v>
      </c>
      <c r="AA30" s="300">
        <v>0</v>
      </c>
      <c r="AB30" s="300">
        <v>0</v>
      </c>
      <c r="AC30" s="300">
        <v>0</v>
      </c>
      <c r="AD30" s="300">
        <v>0</v>
      </c>
      <c r="AE30" s="300">
        <v>0</v>
      </c>
      <c r="AF30" s="300">
        <v>0</v>
      </c>
      <c r="AG30" s="300">
        <v>0</v>
      </c>
      <c r="AH30" s="300">
        <v>0</v>
      </c>
      <c r="AI30" s="300">
        <v>0</v>
      </c>
      <c r="AJ30" s="300">
        <v>0</v>
      </c>
      <c r="AK30" s="300">
        <v>0</v>
      </c>
      <c r="AL30" s="300">
        <v>0</v>
      </c>
      <c r="AM30" s="300">
        <v>0</v>
      </c>
      <c r="AN30" s="300">
        <v>0</v>
      </c>
      <c r="AO30" s="300">
        <v>0</v>
      </c>
      <c r="AP30" s="300">
        <v>0</v>
      </c>
      <c r="AQ30" s="300">
        <v>0</v>
      </c>
      <c r="AR30" s="300">
        <v>0</v>
      </c>
      <c r="AS30" s="300">
        <v>0</v>
      </c>
      <c r="AT30" s="300">
        <v>0</v>
      </c>
      <c r="AU30" s="300">
        <v>0</v>
      </c>
      <c r="AV30" s="300">
        <v>0</v>
      </c>
      <c r="AW30" s="300">
        <v>0</v>
      </c>
      <c r="AX30" s="300">
        <v>0</v>
      </c>
      <c r="AY30" s="300">
        <v>0</v>
      </c>
      <c r="AZ30" s="300">
        <v>0</v>
      </c>
      <c r="BA30" s="300">
        <v>0</v>
      </c>
      <c r="BB30" s="300">
        <v>0</v>
      </c>
      <c r="BC30" s="300">
        <v>0</v>
      </c>
      <c r="BD30" s="300">
        <v>0</v>
      </c>
      <c r="BE30" s="300">
        <v>0</v>
      </c>
      <c r="BF30" s="300">
        <v>0</v>
      </c>
      <c r="BG30" s="300">
        <v>0</v>
      </c>
      <c r="BH30" s="300">
        <v>0</v>
      </c>
      <c r="BI30" s="300">
        <v>0</v>
      </c>
      <c r="BJ30" s="300">
        <v>0</v>
      </c>
      <c r="BK30" s="300">
        <v>0</v>
      </c>
      <c r="BL30" s="300">
        <v>0</v>
      </c>
      <c r="BM30" s="300">
        <v>0</v>
      </c>
      <c r="BN30" s="300">
        <v>0</v>
      </c>
      <c r="BO30" s="300">
        <v>0</v>
      </c>
      <c r="BP30" s="300">
        <v>0</v>
      </c>
      <c r="BQ30" s="300">
        <v>0</v>
      </c>
      <c r="BR30" s="300">
        <v>0</v>
      </c>
      <c r="BS30" s="300">
        <v>0</v>
      </c>
      <c r="BT30" s="300">
        <v>0</v>
      </c>
      <c r="BU30" s="300">
        <v>0</v>
      </c>
      <c r="BV30" s="300">
        <v>0</v>
      </c>
      <c r="BW30" s="300">
        <v>0</v>
      </c>
      <c r="BX30" s="300">
        <v>0</v>
      </c>
      <c r="BY30" s="300">
        <v>0</v>
      </c>
      <c r="BZ30" s="300">
        <v>0</v>
      </c>
      <c r="CA30" s="300">
        <v>0</v>
      </c>
      <c r="CB30" s="300">
        <v>0</v>
      </c>
      <c r="CC30" s="300">
        <v>0</v>
      </c>
      <c r="CD30" s="300">
        <v>0</v>
      </c>
      <c r="CE30" s="300">
        <v>0</v>
      </c>
      <c r="CF30" s="300">
        <v>0</v>
      </c>
      <c r="CG30" s="300">
        <v>0</v>
      </c>
      <c r="CH30" s="300">
        <v>0</v>
      </c>
      <c r="CI30" s="300">
        <v>0</v>
      </c>
      <c r="CJ30" s="300">
        <v>0</v>
      </c>
      <c r="CK30" s="300">
        <v>0</v>
      </c>
      <c r="CL30" s="300">
        <v>0</v>
      </c>
      <c r="CM30" s="300">
        <v>0</v>
      </c>
      <c r="CN30" s="300">
        <v>0</v>
      </c>
      <c r="CO30" s="300">
        <v>0</v>
      </c>
      <c r="CP30" s="300">
        <v>0</v>
      </c>
      <c r="CQ30" s="300">
        <v>0</v>
      </c>
      <c r="CR30" s="300">
        <v>0</v>
      </c>
      <c r="CS30" s="300">
        <v>0</v>
      </c>
      <c r="CT30" s="300">
        <v>0</v>
      </c>
      <c r="CU30" s="300">
        <v>0</v>
      </c>
      <c r="CV30" s="300">
        <v>0</v>
      </c>
      <c r="CW30" s="300">
        <v>0</v>
      </c>
      <c r="CX30" s="300">
        <v>0</v>
      </c>
      <c r="CY30" s="300">
        <v>0</v>
      </c>
      <c r="CZ30" s="300">
        <v>0</v>
      </c>
      <c r="DA30" s="300">
        <v>0</v>
      </c>
      <c r="DB30" s="300">
        <v>0</v>
      </c>
      <c r="DC30" s="300">
        <v>0</v>
      </c>
      <c r="DD30" s="300">
        <v>0</v>
      </c>
      <c r="DE30" s="300">
        <v>0</v>
      </c>
      <c r="DF30" s="300">
        <v>0</v>
      </c>
      <c r="DG30" s="300">
        <v>0</v>
      </c>
      <c r="DH30" s="300">
        <v>0</v>
      </c>
      <c r="DI30" s="300">
        <v>0</v>
      </c>
      <c r="DJ30" s="300">
        <v>0</v>
      </c>
      <c r="DK30" s="300">
        <v>0</v>
      </c>
      <c r="DL30" s="300">
        <v>0</v>
      </c>
      <c r="DM30" s="300">
        <v>0</v>
      </c>
      <c r="DN30" s="300">
        <v>0</v>
      </c>
      <c r="DO30" s="300">
        <v>0</v>
      </c>
      <c r="DP30" s="300">
        <v>0</v>
      </c>
      <c r="DQ30" s="300">
        <v>0</v>
      </c>
      <c r="DR30" s="300">
        <v>0</v>
      </c>
      <c r="DS30" s="300">
        <v>0</v>
      </c>
      <c r="DT30" s="300">
        <v>0</v>
      </c>
      <c r="DU30" s="300">
        <v>0</v>
      </c>
      <c r="DV30" s="300">
        <v>0</v>
      </c>
      <c r="DW30" s="300">
        <v>0</v>
      </c>
      <c r="DX30" s="300">
        <v>0</v>
      </c>
      <c r="DY30" s="300">
        <v>0</v>
      </c>
    </row>
    <row r="31" spans="2:129" s="3" customFormat="1" ht="11.7" customHeight="1" outlineLevel="1" x14ac:dyDescent="0.25">
      <c r="B31" s="113" t="str">
        <f>+'CapEx Budget'!$B$44</f>
        <v>Tax Advise</v>
      </c>
      <c r="C31" s="113"/>
      <c r="D31" s="289">
        <f>+'CapEx Budget'!$G$44</f>
        <v>218.10059452430616</v>
      </c>
      <c r="E31" s="292">
        <f>EOMONTH(Inputs!$K$91,1)</f>
        <v>44561</v>
      </c>
      <c r="F31" s="66"/>
      <c r="G31" s="290">
        <f t="shared" si="22"/>
        <v>-218.10059452430616</v>
      </c>
      <c r="I31" s="300">
        <v>0</v>
      </c>
      <c r="J31" s="300">
        <v>0</v>
      </c>
      <c r="K31" s="300">
        <v>0</v>
      </c>
      <c r="L31" s="300">
        <v>0</v>
      </c>
      <c r="M31" s="300">
        <v>0</v>
      </c>
      <c r="N31" s="300">
        <v>-218.10059452430616</v>
      </c>
      <c r="O31" s="300">
        <v>0</v>
      </c>
      <c r="P31" s="300">
        <v>0</v>
      </c>
      <c r="Q31" s="300">
        <v>0</v>
      </c>
      <c r="R31" s="300">
        <v>0</v>
      </c>
      <c r="S31" s="300">
        <v>0</v>
      </c>
      <c r="T31" s="300">
        <v>0</v>
      </c>
      <c r="U31" s="300">
        <v>0</v>
      </c>
      <c r="V31" s="300">
        <v>0</v>
      </c>
      <c r="W31" s="300">
        <v>0</v>
      </c>
      <c r="X31" s="300">
        <v>0</v>
      </c>
      <c r="Y31" s="300">
        <v>0</v>
      </c>
      <c r="Z31" s="300">
        <v>0</v>
      </c>
      <c r="AA31" s="300">
        <v>0</v>
      </c>
      <c r="AB31" s="300">
        <v>0</v>
      </c>
      <c r="AC31" s="300">
        <v>0</v>
      </c>
      <c r="AD31" s="300">
        <v>0</v>
      </c>
      <c r="AE31" s="300">
        <v>0</v>
      </c>
      <c r="AF31" s="300">
        <v>0</v>
      </c>
      <c r="AG31" s="300">
        <v>0</v>
      </c>
      <c r="AH31" s="300">
        <v>0</v>
      </c>
      <c r="AI31" s="300">
        <v>0</v>
      </c>
      <c r="AJ31" s="300">
        <v>0</v>
      </c>
      <c r="AK31" s="300">
        <v>0</v>
      </c>
      <c r="AL31" s="300">
        <v>0</v>
      </c>
      <c r="AM31" s="300">
        <v>0</v>
      </c>
      <c r="AN31" s="300">
        <v>0</v>
      </c>
      <c r="AO31" s="300">
        <v>0</v>
      </c>
      <c r="AP31" s="300">
        <v>0</v>
      </c>
      <c r="AQ31" s="300">
        <v>0</v>
      </c>
      <c r="AR31" s="300">
        <v>0</v>
      </c>
      <c r="AS31" s="300">
        <v>0</v>
      </c>
      <c r="AT31" s="300">
        <v>0</v>
      </c>
      <c r="AU31" s="300">
        <v>0</v>
      </c>
      <c r="AV31" s="300">
        <v>0</v>
      </c>
      <c r="AW31" s="300">
        <v>0</v>
      </c>
      <c r="AX31" s="300">
        <v>0</v>
      </c>
      <c r="AY31" s="300">
        <v>0</v>
      </c>
      <c r="AZ31" s="300">
        <v>0</v>
      </c>
      <c r="BA31" s="300">
        <v>0</v>
      </c>
      <c r="BB31" s="300">
        <v>0</v>
      </c>
      <c r="BC31" s="300">
        <v>0</v>
      </c>
      <c r="BD31" s="300">
        <v>0</v>
      </c>
      <c r="BE31" s="300">
        <v>0</v>
      </c>
      <c r="BF31" s="300">
        <v>0</v>
      </c>
      <c r="BG31" s="300">
        <v>0</v>
      </c>
      <c r="BH31" s="300">
        <v>0</v>
      </c>
      <c r="BI31" s="300">
        <v>0</v>
      </c>
      <c r="BJ31" s="300">
        <v>0</v>
      </c>
      <c r="BK31" s="300">
        <v>0</v>
      </c>
      <c r="BL31" s="300">
        <v>0</v>
      </c>
      <c r="BM31" s="300">
        <v>0</v>
      </c>
      <c r="BN31" s="300">
        <v>0</v>
      </c>
      <c r="BO31" s="300">
        <v>0</v>
      </c>
      <c r="BP31" s="300">
        <v>0</v>
      </c>
      <c r="BQ31" s="300">
        <v>0</v>
      </c>
      <c r="BR31" s="300">
        <v>0</v>
      </c>
      <c r="BS31" s="300">
        <v>0</v>
      </c>
      <c r="BT31" s="300">
        <v>0</v>
      </c>
      <c r="BU31" s="300">
        <v>0</v>
      </c>
      <c r="BV31" s="300">
        <v>0</v>
      </c>
      <c r="BW31" s="300">
        <v>0</v>
      </c>
      <c r="BX31" s="300">
        <v>0</v>
      </c>
      <c r="BY31" s="300">
        <v>0</v>
      </c>
      <c r="BZ31" s="300">
        <v>0</v>
      </c>
      <c r="CA31" s="300">
        <v>0</v>
      </c>
      <c r="CB31" s="300">
        <v>0</v>
      </c>
      <c r="CC31" s="300">
        <v>0</v>
      </c>
      <c r="CD31" s="300">
        <v>0</v>
      </c>
      <c r="CE31" s="300">
        <v>0</v>
      </c>
      <c r="CF31" s="300">
        <v>0</v>
      </c>
      <c r="CG31" s="300">
        <v>0</v>
      </c>
      <c r="CH31" s="300">
        <v>0</v>
      </c>
      <c r="CI31" s="300">
        <v>0</v>
      </c>
      <c r="CJ31" s="300">
        <v>0</v>
      </c>
      <c r="CK31" s="300">
        <v>0</v>
      </c>
      <c r="CL31" s="300">
        <v>0</v>
      </c>
      <c r="CM31" s="300">
        <v>0</v>
      </c>
      <c r="CN31" s="300">
        <v>0</v>
      </c>
      <c r="CO31" s="300">
        <v>0</v>
      </c>
      <c r="CP31" s="300">
        <v>0</v>
      </c>
      <c r="CQ31" s="300">
        <v>0</v>
      </c>
      <c r="CR31" s="300">
        <v>0</v>
      </c>
      <c r="CS31" s="300">
        <v>0</v>
      </c>
      <c r="CT31" s="300">
        <v>0</v>
      </c>
      <c r="CU31" s="300">
        <v>0</v>
      </c>
      <c r="CV31" s="300">
        <v>0</v>
      </c>
      <c r="CW31" s="300">
        <v>0</v>
      </c>
      <c r="CX31" s="300">
        <v>0</v>
      </c>
      <c r="CY31" s="300">
        <v>0</v>
      </c>
      <c r="CZ31" s="300">
        <v>0</v>
      </c>
      <c r="DA31" s="300">
        <v>0</v>
      </c>
      <c r="DB31" s="300">
        <v>0</v>
      </c>
      <c r="DC31" s="300">
        <v>0</v>
      </c>
      <c r="DD31" s="300">
        <v>0</v>
      </c>
      <c r="DE31" s="300">
        <v>0</v>
      </c>
      <c r="DF31" s="300">
        <v>0</v>
      </c>
      <c r="DG31" s="300">
        <v>0</v>
      </c>
      <c r="DH31" s="300">
        <v>0</v>
      </c>
      <c r="DI31" s="300">
        <v>0</v>
      </c>
      <c r="DJ31" s="300">
        <v>0</v>
      </c>
      <c r="DK31" s="300">
        <v>0</v>
      </c>
      <c r="DL31" s="300">
        <v>0</v>
      </c>
      <c r="DM31" s="300">
        <v>0</v>
      </c>
      <c r="DN31" s="300">
        <v>0</v>
      </c>
      <c r="DO31" s="300">
        <v>0</v>
      </c>
      <c r="DP31" s="300">
        <v>0</v>
      </c>
      <c r="DQ31" s="300">
        <v>0</v>
      </c>
      <c r="DR31" s="300">
        <v>0</v>
      </c>
      <c r="DS31" s="300">
        <v>0</v>
      </c>
      <c r="DT31" s="300">
        <v>0</v>
      </c>
      <c r="DU31" s="300">
        <v>0</v>
      </c>
      <c r="DV31" s="300">
        <v>0</v>
      </c>
      <c r="DW31" s="300">
        <v>0</v>
      </c>
      <c r="DX31" s="300">
        <v>0</v>
      </c>
      <c r="DY31" s="300">
        <v>0</v>
      </c>
    </row>
    <row r="32" spans="2:129" s="3" customFormat="1" ht="11.7" customHeight="1" outlineLevel="1" x14ac:dyDescent="0.25">
      <c r="B32" s="116" t="str">
        <f>+'CapEx Budget'!$B$45</f>
        <v>Topography</v>
      </c>
      <c r="C32" s="116"/>
      <c r="D32" s="289">
        <f>+'CapEx Budget'!$G$45</f>
        <v>124.98640952653831</v>
      </c>
      <c r="E32" s="292">
        <f>EOMONTH(Inputs!$K$91,1)</f>
        <v>44561</v>
      </c>
      <c r="F32" s="1013"/>
      <c r="G32" s="290">
        <f t="shared" si="22"/>
        <v>-124.9864095265383</v>
      </c>
      <c r="H32" s="63"/>
      <c r="I32" s="1012">
        <v>0</v>
      </c>
      <c r="J32" s="1012">
        <v>0</v>
      </c>
      <c r="K32" s="1012">
        <v>0</v>
      </c>
      <c r="L32" s="1012">
        <v>0</v>
      </c>
      <c r="M32" s="1012">
        <v>-59.986456032475679</v>
      </c>
      <c r="N32" s="1012">
        <v>0</v>
      </c>
      <c r="O32" s="1012">
        <v>0</v>
      </c>
      <c r="P32" s="1012">
        <v>0</v>
      </c>
      <c r="Q32" s="1012">
        <v>0</v>
      </c>
      <c r="R32" s="1012">
        <v>0</v>
      </c>
      <c r="S32" s="1012">
        <v>0</v>
      </c>
      <c r="T32" s="1012">
        <v>0</v>
      </c>
      <c r="U32" s="1012">
        <v>0</v>
      </c>
      <c r="V32" s="1012">
        <v>0</v>
      </c>
      <c r="W32" s="1012">
        <v>0</v>
      </c>
      <c r="X32" s="1012">
        <v>0</v>
      </c>
      <c r="Y32" s="1012">
        <v>0</v>
      </c>
      <c r="Z32" s="1012">
        <v>0</v>
      </c>
      <c r="AA32" s="1012">
        <v>0</v>
      </c>
      <c r="AB32" s="1012">
        <v>0</v>
      </c>
      <c r="AC32" s="1012">
        <v>0</v>
      </c>
      <c r="AD32" s="1012">
        <v>0</v>
      </c>
      <c r="AE32" s="1012">
        <v>-64.999953494062623</v>
      </c>
      <c r="AF32" s="1012">
        <v>0</v>
      </c>
      <c r="AG32" s="1012">
        <v>0</v>
      </c>
      <c r="AH32" s="1012">
        <v>0</v>
      </c>
      <c r="AI32" s="1012">
        <v>0</v>
      </c>
      <c r="AJ32" s="1012">
        <v>0</v>
      </c>
      <c r="AK32" s="1012">
        <v>0</v>
      </c>
      <c r="AL32" s="1012">
        <v>0</v>
      </c>
      <c r="AM32" s="1012">
        <v>0</v>
      </c>
      <c r="AN32" s="1012">
        <v>0</v>
      </c>
      <c r="AO32" s="1012">
        <v>0</v>
      </c>
      <c r="AP32" s="1012">
        <v>0</v>
      </c>
      <c r="AQ32" s="1012">
        <v>0</v>
      </c>
      <c r="AR32" s="1012">
        <v>0</v>
      </c>
      <c r="AS32" s="1012">
        <v>0</v>
      </c>
      <c r="AT32" s="1012">
        <v>0</v>
      </c>
      <c r="AU32" s="1012">
        <v>0</v>
      </c>
      <c r="AV32" s="1012">
        <v>0</v>
      </c>
      <c r="AW32" s="1012">
        <v>0</v>
      </c>
      <c r="AX32" s="1012">
        <v>0</v>
      </c>
      <c r="AY32" s="1012">
        <v>0</v>
      </c>
      <c r="AZ32" s="1012">
        <v>0</v>
      </c>
      <c r="BA32" s="1012">
        <v>0</v>
      </c>
      <c r="BB32" s="1012">
        <v>0</v>
      </c>
      <c r="BC32" s="1012">
        <v>0</v>
      </c>
      <c r="BD32" s="1012">
        <v>0</v>
      </c>
      <c r="BE32" s="1012">
        <v>0</v>
      </c>
      <c r="BF32" s="1012">
        <v>0</v>
      </c>
      <c r="BG32" s="1012">
        <v>0</v>
      </c>
      <c r="BH32" s="1012">
        <v>0</v>
      </c>
      <c r="BI32" s="1012">
        <v>0</v>
      </c>
      <c r="BJ32" s="1012">
        <v>0</v>
      </c>
      <c r="BK32" s="1012">
        <v>0</v>
      </c>
      <c r="BL32" s="1012">
        <v>0</v>
      </c>
      <c r="BM32" s="1012">
        <v>0</v>
      </c>
      <c r="BN32" s="1012">
        <v>0</v>
      </c>
      <c r="BO32" s="1012">
        <v>0</v>
      </c>
      <c r="BP32" s="1012">
        <v>0</v>
      </c>
      <c r="BQ32" s="1012">
        <v>0</v>
      </c>
      <c r="BR32" s="1012">
        <v>0</v>
      </c>
      <c r="BS32" s="1012">
        <v>0</v>
      </c>
      <c r="BT32" s="1012">
        <v>0</v>
      </c>
      <c r="BU32" s="1012">
        <v>0</v>
      </c>
      <c r="BV32" s="1012">
        <v>0</v>
      </c>
      <c r="BW32" s="1012">
        <v>0</v>
      </c>
      <c r="BX32" s="1012">
        <v>0</v>
      </c>
      <c r="BY32" s="1012">
        <v>0</v>
      </c>
      <c r="BZ32" s="1012">
        <v>0</v>
      </c>
      <c r="CA32" s="1012">
        <v>0</v>
      </c>
      <c r="CB32" s="1012">
        <v>0</v>
      </c>
      <c r="CC32" s="1012">
        <v>0</v>
      </c>
      <c r="CD32" s="1012">
        <v>0</v>
      </c>
      <c r="CE32" s="1012">
        <v>0</v>
      </c>
      <c r="CF32" s="1012">
        <v>0</v>
      </c>
      <c r="CG32" s="1012">
        <v>0</v>
      </c>
      <c r="CH32" s="1012">
        <v>0</v>
      </c>
      <c r="CI32" s="1012">
        <v>0</v>
      </c>
      <c r="CJ32" s="1012">
        <v>0</v>
      </c>
      <c r="CK32" s="1012">
        <v>0</v>
      </c>
      <c r="CL32" s="1012">
        <v>0</v>
      </c>
      <c r="CM32" s="1012">
        <v>0</v>
      </c>
      <c r="CN32" s="1012">
        <v>0</v>
      </c>
      <c r="CO32" s="1012">
        <v>0</v>
      </c>
      <c r="CP32" s="1012">
        <v>0</v>
      </c>
      <c r="CQ32" s="1012">
        <v>0</v>
      </c>
      <c r="CR32" s="1012">
        <v>0</v>
      </c>
      <c r="CS32" s="1012">
        <v>0</v>
      </c>
      <c r="CT32" s="1012">
        <v>0</v>
      </c>
      <c r="CU32" s="1012">
        <v>0</v>
      </c>
      <c r="CV32" s="1012">
        <v>0</v>
      </c>
      <c r="CW32" s="1012">
        <v>0</v>
      </c>
      <c r="CX32" s="1012">
        <v>0</v>
      </c>
      <c r="CY32" s="1012">
        <v>0</v>
      </c>
      <c r="CZ32" s="1012">
        <v>0</v>
      </c>
      <c r="DA32" s="1012">
        <v>0</v>
      </c>
      <c r="DB32" s="1012">
        <v>0</v>
      </c>
      <c r="DC32" s="1012">
        <v>0</v>
      </c>
      <c r="DD32" s="1012">
        <v>0</v>
      </c>
      <c r="DE32" s="1012">
        <v>0</v>
      </c>
      <c r="DF32" s="1012">
        <v>0</v>
      </c>
      <c r="DG32" s="1012">
        <v>0</v>
      </c>
      <c r="DH32" s="1012">
        <v>0</v>
      </c>
      <c r="DI32" s="1012">
        <v>0</v>
      </c>
      <c r="DJ32" s="1012">
        <v>0</v>
      </c>
      <c r="DK32" s="1012">
        <v>0</v>
      </c>
      <c r="DL32" s="1012">
        <v>0</v>
      </c>
      <c r="DM32" s="1012">
        <v>0</v>
      </c>
      <c r="DN32" s="1012">
        <v>0</v>
      </c>
      <c r="DO32" s="1012">
        <v>0</v>
      </c>
      <c r="DP32" s="1012">
        <v>0</v>
      </c>
      <c r="DQ32" s="1012">
        <v>0</v>
      </c>
      <c r="DR32" s="1012">
        <v>0</v>
      </c>
      <c r="DS32" s="1012">
        <v>0</v>
      </c>
      <c r="DT32" s="1012">
        <v>0</v>
      </c>
      <c r="DU32" s="1012">
        <v>0</v>
      </c>
      <c r="DV32" s="1012">
        <v>0</v>
      </c>
      <c r="DW32" s="1012">
        <v>0</v>
      </c>
      <c r="DX32" s="1012">
        <v>0</v>
      </c>
      <c r="DY32" s="1012">
        <v>0</v>
      </c>
    </row>
    <row r="33" spans="2:129" s="3" customFormat="1" ht="11.7" customHeight="1" outlineLevel="1" x14ac:dyDescent="0.3">
      <c r="B33" s="117" t="s">
        <v>17</v>
      </c>
      <c r="C33" s="117"/>
      <c r="D33" s="289">
        <f>+'CapEx Budget'!$G$46</f>
        <v>156289.51132127727</v>
      </c>
      <c r="E33" s="118"/>
      <c r="F33" s="118"/>
      <c r="G33" s="312">
        <f t="shared" si="22"/>
        <v>-155974.88508157554</v>
      </c>
      <c r="I33" s="120">
        <f>+SUM(I20:I32)</f>
        <v>-148941.6</v>
      </c>
      <c r="J33" s="120">
        <f t="shared" ref="J33:BA33" si="23">+SUM(J20:J32)</f>
        <v>-147.20509460373313</v>
      </c>
      <c r="K33" s="120">
        <f t="shared" si="23"/>
        <v>0</v>
      </c>
      <c r="L33" s="120">
        <f t="shared" si="23"/>
        <v>-2963.8068221862859</v>
      </c>
      <c r="M33" s="120">
        <f t="shared" si="23"/>
        <v>-59.986456032475679</v>
      </c>
      <c r="N33" s="120">
        <f t="shared" si="23"/>
        <v>-334.90059452430614</v>
      </c>
      <c r="O33" s="120">
        <f t="shared" si="23"/>
        <v>0</v>
      </c>
      <c r="P33" s="120">
        <f t="shared" si="23"/>
        <v>-74.466370653581336</v>
      </c>
      <c r="Q33" s="120">
        <f t="shared" si="23"/>
        <v>-294.65238966132887</v>
      </c>
      <c r="R33" s="120">
        <f t="shared" si="23"/>
        <v>-557.59599511543252</v>
      </c>
      <c r="S33" s="120">
        <f t="shared" si="23"/>
        <v>0</v>
      </c>
      <c r="T33" s="120">
        <f t="shared" si="23"/>
        <v>-294.37127404674629</v>
      </c>
      <c r="U33" s="120">
        <f t="shared" si="23"/>
        <v>0</v>
      </c>
      <c r="V33" s="120">
        <f t="shared" si="23"/>
        <v>-61.839746396533052</v>
      </c>
      <c r="W33" s="120">
        <f t="shared" si="23"/>
        <v>-187.93545591184187</v>
      </c>
      <c r="X33" s="120">
        <f t="shared" si="23"/>
        <v>-42.574278993558984</v>
      </c>
      <c r="Y33" s="120">
        <f t="shared" si="23"/>
        <v>0</v>
      </c>
      <c r="Z33" s="120">
        <f t="shared" si="23"/>
        <v>0</v>
      </c>
      <c r="AA33" s="120">
        <f t="shared" si="23"/>
        <v>0</v>
      </c>
      <c r="AB33" s="120">
        <f t="shared" si="23"/>
        <v>-51</v>
      </c>
      <c r="AC33" s="120">
        <f t="shared" si="23"/>
        <v>0</v>
      </c>
      <c r="AD33" s="120">
        <f t="shared" si="23"/>
        <v>-72.35566057736068</v>
      </c>
      <c r="AE33" s="120">
        <f t="shared" si="23"/>
        <v>-64.999953494062623</v>
      </c>
      <c r="AF33" s="120">
        <f t="shared" si="23"/>
        <v>-119.80509003907216</v>
      </c>
      <c r="AG33" s="120">
        <f t="shared" si="23"/>
        <v>0</v>
      </c>
      <c r="AH33" s="120">
        <f t="shared" si="23"/>
        <v>0</v>
      </c>
      <c r="AI33" s="120">
        <f t="shared" si="23"/>
        <v>-179.51178664843974</v>
      </c>
      <c r="AJ33" s="120">
        <f t="shared" si="23"/>
        <v>0</v>
      </c>
      <c r="AK33" s="120">
        <f t="shared" si="23"/>
        <v>0</v>
      </c>
      <c r="AL33" s="120">
        <f t="shared" si="23"/>
        <v>-52.3</v>
      </c>
      <c r="AM33" s="120">
        <f t="shared" si="23"/>
        <v>0</v>
      </c>
      <c r="AN33" s="120">
        <f t="shared" si="23"/>
        <v>0</v>
      </c>
      <c r="AO33" s="120">
        <f t="shared" si="23"/>
        <v>0</v>
      </c>
      <c r="AP33" s="120">
        <f t="shared" si="23"/>
        <v>-196</v>
      </c>
      <c r="AQ33" s="120">
        <f t="shared" si="23"/>
        <v>-150.09</v>
      </c>
      <c r="AR33" s="120">
        <f t="shared" si="23"/>
        <v>0</v>
      </c>
      <c r="AS33" s="120">
        <f t="shared" si="23"/>
        <v>-11.4</v>
      </c>
      <c r="AT33" s="120">
        <f t="shared" si="23"/>
        <v>-0.36</v>
      </c>
      <c r="AU33" s="120">
        <f t="shared" si="23"/>
        <v>0</v>
      </c>
      <c r="AV33" s="120">
        <f t="shared" si="23"/>
        <v>0</v>
      </c>
      <c r="AW33" s="120">
        <f t="shared" si="23"/>
        <v>-81.8</v>
      </c>
      <c r="AX33" s="120">
        <f t="shared" si="23"/>
        <v>-302.39999999999998</v>
      </c>
      <c r="AY33" s="120">
        <f t="shared" si="23"/>
        <v>-37.381281378601813</v>
      </c>
      <c r="AZ33" s="120">
        <f t="shared" si="23"/>
        <v>0</v>
      </c>
      <c r="BA33" s="120">
        <f t="shared" si="23"/>
        <v>0</v>
      </c>
      <c r="BB33" s="120">
        <f t="shared" ref="BB33:DM33" si="24">+SUM(BB20:BB32)</f>
        <v>-167.1</v>
      </c>
      <c r="BC33" s="120">
        <f t="shared" si="24"/>
        <v>0</v>
      </c>
      <c r="BD33" s="120">
        <f t="shared" si="24"/>
        <v>-132</v>
      </c>
      <c r="BE33" s="120">
        <f t="shared" si="24"/>
        <v>-13.9</v>
      </c>
      <c r="BF33" s="120">
        <f t="shared" si="24"/>
        <v>-24.946831312231438</v>
      </c>
      <c r="BG33" s="120">
        <f t="shared" si="24"/>
        <v>-93</v>
      </c>
      <c r="BH33" s="120">
        <f>+SUM(BH20:BH32)</f>
        <v>-7.6</v>
      </c>
      <c r="BI33" s="120">
        <f t="shared" si="24"/>
        <v>0</v>
      </c>
      <c r="BJ33" s="120">
        <f t="shared" ref="BJ33" si="25">+SUM(BJ20:BJ32)</f>
        <v>0</v>
      </c>
      <c r="BK33" s="120">
        <f t="shared" si="24"/>
        <v>-256</v>
      </c>
      <c r="BL33" s="120">
        <f t="shared" si="24"/>
        <v>0</v>
      </c>
      <c r="BM33" s="120">
        <f t="shared" si="24"/>
        <v>0</v>
      </c>
      <c r="BN33" s="120">
        <f t="shared" si="24"/>
        <v>0</v>
      </c>
      <c r="BO33" s="120">
        <f t="shared" si="24"/>
        <v>0</v>
      </c>
      <c r="BP33" s="120">
        <f t="shared" si="24"/>
        <v>0</v>
      </c>
      <c r="BQ33" s="120">
        <f t="shared" si="24"/>
        <v>0</v>
      </c>
      <c r="BR33" s="120">
        <f t="shared" si="24"/>
        <v>0</v>
      </c>
      <c r="BS33" s="120">
        <f t="shared" si="24"/>
        <v>0</v>
      </c>
      <c r="BT33" s="120">
        <f t="shared" si="24"/>
        <v>0</v>
      </c>
      <c r="BU33" s="120">
        <f t="shared" si="24"/>
        <v>0</v>
      </c>
      <c r="BV33" s="120">
        <f t="shared" si="24"/>
        <v>0</v>
      </c>
      <c r="BW33" s="120">
        <f t="shared" si="24"/>
        <v>0</v>
      </c>
      <c r="BX33" s="120">
        <f t="shared" si="24"/>
        <v>0</v>
      </c>
      <c r="BY33" s="120">
        <f t="shared" si="24"/>
        <v>0</v>
      </c>
      <c r="BZ33" s="120">
        <f t="shared" si="24"/>
        <v>0</v>
      </c>
      <c r="CA33" s="120">
        <f t="shared" si="24"/>
        <v>0</v>
      </c>
      <c r="CB33" s="120">
        <f t="shared" si="24"/>
        <v>0</v>
      </c>
      <c r="CC33" s="120">
        <f t="shared" si="24"/>
        <v>0</v>
      </c>
      <c r="CD33" s="120">
        <f t="shared" si="24"/>
        <v>0</v>
      </c>
      <c r="CE33" s="120">
        <f t="shared" si="24"/>
        <v>0</v>
      </c>
      <c r="CF33" s="120">
        <f t="shared" si="24"/>
        <v>0</v>
      </c>
      <c r="CG33" s="120">
        <f t="shared" si="24"/>
        <v>0</v>
      </c>
      <c r="CH33" s="120">
        <f t="shared" si="24"/>
        <v>0</v>
      </c>
      <c r="CI33" s="120">
        <f t="shared" si="24"/>
        <v>0</v>
      </c>
      <c r="CJ33" s="120">
        <f t="shared" si="24"/>
        <v>0</v>
      </c>
      <c r="CK33" s="120">
        <f t="shared" si="24"/>
        <v>0</v>
      </c>
      <c r="CL33" s="120">
        <f t="shared" si="24"/>
        <v>0</v>
      </c>
      <c r="CM33" s="120">
        <f t="shared" si="24"/>
        <v>0</v>
      </c>
      <c r="CN33" s="120">
        <f t="shared" si="24"/>
        <v>0</v>
      </c>
      <c r="CO33" s="120">
        <f t="shared" si="24"/>
        <v>0</v>
      </c>
      <c r="CP33" s="120">
        <f t="shared" si="24"/>
        <v>0</v>
      </c>
      <c r="CQ33" s="120">
        <f t="shared" si="24"/>
        <v>0</v>
      </c>
      <c r="CR33" s="120">
        <f t="shared" si="24"/>
        <v>0</v>
      </c>
      <c r="CS33" s="120">
        <f t="shared" si="24"/>
        <v>0</v>
      </c>
      <c r="CT33" s="120">
        <f t="shared" si="24"/>
        <v>0</v>
      </c>
      <c r="CU33" s="120">
        <f t="shared" si="24"/>
        <v>0</v>
      </c>
      <c r="CV33" s="120">
        <f t="shared" si="24"/>
        <v>0</v>
      </c>
      <c r="CW33" s="120">
        <f t="shared" si="24"/>
        <v>0</v>
      </c>
      <c r="CX33" s="120">
        <f t="shared" si="24"/>
        <v>0</v>
      </c>
      <c r="CY33" s="120">
        <f t="shared" si="24"/>
        <v>0</v>
      </c>
      <c r="CZ33" s="120">
        <f t="shared" si="24"/>
        <v>0</v>
      </c>
      <c r="DA33" s="120">
        <f t="shared" si="24"/>
        <v>0</v>
      </c>
      <c r="DB33" s="120">
        <f t="shared" si="24"/>
        <v>0</v>
      </c>
      <c r="DC33" s="120">
        <f t="shared" si="24"/>
        <v>0</v>
      </c>
      <c r="DD33" s="120">
        <f t="shared" si="24"/>
        <v>0</v>
      </c>
      <c r="DE33" s="120">
        <f t="shared" si="24"/>
        <v>0</v>
      </c>
      <c r="DF33" s="120">
        <f t="shared" si="24"/>
        <v>0</v>
      </c>
      <c r="DG33" s="120">
        <f t="shared" si="24"/>
        <v>0</v>
      </c>
      <c r="DH33" s="120">
        <f t="shared" si="24"/>
        <v>0</v>
      </c>
      <c r="DI33" s="120">
        <f t="shared" si="24"/>
        <v>0</v>
      </c>
      <c r="DJ33" s="120">
        <f t="shared" si="24"/>
        <v>0</v>
      </c>
      <c r="DK33" s="120">
        <f t="shared" si="24"/>
        <v>0</v>
      </c>
      <c r="DL33" s="120">
        <f t="shared" si="24"/>
        <v>0</v>
      </c>
      <c r="DM33" s="120">
        <f t="shared" si="24"/>
        <v>0</v>
      </c>
      <c r="DN33" s="120">
        <f t="shared" ref="DN33:DY33" si="26">+SUM(DN20:DN32)</f>
        <v>0</v>
      </c>
      <c r="DO33" s="120">
        <f t="shared" si="26"/>
        <v>0</v>
      </c>
      <c r="DP33" s="120">
        <f t="shared" si="26"/>
        <v>0</v>
      </c>
      <c r="DQ33" s="120">
        <f t="shared" si="26"/>
        <v>0</v>
      </c>
      <c r="DR33" s="120">
        <f t="shared" si="26"/>
        <v>0</v>
      </c>
      <c r="DS33" s="120">
        <f t="shared" si="26"/>
        <v>0</v>
      </c>
      <c r="DT33" s="120">
        <f t="shared" si="26"/>
        <v>0</v>
      </c>
      <c r="DU33" s="120">
        <f t="shared" si="26"/>
        <v>0</v>
      </c>
      <c r="DV33" s="120">
        <f t="shared" si="26"/>
        <v>0</v>
      </c>
      <c r="DW33" s="120">
        <f t="shared" si="26"/>
        <v>0</v>
      </c>
      <c r="DX33" s="120">
        <f t="shared" si="26"/>
        <v>0</v>
      </c>
      <c r="DY33" s="120">
        <f t="shared" si="26"/>
        <v>0</v>
      </c>
    </row>
    <row r="34" spans="2:129" s="3" customFormat="1" ht="11.7" customHeight="1" outlineLevel="1" x14ac:dyDescent="0.3">
      <c r="B34" s="117"/>
      <c r="C34" s="117"/>
      <c r="D34" s="7"/>
      <c r="E34" s="118"/>
      <c r="F34" s="118"/>
      <c r="G34" s="119"/>
      <c r="H34" s="74"/>
      <c r="I34" s="120"/>
      <c r="J34" s="120"/>
      <c r="K34" s="120"/>
      <c r="L34" s="120"/>
      <c r="M34" s="120"/>
      <c r="N34" s="120"/>
      <c r="O34" s="120"/>
      <c r="P34" s="120"/>
      <c r="Q34" s="120"/>
      <c r="R34" s="120"/>
      <c r="S34" s="120"/>
      <c r="T34" s="120"/>
      <c r="U34" s="120"/>
      <c r="V34" s="120"/>
      <c r="W34" s="120"/>
      <c r="X34" s="120"/>
      <c r="Y34" s="120"/>
      <c r="Z34" s="120"/>
      <c r="AA34" s="120"/>
      <c r="AB34" s="120"/>
      <c r="AC34" s="120"/>
      <c r="AD34" s="120"/>
      <c r="AE34" s="120"/>
      <c r="AF34" s="120"/>
      <c r="AG34" s="120"/>
      <c r="AH34" s="120"/>
      <c r="AI34" s="120"/>
      <c r="AJ34" s="120"/>
      <c r="AK34" s="120"/>
      <c r="AL34" s="120"/>
      <c r="AM34" s="120"/>
      <c r="AN34" s="120"/>
      <c r="AO34" s="120"/>
      <c r="AP34" s="120"/>
      <c r="AQ34" s="120"/>
      <c r="AR34" s="120"/>
      <c r="AS34" s="120"/>
      <c r="AT34" s="120"/>
      <c r="AU34" s="120"/>
      <c r="AV34" s="120"/>
      <c r="AW34" s="120"/>
      <c r="AX34" s="120"/>
      <c r="AY34" s="120"/>
      <c r="AZ34" s="120"/>
      <c r="BA34" s="120"/>
      <c r="BB34" s="120"/>
      <c r="BC34" s="120"/>
      <c r="BD34" s="120"/>
      <c r="BE34" s="120"/>
      <c r="BF34" s="120"/>
      <c r="BG34" s="120"/>
      <c r="BH34" s="120"/>
      <c r="BI34" s="120"/>
      <c r="BJ34" s="120"/>
      <c r="BK34" s="120"/>
      <c r="BL34" s="120"/>
      <c r="BM34" s="120"/>
      <c r="BN34" s="120"/>
      <c r="BO34" s="120"/>
      <c r="BP34" s="120"/>
      <c r="BQ34" s="120"/>
      <c r="BR34" s="120"/>
      <c r="BS34" s="120"/>
      <c r="BT34" s="120"/>
      <c r="BU34" s="120"/>
      <c r="BV34" s="120"/>
      <c r="BW34" s="120"/>
      <c r="BX34" s="120"/>
      <c r="BY34" s="120"/>
      <c r="BZ34" s="120"/>
      <c r="CA34" s="120"/>
      <c r="CB34" s="120"/>
      <c r="CC34" s="120"/>
      <c r="CD34" s="120"/>
      <c r="CE34" s="120"/>
      <c r="CF34" s="120"/>
      <c r="CG34" s="120"/>
      <c r="CH34" s="120"/>
      <c r="CI34" s="120"/>
      <c r="CJ34" s="120"/>
      <c r="CK34" s="120"/>
      <c r="CL34" s="120"/>
      <c r="CM34" s="120"/>
      <c r="CN34" s="120"/>
      <c r="CO34" s="120"/>
      <c r="CP34" s="120"/>
      <c r="CQ34" s="120"/>
      <c r="CR34" s="120"/>
      <c r="CS34" s="120"/>
      <c r="CT34" s="120"/>
      <c r="CU34" s="120"/>
      <c r="CV34" s="120"/>
      <c r="CW34" s="120"/>
      <c r="CX34" s="120"/>
      <c r="CY34" s="120"/>
      <c r="CZ34" s="120"/>
      <c r="DA34" s="120"/>
      <c r="DB34" s="120"/>
      <c r="DC34" s="120"/>
      <c r="DD34" s="120"/>
      <c r="DE34" s="120"/>
      <c r="DF34" s="120"/>
      <c r="DG34" s="120"/>
      <c r="DH34" s="120"/>
      <c r="DI34" s="120"/>
      <c r="DJ34" s="120"/>
      <c r="DK34" s="120"/>
      <c r="DL34" s="120"/>
      <c r="DM34" s="120"/>
      <c r="DN34" s="120"/>
      <c r="DO34" s="120"/>
      <c r="DP34" s="120"/>
      <c r="DQ34" s="120"/>
      <c r="DR34" s="120"/>
      <c r="DS34" s="120"/>
      <c r="DT34" s="120"/>
      <c r="DU34" s="120"/>
      <c r="DV34" s="120"/>
      <c r="DW34" s="120"/>
      <c r="DX34" s="120"/>
      <c r="DY34" s="120"/>
    </row>
    <row r="35" spans="2:129" s="3" customFormat="1" ht="11.7" customHeight="1" outlineLevel="1" x14ac:dyDescent="0.3">
      <c r="B35" s="117"/>
      <c r="C35" s="117"/>
      <c r="D35" s="7"/>
      <c r="E35" s="118"/>
      <c r="F35" s="118"/>
      <c r="G35" s="119"/>
      <c r="H35" s="74"/>
      <c r="I35" s="120"/>
      <c r="J35" s="120"/>
      <c r="K35" s="833"/>
      <c r="L35" s="834"/>
      <c r="M35" s="835"/>
      <c r="N35" s="120"/>
      <c r="O35" s="832"/>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row>
    <row r="36" spans="2:129" s="3" customFormat="1" ht="11.7" customHeight="1" outlineLevel="1" x14ac:dyDescent="0.3">
      <c r="B36" s="112" t="s">
        <v>104</v>
      </c>
      <c r="C36" s="112"/>
      <c r="D36" s="7"/>
      <c r="E36" s="118"/>
      <c r="F36" s="118"/>
      <c r="G36" s="119"/>
      <c r="H36" s="74"/>
      <c r="I36" s="120"/>
      <c r="J36" s="120"/>
      <c r="K36" s="120"/>
      <c r="L36" s="120"/>
      <c r="M36" s="831"/>
      <c r="N36" s="120"/>
      <c r="O36" s="120"/>
      <c r="P36" s="120"/>
      <c r="Q36" s="120"/>
      <c r="R36" s="120"/>
      <c r="S36" s="120"/>
      <c r="T36" s="120"/>
      <c r="U36" s="120"/>
      <c r="V36" s="120"/>
      <c r="W36" s="120"/>
      <c r="X36" s="120"/>
      <c r="Y36" s="120"/>
      <c r="Z36" s="120"/>
      <c r="AA36" s="120"/>
      <c r="AB36" s="120"/>
      <c r="AC36" s="120"/>
      <c r="AD36" s="120"/>
      <c r="AE36" s="120"/>
      <c r="AF36" s="120"/>
      <c r="AG36" s="120"/>
      <c r="AH36" s="120"/>
      <c r="AI36" s="120"/>
      <c r="AJ36" s="120"/>
      <c r="AK36" s="120"/>
      <c r="AL36" s="120"/>
      <c r="AM36" s="120"/>
      <c r="AN36" s="120"/>
      <c r="AO36" s="120"/>
      <c r="AP36" s="120"/>
      <c r="AQ36" s="120"/>
      <c r="AR36" s="120"/>
      <c r="AS36" s="120"/>
      <c r="AT36" s="120"/>
      <c r="AU36" s="120"/>
      <c r="AV36" s="120"/>
      <c r="AW36" s="120"/>
      <c r="AX36" s="120"/>
      <c r="AY36" s="120"/>
      <c r="AZ36" s="120"/>
      <c r="BA36" s="120"/>
      <c r="BB36" s="120"/>
      <c r="BC36" s="120"/>
      <c r="BD36" s="120"/>
      <c r="BE36" s="120"/>
      <c r="BF36" s="120"/>
      <c r="BG36" s="120"/>
      <c r="BH36" s="120"/>
      <c r="BI36" s="120"/>
      <c r="BJ36" s="120"/>
      <c r="BK36" s="120"/>
      <c r="BL36" s="120"/>
      <c r="BM36" s="120"/>
      <c r="BN36" s="120"/>
      <c r="BO36" s="120"/>
      <c r="BP36" s="120"/>
      <c r="BQ36" s="120"/>
      <c r="BR36" s="120"/>
      <c r="BS36" s="120"/>
      <c r="BT36" s="120"/>
      <c r="BU36" s="120"/>
      <c r="BV36" s="120"/>
      <c r="BW36" s="120"/>
      <c r="BX36" s="120"/>
      <c r="BY36" s="120"/>
      <c r="BZ36" s="120"/>
      <c r="CA36" s="120"/>
      <c r="CB36" s="120"/>
      <c r="CC36" s="120"/>
      <c r="CD36" s="120"/>
      <c r="CE36" s="120"/>
      <c r="CF36" s="120"/>
      <c r="CG36" s="120"/>
      <c r="CH36" s="120"/>
      <c r="CI36" s="120"/>
      <c r="CJ36" s="120"/>
      <c r="CK36" s="120"/>
      <c r="CL36" s="120"/>
      <c r="CM36" s="120"/>
      <c r="CN36" s="120"/>
      <c r="CO36" s="120"/>
      <c r="CP36" s="120"/>
      <c r="CQ36" s="120"/>
      <c r="CR36" s="120"/>
      <c r="CS36" s="120"/>
      <c r="CT36" s="120"/>
      <c r="CU36" s="120"/>
      <c r="CV36" s="120"/>
      <c r="CW36" s="120"/>
      <c r="CX36" s="120"/>
      <c r="CY36" s="120"/>
      <c r="CZ36" s="120"/>
      <c r="DA36" s="120"/>
      <c r="DB36" s="120"/>
      <c r="DC36" s="120"/>
      <c r="DD36" s="120"/>
      <c r="DE36" s="120"/>
      <c r="DF36" s="120"/>
      <c r="DG36" s="120"/>
      <c r="DH36" s="120"/>
      <c r="DI36" s="120"/>
      <c r="DJ36" s="120"/>
      <c r="DK36" s="120"/>
      <c r="DL36" s="120"/>
      <c r="DM36" s="120"/>
      <c r="DN36" s="120"/>
      <c r="DO36" s="120"/>
      <c r="DP36" s="120"/>
      <c r="DQ36" s="120"/>
      <c r="DR36" s="120"/>
      <c r="DS36" s="120"/>
      <c r="DT36" s="120"/>
      <c r="DU36" s="120"/>
      <c r="DV36" s="120"/>
      <c r="DW36" s="120"/>
      <c r="DX36" s="120"/>
      <c r="DY36" s="120"/>
    </row>
    <row r="37" spans="2:129" s="3" customFormat="1" ht="11.7" customHeight="1" outlineLevel="1" x14ac:dyDescent="0.25">
      <c r="B37" s="113" t="str">
        <f>+'CapEx Budget'!$B$49</f>
        <v>Demolition</v>
      </c>
      <c r="C37" s="113"/>
      <c r="D37" s="289">
        <f>+'CapEx Budget'!$G$49</f>
        <v>848.03332380737288</v>
      </c>
      <c r="E37" s="292">
        <f>Inputs!$K$90+1</f>
        <v>44470</v>
      </c>
      <c r="F37" s="118"/>
      <c r="G37" s="290">
        <f t="shared" ref="G37:G42" si="27">+SUM(I37:DY37)</f>
        <v>-848</v>
      </c>
      <c r="I37" s="300">
        <v>0</v>
      </c>
      <c r="J37" s="300">
        <v>0</v>
      </c>
      <c r="K37" s="300">
        <v>0</v>
      </c>
      <c r="L37" s="300">
        <v>0</v>
      </c>
      <c r="M37" s="300">
        <v>0</v>
      </c>
      <c r="N37" s="300">
        <v>0</v>
      </c>
      <c r="O37" s="300">
        <v>0</v>
      </c>
      <c r="P37" s="300">
        <v>0</v>
      </c>
      <c r="Q37" s="300">
        <v>0</v>
      </c>
      <c r="R37" s="300">
        <v>0</v>
      </c>
      <c r="S37" s="300">
        <v>-848</v>
      </c>
      <c r="T37" s="300">
        <v>0</v>
      </c>
      <c r="U37" s="300">
        <v>0</v>
      </c>
      <c r="V37" s="300">
        <v>0</v>
      </c>
      <c r="W37" s="300">
        <v>0</v>
      </c>
      <c r="X37" s="300">
        <v>0</v>
      </c>
      <c r="Y37" s="300">
        <v>0</v>
      </c>
      <c r="Z37" s="300">
        <v>0</v>
      </c>
      <c r="AA37" s="300">
        <v>0</v>
      </c>
      <c r="AB37" s="300">
        <v>0</v>
      </c>
      <c r="AC37" s="300">
        <v>0</v>
      </c>
      <c r="AD37" s="300">
        <v>0</v>
      </c>
      <c r="AE37" s="300">
        <v>0</v>
      </c>
      <c r="AF37" s="300">
        <v>0</v>
      </c>
      <c r="AG37" s="300">
        <v>0</v>
      </c>
      <c r="AH37" s="300">
        <v>0</v>
      </c>
      <c r="AI37" s="300">
        <v>0</v>
      </c>
      <c r="AJ37" s="300">
        <v>0</v>
      </c>
      <c r="AK37" s="300">
        <v>0</v>
      </c>
      <c r="AL37" s="300">
        <v>0</v>
      </c>
      <c r="AM37" s="300">
        <v>0</v>
      </c>
      <c r="AN37" s="300">
        <v>0</v>
      </c>
      <c r="AO37" s="300">
        <v>0</v>
      </c>
      <c r="AP37" s="300">
        <v>0</v>
      </c>
      <c r="AQ37" s="300">
        <v>0</v>
      </c>
      <c r="AR37" s="300">
        <v>0</v>
      </c>
      <c r="AS37" s="300">
        <v>0</v>
      </c>
      <c r="AT37" s="300">
        <v>0</v>
      </c>
      <c r="AU37" s="300">
        <v>0</v>
      </c>
      <c r="AV37" s="300">
        <v>0</v>
      </c>
      <c r="AW37" s="300">
        <v>0</v>
      </c>
      <c r="AX37" s="300">
        <v>0</v>
      </c>
      <c r="AY37" s="300">
        <v>0</v>
      </c>
      <c r="AZ37" s="300">
        <v>0</v>
      </c>
      <c r="BA37" s="300">
        <v>0</v>
      </c>
      <c r="BB37" s="300">
        <v>0</v>
      </c>
      <c r="BC37" s="300">
        <v>0</v>
      </c>
      <c r="BD37" s="300">
        <v>0</v>
      </c>
      <c r="BE37" s="300">
        <v>0</v>
      </c>
      <c r="BF37" s="300">
        <v>0</v>
      </c>
      <c r="BG37" s="300">
        <v>0</v>
      </c>
      <c r="BH37" s="300">
        <v>0</v>
      </c>
      <c r="BI37" s="300">
        <v>0</v>
      </c>
      <c r="BJ37" s="300">
        <v>0</v>
      </c>
      <c r="BK37" s="300">
        <v>0</v>
      </c>
      <c r="BL37" s="300">
        <v>0</v>
      </c>
      <c r="BM37" s="300">
        <v>0</v>
      </c>
      <c r="BN37" s="300">
        <v>0</v>
      </c>
      <c r="BO37" s="300">
        <v>0</v>
      </c>
      <c r="BP37" s="300">
        <v>0</v>
      </c>
      <c r="BQ37" s="300">
        <v>0</v>
      </c>
      <c r="BR37" s="300">
        <v>0</v>
      </c>
      <c r="BS37" s="300">
        <v>0</v>
      </c>
      <c r="BT37" s="300">
        <v>0</v>
      </c>
      <c r="BU37" s="300">
        <v>0</v>
      </c>
      <c r="BV37" s="300">
        <v>0</v>
      </c>
      <c r="BW37" s="300">
        <v>0</v>
      </c>
      <c r="BX37" s="300">
        <v>0</v>
      </c>
      <c r="BY37" s="300">
        <v>0</v>
      </c>
      <c r="BZ37" s="300">
        <v>0</v>
      </c>
      <c r="CA37" s="300">
        <v>0</v>
      </c>
      <c r="CB37" s="300">
        <v>0</v>
      </c>
      <c r="CC37" s="300">
        <v>0</v>
      </c>
      <c r="CD37" s="300">
        <v>0</v>
      </c>
      <c r="CE37" s="300">
        <v>0</v>
      </c>
      <c r="CF37" s="300">
        <v>0</v>
      </c>
      <c r="CG37" s="300">
        <v>0</v>
      </c>
      <c r="CH37" s="300">
        <v>0</v>
      </c>
      <c r="CI37" s="300">
        <v>0</v>
      </c>
      <c r="CJ37" s="300">
        <v>0</v>
      </c>
      <c r="CK37" s="300">
        <v>0</v>
      </c>
      <c r="CL37" s="300">
        <v>0</v>
      </c>
      <c r="CM37" s="300">
        <v>0</v>
      </c>
      <c r="CN37" s="300">
        <v>0</v>
      </c>
      <c r="CO37" s="300">
        <v>0</v>
      </c>
      <c r="CP37" s="300">
        <v>0</v>
      </c>
      <c r="CQ37" s="300">
        <v>0</v>
      </c>
      <c r="CR37" s="300">
        <v>0</v>
      </c>
      <c r="CS37" s="300">
        <v>0</v>
      </c>
      <c r="CT37" s="300">
        <v>0</v>
      </c>
      <c r="CU37" s="300">
        <v>0</v>
      </c>
      <c r="CV37" s="300">
        <v>0</v>
      </c>
      <c r="CW37" s="300">
        <v>0</v>
      </c>
      <c r="CX37" s="300">
        <v>0</v>
      </c>
      <c r="CY37" s="300">
        <v>0</v>
      </c>
      <c r="CZ37" s="300">
        <v>0</v>
      </c>
      <c r="DA37" s="300">
        <v>0</v>
      </c>
      <c r="DB37" s="300">
        <v>0</v>
      </c>
      <c r="DC37" s="300">
        <v>0</v>
      </c>
      <c r="DD37" s="300">
        <v>0</v>
      </c>
      <c r="DE37" s="300">
        <v>0</v>
      </c>
      <c r="DF37" s="300">
        <v>0</v>
      </c>
      <c r="DG37" s="300">
        <v>0</v>
      </c>
      <c r="DH37" s="300">
        <v>0</v>
      </c>
      <c r="DI37" s="300">
        <v>0</v>
      </c>
      <c r="DJ37" s="300">
        <v>0</v>
      </c>
      <c r="DK37" s="300">
        <v>0</v>
      </c>
      <c r="DL37" s="300">
        <v>0</v>
      </c>
      <c r="DM37" s="300">
        <v>0</v>
      </c>
      <c r="DN37" s="300">
        <v>0</v>
      </c>
      <c r="DO37" s="300">
        <v>0</v>
      </c>
      <c r="DP37" s="300">
        <v>0</v>
      </c>
      <c r="DQ37" s="300">
        <v>0</v>
      </c>
      <c r="DR37" s="300">
        <v>0</v>
      </c>
      <c r="DS37" s="300">
        <v>0</v>
      </c>
      <c r="DT37" s="300">
        <v>0</v>
      </c>
      <c r="DU37" s="300">
        <v>0</v>
      </c>
      <c r="DV37" s="300">
        <v>0</v>
      </c>
      <c r="DW37" s="300">
        <v>0</v>
      </c>
      <c r="DX37" s="300">
        <v>0</v>
      </c>
      <c r="DY37" s="300">
        <v>0</v>
      </c>
    </row>
    <row r="38" spans="2:129" s="3" customFormat="1" ht="11.7" customHeight="1" outlineLevel="1" x14ac:dyDescent="0.25">
      <c r="B38" s="113" t="str">
        <f>+'CapEx Budget'!$B$50</f>
        <v>Below Ground Construction Cost</v>
      </c>
      <c r="C38" s="113"/>
      <c r="D38" s="289">
        <f>+'CapEx Budget'!$G$50</f>
        <v>15143.802845700846</v>
      </c>
      <c r="E38" s="292">
        <f>Inputs!$K$90+1</f>
        <v>44470</v>
      </c>
      <c r="F38" s="118"/>
      <c r="G38" s="290">
        <f t="shared" si="27"/>
        <v>-15143.80536898281</v>
      </c>
      <c r="I38" s="300">
        <v>0</v>
      </c>
      <c r="J38" s="300">
        <v>0</v>
      </c>
      <c r="K38" s="300">
        <v>0</v>
      </c>
      <c r="L38" s="300">
        <v>0</v>
      </c>
      <c r="M38" s="300">
        <v>0</v>
      </c>
      <c r="N38" s="300">
        <v>0</v>
      </c>
      <c r="O38" s="300">
        <v>0</v>
      </c>
      <c r="P38" s="300">
        <v>0</v>
      </c>
      <c r="Q38" s="300">
        <v>0</v>
      </c>
      <c r="R38" s="300">
        <v>0</v>
      </c>
      <c r="S38" s="300">
        <v>0</v>
      </c>
      <c r="T38" s="300">
        <v>0</v>
      </c>
      <c r="U38" s="300">
        <v>0</v>
      </c>
      <c r="V38" s="300">
        <v>0</v>
      </c>
      <c r="W38" s="300">
        <v>-4535.3849472088996</v>
      </c>
      <c r="X38" s="300">
        <v>0</v>
      </c>
      <c r="Y38" s="300">
        <v>-5752.448657333458</v>
      </c>
      <c r="Z38" s="300">
        <v>0</v>
      </c>
      <c r="AA38" s="300">
        <v>-3259.9517644404532</v>
      </c>
      <c r="AB38" s="300">
        <v>0</v>
      </c>
      <c r="AC38" s="300">
        <v>0</v>
      </c>
      <c r="AD38" s="300">
        <v>-1596.02</v>
      </c>
      <c r="AE38" s="300">
        <v>0</v>
      </c>
      <c r="AF38" s="300">
        <v>0</v>
      </c>
      <c r="AG38" s="300">
        <v>0</v>
      </c>
      <c r="AH38" s="300">
        <v>0</v>
      </c>
      <c r="AI38" s="300">
        <v>0</v>
      </c>
      <c r="AJ38" s="300">
        <v>0</v>
      </c>
      <c r="AK38" s="300">
        <v>0</v>
      </c>
      <c r="AL38" s="300">
        <v>0</v>
      </c>
      <c r="AM38" s="300">
        <v>0</v>
      </c>
      <c r="AN38" s="300">
        <v>0</v>
      </c>
      <c r="AO38" s="300">
        <v>0</v>
      </c>
      <c r="AP38" s="300">
        <v>0</v>
      </c>
      <c r="AQ38" s="300">
        <v>0</v>
      </c>
      <c r="AR38" s="300">
        <v>0</v>
      </c>
      <c r="AS38" s="300">
        <v>0</v>
      </c>
      <c r="AT38" s="300">
        <v>0</v>
      </c>
      <c r="AU38" s="300">
        <v>0</v>
      </c>
      <c r="AV38" s="300">
        <v>0</v>
      </c>
      <c r="AW38" s="300">
        <v>0</v>
      </c>
      <c r="AX38" s="300">
        <v>0</v>
      </c>
      <c r="AY38" s="300">
        <v>0</v>
      </c>
      <c r="AZ38" s="300">
        <v>0</v>
      </c>
      <c r="BA38" s="300">
        <v>0</v>
      </c>
      <c r="BB38" s="300">
        <v>0</v>
      </c>
      <c r="BC38" s="300">
        <v>0</v>
      </c>
      <c r="BD38" s="300">
        <v>0</v>
      </c>
      <c r="BE38" s="300">
        <v>0</v>
      </c>
      <c r="BF38" s="300">
        <v>0</v>
      </c>
      <c r="BG38" s="300">
        <v>0</v>
      </c>
      <c r="BH38" s="300">
        <v>0</v>
      </c>
      <c r="BI38" s="300">
        <v>0</v>
      </c>
      <c r="BJ38" s="300">
        <v>0</v>
      </c>
      <c r="BK38" s="300">
        <v>0</v>
      </c>
      <c r="BL38" s="300">
        <v>0</v>
      </c>
      <c r="BM38" s="300">
        <v>0</v>
      </c>
      <c r="BN38" s="300">
        <v>0</v>
      </c>
      <c r="BO38" s="300">
        <v>0</v>
      </c>
      <c r="BP38" s="300">
        <v>0</v>
      </c>
      <c r="BQ38" s="300">
        <v>0</v>
      </c>
      <c r="BR38" s="300">
        <v>0</v>
      </c>
      <c r="BS38" s="300">
        <v>0</v>
      </c>
      <c r="BT38" s="300">
        <v>0</v>
      </c>
      <c r="BU38" s="300">
        <v>0</v>
      </c>
      <c r="BV38" s="300">
        <v>0</v>
      </c>
      <c r="BW38" s="300">
        <v>0</v>
      </c>
      <c r="BX38" s="300">
        <v>0</v>
      </c>
      <c r="BY38" s="300">
        <v>0</v>
      </c>
      <c r="BZ38" s="300">
        <v>0</v>
      </c>
      <c r="CA38" s="300">
        <v>0</v>
      </c>
      <c r="CB38" s="300">
        <v>0</v>
      </c>
      <c r="CC38" s="300">
        <v>0</v>
      </c>
      <c r="CD38" s="300">
        <v>0</v>
      </c>
      <c r="CE38" s="300">
        <v>0</v>
      </c>
      <c r="CF38" s="300">
        <v>0</v>
      </c>
      <c r="CG38" s="300">
        <v>0</v>
      </c>
      <c r="CH38" s="300">
        <v>0</v>
      </c>
      <c r="CI38" s="300">
        <v>0</v>
      </c>
      <c r="CJ38" s="300">
        <v>0</v>
      </c>
      <c r="CK38" s="300">
        <v>0</v>
      </c>
      <c r="CL38" s="300">
        <v>0</v>
      </c>
      <c r="CM38" s="300">
        <v>0</v>
      </c>
      <c r="CN38" s="300">
        <v>0</v>
      </c>
      <c r="CO38" s="300">
        <v>0</v>
      </c>
      <c r="CP38" s="300">
        <v>0</v>
      </c>
      <c r="CQ38" s="300">
        <v>0</v>
      </c>
      <c r="CR38" s="300">
        <v>0</v>
      </c>
      <c r="CS38" s="300">
        <v>0</v>
      </c>
      <c r="CT38" s="300">
        <v>0</v>
      </c>
      <c r="CU38" s="300">
        <v>0</v>
      </c>
      <c r="CV38" s="300">
        <v>0</v>
      </c>
      <c r="CW38" s="300">
        <v>0</v>
      </c>
      <c r="CX38" s="300">
        <v>0</v>
      </c>
      <c r="CY38" s="300">
        <v>0</v>
      </c>
      <c r="CZ38" s="300">
        <v>0</v>
      </c>
      <c r="DA38" s="300">
        <v>0</v>
      </c>
      <c r="DB38" s="300">
        <v>0</v>
      </c>
      <c r="DC38" s="300">
        <v>0</v>
      </c>
      <c r="DD38" s="300">
        <v>0</v>
      </c>
      <c r="DE38" s="300">
        <v>0</v>
      </c>
      <c r="DF38" s="300">
        <v>0</v>
      </c>
      <c r="DG38" s="300">
        <v>0</v>
      </c>
      <c r="DH38" s="300">
        <v>0</v>
      </c>
      <c r="DI38" s="300">
        <v>0</v>
      </c>
      <c r="DJ38" s="300">
        <v>0</v>
      </c>
      <c r="DK38" s="300">
        <v>0</v>
      </c>
      <c r="DL38" s="300">
        <v>0</v>
      </c>
      <c r="DM38" s="300">
        <v>0</v>
      </c>
      <c r="DN38" s="300">
        <v>0</v>
      </c>
      <c r="DO38" s="300">
        <v>0</v>
      </c>
      <c r="DP38" s="300">
        <v>0</v>
      </c>
      <c r="DQ38" s="300">
        <v>0</v>
      </c>
      <c r="DR38" s="300">
        <v>0</v>
      </c>
      <c r="DS38" s="300">
        <v>0</v>
      </c>
      <c r="DT38" s="300">
        <v>0</v>
      </c>
      <c r="DU38" s="300">
        <v>0</v>
      </c>
      <c r="DV38" s="300">
        <v>0</v>
      </c>
      <c r="DW38" s="300">
        <v>0</v>
      </c>
      <c r="DX38" s="300">
        <v>0</v>
      </c>
      <c r="DY38" s="300">
        <v>0</v>
      </c>
    </row>
    <row r="39" spans="2:129" s="3" customFormat="1" ht="11.7" customHeight="1" outlineLevel="1" x14ac:dyDescent="0.25">
      <c r="B39" s="113" t="str">
        <f>+'CapEx Budget'!$B$51</f>
        <v>Above Ground Construction Cost</v>
      </c>
      <c r="C39" s="113"/>
      <c r="D39" s="301">
        <f>+'CapEx Budget'!$G$51</f>
        <v>276985</v>
      </c>
      <c r="E39" s="292">
        <f>EOMONTH(Inputs!$K$91,2)</f>
        <v>44592</v>
      </c>
      <c r="F39" s="118"/>
      <c r="G39" s="290">
        <f t="shared" si="27"/>
        <v>-276986.0141205953</v>
      </c>
      <c r="H39" s="655"/>
      <c r="I39" s="300">
        <v>0</v>
      </c>
      <c r="J39" s="300">
        <v>0</v>
      </c>
      <c r="K39" s="300">
        <v>0</v>
      </c>
      <c r="L39" s="300">
        <v>0</v>
      </c>
      <c r="M39" s="300">
        <v>0</v>
      </c>
      <c r="N39" s="300">
        <v>0</v>
      </c>
      <c r="O39" s="300">
        <v>0</v>
      </c>
      <c r="P39" s="300">
        <v>0</v>
      </c>
      <c r="Q39" s="300">
        <v>0</v>
      </c>
      <c r="R39" s="300">
        <v>0</v>
      </c>
      <c r="S39" s="300">
        <v>0</v>
      </c>
      <c r="T39" s="300">
        <v>0</v>
      </c>
      <c r="U39" s="300">
        <v>0</v>
      </c>
      <c r="V39" s="300">
        <v>0</v>
      </c>
      <c r="W39" s="300">
        <v>-460.63542317564713</v>
      </c>
      <c r="X39" s="300">
        <v>0</v>
      </c>
      <c r="Y39" s="300">
        <v>0</v>
      </c>
      <c r="Z39" s="300">
        <v>0</v>
      </c>
      <c r="AA39" s="300">
        <v>0</v>
      </c>
      <c r="AB39" s="300">
        <v>0</v>
      </c>
      <c r="AC39" s="300">
        <v>-1109.6961440737464</v>
      </c>
      <c r="AD39" s="300">
        <v>0</v>
      </c>
      <c r="AE39" s="300">
        <v>-54307.681862760786</v>
      </c>
      <c r="AF39" s="300">
        <v>-12599.492959740237</v>
      </c>
      <c r="AG39" s="300">
        <v>-6333.4988389794571</v>
      </c>
      <c r="AH39" s="300">
        <v>-7095.7236616406672</v>
      </c>
      <c r="AI39" s="300">
        <v>-7150.8149853557079</v>
      </c>
      <c r="AJ39" s="300">
        <v>-6114</v>
      </c>
      <c r="AK39" s="300">
        <v>-6241.1839217364504</v>
      </c>
      <c r="AL39" s="300">
        <v>-6910.7254042911272</v>
      </c>
      <c r="AM39" s="300">
        <v>-8225.446389322733</v>
      </c>
      <c r="AN39" s="300">
        <v>-6931</v>
      </c>
      <c r="AO39" s="300">
        <v>-5814.5960931199197</v>
      </c>
      <c r="AP39" s="300">
        <v>-4978</v>
      </c>
      <c r="AQ39" s="300">
        <v>0</v>
      </c>
      <c r="AR39" s="300">
        <v>0</v>
      </c>
      <c r="AS39" s="300">
        <v>-7783.3</v>
      </c>
      <c r="AT39" s="300">
        <v>-6838</v>
      </c>
      <c r="AU39" s="300">
        <v>0</v>
      </c>
      <c r="AV39" s="300">
        <v>-11260</v>
      </c>
      <c r="AW39" s="300">
        <v>-25711.8</v>
      </c>
      <c r="AX39" s="300">
        <v>0</v>
      </c>
      <c r="AY39" s="300">
        <v>-11932.630075704599</v>
      </c>
      <c r="AZ39" s="300">
        <v>-13428.526423374538</v>
      </c>
      <c r="BA39" s="300">
        <v>-25015.4061761714</v>
      </c>
      <c r="BB39" s="300">
        <v>-10968.096412907664</v>
      </c>
      <c r="BC39" s="300">
        <v>0</v>
      </c>
      <c r="BD39" s="300">
        <v>-8669.5932154473776</v>
      </c>
      <c r="BE39" s="300">
        <v>-7507.2563078143203</v>
      </c>
      <c r="BF39" s="300">
        <v>0</v>
      </c>
      <c r="BG39" s="300">
        <v>0</v>
      </c>
      <c r="BH39" s="300">
        <v>-13380.9098249789</v>
      </c>
      <c r="BI39" s="300">
        <v>0</v>
      </c>
      <c r="BJ39" s="300">
        <v>0</v>
      </c>
      <c r="BK39" s="300">
        <v>-218</v>
      </c>
      <c r="BL39" s="300">
        <v>0</v>
      </c>
      <c r="BM39" s="300">
        <v>0</v>
      </c>
      <c r="BN39" s="300">
        <v>0</v>
      </c>
      <c r="BO39" s="300">
        <v>0</v>
      </c>
      <c r="BP39" s="300">
        <v>0</v>
      </c>
      <c r="BQ39" s="300">
        <v>0</v>
      </c>
      <c r="BR39" s="300">
        <v>0</v>
      </c>
      <c r="BS39" s="300">
        <v>0</v>
      </c>
      <c r="BT39" s="300">
        <v>0</v>
      </c>
      <c r="BU39" s="300">
        <v>0</v>
      </c>
      <c r="BV39" s="300">
        <v>0</v>
      </c>
      <c r="BW39" s="300">
        <v>0</v>
      </c>
      <c r="BX39" s="300">
        <v>0</v>
      </c>
      <c r="BY39" s="300">
        <v>0</v>
      </c>
      <c r="BZ39" s="300">
        <v>0</v>
      </c>
      <c r="CA39" s="300">
        <v>0</v>
      </c>
      <c r="CB39" s="300">
        <v>0</v>
      </c>
      <c r="CC39" s="300">
        <v>0</v>
      </c>
      <c r="CD39" s="300">
        <v>0</v>
      </c>
      <c r="CE39" s="300">
        <v>0</v>
      </c>
      <c r="CF39" s="300">
        <v>0</v>
      </c>
      <c r="CG39" s="300">
        <v>0</v>
      </c>
      <c r="CH39" s="300">
        <v>0</v>
      </c>
      <c r="CI39" s="300">
        <v>0</v>
      </c>
      <c r="CJ39" s="300">
        <v>0</v>
      </c>
      <c r="CK39" s="300">
        <v>0</v>
      </c>
      <c r="CL39" s="300">
        <v>0</v>
      </c>
      <c r="CM39" s="300">
        <v>0</v>
      </c>
      <c r="CN39" s="300">
        <v>0</v>
      </c>
      <c r="CO39" s="300">
        <v>0</v>
      </c>
      <c r="CP39" s="300">
        <v>0</v>
      </c>
      <c r="CQ39" s="300">
        <v>0</v>
      </c>
      <c r="CR39" s="300">
        <v>0</v>
      </c>
      <c r="CS39" s="300">
        <v>0</v>
      </c>
      <c r="CT39" s="300">
        <v>0</v>
      </c>
      <c r="CU39" s="300">
        <v>0</v>
      </c>
      <c r="CV39" s="300">
        <v>0</v>
      </c>
      <c r="CW39" s="300">
        <v>0</v>
      </c>
      <c r="CX39" s="300">
        <v>0</v>
      </c>
      <c r="CY39" s="300">
        <v>0</v>
      </c>
      <c r="CZ39" s="300">
        <v>0</v>
      </c>
      <c r="DA39" s="300">
        <v>0</v>
      </c>
      <c r="DB39" s="300">
        <v>0</v>
      </c>
      <c r="DC39" s="300">
        <v>0</v>
      </c>
      <c r="DD39" s="300">
        <v>0</v>
      </c>
      <c r="DE39" s="300">
        <v>0</v>
      </c>
      <c r="DF39" s="300">
        <v>0</v>
      </c>
      <c r="DG39" s="300">
        <v>0</v>
      </c>
      <c r="DH39" s="300">
        <v>0</v>
      </c>
      <c r="DI39" s="300">
        <v>0</v>
      </c>
      <c r="DJ39" s="300">
        <v>0</v>
      </c>
      <c r="DK39" s="300">
        <v>0</v>
      </c>
      <c r="DL39" s="300">
        <v>0</v>
      </c>
      <c r="DM39" s="300">
        <v>0</v>
      </c>
      <c r="DN39" s="300">
        <v>0</v>
      </c>
      <c r="DO39" s="300">
        <v>0</v>
      </c>
      <c r="DP39" s="300">
        <v>0</v>
      </c>
      <c r="DQ39" s="300">
        <v>0</v>
      </c>
      <c r="DR39" s="300">
        <v>0</v>
      </c>
      <c r="DS39" s="300">
        <v>0</v>
      </c>
      <c r="DT39" s="300">
        <v>0</v>
      </c>
      <c r="DU39" s="300">
        <v>0</v>
      </c>
      <c r="DV39" s="300">
        <v>0</v>
      </c>
      <c r="DW39" s="300">
        <v>0</v>
      </c>
      <c r="DX39" s="300">
        <v>0</v>
      </c>
      <c r="DY39" s="300">
        <v>0</v>
      </c>
    </row>
    <row r="40" spans="2:129" s="3" customFormat="1" ht="11.7" customHeight="1" outlineLevel="1" x14ac:dyDescent="0.25">
      <c r="B40" s="113" t="str">
        <f>+'CapEx Budget'!$B$52</f>
        <v>Construction Contingencies</v>
      </c>
      <c r="C40" s="113"/>
      <c r="D40" s="289">
        <f>+'CapEx Budget'!$G$52</f>
        <v>11124</v>
      </c>
      <c r="E40" s="292">
        <f>EOMONTH(Inputs!$K$91,2)</f>
        <v>44592</v>
      </c>
      <c r="F40" s="118"/>
      <c r="G40" s="290">
        <f t="shared" si="27"/>
        <v>-11124.099732404331</v>
      </c>
      <c r="H40" s="655"/>
      <c r="I40" s="300">
        <v>0</v>
      </c>
      <c r="J40" s="300">
        <v>0</v>
      </c>
      <c r="K40" s="300">
        <v>0</v>
      </c>
      <c r="L40" s="300">
        <v>0</v>
      </c>
      <c r="M40" s="300">
        <v>0</v>
      </c>
      <c r="N40" s="300">
        <v>0</v>
      </c>
      <c r="O40" s="300">
        <v>0</v>
      </c>
      <c r="P40" s="300">
        <v>0</v>
      </c>
      <c r="Q40" s="300">
        <v>0</v>
      </c>
      <c r="R40" s="300">
        <v>0</v>
      </c>
      <c r="S40" s="300">
        <v>0</v>
      </c>
      <c r="T40" s="300">
        <v>0</v>
      </c>
      <c r="U40" s="300">
        <v>0</v>
      </c>
      <c r="V40" s="300">
        <v>0</v>
      </c>
      <c r="W40" s="300">
        <v>0</v>
      </c>
      <c r="X40" s="300">
        <v>0</v>
      </c>
      <c r="Y40" s="300">
        <v>0</v>
      </c>
      <c r="Z40" s="300">
        <v>0</v>
      </c>
      <c r="AA40" s="300">
        <v>-222.6141013618454</v>
      </c>
      <c r="AB40" s="300">
        <v>0</v>
      </c>
      <c r="AC40" s="300">
        <v>0</v>
      </c>
      <c r="AD40" s="300">
        <v>0</v>
      </c>
      <c r="AE40" s="300">
        <v>0</v>
      </c>
      <c r="AF40" s="300">
        <v>0</v>
      </c>
      <c r="AG40" s="300">
        <v>0</v>
      </c>
      <c r="AH40" s="300">
        <v>0</v>
      </c>
      <c r="AI40" s="300">
        <v>0</v>
      </c>
      <c r="AJ40" s="300">
        <v>0</v>
      </c>
      <c r="AK40" s="300">
        <v>0</v>
      </c>
      <c r="AL40" s="300">
        <v>0</v>
      </c>
      <c r="AM40" s="300">
        <v>0</v>
      </c>
      <c r="AN40" s="300">
        <v>0</v>
      </c>
      <c r="AO40" s="300">
        <v>0</v>
      </c>
      <c r="AP40" s="300">
        <v>0</v>
      </c>
      <c r="AQ40" s="300">
        <v>0</v>
      </c>
      <c r="AR40" s="300">
        <v>0</v>
      </c>
      <c r="AS40" s="300">
        <v>0</v>
      </c>
      <c r="AT40" s="300">
        <v>0</v>
      </c>
      <c r="AU40" s="300">
        <v>0</v>
      </c>
      <c r="AV40" s="300">
        <v>0</v>
      </c>
      <c r="AW40" s="300">
        <v>0</v>
      </c>
      <c r="AX40" s="300">
        <v>0</v>
      </c>
      <c r="AY40" s="300">
        <v>-105.31120627635995</v>
      </c>
      <c r="AZ40" s="300">
        <v>0</v>
      </c>
      <c r="BA40" s="300">
        <v>-533.49382382858516</v>
      </c>
      <c r="BB40" s="300">
        <v>0</v>
      </c>
      <c r="BC40" s="300">
        <v>-380.09001026736479</v>
      </c>
      <c r="BD40" s="300">
        <v>-79</v>
      </c>
      <c r="BE40" s="300">
        <v>-3162.15</v>
      </c>
      <c r="BF40" s="300">
        <v>-1048</v>
      </c>
      <c r="BG40" s="300">
        <v>-459.6</v>
      </c>
      <c r="BH40" s="300">
        <v>-3977.6</v>
      </c>
      <c r="BI40" s="300">
        <v>-948.24059067017504</v>
      </c>
      <c r="BJ40" s="300">
        <v>0</v>
      </c>
      <c r="BK40" s="300">
        <v>-208</v>
      </c>
      <c r="BL40" s="300">
        <v>0</v>
      </c>
      <c r="BM40" s="300">
        <v>0</v>
      </c>
      <c r="BN40" s="300">
        <v>0</v>
      </c>
      <c r="BO40" s="300">
        <v>0</v>
      </c>
      <c r="BP40" s="300">
        <v>0</v>
      </c>
      <c r="BQ40" s="300">
        <v>0</v>
      </c>
      <c r="BR40" s="300">
        <v>0</v>
      </c>
      <c r="BS40" s="300">
        <v>0</v>
      </c>
      <c r="BT40" s="300">
        <v>0</v>
      </c>
      <c r="BU40" s="300">
        <v>0</v>
      </c>
      <c r="BV40" s="300">
        <v>0</v>
      </c>
      <c r="BW40" s="300">
        <v>0</v>
      </c>
      <c r="BX40" s="300">
        <v>0</v>
      </c>
      <c r="BY40" s="300">
        <v>0</v>
      </c>
      <c r="BZ40" s="300">
        <v>0</v>
      </c>
      <c r="CA40" s="300">
        <v>0</v>
      </c>
      <c r="CB40" s="300">
        <v>0</v>
      </c>
      <c r="CC40" s="300">
        <v>0</v>
      </c>
      <c r="CD40" s="300">
        <v>0</v>
      </c>
      <c r="CE40" s="300">
        <v>0</v>
      </c>
      <c r="CF40" s="300">
        <v>0</v>
      </c>
      <c r="CG40" s="300">
        <v>0</v>
      </c>
      <c r="CH40" s="300">
        <v>0</v>
      </c>
      <c r="CI40" s="300">
        <v>0</v>
      </c>
      <c r="CJ40" s="300">
        <v>0</v>
      </c>
      <c r="CK40" s="300">
        <v>0</v>
      </c>
      <c r="CL40" s="300">
        <v>0</v>
      </c>
      <c r="CM40" s="300">
        <v>0</v>
      </c>
      <c r="CN40" s="300">
        <v>0</v>
      </c>
      <c r="CO40" s="300">
        <v>0</v>
      </c>
      <c r="CP40" s="300">
        <v>0</v>
      </c>
      <c r="CQ40" s="300">
        <v>0</v>
      </c>
      <c r="CR40" s="300">
        <v>0</v>
      </c>
      <c r="CS40" s="300">
        <v>0</v>
      </c>
      <c r="CT40" s="300">
        <v>0</v>
      </c>
      <c r="CU40" s="300">
        <v>0</v>
      </c>
      <c r="CV40" s="300">
        <v>0</v>
      </c>
      <c r="CW40" s="300">
        <v>0</v>
      </c>
      <c r="CX40" s="300">
        <v>0</v>
      </c>
      <c r="CY40" s="300">
        <v>0</v>
      </c>
      <c r="CZ40" s="300">
        <v>0</v>
      </c>
      <c r="DA40" s="300">
        <v>0</v>
      </c>
      <c r="DB40" s="300">
        <v>0</v>
      </c>
      <c r="DC40" s="300">
        <v>0</v>
      </c>
      <c r="DD40" s="300">
        <v>0</v>
      </c>
      <c r="DE40" s="300">
        <v>0</v>
      </c>
      <c r="DF40" s="300">
        <v>0</v>
      </c>
      <c r="DG40" s="300">
        <v>0</v>
      </c>
      <c r="DH40" s="300">
        <v>0</v>
      </c>
      <c r="DI40" s="300">
        <v>0</v>
      </c>
      <c r="DJ40" s="300">
        <v>0</v>
      </c>
      <c r="DK40" s="300">
        <v>0</v>
      </c>
      <c r="DL40" s="300">
        <v>0</v>
      </c>
      <c r="DM40" s="300">
        <v>0</v>
      </c>
      <c r="DN40" s="300">
        <v>0</v>
      </c>
      <c r="DO40" s="300">
        <v>0</v>
      </c>
      <c r="DP40" s="300">
        <v>0</v>
      </c>
      <c r="DQ40" s="300">
        <v>0</v>
      </c>
      <c r="DR40" s="300">
        <v>0</v>
      </c>
      <c r="DS40" s="300">
        <v>0</v>
      </c>
      <c r="DT40" s="300">
        <v>0</v>
      </c>
      <c r="DU40" s="300">
        <v>0</v>
      </c>
      <c r="DV40" s="300">
        <v>0</v>
      </c>
      <c r="DW40" s="300">
        <v>0</v>
      </c>
      <c r="DX40" s="300">
        <v>0</v>
      </c>
      <c r="DY40" s="300">
        <v>0</v>
      </c>
    </row>
    <row r="41" spans="2:129" s="3" customFormat="1" ht="11.7" customHeight="1" outlineLevel="1" x14ac:dyDescent="0.25">
      <c r="B41" s="116" t="str">
        <f>+'CapEx Budget'!$B$53</f>
        <v>Furniture</v>
      </c>
      <c r="C41" s="116"/>
      <c r="D41" s="302">
        <f>+'CapEx Budget'!$G$53</f>
        <v>10225</v>
      </c>
      <c r="E41" s="292">
        <f>EOMONTH(Inputs!$K$91,5)</f>
        <v>44681</v>
      </c>
      <c r="F41" s="1014"/>
      <c r="G41" s="290">
        <f t="shared" si="27"/>
        <v>-10363.165047071856</v>
      </c>
      <c r="H41" s="63"/>
      <c r="I41" s="1012">
        <v>0</v>
      </c>
      <c r="J41" s="1012">
        <v>0</v>
      </c>
      <c r="K41" s="1012">
        <v>0</v>
      </c>
      <c r="L41" s="1012">
        <v>0</v>
      </c>
      <c r="M41" s="1012">
        <v>0</v>
      </c>
      <c r="N41" s="1012">
        <v>0</v>
      </c>
      <c r="O41" s="1012">
        <v>0</v>
      </c>
      <c r="P41" s="1012">
        <v>0</v>
      </c>
      <c r="Q41" s="1012">
        <v>0</v>
      </c>
      <c r="R41" s="1012">
        <v>0</v>
      </c>
      <c r="S41" s="1012">
        <v>0</v>
      </c>
      <c r="T41" s="1012">
        <v>0</v>
      </c>
      <c r="U41" s="1012">
        <v>0</v>
      </c>
      <c r="V41" s="1012">
        <v>0</v>
      </c>
      <c r="W41" s="1012">
        <v>0</v>
      </c>
      <c r="X41" s="1012">
        <v>0</v>
      </c>
      <c r="Y41" s="1012">
        <v>0</v>
      </c>
      <c r="Z41" s="1012">
        <v>0</v>
      </c>
      <c r="AA41" s="1012">
        <v>0</v>
      </c>
      <c r="AB41" s="1012">
        <v>0</v>
      </c>
      <c r="AC41" s="1012">
        <v>0</v>
      </c>
      <c r="AD41" s="1012">
        <v>0</v>
      </c>
      <c r="AE41" s="1012">
        <v>0</v>
      </c>
      <c r="AF41" s="1012">
        <v>0</v>
      </c>
      <c r="AG41" s="1012">
        <v>0</v>
      </c>
      <c r="AH41" s="1012">
        <v>0</v>
      </c>
      <c r="AI41" s="1012">
        <v>0</v>
      </c>
      <c r="AJ41" s="1012">
        <v>0</v>
      </c>
      <c r="AK41" s="1012">
        <v>0</v>
      </c>
      <c r="AL41" s="1012">
        <v>0</v>
      </c>
      <c r="AM41" s="1012">
        <v>0</v>
      </c>
      <c r="AN41" s="1012">
        <v>0</v>
      </c>
      <c r="AO41" s="1012">
        <v>0</v>
      </c>
      <c r="AP41" s="1012">
        <v>-1758</v>
      </c>
      <c r="AQ41" s="1012">
        <v>-165.2</v>
      </c>
      <c r="AR41" s="1012">
        <v>0</v>
      </c>
      <c r="AS41" s="1012">
        <v>0</v>
      </c>
      <c r="AT41" s="1012">
        <v>-511.3</v>
      </c>
      <c r="AU41" s="1012">
        <v>-783</v>
      </c>
      <c r="AV41" s="1012">
        <v>-253.3</v>
      </c>
      <c r="AW41" s="1012">
        <v>-512.9</v>
      </c>
      <c r="AX41" s="1012">
        <v>-141.6</v>
      </c>
      <c r="AY41" s="1012">
        <v>-1100.6029020523315</v>
      </c>
      <c r="AZ41" s="1012">
        <v>-521.5</v>
      </c>
      <c r="BA41" s="1012">
        <v>-628.1</v>
      </c>
      <c r="BB41" s="1012">
        <v>-1440.3</v>
      </c>
      <c r="BC41" s="1012">
        <v>-440</v>
      </c>
      <c r="BD41" s="1012">
        <v>-182.56</v>
      </c>
      <c r="BE41" s="1012">
        <v>-225.74</v>
      </c>
      <c r="BF41" s="1012">
        <v>-746</v>
      </c>
      <c r="BG41" s="1012">
        <v>-42.3</v>
      </c>
      <c r="BH41" s="300">
        <v>-76.83</v>
      </c>
      <c r="BI41" s="300">
        <v>-7.9321450195262901</v>
      </c>
      <c r="BJ41" s="300">
        <v>0</v>
      </c>
      <c r="BK41" s="300">
        <v>-688</v>
      </c>
      <c r="BL41" s="1012">
        <v>-138</v>
      </c>
      <c r="BM41" s="1012">
        <v>0</v>
      </c>
      <c r="BN41" s="1012">
        <v>0</v>
      </c>
      <c r="BO41" s="1012">
        <v>0</v>
      </c>
      <c r="BP41" s="1012">
        <v>0</v>
      </c>
      <c r="BQ41" s="1012">
        <v>0</v>
      </c>
      <c r="BR41" s="1012">
        <v>0</v>
      </c>
      <c r="BS41" s="1012">
        <v>0</v>
      </c>
      <c r="BT41" s="1012">
        <v>0</v>
      </c>
      <c r="BU41" s="1012">
        <v>0</v>
      </c>
      <c r="BV41" s="1012">
        <v>0</v>
      </c>
      <c r="BW41" s="1012">
        <v>0</v>
      </c>
      <c r="BX41" s="1012">
        <v>0</v>
      </c>
      <c r="BY41" s="1012">
        <v>0</v>
      </c>
      <c r="BZ41" s="1012">
        <v>0</v>
      </c>
      <c r="CA41" s="1012">
        <v>0</v>
      </c>
      <c r="CB41" s="1012">
        <v>0</v>
      </c>
      <c r="CC41" s="1012">
        <v>0</v>
      </c>
      <c r="CD41" s="1012">
        <v>0</v>
      </c>
      <c r="CE41" s="1012">
        <v>0</v>
      </c>
      <c r="CF41" s="1012">
        <v>0</v>
      </c>
      <c r="CG41" s="1012">
        <v>0</v>
      </c>
      <c r="CH41" s="1012">
        <v>0</v>
      </c>
      <c r="CI41" s="1012">
        <v>0</v>
      </c>
      <c r="CJ41" s="1012">
        <v>0</v>
      </c>
      <c r="CK41" s="1012">
        <v>0</v>
      </c>
      <c r="CL41" s="1012">
        <v>0</v>
      </c>
      <c r="CM41" s="1012">
        <v>0</v>
      </c>
      <c r="CN41" s="1012">
        <v>0</v>
      </c>
      <c r="CO41" s="1012">
        <v>0</v>
      </c>
      <c r="CP41" s="1012">
        <v>0</v>
      </c>
      <c r="CQ41" s="1012">
        <v>0</v>
      </c>
      <c r="CR41" s="1012">
        <v>0</v>
      </c>
      <c r="CS41" s="1012">
        <v>0</v>
      </c>
      <c r="CT41" s="1012">
        <v>0</v>
      </c>
      <c r="CU41" s="1012">
        <v>0</v>
      </c>
      <c r="CV41" s="1012">
        <v>0</v>
      </c>
      <c r="CW41" s="1012">
        <v>0</v>
      </c>
      <c r="CX41" s="1012">
        <v>0</v>
      </c>
      <c r="CY41" s="1012">
        <v>0</v>
      </c>
      <c r="CZ41" s="1012">
        <v>0</v>
      </c>
      <c r="DA41" s="1012">
        <v>0</v>
      </c>
      <c r="DB41" s="1012">
        <v>0</v>
      </c>
      <c r="DC41" s="1012">
        <v>0</v>
      </c>
      <c r="DD41" s="1012">
        <v>0</v>
      </c>
      <c r="DE41" s="1012">
        <v>0</v>
      </c>
      <c r="DF41" s="1012">
        <v>0</v>
      </c>
      <c r="DG41" s="1012">
        <v>0</v>
      </c>
      <c r="DH41" s="1012">
        <v>0</v>
      </c>
      <c r="DI41" s="1012">
        <v>0</v>
      </c>
      <c r="DJ41" s="1012">
        <v>0</v>
      </c>
      <c r="DK41" s="1012">
        <v>0</v>
      </c>
      <c r="DL41" s="1012">
        <v>0</v>
      </c>
      <c r="DM41" s="1012">
        <v>0</v>
      </c>
      <c r="DN41" s="1012">
        <v>0</v>
      </c>
      <c r="DO41" s="1012">
        <v>0</v>
      </c>
      <c r="DP41" s="1012">
        <v>0</v>
      </c>
      <c r="DQ41" s="1012">
        <v>0</v>
      </c>
      <c r="DR41" s="1012">
        <v>0</v>
      </c>
      <c r="DS41" s="1012">
        <v>0</v>
      </c>
      <c r="DT41" s="1012">
        <v>0</v>
      </c>
      <c r="DU41" s="1012">
        <v>0</v>
      </c>
      <c r="DV41" s="1012">
        <v>0</v>
      </c>
      <c r="DW41" s="1012">
        <v>0</v>
      </c>
      <c r="DX41" s="1012">
        <v>0</v>
      </c>
      <c r="DY41" s="1012">
        <v>0</v>
      </c>
    </row>
    <row r="42" spans="2:129" s="3" customFormat="1" ht="11.7" customHeight="1" outlineLevel="1" x14ac:dyDescent="0.3">
      <c r="B42" s="117" t="s">
        <v>32</v>
      </c>
      <c r="C42" s="117"/>
      <c r="D42" s="302">
        <f>+'CapEx Budget'!$G$54</f>
        <v>314325.83616950823</v>
      </c>
      <c r="E42" s="118"/>
      <c r="F42" s="118"/>
      <c r="G42" s="312">
        <f t="shared" si="27"/>
        <v>-314465.08426905435</v>
      </c>
      <c r="I42" s="120">
        <f t="shared" ref="I42:AN42" si="28">SUM(I37:I41)</f>
        <v>0</v>
      </c>
      <c r="J42" s="120">
        <f t="shared" si="28"/>
        <v>0</v>
      </c>
      <c r="K42" s="120">
        <f t="shared" si="28"/>
        <v>0</v>
      </c>
      <c r="L42" s="120">
        <f t="shared" si="28"/>
        <v>0</v>
      </c>
      <c r="M42" s="120">
        <f t="shared" si="28"/>
        <v>0</v>
      </c>
      <c r="N42" s="120">
        <f t="shared" si="28"/>
        <v>0</v>
      </c>
      <c r="O42" s="120">
        <f t="shared" si="28"/>
        <v>0</v>
      </c>
      <c r="P42" s="120">
        <f t="shared" si="28"/>
        <v>0</v>
      </c>
      <c r="Q42" s="120">
        <f t="shared" si="28"/>
        <v>0</v>
      </c>
      <c r="R42" s="120">
        <f t="shared" si="28"/>
        <v>0</v>
      </c>
      <c r="S42" s="120">
        <f t="shared" si="28"/>
        <v>-848</v>
      </c>
      <c r="T42" s="120">
        <f t="shared" si="28"/>
        <v>0</v>
      </c>
      <c r="U42" s="120">
        <f t="shared" si="28"/>
        <v>0</v>
      </c>
      <c r="V42" s="120">
        <f t="shared" si="28"/>
        <v>0</v>
      </c>
      <c r="W42" s="120">
        <f t="shared" si="28"/>
        <v>-4996.0203703845464</v>
      </c>
      <c r="X42" s="120">
        <f t="shared" si="28"/>
        <v>0</v>
      </c>
      <c r="Y42" s="120">
        <f t="shared" si="28"/>
        <v>-5752.448657333458</v>
      </c>
      <c r="Z42" s="120">
        <f t="shared" si="28"/>
        <v>0</v>
      </c>
      <c r="AA42" s="120">
        <f t="shared" si="28"/>
        <v>-3482.5658658022985</v>
      </c>
      <c r="AB42" s="120">
        <f t="shared" si="28"/>
        <v>0</v>
      </c>
      <c r="AC42" s="120">
        <f t="shared" si="28"/>
        <v>-1109.6961440737464</v>
      </c>
      <c r="AD42" s="120">
        <f t="shared" si="28"/>
        <v>-1596.02</v>
      </c>
      <c r="AE42" s="120">
        <f t="shared" si="28"/>
        <v>-54307.681862760786</v>
      </c>
      <c r="AF42" s="120">
        <f t="shared" si="28"/>
        <v>-12599.492959740237</v>
      </c>
      <c r="AG42" s="120">
        <f t="shared" si="28"/>
        <v>-6333.4988389794571</v>
      </c>
      <c r="AH42" s="120">
        <f t="shared" si="28"/>
        <v>-7095.7236616406672</v>
      </c>
      <c r="AI42" s="120">
        <f t="shared" si="28"/>
        <v>-7150.8149853557079</v>
      </c>
      <c r="AJ42" s="120">
        <f t="shared" si="28"/>
        <v>-6114</v>
      </c>
      <c r="AK42" s="120">
        <f t="shared" si="28"/>
        <v>-6241.1839217364504</v>
      </c>
      <c r="AL42" s="120">
        <f t="shared" si="28"/>
        <v>-6910.7254042911272</v>
      </c>
      <c r="AM42" s="120">
        <f t="shared" si="28"/>
        <v>-8225.446389322733</v>
      </c>
      <c r="AN42" s="120">
        <f t="shared" si="28"/>
        <v>-6931</v>
      </c>
      <c r="AO42" s="120">
        <f t="shared" ref="AO42:BT42" si="29">SUM(AO37:AO41)</f>
        <v>-5814.5960931199197</v>
      </c>
      <c r="AP42" s="120">
        <f t="shared" si="29"/>
        <v>-6736</v>
      </c>
      <c r="AQ42" s="120">
        <f t="shared" si="29"/>
        <v>-165.2</v>
      </c>
      <c r="AR42" s="120">
        <f t="shared" si="29"/>
        <v>0</v>
      </c>
      <c r="AS42" s="120">
        <f t="shared" si="29"/>
        <v>-7783.3</v>
      </c>
      <c r="AT42" s="120">
        <f t="shared" si="29"/>
        <v>-7349.3</v>
      </c>
      <c r="AU42" s="120">
        <f t="shared" si="29"/>
        <v>-783</v>
      </c>
      <c r="AV42" s="120">
        <f t="shared" si="29"/>
        <v>-11513.3</v>
      </c>
      <c r="AW42" s="120">
        <f t="shared" si="29"/>
        <v>-26224.7</v>
      </c>
      <c r="AX42" s="120">
        <f t="shared" si="29"/>
        <v>-141.6</v>
      </c>
      <c r="AY42" s="120">
        <f t="shared" si="29"/>
        <v>-13138.54418403329</v>
      </c>
      <c r="AZ42" s="120">
        <f t="shared" si="29"/>
        <v>-13950.026423374538</v>
      </c>
      <c r="BA42" s="120">
        <f t="shared" si="29"/>
        <v>-26176.999999999985</v>
      </c>
      <c r="BB42" s="120">
        <f t="shared" si="29"/>
        <v>-12408.396412907663</v>
      </c>
      <c r="BC42" s="120">
        <f t="shared" si="29"/>
        <v>-820.09001026736473</v>
      </c>
      <c r="BD42" s="120">
        <f t="shared" si="29"/>
        <v>-8931.1532154473771</v>
      </c>
      <c r="BE42" s="120">
        <f t="shared" si="29"/>
        <v>-10895.146307814321</v>
      </c>
      <c r="BF42" s="120">
        <f t="shared" si="29"/>
        <v>-1794</v>
      </c>
      <c r="BG42" s="120">
        <f t="shared" si="29"/>
        <v>-501.90000000000003</v>
      </c>
      <c r="BH42" s="1118">
        <f t="shared" si="29"/>
        <v>-17435.339824978902</v>
      </c>
      <c r="BI42" s="1118">
        <f>SUM(BI37:BI41)</f>
        <v>-956.17273568970131</v>
      </c>
      <c r="BJ42" s="1118">
        <f t="shared" si="29"/>
        <v>0</v>
      </c>
      <c r="BK42" s="1118">
        <f t="shared" si="29"/>
        <v>-1114</v>
      </c>
      <c r="BL42" s="120">
        <f t="shared" si="29"/>
        <v>-138</v>
      </c>
      <c r="BM42" s="120">
        <f t="shared" si="29"/>
        <v>0</v>
      </c>
      <c r="BN42" s="120">
        <f t="shared" si="29"/>
        <v>0</v>
      </c>
      <c r="BO42" s="120">
        <f t="shared" si="29"/>
        <v>0</v>
      </c>
      <c r="BP42" s="120">
        <f t="shared" si="29"/>
        <v>0</v>
      </c>
      <c r="BQ42" s="120">
        <f t="shared" si="29"/>
        <v>0</v>
      </c>
      <c r="BR42" s="120">
        <f t="shared" si="29"/>
        <v>0</v>
      </c>
      <c r="BS42" s="120">
        <f t="shared" si="29"/>
        <v>0</v>
      </c>
      <c r="BT42" s="120">
        <f t="shared" si="29"/>
        <v>0</v>
      </c>
      <c r="BU42" s="120">
        <f t="shared" ref="BU42:CZ42" si="30">SUM(BU37:BU41)</f>
        <v>0</v>
      </c>
      <c r="BV42" s="120">
        <f t="shared" si="30"/>
        <v>0</v>
      </c>
      <c r="BW42" s="120">
        <f t="shared" si="30"/>
        <v>0</v>
      </c>
      <c r="BX42" s="120">
        <f t="shared" si="30"/>
        <v>0</v>
      </c>
      <c r="BY42" s="120">
        <f t="shared" si="30"/>
        <v>0</v>
      </c>
      <c r="BZ42" s="120">
        <f t="shared" si="30"/>
        <v>0</v>
      </c>
      <c r="CA42" s="120">
        <f t="shared" si="30"/>
        <v>0</v>
      </c>
      <c r="CB42" s="120">
        <f t="shared" si="30"/>
        <v>0</v>
      </c>
      <c r="CC42" s="120">
        <f t="shared" si="30"/>
        <v>0</v>
      </c>
      <c r="CD42" s="120">
        <f t="shared" si="30"/>
        <v>0</v>
      </c>
      <c r="CE42" s="120">
        <f t="shared" si="30"/>
        <v>0</v>
      </c>
      <c r="CF42" s="120">
        <f t="shared" si="30"/>
        <v>0</v>
      </c>
      <c r="CG42" s="120">
        <f t="shared" si="30"/>
        <v>0</v>
      </c>
      <c r="CH42" s="120">
        <f t="shared" si="30"/>
        <v>0</v>
      </c>
      <c r="CI42" s="120">
        <f t="shared" si="30"/>
        <v>0</v>
      </c>
      <c r="CJ42" s="120">
        <f t="shared" si="30"/>
        <v>0</v>
      </c>
      <c r="CK42" s="120">
        <f t="shared" si="30"/>
        <v>0</v>
      </c>
      <c r="CL42" s="120">
        <f t="shared" si="30"/>
        <v>0</v>
      </c>
      <c r="CM42" s="120">
        <f t="shared" si="30"/>
        <v>0</v>
      </c>
      <c r="CN42" s="120">
        <f t="shared" si="30"/>
        <v>0</v>
      </c>
      <c r="CO42" s="120">
        <f t="shared" si="30"/>
        <v>0</v>
      </c>
      <c r="CP42" s="120">
        <f t="shared" si="30"/>
        <v>0</v>
      </c>
      <c r="CQ42" s="120">
        <f t="shared" si="30"/>
        <v>0</v>
      </c>
      <c r="CR42" s="120">
        <f t="shared" si="30"/>
        <v>0</v>
      </c>
      <c r="CS42" s="120">
        <f t="shared" si="30"/>
        <v>0</v>
      </c>
      <c r="CT42" s="120">
        <f t="shared" si="30"/>
        <v>0</v>
      </c>
      <c r="CU42" s="120">
        <f t="shared" si="30"/>
        <v>0</v>
      </c>
      <c r="CV42" s="120">
        <f t="shared" si="30"/>
        <v>0</v>
      </c>
      <c r="CW42" s="120">
        <f t="shared" si="30"/>
        <v>0</v>
      </c>
      <c r="CX42" s="120">
        <f t="shared" si="30"/>
        <v>0</v>
      </c>
      <c r="CY42" s="120">
        <f t="shared" si="30"/>
        <v>0</v>
      </c>
      <c r="CZ42" s="120">
        <f t="shared" si="30"/>
        <v>0</v>
      </c>
      <c r="DA42" s="120">
        <f t="shared" ref="DA42:DY42" si="31">SUM(DA37:DA41)</f>
        <v>0</v>
      </c>
      <c r="DB42" s="120">
        <f t="shared" si="31"/>
        <v>0</v>
      </c>
      <c r="DC42" s="120">
        <f t="shared" si="31"/>
        <v>0</v>
      </c>
      <c r="DD42" s="120">
        <f t="shared" si="31"/>
        <v>0</v>
      </c>
      <c r="DE42" s="120">
        <f t="shared" si="31"/>
        <v>0</v>
      </c>
      <c r="DF42" s="120">
        <f t="shared" si="31"/>
        <v>0</v>
      </c>
      <c r="DG42" s="120">
        <f t="shared" si="31"/>
        <v>0</v>
      </c>
      <c r="DH42" s="120">
        <f t="shared" si="31"/>
        <v>0</v>
      </c>
      <c r="DI42" s="120">
        <f t="shared" si="31"/>
        <v>0</v>
      </c>
      <c r="DJ42" s="120">
        <f t="shared" si="31"/>
        <v>0</v>
      </c>
      <c r="DK42" s="120">
        <f t="shared" si="31"/>
        <v>0</v>
      </c>
      <c r="DL42" s="120">
        <f t="shared" si="31"/>
        <v>0</v>
      </c>
      <c r="DM42" s="120">
        <f t="shared" si="31"/>
        <v>0</v>
      </c>
      <c r="DN42" s="120">
        <f t="shared" si="31"/>
        <v>0</v>
      </c>
      <c r="DO42" s="120">
        <f t="shared" si="31"/>
        <v>0</v>
      </c>
      <c r="DP42" s="120">
        <f t="shared" si="31"/>
        <v>0</v>
      </c>
      <c r="DQ42" s="120">
        <f t="shared" si="31"/>
        <v>0</v>
      </c>
      <c r="DR42" s="120">
        <f t="shared" si="31"/>
        <v>0</v>
      </c>
      <c r="DS42" s="120">
        <f t="shared" si="31"/>
        <v>0</v>
      </c>
      <c r="DT42" s="120">
        <f t="shared" si="31"/>
        <v>0</v>
      </c>
      <c r="DU42" s="120">
        <f t="shared" si="31"/>
        <v>0</v>
      </c>
      <c r="DV42" s="120">
        <f t="shared" si="31"/>
        <v>0</v>
      </c>
      <c r="DW42" s="120">
        <f t="shared" si="31"/>
        <v>0</v>
      </c>
      <c r="DX42" s="120">
        <f t="shared" si="31"/>
        <v>0</v>
      </c>
      <c r="DY42" s="120">
        <f t="shared" si="31"/>
        <v>0</v>
      </c>
    </row>
    <row r="43" spans="2:129" s="3" customFormat="1" ht="11.7" customHeight="1" outlineLevel="1" x14ac:dyDescent="0.3">
      <c r="B43" s="121"/>
      <c r="C43" s="121"/>
      <c r="D43" s="122"/>
      <c r="E43" s="123"/>
      <c r="F43" s="123"/>
      <c r="G43" s="114"/>
      <c r="H43" s="124"/>
      <c r="I43" s="115"/>
      <c r="J43" s="115"/>
      <c r="K43" s="115"/>
      <c r="L43" s="115"/>
      <c r="M43" s="115"/>
      <c r="N43" s="115"/>
      <c r="O43" s="115"/>
      <c r="P43" s="115"/>
      <c r="Q43" s="115"/>
      <c r="R43" s="115"/>
      <c r="S43" s="115"/>
      <c r="T43" s="115"/>
      <c r="U43" s="115"/>
      <c r="V43" s="115"/>
      <c r="W43" s="115"/>
      <c r="X43" s="115"/>
      <c r="Y43" s="115"/>
      <c r="Z43" s="115"/>
      <c r="AA43" s="115"/>
      <c r="AB43" s="115"/>
      <c r="AC43" s="115"/>
      <c r="AD43" s="115"/>
      <c r="AE43" s="115"/>
      <c r="AF43" s="115"/>
      <c r="AG43" s="115"/>
      <c r="AH43" s="115"/>
      <c r="AI43" s="115"/>
      <c r="AJ43" s="115"/>
      <c r="AK43" s="115"/>
      <c r="AL43" s="115"/>
      <c r="AM43" s="115"/>
      <c r="AN43" s="115"/>
      <c r="AO43" s="115"/>
      <c r="AP43" s="115"/>
      <c r="AQ43" s="115"/>
      <c r="AR43" s="115"/>
      <c r="AS43" s="115"/>
      <c r="AT43" s="115"/>
      <c r="AU43" s="115"/>
      <c r="AV43" s="115"/>
      <c r="AW43" s="115"/>
      <c r="AX43" s="115"/>
      <c r="AY43" s="115"/>
      <c r="AZ43" s="115"/>
      <c r="BA43" s="115"/>
      <c r="BB43" s="115"/>
      <c r="BC43" s="115"/>
      <c r="BD43" s="115"/>
      <c r="BE43" s="115"/>
      <c r="BF43" s="115"/>
      <c r="BG43" s="115"/>
      <c r="BH43" s="115"/>
      <c r="BI43" s="115"/>
      <c r="BJ43" s="115"/>
      <c r="BK43" s="115"/>
      <c r="BL43" s="115"/>
      <c r="BM43" s="115"/>
      <c r="BN43" s="115"/>
      <c r="BO43" s="115"/>
      <c r="BP43" s="115"/>
      <c r="BQ43" s="115"/>
      <c r="BR43" s="115"/>
      <c r="BS43" s="115"/>
      <c r="BT43" s="115"/>
      <c r="BU43" s="115"/>
      <c r="BV43" s="115"/>
      <c r="BW43" s="115"/>
      <c r="BX43" s="115"/>
      <c r="BY43" s="115"/>
      <c r="BZ43" s="115"/>
      <c r="CA43" s="115"/>
      <c r="CB43" s="115"/>
      <c r="CC43" s="115"/>
      <c r="CD43" s="115"/>
      <c r="CE43" s="115"/>
      <c r="CF43" s="115"/>
      <c r="CG43" s="115"/>
      <c r="CH43" s="115"/>
      <c r="CI43" s="115"/>
      <c r="CJ43" s="115"/>
      <c r="CK43" s="115"/>
      <c r="CL43" s="115"/>
      <c r="CM43" s="115"/>
      <c r="CN43" s="115"/>
      <c r="CO43" s="115"/>
      <c r="CP43" s="115"/>
      <c r="CQ43" s="115"/>
      <c r="CR43" s="115"/>
      <c r="CS43" s="115"/>
      <c r="CT43" s="115"/>
      <c r="CU43" s="115"/>
      <c r="CV43" s="115"/>
      <c r="CW43" s="115"/>
      <c r="CX43" s="115"/>
      <c r="CY43" s="115"/>
      <c r="CZ43" s="115"/>
      <c r="DA43" s="115"/>
      <c r="DB43" s="115"/>
      <c r="DC43" s="115"/>
      <c r="DD43" s="115"/>
      <c r="DE43" s="115"/>
      <c r="DF43" s="115"/>
      <c r="DG43" s="115"/>
      <c r="DH43" s="115"/>
      <c r="DI43" s="115"/>
      <c r="DJ43" s="115"/>
      <c r="DK43" s="115"/>
      <c r="DL43" s="115"/>
      <c r="DM43" s="115"/>
      <c r="DN43" s="115"/>
      <c r="DO43" s="115"/>
      <c r="DP43" s="115"/>
      <c r="DQ43" s="115"/>
      <c r="DR43" s="115"/>
      <c r="DS43" s="115"/>
      <c r="DT43" s="115"/>
      <c r="DU43" s="115"/>
      <c r="DV43" s="115"/>
      <c r="DW43" s="115"/>
      <c r="DX43" s="115"/>
      <c r="DY43" s="115"/>
    </row>
    <row r="44" spans="2:129" s="3" customFormat="1" ht="11.7" customHeight="1" outlineLevel="1" x14ac:dyDescent="0.3">
      <c r="B44" s="121"/>
      <c r="C44" s="121"/>
      <c r="D44" s="122"/>
      <c r="E44" s="123"/>
      <c r="F44" s="123"/>
      <c r="G44" s="114"/>
      <c r="H44" s="124"/>
      <c r="I44" s="115"/>
      <c r="J44" s="115"/>
      <c r="K44" s="115"/>
      <c r="L44" s="115"/>
      <c r="M44" s="115"/>
      <c r="N44" s="115"/>
      <c r="O44" s="115"/>
      <c r="P44" s="115"/>
      <c r="Q44" s="115"/>
      <c r="R44" s="115"/>
      <c r="S44" s="115"/>
      <c r="T44" s="115"/>
      <c r="U44" s="115"/>
      <c r="V44" s="115"/>
      <c r="W44" s="115"/>
      <c r="X44" s="115"/>
      <c r="Y44" s="115"/>
      <c r="Z44" s="115"/>
      <c r="AA44" s="115"/>
      <c r="AB44" s="115"/>
      <c r="AC44" s="115"/>
      <c r="AD44" s="115"/>
      <c r="AE44" s="115"/>
      <c r="AF44" s="115"/>
      <c r="AG44" s="115"/>
      <c r="AH44" s="115"/>
      <c r="AI44" s="115"/>
      <c r="AJ44" s="115"/>
      <c r="AK44" s="115"/>
      <c r="AL44" s="115"/>
      <c r="AM44" s="115"/>
      <c r="AN44" s="115"/>
      <c r="AO44" s="115"/>
      <c r="AP44" s="115"/>
      <c r="AQ44" s="115"/>
      <c r="AR44" s="115"/>
      <c r="AS44" s="115"/>
      <c r="AT44" s="115"/>
      <c r="AU44" s="115"/>
      <c r="AV44" s="115"/>
      <c r="AW44" s="115"/>
      <c r="AX44" s="115"/>
      <c r="AY44" s="115"/>
      <c r="AZ44" s="115"/>
      <c r="BA44" s="115"/>
      <c r="BB44" s="115"/>
      <c r="BC44" s="115"/>
      <c r="BD44" s="115"/>
      <c r="BE44" s="1119"/>
      <c r="BF44" s="1119"/>
      <c r="BG44" s="115"/>
      <c r="BH44" s="115"/>
      <c r="BI44" s="11"/>
      <c r="BJ44" s="115"/>
      <c r="BK44" s="115"/>
      <c r="BL44" s="115"/>
      <c r="BM44" s="115"/>
      <c r="BN44" s="115"/>
      <c r="BO44" s="115"/>
      <c r="BP44" s="115"/>
      <c r="BQ44" s="115"/>
      <c r="BR44" s="115"/>
      <c r="BS44" s="115"/>
      <c r="BT44" s="115"/>
      <c r="BU44" s="115"/>
      <c r="BV44" s="115"/>
      <c r="BW44" s="115"/>
      <c r="BX44" s="115"/>
      <c r="BY44" s="115"/>
      <c r="BZ44" s="115"/>
      <c r="CA44" s="115"/>
      <c r="CB44" s="115"/>
      <c r="CC44" s="115"/>
      <c r="CD44" s="115"/>
      <c r="CE44" s="115"/>
      <c r="CF44" s="115"/>
      <c r="CG44" s="115"/>
      <c r="CH44" s="115"/>
      <c r="CI44" s="115"/>
      <c r="CJ44" s="115"/>
      <c r="CK44" s="115"/>
      <c r="CL44" s="115"/>
      <c r="CM44" s="115"/>
      <c r="CN44" s="115"/>
      <c r="CO44" s="115"/>
      <c r="CP44" s="115"/>
      <c r="CQ44" s="115"/>
      <c r="CR44" s="115"/>
      <c r="CS44" s="115"/>
      <c r="CT44" s="115"/>
      <c r="CU44" s="115"/>
      <c r="CV44" s="115"/>
      <c r="CW44" s="115"/>
      <c r="CX44" s="115"/>
      <c r="CY44" s="115"/>
      <c r="CZ44" s="115"/>
      <c r="DA44" s="115"/>
      <c r="DB44" s="115"/>
      <c r="DC44" s="115"/>
      <c r="DD44" s="115"/>
      <c r="DE44" s="115"/>
      <c r="DF44" s="115"/>
      <c r="DG44" s="115"/>
      <c r="DH44" s="115"/>
      <c r="DI44" s="115"/>
      <c r="DJ44" s="115"/>
      <c r="DK44" s="115"/>
      <c r="DL44" s="115"/>
      <c r="DM44" s="115"/>
      <c r="DN44" s="115"/>
      <c r="DO44" s="115"/>
      <c r="DP44" s="115"/>
      <c r="DQ44" s="115"/>
      <c r="DR44" s="115"/>
      <c r="DS44" s="115"/>
      <c r="DT44" s="115"/>
      <c r="DU44" s="115"/>
      <c r="DV44" s="115"/>
      <c r="DW44" s="115"/>
      <c r="DX44" s="115"/>
      <c r="DY44" s="115"/>
    </row>
    <row r="45" spans="2:129" s="3" customFormat="1" ht="11.7" customHeight="1" outlineLevel="1" x14ac:dyDescent="0.3">
      <c r="B45" s="112" t="s">
        <v>40</v>
      </c>
      <c r="C45" s="112"/>
      <c r="D45" s="122"/>
      <c r="E45" s="123"/>
      <c r="F45" s="123"/>
      <c r="G45" s="114"/>
      <c r="H45" s="124"/>
      <c r="I45" s="115"/>
      <c r="J45" s="115"/>
      <c r="K45" s="115"/>
      <c r="L45" s="115"/>
      <c r="M45" s="115"/>
      <c r="N45" s="115"/>
      <c r="O45" s="115"/>
      <c r="P45" s="115"/>
      <c r="Q45" s="115"/>
      <c r="R45" s="115"/>
      <c r="S45" s="115"/>
      <c r="T45" s="115"/>
      <c r="U45" s="115"/>
      <c r="V45" s="115"/>
      <c r="W45" s="115"/>
      <c r="X45" s="115"/>
      <c r="Y45" s="115"/>
      <c r="Z45" s="115"/>
      <c r="AA45" s="115"/>
      <c r="AB45" s="115"/>
      <c r="AC45" s="115"/>
      <c r="AD45" s="115"/>
      <c r="AE45" s="115"/>
      <c r="AF45" s="115"/>
      <c r="AG45" s="115"/>
      <c r="AH45" s="115"/>
      <c r="AI45" s="115"/>
      <c r="AJ45" s="115"/>
      <c r="AK45" s="115"/>
      <c r="AL45" s="115"/>
      <c r="AM45" s="115"/>
      <c r="AN45" s="115"/>
      <c r="AO45" s="115"/>
      <c r="AP45" s="115"/>
      <c r="AQ45" s="115"/>
      <c r="AR45" s="115"/>
      <c r="AS45" s="115"/>
      <c r="AT45" s="115"/>
      <c r="AU45" s="115"/>
      <c r="AV45" s="115"/>
      <c r="AW45" s="115"/>
      <c r="AX45" s="115"/>
      <c r="AY45" s="115"/>
      <c r="AZ45" s="115"/>
      <c r="BA45" s="115"/>
      <c r="BB45" s="115"/>
      <c r="BC45" s="115"/>
      <c r="BD45" s="115"/>
      <c r="BE45" s="115"/>
      <c r="BF45" s="115"/>
      <c r="BG45" s="115"/>
      <c r="BH45" s="115"/>
      <c r="BI45" s="115"/>
      <c r="BJ45" s="115"/>
      <c r="BK45" s="115"/>
      <c r="BL45" s="115"/>
      <c r="BM45" s="115"/>
      <c r="BN45" s="115"/>
      <c r="BO45" s="115"/>
      <c r="BP45" s="115"/>
      <c r="BQ45" s="115"/>
      <c r="BR45" s="115"/>
      <c r="BS45" s="115"/>
      <c r="BT45" s="115"/>
      <c r="BU45" s="115"/>
      <c r="BV45" s="115"/>
      <c r="BW45" s="115"/>
      <c r="BX45" s="115"/>
      <c r="BY45" s="115"/>
      <c r="BZ45" s="115"/>
      <c r="CA45" s="115"/>
      <c r="CB45" s="115"/>
      <c r="CC45" s="115"/>
      <c r="CD45" s="115"/>
      <c r="CE45" s="115"/>
      <c r="CF45" s="115"/>
      <c r="CG45" s="115"/>
      <c r="CH45" s="115"/>
      <c r="CI45" s="115"/>
      <c r="CJ45" s="115"/>
      <c r="CK45" s="115"/>
      <c r="CL45" s="115"/>
      <c r="CM45" s="115"/>
      <c r="CN45" s="115"/>
      <c r="CO45" s="115"/>
      <c r="CP45" s="115"/>
      <c r="CQ45" s="115"/>
      <c r="CR45" s="115"/>
      <c r="CS45" s="115"/>
      <c r="CT45" s="115"/>
      <c r="CU45" s="115"/>
      <c r="CV45" s="115"/>
      <c r="CW45" s="115"/>
      <c r="CX45" s="115"/>
      <c r="CY45" s="115"/>
      <c r="CZ45" s="115"/>
      <c r="DA45" s="115"/>
      <c r="DB45" s="115"/>
      <c r="DC45" s="115"/>
      <c r="DD45" s="115"/>
      <c r="DE45" s="115"/>
      <c r="DF45" s="115"/>
      <c r="DG45" s="115"/>
      <c r="DH45" s="115"/>
      <c r="DI45" s="115"/>
      <c r="DJ45" s="115"/>
      <c r="DK45" s="115"/>
      <c r="DL45" s="115"/>
      <c r="DM45" s="115"/>
      <c r="DN45" s="115"/>
      <c r="DO45" s="115"/>
      <c r="DP45" s="115"/>
      <c r="DQ45" s="115"/>
      <c r="DR45" s="115"/>
      <c r="DS45" s="115"/>
      <c r="DT45" s="115"/>
      <c r="DU45" s="115"/>
      <c r="DV45" s="115"/>
      <c r="DW45" s="115"/>
      <c r="DX45" s="115"/>
      <c r="DY45" s="115"/>
    </row>
    <row r="46" spans="2:129" s="3" customFormat="1" ht="11.7" customHeight="1" outlineLevel="1" x14ac:dyDescent="0.25">
      <c r="B46" s="113" t="str">
        <f>+'CapEx Budget'!B57</f>
        <v>Real Estate Taxes</v>
      </c>
      <c r="C46" s="113"/>
      <c r="D46" s="289">
        <f>+'CapEx Budget'!$G$57</f>
        <v>2618.1325458790466</v>
      </c>
      <c r="E46" s="292">
        <f>EOMONTH(Inputs!$K$91,2)</f>
        <v>44592</v>
      </c>
      <c r="F46" s="1015"/>
      <c r="G46" s="290">
        <f t="shared" ref="G46:G54" si="32">+SUM(I46:DY46)</f>
        <v>-2617.9685926095135</v>
      </c>
      <c r="I46" s="300">
        <v>0</v>
      </c>
      <c r="J46" s="300">
        <v>0</v>
      </c>
      <c r="K46" s="300">
        <v>0</v>
      </c>
      <c r="L46" s="300">
        <v>0</v>
      </c>
      <c r="M46" s="300">
        <v>0</v>
      </c>
      <c r="N46" s="300">
        <v>0</v>
      </c>
      <c r="O46" s="300">
        <v>0</v>
      </c>
      <c r="P46" s="300">
        <v>0</v>
      </c>
      <c r="Q46" s="300">
        <v>-37.799999999999997</v>
      </c>
      <c r="R46" s="300">
        <v>-37.080047694695033</v>
      </c>
      <c r="S46" s="300">
        <v>0</v>
      </c>
      <c r="T46" s="300">
        <v>0</v>
      </c>
      <c r="U46" s="300">
        <v>-153.46819498990567</v>
      </c>
      <c r="V46" s="300">
        <v>0</v>
      </c>
      <c r="W46" s="300">
        <v>-379.48207229195725</v>
      </c>
      <c r="X46" s="300">
        <v>0</v>
      </c>
      <c r="Y46" s="300">
        <v>0</v>
      </c>
      <c r="Z46" s="300">
        <v>0</v>
      </c>
      <c r="AA46" s="300">
        <v>0</v>
      </c>
      <c r="AB46" s="300">
        <v>-115.8420823094399</v>
      </c>
      <c r="AC46" s="300">
        <v>0</v>
      </c>
      <c r="AD46" s="300">
        <v>-114.66</v>
      </c>
      <c r="AE46" s="300">
        <v>0</v>
      </c>
      <c r="AF46" s="300">
        <v>0</v>
      </c>
      <c r="AG46" s="300">
        <v>-115.8868355326955</v>
      </c>
      <c r="AH46" s="300">
        <v>0</v>
      </c>
      <c r="AI46" s="300">
        <v>-115.1960092656734</v>
      </c>
      <c r="AJ46" s="300">
        <v>0</v>
      </c>
      <c r="AK46" s="300">
        <v>0</v>
      </c>
      <c r="AL46" s="300">
        <v>0</v>
      </c>
      <c r="AM46" s="300">
        <v>0</v>
      </c>
      <c r="AN46" s="300">
        <v>-114.76586263318352</v>
      </c>
      <c r="AO46" s="300">
        <v>0</v>
      </c>
      <c r="AP46" s="300">
        <v>-114.7</v>
      </c>
      <c r="AQ46" s="300">
        <v>0</v>
      </c>
      <c r="AR46" s="300">
        <v>0</v>
      </c>
      <c r="AS46" s="300">
        <v>-116.9</v>
      </c>
      <c r="AT46" s="300">
        <v>0</v>
      </c>
      <c r="AU46" s="300">
        <v>-114.9</v>
      </c>
      <c r="AV46" s="300">
        <v>0</v>
      </c>
      <c r="AW46" s="300">
        <v>0</v>
      </c>
      <c r="AX46" s="300">
        <v>0</v>
      </c>
      <c r="AY46" s="300">
        <v>0</v>
      </c>
      <c r="AZ46" s="300">
        <v>-114.64659033078017</v>
      </c>
      <c r="BA46" s="300">
        <v>0</v>
      </c>
      <c r="BB46" s="300">
        <v>-113.71964977268901</v>
      </c>
      <c r="BC46" s="300">
        <v>-77.505687784389224</v>
      </c>
      <c r="BD46" s="300">
        <v>0</v>
      </c>
      <c r="BE46" s="300">
        <v>-127</v>
      </c>
      <c r="BF46" s="300">
        <v>0</v>
      </c>
      <c r="BG46" s="300">
        <v>-38.415560004104684</v>
      </c>
      <c r="BH46" s="300">
        <v>-616</v>
      </c>
      <c r="BI46" s="300">
        <v>0</v>
      </c>
      <c r="BJ46" s="300">
        <v>0</v>
      </c>
      <c r="BK46" s="300">
        <v>0</v>
      </c>
      <c r="BL46" s="300">
        <v>0</v>
      </c>
      <c r="BM46" s="300">
        <v>0</v>
      </c>
      <c r="BN46" s="300">
        <v>0</v>
      </c>
      <c r="BO46" s="300">
        <v>0</v>
      </c>
      <c r="BP46" s="300">
        <v>0</v>
      </c>
      <c r="BQ46" s="300">
        <v>0</v>
      </c>
      <c r="BR46" s="300">
        <v>0</v>
      </c>
      <c r="BS46" s="300">
        <v>0</v>
      </c>
      <c r="BT46" s="300">
        <v>0</v>
      </c>
      <c r="BU46" s="300">
        <v>0</v>
      </c>
      <c r="BV46" s="300">
        <v>0</v>
      </c>
      <c r="BW46" s="300">
        <v>0</v>
      </c>
      <c r="BX46" s="300">
        <v>0</v>
      </c>
      <c r="BY46" s="300">
        <v>0</v>
      </c>
      <c r="BZ46" s="300">
        <v>0</v>
      </c>
      <c r="CA46" s="300">
        <v>0</v>
      </c>
      <c r="CB46" s="300">
        <v>0</v>
      </c>
      <c r="CC46" s="300">
        <v>0</v>
      </c>
      <c r="CD46" s="300">
        <v>0</v>
      </c>
      <c r="CE46" s="300">
        <v>0</v>
      </c>
      <c r="CF46" s="300">
        <v>0</v>
      </c>
      <c r="CG46" s="300">
        <v>0</v>
      </c>
      <c r="CH46" s="300">
        <v>0</v>
      </c>
      <c r="CI46" s="300">
        <v>0</v>
      </c>
      <c r="CJ46" s="300">
        <v>0</v>
      </c>
      <c r="CK46" s="300">
        <v>0</v>
      </c>
      <c r="CL46" s="300">
        <v>0</v>
      </c>
      <c r="CM46" s="300">
        <v>0</v>
      </c>
      <c r="CN46" s="300">
        <v>0</v>
      </c>
      <c r="CO46" s="300">
        <v>0</v>
      </c>
      <c r="CP46" s="300">
        <v>0</v>
      </c>
      <c r="CQ46" s="300">
        <v>0</v>
      </c>
      <c r="CR46" s="300">
        <v>0</v>
      </c>
      <c r="CS46" s="300">
        <v>0</v>
      </c>
      <c r="CT46" s="300">
        <v>0</v>
      </c>
      <c r="CU46" s="300">
        <v>0</v>
      </c>
      <c r="CV46" s="300">
        <v>0</v>
      </c>
      <c r="CW46" s="300">
        <v>0</v>
      </c>
      <c r="CX46" s="300">
        <v>0</v>
      </c>
      <c r="CY46" s="300">
        <v>0</v>
      </c>
      <c r="CZ46" s="300">
        <v>0</v>
      </c>
      <c r="DA46" s="300">
        <v>0</v>
      </c>
      <c r="DB46" s="300">
        <v>0</v>
      </c>
      <c r="DC46" s="300">
        <v>0</v>
      </c>
      <c r="DD46" s="300">
        <v>0</v>
      </c>
      <c r="DE46" s="300">
        <v>0</v>
      </c>
      <c r="DF46" s="300">
        <v>0</v>
      </c>
      <c r="DG46" s="300">
        <v>0</v>
      </c>
      <c r="DH46" s="300">
        <v>0</v>
      </c>
      <c r="DI46" s="300">
        <v>0</v>
      </c>
      <c r="DJ46" s="300">
        <v>0</v>
      </c>
      <c r="DK46" s="300">
        <v>0</v>
      </c>
      <c r="DL46" s="300">
        <v>0</v>
      </c>
      <c r="DM46" s="300">
        <v>0</v>
      </c>
      <c r="DN46" s="300">
        <v>0</v>
      </c>
      <c r="DO46" s="300">
        <v>0</v>
      </c>
      <c r="DP46" s="300">
        <v>0</v>
      </c>
      <c r="DQ46" s="300">
        <v>0</v>
      </c>
      <c r="DR46" s="300">
        <v>0</v>
      </c>
      <c r="DS46" s="300">
        <v>0</v>
      </c>
      <c r="DT46" s="300">
        <v>0</v>
      </c>
      <c r="DU46" s="300">
        <v>0</v>
      </c>
      <c r="DV46" s="300">
        <v>0</v>
      </c>
      <c r="DW46" s="300">
        <v>0</v>
      </c>
      <c r="DX46" s="300">
        <v>0</v>
      </c>
      <c r="DY46" s="300">
        <v>0</v>
      </c>
    </row>
    <row r="47" spans="2:129" s="3" customFormat="1" ht="11.7" customHeight="1" outlineLevel="1" x14ac:dyDescent="0.25">
      <c r="B47" s="113" t="str">
        <f>+'CapEx Budget'!$B$58</f>
        <v>Permit Costs</v>
      </c>
      <c r="C47" s="113"/>
      <c r="D47" s="289">
        <f>+'CapEx Budget'!$G$58</f>
        <v>11080</v>
      </c>
      <c r="E47" s="292">
        <f>EOMONTH(Inputs!$K$91,5)</f>
        <v>44681</v>
      </c>
      <c r="F47" s="1015"/>
      <c r="G47" s="290">
        <f t="shared" si="32"/>
        <v>-11081.807899830068</v>
      </c>
      <c r="I47" s="300">
        <v>0</v>
      </c>
      <c r="J47" s="300">
        <v>0</v>
      </c>
      <c r="K47" s="300">
        <v>0</v>
      </c>
      <c r="L47" s="300">
        <v>0</v>
      </c>
      <c r="M47" s="300">
        <v>0</v>
      </c>
      <c r="N47" s="300">
        <v>0</v>
      </c>
      <c r="O47" s="300">
        <v>0</v>
      </c>
      <c r="P47" s="300">
        <v>-17.982084275750751</v>
      </c>
      <c r="Q47" s="300">
        <v>-1502.910342492067</v>
      </c>
      <c r="R47" s="300">
        <v>0</v>
      </c>
      <c r="S47" s="300">
        <v>-361.61</v>
      </c>
      <c r="T47" s="300">
        <v>0</v>
      </c>
      <c r="U47" s="300">
        <v>0</v>
      </c>
      <c r="V47" s="300">
        <v>0</v>
      </c>
      <c r="W47" s="300">
        <v>0</v>
      </c>
      <c r="X47" s="300">
        <v>0</v>
      </c>
      <c r="Y47" s="300">
        <v>0</v>
      </c>
      <c r="Z47" s="300">
        <v>0</v>
      </c>
      <c r="AA47" s="300">
        <v>0</v>
      </c>
      <c r="AB47" s="300">
        <v>0</v>
      </c>
      <c r="AC47" s="300">
        <v>0</v>
      </c>
      <c r="AD47" s="300">
        <v>0</v>
      </c>
      <c r="AE47" s="300">
        <v>-4.32</v>
      </c>
      <c r="AF47" s="300">
        <v>0</v>
      </c>
      <c r="AG47" s="300">
        <v>0</v>
      </c>
      <c r="AH47" s="300">
        <v>-2.4771884801824919</v>
      </c>
      <c r="AI47" s="300">
        <v>-7364</v>
      </c>
      <c r="AJ47" s="300">
        <v>0</v>
      </c>
      <c r="AK47" s="300">
        <v>0</v>
      </c>
      <c r="AL47" s="300">
        <v>0</v>
      </c>
      <c r="AM47" s="300">
        <v>0</v>
      </c>
      <c r="AN47" s="300">
        <v>-161.57</v>
      </c>
      <c r="AO47" s="300">
        <v>0</v>
      </c>
      <c r="AP47" s="300">
        <v>0</v>
      </c>
      <c r="AQ47" s="300">
        <v>0</v>
      </c>
      <c r="AR47" s="300">
        <v>0</v>
      </c>
      <c r="AS47" s="300">
        <v>0</v>
      </c>
      <c r="AT47" s="300">
        <v>0</v>
      </c>
      <c r="AU47" s="300">
        <v>0</v>
      </c>
      <c r="AV47" s="300">
        <v>0</v>
      </c>
      <c r="AW47" s="300">
        <v>0</v>
      </c>
      <c r="AX47" s="300">
        <v>0</v>
      </c>
      <c r="AY47" s="300">
        <v>0</v>
      </c>
      <c r="AZ47" s="300">
        <v>0</v>
      </c>
      <c r="BA47" s="300">
        <v>-76.381314937725293</v>
      </c>
      <c r="BB47" s="300">
        <v>-949.57598199005292</v>
      </c>
      <c r="BC47" s="300">
        <v>0</v>
      </c>
      <c r="BD47" s="300">
        <v>-374</v>
      </c>
      <c r="BE47" s="300">
        <v>-60</v>
      </c>
      <c r="BF47" s="300">
        <v>0</v>
      </c>
      <c r="BG47" s="300">
        <v>0</v>
      </c>
      <c r="BH47" s="300">
        <v>-202</v>
      </c>
      <c r="BI47" s="300">
        <v>-4.9809876542903799</v>
      </c>
      <c r="BJ47" s="300">
        <v>0</v>
      </c>
      <c r="BK47" s="300">
        <v>0</v>
      </c>
      <c r="BL47" s="300">
        <v>0</v>
      </c>
      <c r="BM47" s="300">
        <v>0</v>
      </c>
      <c r="BN47" s="300">
        <v>0</v>
      </c>
      <c r="BO47" s="300">
        <v>0</v>
      </c>
      <c r="BP47" s="300">
        <v>0</v>
      </c>
      <c r="BQ47" s="300">
        <v>0</v>
      </c>
      <c r="BR47" s="300">
        <v>0</v>
      </c>
      <c r="BS47" s="300">
        <v>0</v>
      </c>
      <c r="BT47" s="300">
        <v>0</v>
      </c>
      <c r="BU47" s="300">
        <v>0</v>
      </c>
      <c r="BV47" s="300">
        <v>0</v>
      </c>
      <c r="BW47" s="300">
        <v>0</v>
      </c>
      <c r="BX47" s="300">
        <v>0</v>
      </c>
      <c r="BY47" s="300">
        <v>0</v>
      </c>
      <c r="BZ47" s="300">
        <v>0</v>
      </c>
      <c r="CA47" s="300">
        <v>0</v>
      </c>
      <c r="CB47" s="300">
        <v>0</v>
      </c>
      <c r="CC47" s="300">
        <v>0</v>
      </c>
      <c r="CD47" s="300">
        <v>0</v>
      </c>
      <c r="CE47" s="300">
        <v>0</v>
      </c>
      <c r="CF47" s="300">
        <v>0</v>
      </c>
      <c r="CG47" s="300">
        <v>0</v>
      </c>
      <c r="CH47" s="300">
        <v>0</v>
      </c>
      <c r="CI47" s="300">
        <v>0</v>
      </c>
      <c r="CJ47" s="300">
        <v>0</v>
      </c>
      <c r="CK47" s="300">
        <v>0</v>
      </c>
      <c r="CL47" s="300">
        <v>0</v>
      </c>
      <c r="CM47" s="300">
        <v>0</v>
      </c>
      <c r="CN47" s="300">
        <v>0</v>
      </c>
      <c r="CO47" s="300">
        <v>0</v>
      </c>
      <c r="CP47" s="300">
        <v>0</v>
      </c>
      <c r="CQ47" s="300">
        <v>0</v>
      </c>
      <c r="CR47" s="300">
        <v>0</v>
      </c>
      <c r="CS47" s="300">
        <v>0</v>
      </c>
      <c r="CT47" s="300">
        <v>0</v>
      </c>
      <c r="CU47" s="300">
        <v>0</v>
      </c>
      <c r="CV47" s="300">
        <v>0</v>
      </c>
      <c r="CW47" s="300">
        <v>0</v>
      </c>
      <c r="CX47" s="300">
        <v>0</v>
      </c>
      <c r="CY47" s="300">
        <v>0</v>
      </c>
      <c r="CZ47" s="300">
        <v>0</v>
      </c>
      <c r="DA47" s="300">
        <v>0</v>
      </c>
      <c r="DB47" s="300">
        <v>0</v>
      </c>
      <c r="DC47" s="300">
        <v>0</v>
      </c>
      <c r="DD47" s="300">
        <v>0</v>
      </c>
      <c r="DE47" s="300">
        <v>0</v>
      </c>
      <c r="DF47" s="300">
        <v>0</v>
      </c>
      <c r="DG47" s="300">
        <v>0</v>
      </c>
      <c r="DH47" s="300">
        <v>0</v>
      </c>
      <c r="DI47" s="300">
        <v>0</v>
      </c>
      <c r="DJ47" s="300">
        <v>0</v>
      </c>
      <c r="DK47" s="300">
        <v>0</v>
      </c>
      <c r="DL47" s="300">
        <v>0</v>
      </c>
      <c r="DM47" s="300">
        <v>0</v>
      </c>
      <c r="DN47" s="300">
        <v>0</v>
      </c>
      <c r="DO47" s="300">
        <v>0</v>
      </c>
      <c r="DP47" s="300">
        <v>0</v>
      </c>
      <c r="DQ47" s="300">
        <v>0</v>
      </c>
      <c r="DR47" s="300">
        <v>0</v>
      </c>
      <c r="DS47" s="300">
        <v>0</v>
      </c>
      <c r="DT47" s="300">
        <v>0</v>
      </c>
      <c r="DU47" s="300">
        <v>0</v>
      </c>
      <c r="DV47" s="300">
        <v>0</v>
      </c>
      <c r="DW47" s="300">
        <v>0</v>
      </c>
      <c r="DX47" s="300">
        <v>0</v>
      </c>
      <c r="DY47" s="300">
        <v>0</v>
      </c>
    </row>
    <row r="48" spans="2:129" s="3" customFormat="1" ht="11.7" customHeight="1" outlineLevel="1" x14ac:dyDescent="0.25">
      <c r="B48" s="113" t="str">
        <f>+'CapEx Budget'!$B$59</f>
        <v>Predevelopment (Projects, Specialists, Studies &amp; Certificates)</v>
      </c>
      <c r="C48" s="113"/>
      <c r="D48" s="289">
        <f>+'CapEx Budget'!$G$59</f>
        <v>21724</v>
      </c>
      <c r="E48" s="292">
        <f>EOMONTH(Inputs!$K$91,5)</f>
        <v>44681</v>
      </c>
      <c r="F48" s="1015"/>
      <c r="G48" s="290">
        <f t="shared" si="32"/>
        <v>-21704.97484496457</v>
      </c>
      <c r="I48" s="300">
        <v>0</v>
      </c>
      <c r="J48" s="300">
        <v>0</v>
      </c>
      <c r="K48" s="300">
        <v>-771.2</v>
      </c>
      <c r="L48" s="300">
        <v>0</v>
      </c>
      <c r="M48" s="300">
        <v>-433.56</v>
      </c>
      <c r="N48" s="300">
        <v>-2271.5500000000002</v>
      </c>
      <c r="O48" s="300">
        <v>0</v>
      </c>
      <c r="P48" s="300">
        <v>-452.54751066793034</v>
      </c>
      <c r="Q48" s="300">
        <v>-535.78</v>
      </c>
      <c r="R48" s="300">
        <v>-228.73</v>
      </c>
      <c r="S48" s="300">
        <v>-345.85</v>
      </c>
      <c r="T48" s="300">
        <v>-732.96</v>
      </c>
      <c r="U48" s="300">
        <v>-12.265085739430116</v>
      </c>
      <c r="V48" s="300">
        <v>-2569.27</v>
      </c>
      <c r="W48" s="300">
        <v>-395.17</v>
      </c>
      <c r="X48" s="300">
        <v>-1030.8399999999999</v>
      </c>
      <c r="Y48" s="300">
        <v>-1506.6</v>
      </c>
      <c r="Z48" s="300">
        <v>-435.09</v>
      </c>
      <c r="AA48" s="300">
        <v>-528.20000000000005</v>
      </c>
      <c r="AB48" s="300">
        <v>-140.47999999999999</v>
      </c>
      <c r="AC48" s="300">
        <v>-37.46</v>
      </c>
      <c r="AD48" s="300">
        <v>-915.44</v>
      </c>
      <c r="AE48" s="300">
        <v>-176</v>
      </c>
      <c r="AF48" s="300">
        <v>-654.37</v>
      </c>
      <c r="AG48" s="300">
        <v>-957.95</v>
      </c>
      <c r="AH48" s="300">
        <v>-67.819999999999993</v>
      </c>
      <c r="AI48" s="300">
        <v>-117.49</v>
      </c>
      <c r="AJ48" s="300">
        <v>-443.18</v>
      </c>
      <c r="AK48" s="300">
        <v>-302</v>
      </c>
      <c r="AL48" s="300">
        <v>-340.73</v>
      </c>
      <c r="AM48" s="300">
        <v>-34.519521288682782</v>
      </c>
      <c r="AN48" s="300">
        <v>-513</v>
      </c>
      <c r="AO48" s="300">
        <v>-426.4</v>
      </c>
      <c r="AP48" s="300">
        <v>-196.6</v>
      </c>
      <c r="AQ48" s="300">
        <v>-254.89</v>
      </c>
      <c r="AR48" s="300">
        <v>-411.18</v>
      </c>
      <c r="AS48" s="300">
        <v>-37.5</v>
      </c>
      <c r="AT48" s="300">
        <v>-51.3</v>
      </c>
      <c r="AU48" s="300">
        <v>-37.299999999999997</v>
      </c>
      <c r="AV48" s="300">
        <v>-62.9</v>
      </c>
      <c r="AW48" s="300">
        <v>-415</v>
      </c>
      <c r="AX48" s="300">
        <v>-55.2</v>
      </c>
      <c r="AY48" s="300">
        <v>-150.91999999999999</v>
      </c>
      <c r="AZ48" s="300">
        <v>-37.415889555455621</v>
      </c>
      <c r="BA48" s="300">
        <v>0</v>
      </c>
      <c r="BB48" s="300">
        <v>-101.7</v>
      </c>
      <c r="BC48" s="300">
        <v>-72.39</v>
      </c>
      <c r="BD48" s="300">
        <v>-112.6</v>
      </c>
      <c r="BE48" s="300">
        <v>-131.05000000000001</v>
      </c>
      <c r="BF48" s="300">
        <v>-107</v>
      </c>
      <c r="BG48" s="300">
        <v>-1331</v>
      </c>
      <c r="BH48" s="300">
        <v>-91</v>
      </c>
      <c r="BI48" s="300">
        <v>0</v>
      </c>
      <c r="BJ48" s="300">
        <v>-317.57683771306802</v>
      </c>
      <c r="BK48" s="300">
        <v>-317</v>
      </c>
      <c r="BL48" s="300">
        <v>-37</v>
      </c>
      <c r="BM48" s="293">
        <f>IFERROR(-($D48+SUM($H48:BL48))/(DATEDIF(BM$6,$E48,"m")+1),0)</f>
        <v>0</v>
      </c>
      <c r="BN48" s="293">
        <f>IFERROR(-($D48+SUM($H48:BM48))/(DATEDIF(BN$6,$E48,"m")+1),0)</f>
        <v>0</v>
      </c>
      <c r="BO48" s="293">
        <f>IFERROR(-($D48+SUM($H48:BN48))/(DATEDIF(BO$6,$E48,"m")+1),0)</f>
        <v>0</v>
      </c>
      <c r="BP48" s="293">
        <f>IFERROR(-($D48+SUM($H48:BO48))/(DATEDIF(BP$6,$E48,"m")+1),0)</f>
        <v>0</v>
      </c>
      <c r="BQ48" s="293">
        <f>IFERROR(-($D48+SUM($H48:BP48))/(DATEDIF(BQ$6,$E48,"m")+1),0)</f>
        <v>0</v>
      </c>
      <c r="BR48" s="293">
        <f>IFERROR(-($D48+SUM($H48:BQ48))/(DATEDIF(BR$6,$E48,"m")+1),0)</f>
        <v>0</v>
      </c>
      <c r="BS48" s="293">
        <f>IFERROR(-($D48+SUM($H48:BR48))/(DATEDIF(BS$6,$E48,"m")+1),0)</f>
        <v>0</v>
      </c>
      <c r="BT48" s="293">
        <f>IFERROR(-($D48+SUM($H48:BS48))/(DATEDIF(BT$6,$E48,"m")+1),0)</f>
        <v>0</v>
      </c>
      <c r="BU48" s="293">
        <f>IFERROR(-($D48+SUM($H48:BT48))/(DATEDIF(BU$6,$E48,"m")+1),0)</f>
        <v>0</v>
      </c>
      <c r="BV48" s="293">
        <f>IFERROR(-($D48+SUM($H48:BU48))/(DATEDIF(BV$6,$E48,"m")+1),0)</f>
        <v>0</v>
      </c>
      <c r="BW48" s="293">
        <f>IFERROR(-($D48+SUM($H48:BV48))/(DATEDIF(BW$6,$E48,"m")+1),0)</f>
        <v>0</v>
      </c>
      <c r="BX48" s="293">
        <f>IFERROR(-($D48+SUM($H48:BW48))/(DATEDIF(BX$6,$E48,"m")+1),0)</f>
        <v>0</v>
      </c>
      <c r="BY48" s="293">
        <f>IFERROR(-($D48+SUM($H48:BX48))/(DATEDIF(BY$6,$E48,"m")+1),0)</f>
        <v>0</v>
      </c>
      <c r="BZ48" s="293">
        <f>IFERROR(-($D48+SUM($H48:BY48))/(DATEDIF(BZ$6,$E48,"m")+1),0)</f>
        <v>0</v>
      </c>
      <c r="CA48" s="293">
        <f>IFERROR(-($D48+SUM($H48:BZ48))/(DATEDIF(CA$6,$E48,"m")+1),0)</f>
        <v>0</v>
      </c>
      <c r="CB48" s="293">
        <f>IFERROR(-($D48+SUM($H48:CA48))/(DATEDIF(CB$6,$E48,"m")+1),0)</f>
        <v>0</v>
      </c>
      <c r="CC48" s="293">
        <f>IFERROR(-($D48+SUM($H48:CB48))/(DATEDIF(CC$6,$E48,"m")+1),0)</f>
        <v>0</v>
      </c>
      <c r="CD48" s="293">
        <f>IFERROR(-($D48+SUM($H48:CC48))/(DATEDIF(CD$6,$E48,"m")+1),0)</f>
        <v>0</v>
      </c>
      <c r="CE48" s="293">
        <f>IFERROR(-($D48+SUM($H48:CD48))/(DATEDIF(CE$6,$E48,"m")+1),0)</f>
        <v>0</v>
      </c>
      <c r="CF48" s="293">
        <f>IFERROR(-($D48+SUM($H48:CE48))/(DATEDIF(CF$6,$E48,"m")+1),0)</f>
        <v>0</v>
      </c>
      <c r="CG48" s="293">
        <f>IFERROR(-($D48+SUM($H48:CF48))/(DATEDIF(CG$6,$E48,"m")+1),0)</f>
        <v>0</v>
      </c>
      <c r="CH48" s="293">
        <f>IFERROR(-($D48+SUM($H48:CG48))/(DATEDIF(CH$6,$E48,"m")+1),0)</f>
        <v>0</v>
      </c>
      <c r="CI48" s="293">
        <f>IFERROR(-($D48+SUM($H48:CH48))/(DATEDIF(CI$6,$E48,"m")+1),0)</f>
        <v>0</v>
      </c>
      <c r="CJ48" s="293">
        <f>IFERROR(-($D48+SUM($H48:CI48))/(DATEDIF(CJ$6,$E48,"m")+1),0)</f>
        <v>0</v>
      </c>
      <c r="CK48" s="293">
        <f>IFERROR(-($D48+SUM($H48:CJ48))/(DATEDIF(CK$6,$E48,"m")+1),0)</f>
        <v>0</v>
      </c>
      <c r="CL48" s="293">
        <f>IFERROR(-($D48+SUM($H48:CK48))/(DATEDIF(CL$6,$E48,"m")+1),0)</f>
        <v>0</v>
      </c>
      <c r="CM48" s="293">
        <f>IFERROR(-($D48+SUM($H48:CL48))/(DATEDIF(CM$6,$E48,"m")+1),0)</f>
        <v>0</v>
      </c>
      <c r="CN48" s="293">
        <f>IFERROR(-($D48+SUM($H48:CM48))/(DATEDIF(CN$6,$E48,"m")+1),0)</f>
        <v>0</v>
      </c>
      <c r="CO48" s="293">
        <f>IFERROR(-($D48+SUM($H48:CN48))/(DATEDIF(CO$6,$E48,"m")+1),0)</f>
        <v>0</v>
      </c>
      <c r="CP48" s="293">
        <f>IFERROR(-($D48+SUM($H48:CO48))/(DATEDIF(CP$6,$E48,"m")+1),0)</f>
        <v>0</v>
      </c>
      <c r="CQ48" s="293">
        <f>IFERROR(-($D48+SUM($H48:CP48))/(DATEDIF(CQ$6,$E48,"m")+1),0)</f>
        <v>0</v>
      </c>
      <c r="CR48" s="293">
        <f>IFERROR(-($D48+SUM($H48:CQ48))/(DATEDIF(CR$6,$E48,"m")+1),0)</f>
        <v>0</v>
      </c>
      <c r="CS48" s="293">
        <f>IFERROR(-($D48+SUM($H48:CR48))/(DATEDIF(CS$6,$E48,"m")+1),0)</f>
        <v>0</v>
      </c>
      <c r="CT48" s="293">
        <f>IFERROR(-($D48+SUM($H48:CS48))/(DATEDIF(CT$6,$E48,"m")+1),0)</f>
        <v>0</v>
      </c>
      <c r="CU48" s="293">
        <f>IFERROR(-($D48+SUM($H48:CT48))/(DATEDIF(CU$6,$E48,"m")+1),0)</f>
        <v>0</v>
      </c>
      <c r="CV48" s="293">
        <f>IFERROR(-($D48+SUM($H48:CU48))/(DATEDIF(CV$6,$E48,"m")+1),0)</f>
        <v>0</v>
      </c>
      <c r="CW48" s="293">
        <f>IFERROR(-($D48+SUM($H48:CV48))/(DATEDIF(CW$6,$E48,"m")+1),0)</f>
        <v>0</v>
      </c>
      <c r="CX48" s="293">
        <f>IFERROR(-($D48+SUM($H48:CW48))/(DATEDIF(CX$6,$E48,"m")+1),0)</f>
        <v>0</v>
      </c>
      <c r="CY48" s="293">
        <f>IFERROR(-($D48+SUM($H48:CX48))/(DATEDIF(CY$6,$E48,"m")+1),0)</f>
        <v>0</v>
      </c>
      <c r="CZ48" s="293">
        <f>IFERROR(-($D48+SUM($H48:CY48))/(DATEDIF(CZ$6,$E48,"m")+1),0)</f>
        <v>0</v>
      </c>
      <c r="DA48" s="293">
        <f>IFERROR(-($D48+SUM($H48:CZ48))/(DATEDIF(DA$6,$E48,"m")+1),0)</f>
        <v>0</v>
      </c>
      <c r="DB48" s="293">
        <f>IFERROR(-($D48+SUM($H48:DA48))/(DATEDIF(DB$6,$E48,"m")+1),0)</f>
        <v>0</v>
      </c>
      <c r="DC48" s="293">
        <f>IFERROR(-($D48+SUM($H48:DB48))/(DATEDIF(DC$6,$E48,"m")+1),0)</f>
        <v>0</v>
      </c>
      <c r="DD48" s="293">
        <f>IFERROR(-($D48+SUM($H48:DC48))/(DATEDIF(DD$6,$E48,"m")+1),0)</f>
        <v>0</v>
      </c>
      <c r="DE48" s="293">
        <f>IFERROR(-($D48+SUM($H48:DD48))/(DATEDIF(DE$6,$E48,"m")+1),0)</f>
        <v>0</v>
      </c>
      <c r="DF48" s="293">
        <f>IFERROR(-($D48+SUM($H48:DE48))/(DATEDIF(DF$6,$E48,"m")+1),0)</f>
        <v>0</v>
      </c>
      <c r="DG48" s="293">
        <f>IFERROR(-($D48+SUM($H48:DF48))/(DATEDIF(DG$6,$E48,"m")+1),0)</f>
        <v>0</v>
      </c>
      <c r="DH48" s="293">
        <f>IFERROR(-($D48+SUM($H48:DG48))/(DATEDIF(DH$6,$E48,"m")+1),0)</f>
        <v>0</v>
      </c>
      <c r="DI48" s="293">
        <f>IFERROR(-($D48+SUM($H48:DH48))/(DATEDIF(DI$6,$E48,"m")+1),0)</f>
        <v>0</v>
      </c>
      <c r="DJ48" s="293">
        <f>IFERROR(-($D48+SUM($H48:DI48))/(DATEDIF(DJ$6,$E48,"m")+1),0)</f>
        <v>0</v>
      </c>
      <c r="DK48" s="293">
        <f>IFERROR(-($D48+SUM($H48:DJ48))/(DATEDIF(DK$6,$E48,"m")+1),0)</f>
        <v>0</v>
      </c>
      <c r="DL48" s="293">
        <f>IFERROR(-($D48+SUM($H48:DK48))/(DATEDIF(DL$6,$E48,"m")+1),0)</f>
        <v>0</v>
      </c>
      <c r="DM48" s="293">
        <f>IFERROR(-($D48+SUM($H48:DL48))/(DATEDIF(DM$6,$E48,"m")+1),0)</f>
        <v>0</v>
      </c>
      <c r="DN48" s="293">
        <f>IFERROR(-($D48+SUM($H48:DM48))/(DATEDIF(DN$6,$E48,"m")+1),0)</f>
        <v>0</v>
      </c>
      <c r="DO48" s="293">
        <f>IFERROR(-($D48+SUM($H48:DN48))/(DATEDIF(DO$6,$E48,"m")+1),0)</f>
        <v>0</v>
      </c>
      <c r="DP48" s="293">
        <f>IFERROR(-($D48+SUM($H48:DO48))/(DATEDIF(DP$6,$E48,"m")+1),0)</f>
        <v>0</v>
      </c>
      <c r="DQ48" s="293">
        <f>IFERROR(-($D48+SUM($H48:DP48))/(DATEDIF(DQ$6,$E48,"m")+1),0)</f>
        <v>0</v>
      </c>
      <c r="DR48" s="293">
        <f>IFERROR(-($D48+SUM($H48:DQ48))/(DATEDIF(DR$6,$E48,"m")+1),0)</f>
        <v>0</v>
      </c>
      <c r="DS48" s="293">
        <f>IFERROR(-($D48+SUM($H48:DR48))/(DATEDIF(DS$6,$E48,"m")+1),0)</f>
        <v>0</v>
      </c>
      <c r="DT48" s="293">
        <f>IFERROR(-($D48+SUM($H48:DS48))/(DATEDIF(DT$6,$E48,"m")+1),0)</f>
        <v>0</v>
      </c>
      <c r="DU48" s="293">
        <f>IFERROR(-($D48+SUM($H48:DT48))/(DATEDIF(DU$6,$E48,"m")+1),0)</f>
        <v>0</v>
      </c>
      <c r="DV48" s="293">
        <f>IFERROR(-($D48+SUM($H48:DU48))/(DATEDIF(DV$6,$E48,"m")+1),0)</f>
        <v>0</v>
      </c>
      <c r="DW48" s="293">
        <f>IFERROR(-($D48+SUM($H48:DV48))/(DATEDIF(DW$6,$E48,"m")+1),0)</f>
        <v>0</v>
      </c>
      <c r="DX48" s="293">
        <f>IFERROR(-($D48+SUM($H48:DW48))/(DATEDIF(DX$6,$E48,"m")+1),0)</f>
        <v>0</v>
      </c>
      <c r="DY48" s="293">
        <f>IFERROR(-($D48+SUM($H48:DX48))/(DATEDIF(DY$6,$E48,"m")+1),0)</f>
        <v>0</v>
      </c>
    </row>
    <row r="49" spans="2:129" s="3" customFormat="1" ht="11.7" customHeight="1" outlineLevel="1" x14ac:dyDescent="0.25">
      <c r="B49" s="113" t="str">
        <f>+'CapEx Budget'!$B$60</f>
        <v>Technical Supervision</v>
      </c>
      <c r="C49" s="113"/>
      <c r="D49" s="289">
        <f>+'CapEx Budget'!$G$60</f>
        <v>12152</v>
      </c>
      <c r="E49" s="292">
        <f>EOMONTH(Inputs!$K$91,5)</f>
        <v>44681</v>
      </c>
      <c r="F49" s="1015"/>
      <c r="G49" s="290">
        <f t="shared" si="32"/>
        <v>-11636.240509519002</v>
      </c>
      <c r="I49" s="300">
        <v>0</v>
      </c>
      <c r="J49" s="300">
        <v>0</v>
      </c>
      <c r="K49" s="300">
        <v>0</v>
      </c>
      <c r="L49" s="300">
        <v>0</v>
      </c>
      <c r="M49" s="300">
        <v>0</v>
      </c>
      <c r="N49" s="300">
        <v>0</v>
      </c>
      <c r="O49" s="300">
        <v>0</v>
      </c>
      <c r="P49" s="300">
        <v>0</v>
      </c>
      <c r="Q49" s="300">
        <v>0</v>
      </c>
      <c r="R49" s="300">
        <v>0</v>
      </c>
      <c r="S49" s="300">
        <v>0</v>
      </c>
      <c r="T49" s="300">
        <v>-60</v>
      </c>
      <c r="U49" s="300">
        <v>-59.803162618686045</v>
      </c>
      <c r="V49" s="300">
        <v>-59.8</v>
      </c>
      <c r="W49" s="300">
        <v>-59.8</v>
      </c>
      <c r="X49" s="300">
        <v>-172.14</v>
      </c>
      <c r="Y49" s="300">
        <v>-345.21</v>
      </c>
      <c r="Z49" s="300">
        <v>-172.54917049741115</v>
      </c>
      <c r="AA49" s="300">
        <v>-172.58000504974288</v>
      </c>
      <c r="AB49" s="300">
        <v>-172.52262027464954</v>
      </c>
      <c r="AC49" s="300">
        <v>-172.33</v>
      </c>
      <c r="AD49" s="300">
        <v>-172.27</v>
      </c>
      <c r="AE49" s="300">
        <v>-172.57999200097879</v>
      </c>
      <c r="AF49" s="300">
        <v>0</v>
      </c>
      <c r="AG49" s="300">
        <v>-172.22181976626547</v>
      </c>
      <c r="AH49" s="300">
        <v>-172.32</v>
      </c>
      <c r="AI49" s="300">
        <v>-172.57999632999412</v>
      </c>
      <c r="AJ49" s="300">
        <v>-171.71125354970721</v>
      </c>
      <c r="AK49" s="300">
        <v>-172.45207977163707</v>
      </c>
      <c r="AL49" s="300">
        <v>-172.33425574574559</v>
      </c>
      <c r="AM49" s="300">
        <v>-171.6613536794919</v>
      </c>
      <c r="AN49" s="300">
        <v>-172.18043246542629</v>
      </c>
      <c r="AO49" s="300">
        <v>-370</v>
      </c>
      <c r="AP49" s="300">
        <v>-370.6</v>
      </c>
      <c r="AQ49" s="300">
        <v>-370.82</v>
      </c>
      <c r="AR49" s="300">
        <v>-370.69</v>
      </c>
      <c r="AS49" s="300">
        <v>-370.3</v>
      </c>
      <c r="AT49" s="300">
        <v>-370</v>
      </c>
      <c r="AU49" s="300">
        <v>-368.1</v>
      </c>
      <c r="AV49" s="300">
        <v>-717.5</v>
      </c>
      <c r="AW49" s="300">
        <v>-370</v>
      </c>
      <c r="AX49" s="300">
        <v>-368.2</v>
      </c>
      <c r="AY49" s="300">
        <v>-738.7</v>
      </c>
      <c r="AZ49" s="300">
        <v>-369.92018707225213</v>
      </c>
      <c r="BA49" s="300">
        <v>0</v>
      </c>
      <c r="BB49" s="300">
        <v>-369.34495466305515</v>
      </c>
      <c r="BC49" s="300">
        <v>-369.47277048380397</v>
      </c>
      <c r="BD49" s="300">
        <v>-369.2657692183999</v>
      </c>
      <c r="BE49" s="300">
        <v>-367.99</v>
      </c>
      <c r="BF49" s="300">
        <v>-369</v>
      </c>
      <c r="BG49" s="300">
        <v>-365.64235459876858</v>
      </c>
      <c r="BH49" s="300">
        <v>-366</v>
      </c>
      <c r="BI49" s="300">
        <v>-368.64833173298501</v>
      </c>
      <c r="BJ49" s="300">
        <v>-367</v>
      </c>
      <c r="BK49" s="300">
        <v>0</v>
      </c>
      <c r="BL49" s="300">
        <v>0</v>
      </c>
      <c r="BM49" s="300">
        <v>0</v>
      </c>
      <c r="BN49" s="300">
        <v>0</v>
      </c>
      <c r="BO49" s="300">
        <v>0</v>
      </c>
      <c r="BP49" s="300">
        <v>0</v>
      </c>
      <c r="BQ49" s="300">
        <v>0</v>
      </c>
      <c r="BR49" s="300">
        <v>0</v>
      </c>
      <c r="BS49" s="300">
        <v>0</v>
      </c>
      <c r="BT49" s="300">
        <v>0</v>
      </c>
      <c r="BU49" s="300">
        <v>0</v>
      </c>
      <c r="BV49" s="300">
        <v>0</v>
      </c>
      <c r="BW49" s="300">
        <v>0</v>
      </c>
      <c r="BX49" s="300">
        <v>0</v>
      </c>
      <c r="BY49" s="300">
        <v>0</v>
      </c>
      <c r="BZ49" s="300">
        <v>0</v>
      </c>
      <c r="CA49" s="300">
        <v>0</v>
      </c>
      <c r="CB49" s="300">
        <v>0</v>
      </c>
      <c r="CC49" s="300">
        <v>0</v>
      </c>
      <c r="CD49" s="300">
        <v>0</v>
      </c>
      <c r="CE49" s="300">
        <v>0</v>
      </c>
      <c r="CF49" s="300">
        <v>0</v>
      </c>
      <c r="CG49" s="300">
        <v>0</v>
      </c>
      <c r="CH49" s="300">
        <v>0</v>
      </c>
      <c r="CI49" s="300">
        <v>0</v>
      </c>
      <c r="CJ49" s="300">
        <v>0</v>
      </c>
      <c r="CK49" s="300">
        <v>0</v>
      </c>
      <c r="CL49" s="300">
        <v>0</v>
      </c>
      <c r="CM49" s="300">
        <v>0</v>
      </c>
      <c r="CN49" s="300">
        <v>0</v>
      </c>
      <c r="CO49" s="300">
        <v>0</v>
      </c>
      <c r="CP49" s="300">
        <v>0</v>
      </c>
      <c r="CQ49" s="300">
        <v>0</v>
      </c>
      <c r="CR49" s="300">
        <v>0</v>
      </c>
      <c r="CS49" s="300">
        <v>0</v>
      </c>
      <c r="CT49" s="300">
        <v>0</v>
      </c>
      <c r="CU49" s="300">
        <v>0</v>
      </c>
      <c r="CV49" s="300">
        <v>0</v>
      </c>
      <c r="CW49" s="300">
        <v>0</v>
      </c>
      <c r="CX49" s="300">
        <v>0</v>
      </c>
      <c r="CY49" s="300">
        <v>0</v>
      </c>
      <c r="CZ49" s="300">
        <v>0</v>
      </c>
      <c r="DA49" s="300">
        <v>0</v>
      </c>
      <c r="DB49" s="300">
        <v>0</v>
      </c>
      <c r="DC49" s="300">
        <v>0</v>
      </c>
      <c r="DD49" s="300">
        <v>0</v>
      </c>
      <c r="DE49" s="300">
        <v>0</v>
      </c>
      <c r="DF49" s="300">
        <v>0</v>
      </c>
      <c r="DG49" s="300">
        <v>0</v>
      </c>
      <c r="DH49" s="300">
        <v>0</v>
      </c>
      <c r="DI49" s="300">
        <v>0</v>
      </c>
      <c r="DJ49" s="300">
        <v>0</v>
      </c>
      <c r="DK49" s="300">
        <v>0</v>
      </c>
      <c r="DL49" s="300">
        <v>0</v>
      </c>
      <c r="DM49" s="300">
        <v>0</v>
      </c>
      <c r="DN49" s="300">
        <v>0</v>
      </c>
      <c r="DO49" s="300">
        <v>0</v>
      </c>
      <c r="DP49" s="300">
        <v>0</v>
      </c>
      <c r="DQ49" s="300">
        <v>0</v>
      </c>
      <c r="DR49" s="300">
        <v>0</v>
      </c>
      <c r="DS49" s="300">
        <v>0</v>
      </c>
      <c r="DT49" s="300">
        <v>0</v>
      </c>
      <c r="DU49" s="300">
        <v>0</v>
      </c>
      <c r="DV49" s="300">
        <v>0</v>
      </c>
      <c r="DW49" s="300">
        <v>0</v>
      </c>
      <c r="DX49" s="300">
        <v>0</v>
      </c>
      <c r="DY49" s="300">
        <v>0</v>
      </c>
    </row>
    <row r="50" spans="2:129" s="3" customFormat="1" ht="11.7" customHeight="1" outlineLevel="1" x14ac:dyDescent="0.25">
      <c r="B50" s="113" t="str">
        <f>+'CapEx Budget'!$B$61</f>
        <v>Bank Supervision</v>
      </c>
      <c r="C50" s="113"/>
      <c r="D50" s="289">
        <f>+'CapEx Budget'!$G$61</f>
        <v>550</v>
      </c>
      <c r="E50" s="292">
        <f>EOMONTH(Inputs!$K$91,5)</f>
        <v>44681</v>
      </c>
      <c r="F50" s="1015"/>
      <c r="G50" s="290">
        <f t="shared" si="32"/>
        <v>-549.88678749553617</v>
      </c>
      <c r="I50" s="300">
        <v>0</v>
      </c>
      <c r="J50" s="300">
        <v>0</v>
      </c>
      <c r="K50" s="300">
        <v>0</v>
      </c>
      <c r="L50" s="300">
        <v>0</v>
      </c>
      <c r="M50" s="300">
        <v>0</v>
      </c>
      <c r="N50" s="300">
        <v>0</v>
      </c>
      <c r="O50" s="300">
        <v>0</v>
      </c>
      <c r="P50" s="300">
        <v>0</v>
      </c>
      <c r="Q50" s="300">
        <v>0</v>
      </c>
      <c r="R50" s="300">
        <v>0</v>
      </c>
      <c r="S50" s="300">
        <v>0</v>
      </c>
      <c r="T50" s="300">
        <v>0</v>
      </c>
      <c r="U50" s="300">
        <v>0</v>
      </c>
      <c r="V50" s="300">
        <v>0</v>
      </c>
      <c r="W50" s="300">
        <v>0</v>
      </c>
      <c r="X50" s="300">
        <v>0</v>
      </c>
      <c r="Y50" s="300">
        <v>0</v>
      </c>
      <c r="Z50" s="300">
        <v>0</v>
      </c>
      <c r="AA50" s="300">
        <v>0</v>
      </c>
      <c r="AB50" s="300">
        <v>0</v>
      </c>
      <c r="AC50" s="300">
        <v>0</v>
      </c>
      <c r="AD50" s="300">
        <v>0</v>
      </c>
      <c r="AE50" s="300">
        <v>0</v>
      </c>
      <c r="AF50" s="300">
        <v>-16.618699954411401</v>
      </c>
      <c r="AG50" s="300">
        <v>-25.457300121066801</v>
      </c>
      <c r="AH50" s="300">
        <v>-25.452476452280127</v>
      </c>
      <c r="AI50" s="300">
        <v>-25.383370581450261</v>
      </c>
      <c r="AJ50" s="300">
        <v>-25.307808996547617</v>
      </c>
      <c r="AK50" s="300">
        <v>-25.469607719911707</v>
      </c>
      <c r="AL50" s="300">
        <v>-25.462388630017863</v>
      </c>
      <c r="AM50" s="300">
        <v>-25.317672034036352</v>
      </c>
      <c r="AN50" s="300">
        <v>-25.364802776617015</v>
      </c>
      <c r="AO50" s="300">
        <v>-25.381209143726327</v>
      </c>
      <c r="AP50" s="300">
        <v>-25.495759093676039</v>
      </c>
      <c r="AQ50" s="300">
        <v>-25.53</v>
      </c>
      <c r="AR50" s="300">
        <v>0</v>
      </c>
      <c r="AS50" s="300">
        <v>0</v>
      </c>
      <c r="AT50" s="300">
        <v>-25.5</v>
      </c>
      <c r="AU50" s="300">
        <v>-25.3</v>
      </c>
      <c r="AV50" s="300">
        <v>-25.3</v>
      </c>
      <c r="AW50" s="300">
        <v>-25.5</v>
      </c>
      <c r="AX50" s="300">
        <v>-25.4</v>
      </c>
      <c r="AY50" s="300">
        <v>-25.340035653198552</v>
      </c>
      <c r="AZ50" s="300">
        <v>-25.456877226022332</v>
      </c>
      <c r="BA50" s="300">
        <v>-25.432430886048692</v>
      </c>
      <c r="BB50" s="300">
        <v>0</v>
      </c>
      <c r="BC50" s="300">
        <v>-25.416348226525173</v>
      </c>
      <c r="BD50" s="300">
        <v>-25</v>
      </c>
      <c r="BE50" s="300">
        <v>0</v>
      </c>
      <c r="BF50" s="300">
        <v>0</v>
      </c>
      <c r="BG50" s="300">
        <v>0</v>
      </c>
      <c r="BH50" s="300">
        <v>0</v>
      </c>
      <c r="BI50" s="300">
        <v>0</v>
      </c>
      <c r="BJ50" s="300">
        <v>0</v>
      </c>
      <c r="BK50" s="300">
        <v>0</v>
      </c>
      <c r="BL50" s="300">
        <v>0</v>
      </c>
      <c r="BM50" s="300">
        <v>0</v>
      </c>
      <c r="BN50" s="300">
        <v>0</v>
      </c>
      <c r="BO50" s="300">
        <v>0</v>
      </c>
      <c r="BP50" s="300">
        <v>0</v>
      </c>
      <c r="BQ50" s="300">
        <v>0</v>
      </c>
      <c r="BR50" s="300">
        <v>0</v>
      </c>
      <c r="BS50" s="300">
        <v>0</v>
      </c>
      <c r="BT50" s="300">
        <v>0</v>
      </c>
      <c r="BU50" s="300">
        <v>0</v>
      </c>
      <c r="BV50" s="300">
        <v>0</v>
      </c>
      <c r="BW50" s="300">
        <v>0</v>
      </c>
      <c r="BX50" s="300">
        <v>0</v>
      </c>
      <c r="BY50" s="300">
        <v>0</v>
      </c>
      <c r="BZ50" s="300">
        <v>0</v>
      </c>
      <c r="CA50" s="300">
        <v>0</v>
      </c>
      <c r="CB50" s="300">
        <v>0</v>
      </c>
      <c r="CC50" s="300">
        <v>0</v>
      </c>
      <c r="CD50" s="300">
        <v>0</v>
      </c>
      <c r="CE50" s="300">
        <v>0</v>
      </c>
      <c r="CF50" s="300">
        <v>0</v>
      </c>
      <c r="CG50" s="300">
        <v>0</v>
      </c>
      <c r="CH50" s="300">
        <v>0</v>
      </c>
      <c r="CI50" s="300">
        <v>0</v>
      </c>
      <c r="CJ50" s="300">
        <v>0</v>
      </c>
      <c r="CK50" s="300">
        <v>0</v>
      </c>
      <c r="CL50" s="300">
        <v>0</v>
      </c>
      <c r="CM50" s="300">
        <v>0</v>
      </c>
      <c r="CN50" s="300">
        <v>0</v>
      </c>
      <c r="CO50" s="300">
        <v>0</v>
      </c>
      <c r="CP50" s="300">
        <v>0</v>
      </c>
      <c r="CQ50" s="300">
        <v>0</v>
      </c>
      <c r="CR50" s="300">
        <v>0</v>
      </c>
      <c r="CS50" s="300">
        <v>0</v>
      </c>
      <c r="CT50" s="300">
        <v>0</v>
      </c>
      <c r="CU50" s="300">
        <v>0</v>
      </c>
      <c r="CV50" s="300">
        <v>0</v>
      </c>
      <c r="CW50" s="300">
        <v>0</v>
      </c>
      <c r="CX50" s="300">
        <v>0</v>
      </c>
      <c r="CY50" s="300">
        <v>0</v>
      </c>
      <c r="CZ50" s="300">
        <v>0</v>
      </c>
      <c r="DA50" s="300">
        <v>0</v>
      </c>
      <c r="DB50" s="300">
        <v>0</v>
      </c>
      <c r="DC50" s="300">
        <v>0</v>
      </c>
      <c r="DD50" s="300">
        <v>0</v>
      </c>
      <c r="DE50" s="300">
        <v>0</v>
      </c>
      <c r="DF50" s="300">
        <v>0</v>
      </c>
      <c r="DG50" s="300">
        <v>0</v>
      </c>
      <c r="DH50" s="300">
        <v>0</v>
      </c>
      <c r="DI50" s="300">
        <v>0</v>
      </c>
      <c r="DJ50" s="300">
        <v>0</v>
      </c>
      <c r="DK50" s="300">
        <v>0</v>
      </c>
      <c r="DL50" s="300">
        <v>0</v>
      </c>
      <c r="DM50" s="300">
        <v>0</v>
      </c>
      <c r="DN50" s="300">
        <v>0</v>
      </c>
      <c r="DO50" s="300">
        <v>0</v>
      </c>
      <c r="DP50" s="300">
        <v>0</v>
      </c>
      <c r="DQ50" s="300">
        <v>0</v>
      </c>
      <c r="DR50" s="300">
        <v>0</v>
      </c>
      <c r="DS50" s="300">
        <v>0</v>
      </c>
      <c r="DT50" s="300">
        <v>0</v>
      </c>
      <c r="DU50" s="300">
        <v>0</v>
      </c>
      <c r="DV50" s="300">
        <v>0</v>
      </c>
      <c r="DW50" s="300">
        <v>0</v>
      </c>
      <c r="DX50" s="300">
        <v>0</v>
      </c>
      <c r="DY50" s="300">
        <v>0</v>
      </c>
    </row>
    <row r="51" spans="2:129" s="3" customFormat="1" ht="11.7" customHeight="1" outlineLevel="1" x14ac:dyDescent="0.25">
      <c r="B51" s="113" t="str">
        <f>+'CapEx Budget'!$B$62</f>
        <v>Initial CapEx</v>
      </c>
      <c r="C51" s="113"/>
      <c r="D51" s="289">
        <f>+'CapEx Budget'!$G$62</f>
        <v>2666</v>
      </c>
      <c r="E51" s="292">
        <f>EOMONTH(Inputs!$K$91,5)</f>
        <v>44681</v>
      </c>
      <c r="F51" s="1015"/>
      <c r="G51" s="290">
        <f t="shared" si="32"/>
        <v>-786.47172866394999</v>
      </c>
      <c r="I51" s="1124">
        <v>0</v>
      </c>
      <c r="J51" s="1124">
        <v>0</v>
      </c>
      <c r="K51" s="1124">
        <v>0</v>
      </c>
      <c r="L51" s="1124">
        <v>0</v>
      </c>
      <c r="M51" s="1124">
        <v>0</v>
      </c>
      <c r="N51" s="1124">
        <v>0</v>
      </c>
      <c r="O51" s="1124">
        <v>0</v>
      </c>
      <c r="P51" s="1124">
        <v>0</v>
      </c>
      <c r="Q51" s="1124">
        <v>0</v>
      </c>
      <c r="R51" s="1124">
        <v>0</v>
      </c>
      <c r="S51" s="1124">
        <v>0</v>
      </c>
      <c r="T51" s="1124">
        <v>0</v>
      </c>
      <c r="U51" s="1124">
        <v>0</v>
      </c>
      <c r="V51" s="1124">
        <v>0</v>
      </c>
      <c r="W51" s="1124">
        <v>0</v>
      </c>
      <c r="X51" s="1124">
        <v>0</v>
      </c>
      <c r="Y51" s="1124">
        <v>0</v>
      </c>
      <c r="Z51" s="1124">
        <v>0</v>
      </c>
      <c r="AA51" s="1124">
        <v>0</v>
      </c>
      <c r="AB51" s="1124">
        <v>0</v>
      </c>
      <c r="AC51" s="1124">
        <v>0</v>
      </c>
      <c r="AD51" s="1124">
        <v>0</v>
      </c>
      <c r="AE51" s="1124">
        <v>0</v>
      </c>
      <c r="AF51" s="1124">
        <v>0</v>
      </c>
      <c r="AG51" s="1124">
        <v>0</v>
      </c>
      <c r="AH51" s="1124">
        <v>0</v>
      </c>
      <c r="AI51" s="1124">
        <v>0</v>
      </c>
      <c r="AJ51" s="1124">
        <v>0</v>
      </c>
      <c r="AK51" s="1124">
        <v>0</v>
      </c>
      <c r="AL51" s="1124">
        <v>0</v>
      </c>
      <c r="AM51" s="1124">
        <v>0</v>
      </c>
      <c r="AN51" s="1124">
        <v>0</v>
      </c>
      <c r="AO51" s="1124">
        <v>0</v>
      </c>
      <c r="AP51" s="1124">
        <v>0</v>
      </c>
      <c r="AQ51" s="1124">
        <v>0</v>
      </c>
      <c r="AR51" s="1124">
        <v>0</v>
      </c>
      <c r="AS51" s="1124">
        <v>0</v>
      </c>
      <c r="AT51" s="1124">
        <v>0</v>
      </c>
      <c r="AU51" s="1124">
        <v>0</v>
      </c>
      <c r="AV51" s="1124">
        <v>0</v>
      </c>
      <c r="AW51" s="1124">
        <v>0</v>
      </c>
      <c r="AX51" s="1124">
        <v>0</v>
      </c>
      <c r="AY51" s="1124">
        <v>0</v>
      </c>
      <c r="AZ51" s="1124">
        <v>0</v>
      </c>
      <c r="BA51" s="1124">
        <v>-177.5717286639499</v>
      </c>
      <c r="BB51" s="1124">
        <v>-488.6</v>
      </c>
      <c r="BC51" s="1124">
        <v>0</v>
      </c>
      <c r="BD51" s="1124">
        <v>-5</v>
      </c>
      <c r="BE51" s="1124">
        <v>-29</v>
      </c>
      <c r="BF51" s="1124">
        <v>-9.1999999999999993</v>
      </c>
      <c r="BG51" s="1124">
        <f>-73-4.1</f>
        <v>-77.099999999999994</v>
      </c>
      <c r="BH51" s="300">
        <v>0</v>
      </c>
      <c r="BI51" s="300">
        <v>0</v>
      </c>
      <c r="BJ51" s="300">
        <v>0</v>
      </c>
      <c r="BK51" s="300">
        <v>0</v>
      </c>
      <c r="BL51" s="300">
        <v>0</v>
      </c>
      <c r="BM51" s="300">
        <v>0</v>
      </c>
      <c r="BN51" s="300">
        <v>0</v>
      </c>
      <c r="BO51" s="300">
        <v>0</v>
      </c>
      <c r="BP51" s="300">
        <v>0</v>
      </c>
      <c r="BQ51" s="300">
        <v>0</v>
      </c>
      <c r="BR51" s="300">
        <v>0</v>
      </c>
      <c r="BS51" s="300">
        <v>0</v>
      </c>
      <c r="BT51" s="300">
        <v>0</v>
      </c>
      <c r="BU51" s="300">
        <v>0</v>
      </c>
      <c r="BV51" s="300">
        <v>0</v>
      </c>
      <c r="BW51" s="300">
        <v>0</v>
      </c>
      <c r="BX51" s="300">
        <v>0</v>
      </c>
      <c r="BY51" s="300">
        <v>0</v>
      </c>
      <c r="BZ51" s="300">
        <v>0</v>
      </c>
      <c r="CA51" s="300">
        <v>0</v>
      </c>
      <c r="CB51" s="300">
        <v>0</v>
      </c>
      <c r="CC51" s="300">
        <v>0</v>
      </c>
      <c r="CD51" s="300">
        <v>0</v>
      </c>
      <c r="CE51" s="300">
        <v>0</v>
      </c>
      <c r="CF51" s="300">
        <v>0</v>
      </c>
      <c r="CG51" s="300">
        <v>0</v>
      </c>
      <c r="CH51" s="300">
        <v>0</v>
      </c>
      <c r="CI51" s="300">
        <v>0</v>
      </c>
      <c r="CJ51" s="300">
        <v>0</v>
      </c>
      <c r="CK51" s="300">
        <v>0</v>
      </c>
      <c r="CL51" s="300">
        <v>0</v>
      </c>
      <c r="CM51" s="300">
        <v>0</v>
      </c>
      <c r="CN51" s="300">
        <v>0</v>
      </c>
      <c r="CO51" s="300">
        <v>0</v>
      </c>
      <c r="CP51" s="300">
        <v>0</v>
      </c>
      <c r="CQ51" s="300">
        <v>0</v>
      </c>
      <c r="CR51" s="300">
        <v>0</v>
      </c>
      <c r="CS51" s="300">
        <v>0</v>
      </c>
      <c r="CT51" s="300">
        <v>0</v>
      </c>
      <c r="CU51" s="300">
        <v>0</v>
      </c>
      <c r="CV51" s="300">
        <v>0</v>
      </c>
      <c r="CW51" s="300">
        <v>0</v>
      </c>
      <c r="CX51" s="300">
        <v>0</v>
      </c>
      <c r="CY51" s="300">
        <v>0</v>
      </c>
      <c r="CZ51" s="300">
        <v>0</v>
      </c>
      <c r="DA51" s="300">
        <v>0</v>
      </c>
      <c r="DB51" s="300">
        <v>0</v>
      </c>
      <c r="DC51" s="300">
        <v>0</v>
      </c>
      <c r="DD51" s="300">
        <v>0</v>
      </c>
      <c r="DE51" s="300">
        <v>0</v>
      </c>
      <c r="DF51" s="300">
        <v>0</v>
      </c>
      <c r="DG51" s="300">
        <v>0</v>
      </c>
      <c r="DH51" s="300">
        <v>0</v>
      </c>
      <c r="DI51" s="300">
        <v>0</v>
      </c>
      <c r="DJ51" s="300">
        <v>0</v>
      </c>
      <c r="DK51" s="300">
        <v>0</v>
      </c>
      <c r="DL51" s="300">
        <v>0</v>
      </c>
      <c r="DM51" s="300">
        <v>0</v>
      </c>
      <c r="DN51" s="300">
        <v>0</v>
      </c>
      <c r="DO51" s="300">
        <v>0</v>
      </c>
      <c r="DP51" s="300">
        <v>0</v>
      </c>
      <c r="DQ51" s="300">
        <v>0</v>
      </c>
      <c r="DR51" s="300">
        <v>0</v>
      </c>
      <c r="DS51" s="300">
        <v>0</v>
      </c>
      <c r="DT51" s="300">
        <v>0</v>
      </c>
      <c r="DU51" s="300">
        <v>0</v>
      </c>
      <c r="DV51" s="300">
        <v>0</v>
      </c>
      <c r="DW51" s="300">
        <v>0</v>
      </c>
      <c r="DX51" s="300">
        <v>0</v>
      </c>
      <c r="DY51" s="300">
        <v>0</v>
      </c>
    </row>
    <row r="52" spans="2:129" s="3" customFormat="1" ht="11.7" customHeight="1" outlineLevel="1" x14ac:dyDescent="0.25">
      <c r="B52" s="113" t="str">
        <f>+'CapEx Budget'!$B$63</f>
        <v>Soft Cost Contingency</v>
      </c>
      <c r="C52" s="113"/>
      <c r="D52" s="301">
        <f>+'CapEx Budget'!$G$63</f>
        <v>872</v>
      </c>
      <c r="E52" s="292">
        <f>EOMONTH(Inputs!$K$91,5)</f>
        <v>44681</v>
      </c>
      <c r="F52" s="1015"/>
      <c r="G52" s="456">
        <f t="shared" si="32"/>
        <v>-871.66293474987026</v>
      </c>
      <c r="I52" s="300">
        <v>0</v>
      </c>
      <c r="J52" s="300">
        <v>0</v>
      </c>
      <c r="K52" s="300">
        <v>0</v>
      </c>
      <c r="L52" s="300">
        <v>0</v>
      </c>
      <c r="M52" s="300">
        <v>0</v>
      </c>
      <c r="N52" s="300">
        <v>0</v>
      </c>
      <c r="O52" s="300">
        <v>0</v>
      </c>
      <c r="P52" s="300">
        <v>0</v>
      </c>
      <c r="Q52" s="300">
        <v>0</v>
      </c>
      <c r="R52" s="300">
        <v>0</v>
      </c>
      <c r="S52" s="300">
        <v>0</v>
      </c>
      <c r="T52" s="300">
        <v>0</v>
      </c>
      <c r="U52" s="300">
        <v>0</v>
      </c>
      <c r="V52" s="300">
        <v>0</v>
      </c>
      <c r="W52" s="300">
        <v>0</v>
      </c>
      <c r="X52" s="300">
        <v>0</v>
      </c>
      <c r="Y52" s="300">
        <v>0</v>
      </c>
      <c r="Z52" s="300">
        <v>0</v>
      </c>
      <c r="AA52" s="300">
        <v>0</v>
      </c>
      <c r="AB52" s="300">
        <v>0</v>
      </c>
      <c r="AC52" s="300">
        <v>0</v>
      </c>
      <c r="AD52" s="300">
        <v>0</v>
      </c>
      <c r="AE52" s="300">
        <v>0</v>
      </c>
      <c r="AF52" s="300">
        <v>0</v>
      </c>
      <c r="AG52" s="300">
        <v>0</v>
      </c>
      <c r="AH52" s="300">
        <v>0</v>
      </c>
      <c r="AI52" s="300">
        <v>0</v>
      </c>
      <c r="AJ52" s="300">
        <v>0</v>
      </c>
      <c r="AK52" s="300">
        <v>0</v>
      </c>
      <c r="AL52" s="300">
        <v>0</v>
      </c>
      <c r="AM52" s="300">
        <v>0</v>
      </c>
      <c r="AN52" s="300">
        <v>0</v>
      </c>
      <c r="AO52" s="300">
        <v>0</v>
      </c>
      <c r="AP52" s="300">
        <v>0</v>
      </c>
      <c r="AQ52" s="300">
        <v>0</v>
      </c>
      <c r="AR52" s="300">
        <v>0</v>
      </c>
      <c r="AS52" s="300">
        <v>0</v>
      </c>
      <c r="AT52" s="300">
        <v>0</v>
      </c>
      <c r="AU52" s="300">
        <v>0</v>
      </c>
      <c r="AV52" s="300">
        <v>0</v>
      </c>
      <c r="AW52" s="300">
        <v>0</v>
      </c>
      <c r="AX52" s="300">
        <v>0</v>
      </c>
      <c r="AY52" s="300">
        <v>0</v>
      </c>
      <c r="AZ52" s="300">
        <v>-109.73914519181</v>
      </c>
      <c r="BA52" s="300">
        <v>0</v>
      </c>
      <c r="BB52" s="300">
        <v>0</v>
      </c>
      <c r="BC52" s="300">
        <v>0</v>
      </c>
      <c r="BD52" s="300">
        <v>-24.923789558060285</v>
      </c>
      <c r="BE52" s="300">
        <v>0</v>
      </c>
      <c r="BF52" s="300">
        <v>-240</v>
      </c>
      <c r="BG52" s="300">
        <v>0</v>
      </c>
      <c r="BH52" s="300">
        <v>0</v>
      </c>
      <c r="BI52" s="300">
        <v>0</v>
      </c>
      <c r="BJ52" s="300">
        <v>0</v>
      </c>
      <c r="BK52" s="300">
        <v>-497</v>
      </c>
      <c r="BL52" s="300">
        <v>0</v>
      </c>
      <c r="BM52" s="300">
        <v>0</v>
      </c>
      <c r="BN52" s="300">
        <v>0</v>
      </c>
      <c r="BO52" s="300">
        <v>0</v>
      </c>
      <c r="BP52" s="300">
        <v>0</v>
      </c>
      <c r="BQ52" s="300">
        <v>0</v>
      </c>
      <c r="BR52" s="300">
        <v>0</v>
      </c>
      <c r="BS52" s="300">
        <v>0</v>
      </c>
      <c r="BT52" s="300">
        <v>0</v>
      </c>
      <c r="BU52" s="300">
        <v>0</v>
      </c>
      <c r="BV52" s="300">
        <v>0</v>
      </c>
      <c r="BW52" s="300">
        <v>0</v>
      </c>
      <c r="BX52" s="300">
        <v>0</v>
      </c>
      <c r="BY52" s="300">
        <v>0</v>
      </c>
      <c r="BZ52" s="300">
        <v>0</v>
      </c>
      <c r="CA52" s="300">
        <v>0</v>
      </c>
      <c r="CB52" s="300">
        <v>0</v>
      </c>
      <c r="CC52" s="300">
        <v>0</v>
      </c>
      <c r="CD52" s="300">
        <v>0</v>
      </c>
      <c r="CE52" s="300">
        <v>0</v>
      </c>
      <c r="CF52" s="300">
        <v>0</v>
      </c>
      <c r="CG52" s="300">
        <v>0</v>
      </c>
      <c r="CH52" s="300">
        <v>0</v>
      </c>
      <c r="CI52" s="300">
        <v>0</v>
      </c>
      <c r="CJ52" s="300">
        <v>0</v>
      </c>
      <c r="CK52" s="300">
        <v>0</v>
      </c>
      <c r="CL52" s="300">
        <v>0</v>
      </c>
      <c r="CM52" s="300">
        <v>0</v>
      </c>
      <c r="CN52" s="300">
        <v>0</v>
      </c>
      <c r="CO52" s="300">
        <v>0</v>
      </c>
      <c r="CP52" s="300">
        <v>0</v>
      </c>
      <c r="CQ52" s="300">
        <v>0</v>
      </c>
      <c r="CR52" s="300">
        <v>0</v>
      </c>
      <c r="CS52" s="300">
        <v>0</v>
      </c>
      <c r="CT52" s="300">
        <v>0</v>
      </c>
      <c r="CU52" s="300">
        <v>0</v>
      </c>
      <c r="CV52" s="300">
        <v>0</v>
      </c>
      <c r="CW52" s="300">
        <v>0</v>
      </c>
      <c r="CX52" s="300">
        <v>0</v>
      </c>
      <c r="CY52" s="300">
        <v>0</v>
      </c>
      <c r="CZ52" s="300">
        <v>0</v>
      </c>
      <c r="DA52" s="300">
        <v>0</v>
      </c>
      <c r="DB52" s="300">
        <v>0</v>
      </c>
      <c r="DC52" s="300">
        <v>0</v>
      </c>
      <c r="DD52" s="300">
        <v>0</v>
      </c>
      <c r="DE52" s="300">
        <v>0</v>
      </c>
      <c r="DF52" s="300">
        <v>0</v>
      </c>
      <c r="DG52" s="300">
        <v>0</v>
      </c>
      <c r="DH52" s="300">
        <v>0</v>
      </c>
      <c r="DI52" s="300">
        <v>0</v>
      </c>
      <c r="DJ52" s="300">
        <v>0</v>
      </c>
      <c r="DK52" s="300">
        <v>0</v>
      </c>
      <c r="DL52" s="300">
        <v>0</v>
      </c>
      <c r="DM52" s="300">
        <v>0</v>
      </c>
      <c r="DN52" s="300">
        <v>0</v>
      </c>
      <c r="DO52" s="300">
        <v>0</v>
      </c>
      <c r="DP52" s="300">
        <v>0</v>
      </c>
      <c r="DQ52" s="300">
        <v>0</v>
      </c>
      <c r="DR52" s="300">
        <v>0</v>
      </c>
      <c r="DS52" s="300">
        <v>0</v>
      </c>
      <c r="DT52" s="300">
        <v>0</v>
      </c>
      <c r="DU52" s="300">
        <v>0</v>
      </c>
      <c r="DV52" s="300">
        <v>0</v>
      </c>
      <c r="DW52" s="300">
        <v>0</v>
      </c>
      <c r="DX52" s="300">
        <v>0</v>
      </c>
      <c r="DY52" s="300">
        <v>0</v>
      </c>
    </row>
    <row r="53" spans="2:129" s="3" customFormat="1" ht="11.7" customHeight="1" outlineLevel="1" x14ac:dyDescent="0.25">
      <c r="B53" s="116" t="str">
        <f>+'CapEx Budget'!$B$64</f>
        <v xml:space="preserve">Development Fee </v>
      </c>
      <c r="C53" s="116"/>
      <c r="D53" s="289">
        <f>+'CapEx Budget'!G64</f>
        <v>23140</v>
      </c>
      <c r="E53" s="292">
        <f>EOMONTH(Inputs!$K$91,5)</f>
        <v>44681</v>
      </c>
      <c r="F53" s="1016"/>
      <c r="G53" s="290">
        <f t="shared" si="32"/>
        <v>-22763.19007290023</v>
      </c>
      <c r="H53" s="63"/>
      <c r="I53" s="1012">
        <v>0</v>
      </c>
      <c r="J53" s="1012">
        <v>-7315.8133224851408</v>
      </c>
      <c r="K53" s="1012">
        <v>0</v>
      </c>
      <c r="L53" s="1012">
        <v>0</v>
      </c>
      <c r="M53" s="1012">
        <v>0</v>
      </c>
      <c r="N53" s="1012">
        <v>0</v>
      </c>
      <c r="O53" s="1012">
        <v>0</v>
      </c>
      <c r="P53" s="1012">
        <v>0</v>
      </c>
      <c r="Q53" s="1012">
        <v>0</v>
      </c>
      <c r="R53" s="1012">
        <v>0</v>
      </c>
      <c r="S53" s="1012">
        <v>0</v>
      </c>
      <c r="T53" s="1012">
        <v>0</v>
      </c>
      <c r="U53" s="1012">
        <v>0</v>
      </c>
      <c r="V53" s="1012">
        <v>0</v>
      </c>
      <c r="W53" s="1012">
        <v>0</v>
      </c>
      <c r="X53" s="1012">
        <v>0</v>
      </c>
      <c r="Y53" s="1012">
        <v>0</v>
      </c>
      <c r="Z53" s="1012">
        <v>-1282.8655123999965</v>
      </c>
      <c r="AA53" s="1012">
        <v>0</v>
      </c>
      <c r="AB53" s="1012">
        <v>0</v>
      </c>
      <c r="AC53" s="1012">
        <v>0</v>
      </c>
      <c r="AD53" s="1012">
        <v>-610.4</v>
      </c>
      <c r="AE53" s="1012">
        <v>-257.53740545894573</v>
      </c>
      <c r="AF53" s="1012">
        <v>0</v>
      </c>
      <c r="AG53" s="1012">
        <v>-2730.1750377451494</v>
      </c>
      <c r="AH53" s="1012">
        <v>-1007.3958688225455</v>
      </c>
      <c r="AI53" s="1012">
        <v>-366.73157844729963</v>
      </c>
      <c r="AJ53" s="1012">
        <v>-738.02</v>
      </c>
      <c r="AK53" s="1012">
        <v>-334.4197987346148</v>
      </c>
      <c r="AL53" s="1012">
        <v>-333.19395862496003</v>
      </c>
      <c r="AM53" s="1012">
        <v>-368.49263064024353</v>
      </c>
      <c r="AN53" s="1012">
        <v>-420</v>
      </c>
      <c r="AO53" s="1012">
        <v>-392.217441389138</v>
      </c>
      <c r="AP53" s="1012">
        <v>-335.7</v>
      </c>
      <c r="AQ53" s="1012">
        <v>-366.55</v>
      </c>
      <c r="AR53" s="1012">
        <v>-40.86</v>
      </c>
      <c r="AS53" s="1012">
        <v>-39.1</v>
      </c>
      <c r="AT53" s="1012">
        <v>0</v>
      </c>
      <c r="AU53" s="1012">
        <v>-794.3</v>
      </c>
      <c r="AV53" s="1012">
        <v>-60.5</v>
      </c>
      <c r="AW53" s="1012">
        <v>-615.29999999999995</v>
      </c>
      <c r="AX53" s="1012">
        <v>0</v>
      </c>
      <c r="AY53" s="1012">
        <v>-1390.8</v>
      </c>
      <c r="AZ53" s="1012">
        <v>-699.74424919235912</v>
      </c>
      <c r="BA53" s="1012">
        <v>0</v>
      </c>
      <c r="BB53" s="1012">
        <v>-706.12419932699027</v>
      </c>
      <c r="BC53" s="1012">
        <v>0</v>
      </c>
      <c r="BD53" s="1012">
        <v>0</v>
      </c>
      <c r="BE53" s="1012">
        <v>0</v>
      </c>
      <c r="BF53" s="1012">
        <v>0</v>
      </c>
      <c r="BG53" s="1012">
        <v>-1263.9490696328489</v>
      </c>
      <c r="BH53" s="1012">
        <v>-293</v>
      </c>
      <c r="BI53" s="1012">
        <v>0</v>
      </c>
      <c r="BJ53" s="1012">
        <v>0</v>
      </c>
      <c r="BK53" s="294">
        <v>0</v>
      </c>
      <c r="BL53" s="294">
        <v>0</v>
      </c>
      <c r="BM53" s="294">
        <f>IFERROR(-($D53+SUM($H53:BL53))/(DATEDIF(BM$6,$E53,"m")+1),0)</f>
        <v>0</v>
      </c>
      <c r="BN53" s="294">
        <f>IFERROR(-($D53+SUM($H53:BM53))/(DATEDIF(BN$6,$E53,"m")+1),0)</f>
        <v>0</v>
      </c>
      <c r="BO53" s="294">
        <f>IFERROR(-($D53+SUM($H53:BN53))/(DATEDIF(BO$6,$E53,"m")+1),0)</f>
        <v>0</v>
      </c>
      <c r="BP53" s="294">
        <f>IFERROR(-($D53+SUM($H53:BO53))/(DATEDIF(BP$6,$E53,"m")+1),0)</f>
        <v>0</v>
      </c>
      <c r="BQ53" s="294">
        <f>IFERROR(-($D53+SUM($H53:BP53))/(DATEDIF(BQ$6,$E53,"m")+1),0)</f>
        <v>0</v>
      </c>
      <c r="BR53" s="294">
        <f>IFERROR(-($D53+SUM($H53:BQ53))/(DATEDIF(BR$6,$E53,"m")+1),0)</f>
        <v>0</v>
      </c>
      <c r="BS53" s="294">
        <f>IFERROR(-($D53+SUM($H53:BR53))/(DATEDIF(BS$6,$E53,"m")+1),0)</f>
        <v>0</v>
      </c>
      <c r="BT53" s="294">
        <f>IFERROR(-($D53+SUM($H53:BS53))/(DATEDIF(BT$6,$E53,"m")+1),0)</f>
        <v>0</v>
      </c>
      <c r="BU53" s="294">
        <f>IFERROR(-($D53+SUM($H53:BT53))/(DATEDIF(BU$6,$E53,"m")+1),0)</f>
        <v>0</v>
      </c>
      <c r="BV53" s="294">
        <f>IFERROR(-($D53+SUM($H53:BU53))/(DATEDIF(BV$6,$E53,"m")+1),0)</f>
        <v>0</v>
      </c>
      <c r="BW53" s="294">
        <f>IFERROR(-($D53+SUM($H53:BV53))/(DATEDIF(BW$6,$E53,"m")+1),0)</f>
        <v>0</v>
      </c>
      <c r="BX53" s="294">
        <f>IFERROR(-($D53+SUM($H53:BW53))/(DATEDIF(BX$6,$E53,"m")+1),0)</f>
        <v>0</v>
      </c>
      <c r="BY53" s="294">
        <f>IFERROR(-($D53+SUM($H53:BX53))/(DATEDIF(BY$6,$E53,"m")+1),0)</f>
        <v>0</v>
      </c>
      <c r="BZ53" s="294">
        <f>IFERROR(-($D53+SUM($H53:BY53))/(DATEDIF(BZ$6,$E53,"m")+1),0)</f>
        <v>0</v>
      </c>
      <c r="CA53" s="294">
        <f>IFERROR(-($D53+SUM($H53:BZ53))/(DATEDIF(CA$6,$E53,"m")+1),0)</f>
        <v>0</v>
      </c>
      <c r="CB53" s="294">
        <f>IFERROR(-($D53+SUM($H53:CA53))/(DATEDIF(CB$6,$E53,"m")+1),0)</f>
        <v>0</v>
      </c>
      <c r="CC53" s="294">
        <f>IFERROR(-($D53+SUM($H53:CB53))/(DATEDIF(CC$6,$E53,"m")+1),0)</f>
        <v>0</v>
      </c>
      <c r="CD53" s="294">
        <f>IFERROR(-($D53+SUM($H53:CC53))/(DATEDIF(CD$6,$E53,"m")+1),0)</f>
        <v>0</v>
      </c>
      <c r="CE53" s="294">
        <f>IFERROR(-($D53+SUM($H53:CD53))/(DATEDIF(CE$6,$E53,"m")+1),0)</f>
        <v>0</v>
      </c>
      <c r="CF53" s="294">
        <f>IFERROR(-($D53+SUM($H53:CE53))/(DATEDIF(CF$6,$E53,"m")+1),0)</f>
        <v>0</v>
      </c>
      <c r="CG53" s="294">
        <f>IFERROR(-($D53+SUM($H53:CF53))/(DATEDIF(CG$6,$E53,"m")+1),0)</f>
        <v>0</v>
      </c>
      <c r="CH53" s="294">
        <f>IFERROR(-($D53+SUM($H53:CG53))/(DATEDIF(CH$6,$E53,"m")+1),0)</f>
        <v>0</v>
      </c>
      <c r="CI53" s="294">
        <f>IFERROR(-($D53+SUM($H53:CH53))/(DATEDIF(CI$6,$E53,"m")+1),0)</f>
        <v>0</v>
      </c>
      <c r="CJ53" s="294">
        <f>IFERROR(-($D53+SUM($H53:CI53))/(DATEDIF(CJ$6,$E53,"m")+1),0)</f>
        <v>0</v>
      </c>
      <c r="CK53" s="294">
        <f>IFERROR(-($D53+SUM($H53:CJ53))/(DATEDIF(CK$6,$E53,"m")+1),0)</f>
        <v>0</v>
      </c>
      <c r="CL53" s="294">
        <f>IFERROR(-($D53+SUM($H53:CK53))/(DATEDIF(CL$6,$E53,"m")+1),0)</f>
        <v>0</v>
      </c>
      <c r="CM53" s="294">
        <f>IFERROR(-($D53+SUM($H53:CL53))/(DATEDIF(CM$6,$E53,"m")+1),0)</f>
        <v>0</v>
      </c>
      <c r="CN53" s="294">
        <f>IFERROR(-($D53+SUM($H53:CM53))/(DATEDIF(CN$6,$E53,"m")+1),0)</f>
        <v>0</v>
      </c>
      <c r="CO53" s="294">
        <f>IFERROR(-($D53+SUM($H53:CN53))/(DATEDIF(CO$6,$E53,"m")+1),0)</f>
        <v>0</v>
      </c>
      <c r="CP53" s="294">
        <f>IFERROR(-($D53+SUM($H53:CO53))/(DATEDIF(CP$6,$E53,"m")+1),0)</f>
        <v>0</v>
      </c>
      <c r="CQ53" s="294">
        <f>IFERROR(-($D53+SUM($H53:CP53))/(DATEDIF(CQ$6,$E53,"m")+1),0)</f>
        <v>0</v>
      </c>
      <c r="CR53" s="294">
        <f>IFERROR(-($D53+SUM($H53:CQ53))/(DATEDIF(CR$6,$E53,"m")+1),0)</f>
        <v>0</v>
      </c>
      <c r="CS53" s="294">
        <f>IFERROR(-($D53+SUM($H53:CR53))/(DATEDIF(CS$6,$E53,"m")+1),0)</f>
        <v>0</v>
      </c>
      <c r="CT53" s="294">
        <f>IFERROR(-($D53+SUM($H53:CS53))/(DATEDIF(CT$6,$E53,"m")+1),0)</f>
        <v>0</v>
      </c>
      <c r="CU53" s="294">
        <f>IFERROR(-($D53+SUM($H53:CT53))/(DATEDIF(CU$6,$E53,"m")+1),0)</f>
        <v>0</v>
      </c>
      <c r="CV53" s="294">
        <f>IFERROR(-($D53+SUM($H53:CU53))/(DATEDIF(CV$6,$E53,"m")+1),0)</f>
        <v>0</v>
      </c>
      <c r="CW53" s="294">
        <f>IFERROR(-($D53+SUM($H53:CV53))/(DATEDIF(CW$6,$E53,"m")+1),0)</f>
        <v>0</v>
      </c>
      <c r="CX53" s="294">
        <f>IFERROR(-($D53+SUM($H53:CW53))/(DATEDIF(CX$6,$E53,"m")+1),0)</f>
        <v>0</v>
      </c>
      <c r="CY53" s="294">
        <f>IFERROR(-($D53+SUM($H53:CX53))/(DATEDIF(CY$6,$E53,"m")+1),0)</f>
        <v>0</v>
      </c>
      <c r="CZ53" s="294">
        <f>IFERROR(-($D53+SUM($H53:CY53))/(DATEDIF(CZ$6,$E53,"m")+1),0)</f>
        <v>0</v>
      </c>
      <c r="DA53" s="294">
        <f>IFERROR(-($D53+SUM($H53:CZ53))/(DATEDIF(DA$6,$E53,"m")+1),0)</f>
        <v>0</v>
      </c>
      <c r="DB53" s="294">
        <f>IFERROR(-($D53+SUM($H53:DA53))/(DATEDIF(DB$6,$E53,"m")+1),0)</f>
        <v>0</v>
      </c>
      <c r="DC53" s="294">
        <f>IFERROR(-($D53+SUM($H53:DB53))/(DATEDIF(DC$6,$E53,"m")+1),0)</f>
        <v>0</v>
      </c>
      <c r="DD53" s="294">
        <f>IFERROR(-($D53+SUM($H53:DC53))/(DATEDIF(DD$6,$E53,"m")+1),0)</f>
        <v>0</v>
      </c>
      <c r="DE53" s="294">
        <f>IFERROR(-($D53+SUM($H53:DD53))/(DATEDIF(DE$6,$E53,"m")+1),0)</f>
        <v>0</v>
      </c>
      <c r="DF53" s="294">
        <f>IFERROR(-($D53+SUM($H53:DE53))/(DATEDIF(DF$6,$E53,"m")+1),0)</f>
        <v>0</v>
      </c>
      <c r="DG53" s="294">
        <f>IFERROR(-($D53+SUM($H53:DF53))/(DATEDIF(DG$6,$E53,"m")+1),0)</f>
        <v>0</v>
      </c>
      <c r="DH53" s="294">
        <f>IFERROR(-($D53+SUM($H53:DG53))/(DATEDIF(DH$6,$E53,"m")+1),0)</f>
        <v>0</v>
      </c>
      <c r="DI53" s="294">
        <f>IFERROR(-($D53+SUM($H53:DH53))/(DATEDIF(DI$6,$E53,"m")+1),0)</f>
        <v>0</v>
      </c>
      <c r="DJ53" s="294">
        <f>IFERROR(-($D53+SUM($H53:DI53))/(DATEDIF(DJ$6,$E53,"m")+1),0)</f>
        <v>0</v>
      </c>
      <c r="DK53" s="294">
        <f>IFERROR(-($D53+SUM($H53:DJ53))/(DATEDIF(DK$6,$E53,"m")+1),0)</f>
        <v>0</v>
      </c>
      <c r="DL53" s="294">
        <f>IFERROR(-($D53+SUM($H53:DK53))/(DATEDIF(DL$6,$E53,"m")+1),0)</f>
        <v>0</v>
      </c>
      <c r="DM53" s="294">
        <f>IFERROR(-($D53+SUM($H53:DL53))/(DATEDIF(DM$6,$E53,"m")+1),0)</f>
        <v>0</v>
      </c>
      <c r="DN53" s="294">
        <f>IFERROR(-($D53+SUM($H53:DM53))/(DATEDIF(DN$6,$E53,"m")+1),0)</f>
        <v>0</v>
      </c>
      <c r="DO53" s="294">
        <f>IFERROR(-($D53+SUM($H53:DN53))/(DATEDIF(DO$6,$E53,"m")+1),0)</f>
        <v>0</v>
      </c>
      <c r="DP53" s="294">
        <f>IFERROR(-($D53+SUM($H53:DO53))/(DATEDIF(DP$6,$E53,"m")+1),0)</f>
        <v>0</v>
      </c>
      <c r="DQ53" s="294">
        <f>IFERROR(-($D53+SUM($H53:DP53))/(DATEDIF(DQ$6,$E53,"m")+1),0)</f>
        <v>0</v>
      </c>
      <c r="DR53" s="294">
        <f>IFERROR(-($D53+SUM($H53:DQ53))/(DATEDIF(DR$6,$E53,"m")+1),0)</f>
        <v>0</v>
      </c>
      <c r="DS53" s="294">
        <f>IFERROR(-($D53+SUM($H53:DR53))/(DATEDIF(DS$6,$E53,"m")+1),0)</f>
        <v>0</v>
      </c>
      <c r="DT53" s="294">
        <f>IFERROR(-($D53+SUM($H53:DS53))/(DATEDIF(DT$6,$E53,"m")+1),0)</f>
        <v>0</v>
      </c>
      <c r="DU53" s="294">
        <f>IFERROR(-($D53+SUM($H53:DT53))/(DATEDIF(DU$6,$E53,"m")+1),0)</f>
        <v>0</v>
      </c>
      <c r="DV53" s="294">
        <f>IFERROR(-($D53+SUM($H53:DU53))/(DATEDIF(DV$6,$E53,"m")+1),0)</f>
        <v>0</v>
      </c>
      <c r="DW53" s="294">
        <f>IFERROR(-($D53+SUM($H53:DV53))/(DATEDIF(DW$6,$E53,"m")+1),0)</f>
        <v>0</v>
      </c>
      <c r="DX53" s="294">
        <f>IFERROR(-($D53+SUM($H53:DW53))/(DATEDIF(DX$6,$E53,"m")+1),0)</f>
        <v>0</v>
      </c>
      <c r="DY53" s="294">
        <f>IFERROR(-($D53+SUM($H53:DX53))/(DATEDIF(DY$6,$E53,"m")+1),0)</f>
        <v>0</v>
      </c>
    </row>
    <row r="54" spans="2:129" s="3" customFormat="1" ht="11.7" customHeight="1" outlineLevel="1" x14ac:dyDescent="0.3">
      <c r="B54" s="117" t="s">
        <v>33</v>
      </c>
      <c r="C54" s="117"/>
      <c r="D54" s="302">
        <f>+'CapEx Budget'!G65</f>
        <v>74802.132545879052</v>
      </c>
      <c r="E54" s="118"/>
      <c r="F54" s="118"/>
      <c r="G54" s="312">
        <f t="shared" si="32"/>
        <v>-72012.20337073275</v>
      </c>
      <c r="I54" s="120">
        <f t="shared" ref="I54:BA54" si="33">SUM(I46:I53)</f>
        <v>0</v>
      </c>
      <c r="J54" s="120">
        <f t="shared" si="33"/>
        <v>-7315.8133224851408</v>
      </c>
      <c r="K54" s="120">
        <f t="shared" si="33"/>
        <v>-771.2</v>
      </c>
      <c r="L54" s="120">
        <f t="shared" si="33"/>
        <v>0</v>
      </c>
      <c r="M54" s="120">
        <f t="shared" si="33"/>
        <v>-433.56</v>
      </c>
      <c r="N54" s="120">
        <f t="shared" si="33"/>
        <v>-2271.5500000000002</v>
      </c>
      <c r="O54" s="120">
        <f t="shared" si="33"/>
        <v>0</v>
      </c>
      <c r="P54" s="120">
        <f t="shared" si="33"/>
        <v>-470.5295949436811</v>
      </c>
      <c r="Q54" s="120">
        <f t="shared" si="33"/>
        <v>-2076.4903424920667</v>
      </c>
      <c r="R54" s="120">
        <f t="shared" si="33"/>
        <v>-265.81004769469502</v>
      </c>
      <c r="S54" s="120">
        <f t="shared" si="33"/>
        <v>-707.46</v>
      </c>
      <c r="T54" s="120">
        <f t="shared" si="33"/>
        <v>-792.96</v>
      </c>
      <c r="U54" s="120">
        <f t="shared" si="33"/>
        <v>-225.53644334802181</v>
      </c>
      <c r="V54" s="120">
        <f t="shared" si="33"/>
        <v>-2629.07</v>
      </c>
      <c r="W54" s="120">
        <f t="shared" si="33"/>
        <v>-834.45207229195717</v>
      </c>
      <c r="X54" s="120">
        <f t="shared" si="33"/>
        <v>-1202.98</v>
      </c>
      <c r="Y54" s="120">
        <f t="shared" si="33"/>
        <v>-1851.81</v>
      </c>
      <c r="Z54" s="120">
        <f t="shared" si="33"/>
        <v>-1890.5046828974077</v>
      </c>
      <c r="AA54" s="120">
        <f t="shared" si="33"/>
        <v>-700.78000504974295</v>
      </c>
      <c r="AB54" s="120">
        <f t="shared" si="33"/>
        <v>-428.84470258408942</v>
      </c>
      <c r="AC54" s="120">
        <f t="shared" si="33"/>
        <v>-209.79000000000002</v>
      </c>
      <c r="AD54" s="120">
        <f t="shared" si="33"/>
        <v>-1812.77</v>
      </c>
      <c r="AE54" s="120">
        <f t="shared" si="33"/>
        <v>-610.43739745992457</v>
      </c>
      <c r="AF54" s="120">
        <f t="shared" si="33"/>
        <v>-670.98869995441146</v>
      </c>
      <c r="AG54" s="120">
        <f t="shared" si="33"/>
        <v>-4001.6909931651771</v>
      </c>
      <c r="AH54" s="120">
        <f t="shared" si="33"/>
        <v>-1275.465533755008</v>
      </c>
      <c r="AI54" s="120">
        <f t="shared" si="33"/>
        <v>-8161.3809546244174</v>
      </c>
      <c r="AJ54" s="120">
        <f t="shared" si="33"/>
        <v>-1378.2190625462549</v>
      </c>
      <c r="AK54" s="120">
        <f t="shared" si="33"/>
        <v>-834.34148622616362</v>
      </c>
      <c r="AL54" s="120">
        <f t="shared" si="33"/>
        <v>-871.72060300072349</v>
      </c>
      <c r="AM54" s="120">
        <f t="shared" si="33"/>
        <v>-599.99117764245455</v>
      </c>
      <c r="AN54" s="120">
        <f t="shared" si="33"/>
        <v>-1406.8810978752267</v>
      </c>
      <c r="AO54" s="120">
        <f t="shared" si="33"/>
        <v>-1213.9986505328643</v>
      </c>
      <c r="AP54" s="120">
        <f t="shared" si="33"/>
        <v>-1043.0957590936762</v>
      </c>
      <c r="AQ54" s="120">
        <f t="shared" si="33"/>
        <v>-1017.79</v>
      </c>
      <c r="AR54" s="120">
        <f t="shared" si="33"/>
        <v>-822.73</v>
      </c>
      <c r="AS54" s="120">
        <f t="shared" si="33"/>
        <v>-563.80000000000007</v>
      </c>
      <c r="AT54" s="120">
        <f t="shared" si="33"/>
        <v>-446.8</v>
      </c>
      <c r="AU54" s="120">
        <f t="shared" si="33"/>
        <v>-1339.8999999999999</v>
      </c>
      <c r="AV54" s="120">
        <f t="shared" si="33"/>
        <v>-866.19999999999993</v>
      </c>
      <c r="AW54" s="120">
        <f t="shared" si="33"/>
        <v>-1425.8</v>
      </c>
      <c r="AX54" s="120">
        <f t="shared" si="33"/>
        <v>-448.79999999999995</v>
      </c>
      <c r="AY54" s="120">
        <f t="shared" si="33"/>
        <v>-2305.7600356531984</v>
      </c>
      <c r="AZ54" s="120">
        <f t="shared" si="33"/>
        <v>-1356.9229385686795</v>
      </c>
      <c r="BA54" s="120">
        <f t="shared" si="33"/>
        <v>-279.38547448772385</v>
      </c>
      <c r="BB54" s="120">
        <f t="shared" ref="BB54:DM54" si="34">SUM(BB46:BB53)</f>
        <v>-2729.0647857527874</v>
      </c>
      <c r="BC54" s="120">
        <f t="shared" si="34"/>
        <v>-544.7848064947184</v>
      </c>
      <c r="BD54" s="120">
        <f t="shared" si="34"/>
        <v>-910.78955877646024</v>
      </c>
      <c r="BE54" s="120">
        <f t="shared" si="34"/>
        <v>-715.04</v>
      </c>
      <c r="BF54" s="120">
        <f t="shared" si="34"/>
        <v>-725.2</v>
      </c>
      <c r="BG54" s="120">
        <f t="shared" si="34"/>
        <v>-3076.1069842357219</v>
      </c>
      <c r="BH54" s="120">
        <f>SUM(BH46:BH53)</f>
        <v>-1568</v>
      </c>
      <c r="BI54" s="120">
        <f>SUM(BI46:BI53)</f>
        <v>-373.62931938727542</v>
      </c>
      <c r="BJ54" s="120">
        <f t="shared" si="34"/>
        <v>-684.57683771306802</v>
      </c>
      <c r="BK54" s="120">
        <f t="shared" si="34"/>
        <v>-814</v>
      </c>
      <c r="BL54" s="1118">
        <f t="shared" si="34"/>
        <v>-37</v>
      </c>
      <c r="BM54" s="120">
        <f t="shared" si="34"/>
        <v>0</v>
      </c>
      <c r="BN54" s="120">
        <f t="shared" si="34"/>
        <v>0</v>
      </c>
      <c r="BO54" s="120">
        <f t="shared" si="34"/>
        <v>0</v>
      </c>
      <c r="BP54" s="120">
        <f t="shared" si="34"/>
        <v>0</v>
      </c>
      <c r="BQ54" s="120">
        <f t="shared" si="34"/>
        <v>0</v>
      </c>
      <c r="BR54" s="120">
        <f t="shared" si="34"/>
        <v>0</v>
      </c>
      <c r="BS54" s="120">
        <f t="shared" si="34"/>
        <v>0</v>
      </c>
      <c r="BT54" s="120">
        <f t="shared" si="34"/>
        <v>0</v>
      </c>
      <c r="BU54" s="120">
        <f t="shared" si="34"/>
        <v>0</v>
      </c>
      <c r="BV54" s="120">
        <f t="shared" si="34"/>
        <v>0</v>
      </c>
      <c r="BW54" s="120">
        <f t="shared" si="34"/>
        <v>0</v>
      </c>
      <c r="BX54" s="120">
        <f t="shared" si="34"/>
        <v>0</v>
      </c>
      <c r="BY54" s="120">
        <f t="shared" si="34"/>
        <v>0</v>
      </c>
      <c r="BZ54" s="120">
        <f t="shared" si="34"/>
        <v>0</v>
      </c>
      <c r="CA54" s="120">
        <f t="shared" si="34"/>
        <v>0</v>
      </c>
      <c r="CB54" s="120">
        <f t="shared" si="34"/>
        <v>0</v>
      </c>
      <c r="CC54" s="120">
        <f t="shared" si="34"/>
        <v>0</v>
      </c>
      <c r="CD54" s="120">
        <f t="shared" si="34"/>
        <v>0</v>
      </c>
      <c r="CE54" s="120">
        <f t="shared" si="34"/>
        <v>0</v>
      </c>
      <c r="CF54" s="120">
        <f t="shared" si="34"/>
        <v>0</v>
      </c>
      <c r="CG54" s="120">
        <f t="shared" si="34"/>
        <v>0</v>
      </c>
      <c r="CH54" s="120">
        <f t="shared" si="34"/>
        <v>0</v>
      </c>
      <c r="CI54" s="120">
        <f t="shared" si="34"/>
        <v>0</v>
      </c>
      <c r="CJ54" s="120">
        <f t="shared" si="34"/>
        <v>0</v>
      </c>
      <c r="CK54" s="120">
        <f t="shared" si="34"/>
        <v>0</v>
      </c>
      <c r="CL54" s="120">
        <f t="shared" si="34"/>
        <v>0</v>
      </c>
      <c r="CM54" s="120">
        <f t="shared" si="34"/>
        <v>0</v>
      </c>
      <c r="CN54" s="120">
        <f t="shared" si="34"/>
        <v>0</v>
      </c>
      <c r="CO54" s="120">
        <f t="shared" si="34"/>
        <v>0</v>
      </c>
      <c r="CP54" s="120">
        <f t="shared" si="34"/>
        <v>0</v>
      </c>
      <c r="CQ54" s="120">
        <f t="shared" si="34"/>
        <v>0</v>
      </c>
      <c r="CR54" s="120">
        <f t="shared" si="34"/>
        <v>0</v>
      </c>
      <c r="CS54" s="120">
        <f t="shared" si="34"/>
        <v>0</v>
      </c>
      <c r="CT54" s="120">
        <f t="shared" si="34"/>
        <v>0</v>
      </c>
      <c r="CU54" s="120">
        <f t="shared" si="34"/>
        <v>0</v>
      </c>
      <c r="CV54" s="120">
        <f t="shared" si="34"/>
        <v>0</v>
      </c>
      <c r="CW54" s="120">
        <f t="shared" si="34"/>
        <v>0</v>
      </c>
      <c r="CX54" s="120">
        <f t="shared" si="34"/>
        <v>0</v>
      </c>
      <c r="CY54" s="120">
        <f t="shared" si="34"/>
        <v>0</v>
      </c>
      <c r="CZ54" s="120">
        <f t="shared" si="34"/>
        <v>0</v>
      </c>
      <c r="DA54" s="120">
        <f t="shared" si="34"/>
        <v>0</v>
      </c>
      <c r="DB54" s="120">
        <f t="shared" si="34"/>
        <v>0</v>
      </c>
      <c r="DC54" s="120">
        <f t="shared" si="34"/>
        <v>0</v>
      </c>
      <c r="DD54" s="120">
        <f t="shared" si="34"/>
        <v>0</v>
      </c>
      <c r="DE54" s="120">
        <f t="shared" si="34"/>
        <v>0</v>
      </c>
      <c r="DF54" s="120">
        <f t="shared" si="34"/>
        <v>0</v>
      </c>
      <c r="DG54" s="120">
        <f t="shared" si="34"/>
        <v>0</v>
      </c>
      <c r="DH54" s="120">
        <f t="shared" si="34"/>
        <v>0</v>
      </c>
      <c r="DI54" s="120">
        <f t="shared" si="34"/>
        <v>0</v>
      </c>
      <c r="DJ54" s="120">
        <f t="shared" si="34"/>
        <v>0</v>
      </c>
      <c r="DK54" s="120">
        <f t="shared" si="34"/>
        <v>0</v>
      </c>
      <c r="DL54" s="120">
        <f t="shared" si="34"/>
        <v>0</v>
      </c>
      <c r="DM54" s="120">
        <f t="shared" si="34"/>
        <v>0</v>
      </c>
      <c r="DN54" s="120">
        <f t="shared" ref="DN54:DY54" si="35">SUM(DN46:DN53)</f>
        <v>0</v>
      </c>
      <c r="DO54" s="120">
        <f t="shared" si="35"/>
        <v>0</v>
      </c>
      <c r="DP54" s="120">
        <f t="shared" si="35"/>
        <v>0</v>
      </c>
      <c r="DQ54" s="120">
        <f t="shared" si="35"/>
        <v>0</v>
      </c>
      <c r="DR54" s="120">
        <f t="shared" si="35"/>
        <v>0</v>
      </c>
      <c r="DS54" s="120">
        <f t="shared" si="35"/>
        <v>0</v>
      </c>
      <c r="DT54" s="120">
        <f t="shared" si="35"/>
        <v>0</v>
      </c>
      <c r="DU54" s="120">
        <f t="shared" si="35"/>
        <v>0</v>
      </c>
      <c r="DV54" s="120">
        <f t="shared" si="35"/>
        <v>0</v>
      </c>
      <c r="DW54" s="120">
        <f t="shared" si="35"/>
        <v>0</v>
      </c>
      <c r="DX54" s="120">
        <f t="shared" si="35"/>
        <v>0</v>
      </c>
      <c r="DY54" s="120">
        <f t="shared" si="35"/>
        <v>0</v>
      </c>
    </row>
    <row r="55" spans="2:129" s="3" customFormat="1" ht="11.7" customHeight="1" outlineLevel="1" x14ac:dyDescent="0.3">
      <c r="B55" s="125"/>
      <c r="C55" s="125"/>
      <c r="D55" s="126"/>
      <c r="E55" s="118"/>
      <c r="F55" s="118"/>
      <c r="G55" s="114"/>
      <c r="H55" s="127"/>
      <c r="I55" s="115"/>
      <c r="J55" s="115"/>
      <c r="K55" s="115"/>
      <c r="L55" s="115"/>
      <c r="M55" s="115"/>
      <c r="N55" s="115"/>
      <c r="O55" s="115"/>
      <c r="P55" s="115"/>
      <c r="Q55" s="115"/>
      <c r="R55" s="115"/>
      <c r="S55" s="115"/>
      <c r="T55" s="115"/>
      <c r="U55" s="115"/>
      <c r="V55" s="115"/>
      <c r="W55" s="115"/>
      <c r="X55" s="115"/>
      <c r="Y55" s="115"/>
      <c r="Z55" s="115"/>
      <c r="AA55" s="115"/>
      <c r="AB55" s="115"/>
      <c r="AC55" s="115"/>
      <c r="AD55" s="115"/>
      <c r="AE55" s="115"/>
      <c r="AF55" s="115"/>
      <c r="AG55" s="115"/>
      <c r="AH55" s="115"/>
      <c r="AI55" s="115"/>
      <c r="AJ55" s="115"/>
      <c r="AK55" s="115"/>
      <c r="AL55" s="115"/>
      <c r="AM55" s="115"/>
      <c r="AN55" s="115"/>
      <c r="AO55" s="115"/>
      <c r="AP55" s="115"/>
      <c r="AQ55" s="115"/>
      <c r="AR55" s="115"/>
      <c r="AS55" s="115"/>
      <c r="AT55" s="115"/>
      <c r="AU55" s="115"/>
      <c r="AV55" s="115"/>
      <c r="AW55" s="115"/>
      <c r="AX55" s="115"/>
      <c r="AY55" s="115"/>
      <c r="AZ55" s="115"/>
      <c r="BA55" s="115"/>
      <c r="BB55" s="115"/>
      <c r="BC55" s="115"/>
      <c r="BD55" s="115"/>
      <c r="BE55" s="115"/>
      <c r="BF55" s="115"/>
      <c r="BG55" s="115"/>
      <c r="BH55" s="115"/>
      <c r="BI55" s="115"/>
      <c r="BJ55" s="115"/>
      <c r="BK55" s="115"/>
      <c r="BL55" s="115"/>
      <c r="BM55" s="115"/>
      <c r="BN55" s="115"/>
      <c r="BO55" s="115"/>
      <c r="BP55" s="115"/>
      <c r="BQ55" s="115"/>
      <c r="BR55" s="115"/>
      <c r="BS55" s="115"/>
      <c r="BT55" s="115"/>
      <c r="BU55" s="115"/>
      <c r="BV55" s="115"/>
      <c r="BW55" s="115"/>
      <c r="BX55" s="115"/>
      <c r="BY55" s="115"/>
      <c r="BZ55" s="115"/>
      <c r="CA55" s="115"/>
      <c r="CB55" s="115"/>
      <c r="CC55" s="115"/>
      <c r="CD55" s="115"/>
      <c r="CE55" s="115"/>
      <c r="CF55" s="115"/>
      <c r="CG55" s="115"/>
      <c r="CH55" s="115"/>
      <c r="CI55" s="115"/>
      <c r="CJ55" s="115"/>
      <c r="CK55" s="115"/>
      <c r="CL55" s="115"/>
      <c r="CM55" s="115"/>
      <c r="CN55" s="115"/>
      <c r="CO55" s="115"/>
      <c r="CP55" s="115"/>
      <c r="CQ55" s="115"/>
      <c r="CR55" s="115"/>
      <c r="CS55" s="115"/>
      <c r="CT55" s="115"/>
      <c r="CU55" s="115"/>
      <c r="CV55" s="115"/>
      <c r="CW55" s="115"/>
      <c r="CX55" s="115"/>
      <c r="CY55" s="115"/>
      <c r="CZ55" s="115"/>
      <c r="DA55" s="115"/>
      <c r="DB55" s="115"/>
      <c r="DC55" s="115"/>
      <c r="DD55" s="115"/>
      <c r="DE55" s="115"/>
      <c r="DF55" s="115"/>
      <c r="DG55" s="115"/>
      <c r="DH55" s="115"/>
      <c r="DI55" s="115"/>
      <c r="DJ55" s="115"/>
      <c r="DK55" s="115"/>
      <c r="DL55" s="115"/>
      <c r="DM55" s="115"/>
      <c r="DN55" s="115"/>
      <c r="DO55" s="115"/>
      <c r="DP55" s="115"/>
      <c r="DQ55" s="115"/>
      <c r="DR55" s="115"/>
      <c r="DS55" s="115"/>
      <c r="DT55" s="115"/>
      <c r="DU55" s="115"/>
      <c r="DV55" s="115"/>
      <c r="DW55" s="115"/>
      <c r="DX55" s="115"/>
      <c r="DY55" s="115"/>
    </row>
    <row r="56" spans="2:129" s="3" customFormat="1" ht="11.7" customHeight="1" outlineLevel="1" x14ac:dyDescent="0.3">
      <c r="B56" s="125"/>
      <c r="C56" s="125"/>
      <c r="G56" s="114"/>
      <c r="I56" s="111"/>
      <c r="J56" s="111"/>
      <c r="K56" s="111"/>
      <c r="L56" s="111"/>
      <c r="M56" s="111"/>
      <c r="N56" s="111"/>
      <c r="O56" s="111"/>
      <c r="P56" s="111"/>
      <c r="Q56" s="111"/>
      <c r="R56" s="111"/>
      <c r="S56" s="111"/>
      <c r="T56" s="111"/>
      <c r="U56" s="111"/>
      <c r="V56" s="111"/>
      <c r="W56" s="111"/>
      <c r="X56" s="111"/>
      <c r="Y56" s="111"/>
      <c r="Z56" s="111"/>
      <c r="AA56" s="111"/>
      <c r="AB56" s="111"/>
      <c r="AC56" s="111"/>
      <c r="AD56" s="111"/>
      <c r="AE56" s="111"/>
      <c r="AF56" s="111"/>
      <c r="AG56" s="111"/>
      <c r="AH56" s="111"/>
      <c r="AI56" s="111"/>
      <c r="AJ56" s="111"/>
      <c r="AK56" s="111"/>
      <c r="AL56" s="111"/>
      <c r="AM56" s="111"/>
      <c r="AN56" s="111"/>
      <c r="AO56" s="111"/>
      <c r="AP56" s="111"/>
      <c r="AQ56" s="111"/>
      <c r="AR56" s="111"/>
      <c r="AS56" s="111"/>
      <c r="AT56" s="111"/>
      <c r="AU56" s="111"/>
      <c r="AV56" s="111"/>
      <c r="AW56" s="111"/>
      <c r="AX56" s="111"/>
      <c r="AY56" s="111"/>
      <c r="AZ56" s="111"/>
      <c r="BA56" s="111"/>
      <c r="BB56" s="111"/>
      <c r="BC56" s="111"/>
      <c r="BD56" s="111"/>
      <c r="BE56" s="111"/>
      <c r="BF56" s="111"/>
      <c r="BG56" s="111"/>
      <c r="BH56" s="111"/>
      <c r="BI56" s="111"/>
      <c r="BJ56" s="111"/>
      <c r="BK56" s="111"/>
      <c r="BL56" s="111"/>
      <c r="BM56" s="111"/>
      <c r="BN56" s="111"/>
      <c r="BO56" s="111"/>
      <c r="BP56" s="111"/>
      <c r="BQ56" s="111"/>
      <c r="BR56" s="111"/>
      <c r="BS56" s="111"/>
      <c r="BT56" s="111"/>
      <c r="BU56" s="111"/>
      <c r="BV56" s="111"/>
      <c r="BW56" s="111"/>
      <c r="BX56" s="111"/>
      <c r="BY56" s="111"/>
      <c r="BZ56" s="111"/>
      <c r="CA56" s="111"/>
      <c r="CB56" s="111"/>
      <c r="CC56" s="111"/>
      <c r="CD56" s="111"/>
      <c r="CE56" s="111"/>
      <c r="CF56" s="111"/>
      <c r="CG56" s="111"/>
      <c r="CH56" s="111"/>
      <c r="CI56" s="111"/>
      <c r="CJ56" s="111"/>
      <c r="CK56" s="111"/>
      <c r="CL56" s="111"/>
      <c r="CM56" s="111"/>
      <c r="CN56" s="111"/>
      <c r="CO56" s="111"/>
      <c r="CP56" s="111"/>
      <c r="CQ56" s="111"/>
      <c r="CR56" s="111"/>
      <c r="CS56" s="111"/>
      <c r="CT56" s="111"/>
      <c r="CU56" s="111"/>
      <c r="CV56" s="111"/>
      <c r="CW56" s="111"/>
      <c r="CX56" s="111"/>
      <c r="CY56" s="111"/>
      <c r="CZ56" s="111"/>
      <c r="DA56" s="111"/>
      <c r="DB56" s="111"/>
      <c r="DC56" s="111"/>
      <c r="DD56" s="111"/>
      <c r="DE56" s="111"/>
      <c r="DF56" s="111"/>
      <c r="DG56" s="111"/>
      <c r="DH56" s="111"/>
      <c r="DI56" s="111"/>
      <c r="DJ56" s="111"/>
      <c r="DK56" s="111"/>
      <c r="DL56" s="111"/>
      <c r="DM56" s="111"/>
      <c r="DN56" s="111"/>
      <c r="DO56" s="111"/>
      <c r="DP56" s="111"/>
      <c r="DQ56" s="111"/>
      <c r="DR56" s="111"/>
      <c r="DS56" s="111"/>
      <c r="DT56" s="111"/>
      <c r="DU56" s="111"/>
      <c r="DV56" s="111"/>
      <c r="DW56" s="111"/>
      <c r="DX56" s="111"/>
      <c r="DY56" s="111"/>
    </row>
    <row r="57" spans="2:129" s="3" customFormat="1" ht="11.7" customHeight="1" outlineLevel="1" x14ac:dyDescent="0.3">
      <c r="B57" s="112" t="s">
        <v>97</v>
      </c>
      <c r="C57" s="112"/>
      <c r="G57" s="114"/>
      <c r="I57" s="111"/>
      <c r="J57" s="111"/>
      <c r="K57" s="111"/>
      <c r="L57" s="111"/>
      <c r="M57" s="111"/>
      <c r="N57" s="111"/>
      <c r="O57" s="111"/>
      <c r="P57" s="111"/>
      <c r="Q57" s="111"/>
      <c r="R57" s="111"/>
      <c r="S57" s="111"/>
      <c r="T57" s="111"/>
      <c r="U57" s="111"/>
      <c r="V57" s="111"/>
      <c r="W57" s="111"/>
      <c r="X57" s="111"/>
      <c r="Y57" s="111"/>
      <c r="Z57" s="111"/>
      <c r="AA57" s="111"/>
      <c r="AB57" s="111"/>
      <c r="AC57" s="111"/>
      <c r="AD57" s="111"/>
      <c r="AE57" s="111"/>
      <c r="AF57" s="111"/>
      <c r="AG57" s="111"/>
      <c r="AH57" s="111"/>
      <c r="AI57" s="111"/>
      <c r="AJ57" s="111"/>
      <c r="AK57" s="111"/>
      <c r="AL57" s="111"/>
      <c r="AM57" s="111"/>
      <c r="AN57" s="111"/>
      <c r="AO57" s="111"/>
      <c r="AP57" s="111"/>
      <c r="AQ57" s="111"/>
      <c r="AR57" s="111"/>
      <c r="AS57" s="111"/>
      <c r="AT57" s="111"/>
      <c r="AU57" s="111"/>
      <c r="AV57" s="111"/>
      <c r="AW57" s="111"/>
      <c r="AX57" s="111"/>
      <c r="AY57" s="111"/>
      <c r="AZ57" s="111"/>
      <c r="BA57" s="111"/>
      <c r="BB57" s="111"/>
      <c r="BC57" s="111"/>
      <c r="BD57" s="111"/>
      <c r="BE57" s="111"/>
      <c r="BF57" s="111"/>
      <c r="BG57" s="111"/>
      <c r="BH57" s="111"/>
      <c r="BI57" s="111"/>
      <c r="BJ57" s="111"/>
      <c r="BK57" s="111"/>
      <c r="BL57" s="111"/>
      <c r="BM57" s="111"/>
      <c r="BN57" s="111"/>
      <c r="BO57" s="111"/>
      <c r="BP57" s="111"/>
      <c r="BQ57" s="111"/>
      <c r="BR57" s="111"/>
      <c r="BS57" s="111"/>
      <c r="BT57" s="111"/>
      <c r="BU57" s="111"/>
      <c r="BV57" s="111"/>
      <c r="BW57" s="111"/>
      <c r="BX57" s="111"/>
      <c r="BY57" s="111"/>
      <c r="BZ57" s="111"/>
      <c r="CA57" s="111"/>
      <c r="CB57" s="111"/>
      <c r="CC57" s="111"/>
      <c r="CD57" s="111"/>
      <c r="CE57" s="111"/>
      <c r="CF57" s="111"/>
      <c r="CG57" s="111"/>
      <c r="CH57" s="111"/>
      <c r="CI57" s="111"/>
      <c r="CJ57" s="111"/>
      <c r="CK57" s="111"/>
      <c r="CL57" s="111"/>
      <c r="CM57" s="111"/>
      <c r="CN57" s="111"/>
      <c r="CO57" s="111"/>
      <c r="CP57" s="111"/>
      <c r="CQ57" s="111"/>
      <c r="CR57" s="111"/>
      <c r="CS57" s="111"/>
      <c r="CT57" s="111"/>
      <c r="CU57" s="111"/>
      <c r="CV57" s="111"/>
      <c r="CW57" s="111"/>
      <c r="CX57" s="111"/>
      <c r="CY57" s="111"/>
      <c r="CZ57" s="111"/>
      <c r="DA57" s="111"/>
      <c r="DB57" s="111"/>
      <c r="DC57" s="111"/>
      <c r="DD57" s="111"/>
      <c r="DE57" s="111"/>
      <c r="DF57" s="111"/>
      <c r="DG57" s="111"/>
      <c r="DH57" s="111"/>
      <c r="DI57" s="111"/>
      <c r="DJ57" s="111"/>
      <c r="DK57" s="111"/>
      <c r="DL57" s="111"/>
      <c r="DM57" s="111"/>
      <c r="DN57" s="111"/>
      <c r="DO57" s="111"/>
      <c r="DP57" s="111"/>
      <c r="DQ57" s="111"/>
      <c r="DR57" s="111"/>
      <c r="DS57" s="111"/>
      <c r="DT57" s="111"/>
      <c r="DU57" s="111"/>
      <c r="DV57" s="111"/>
      <c r="DW57" s="111"/>
      <c r="DX57" s="111"/>
      <c r="DY57" s="111"/>
    </row>
    <row r="58" spans="2:129" s="3" customFormat="1" ht="11.7" customHeight="1" outlineLevel="1" x14ac:dyDescent="0.25">
      <c r="B58" s="116" t="str">
        <f>+'CapEx Budget'!$B$68</f>
        <v>Operating Shortfall</v>
      </c>
      <c r="C58" s="116"/>
      <c r="D58" s="289">
        <f>+'CapEx Budget'!G68</f>
        <v>8195</v>
      </c>
      <c r="E58" s="292">
        <f>EOMONTH(Inputs!$K$91,1)</f>
        <v>44561</v>
      </c>
      <c r="F58" s="436"/>
      <c r="G58" s="290">
        <f>+SUM(I58:DY58)</f>
        <v>-8137.257822857172</v>
      </c>
      <c r="H58" s="63"/>
      <c r="I58" s="1012">
        <v>0</v>
      </c>
      <c r="J58" s="1012">
        <v>-1078</v>
      </c>
      <c r="K58" s="1012">
        <v>0</v>
      </c>
      <c r="L58" s="1012">
        <v>0</v>
      </c>
      <c r="M58" s="1012">
        <v>-9.99</v>
      </c>
      <c r="N58" s="1012">
        <v>0</v>
      </c>
      <c r="O58" s="1012">
        <v>0</v>
      </c>
      <c r="P58" s="1012">
        <v>-115.9</v>
      </c>
      <c r="Q58" s="1012">
        <v>0</v>
      </c>
      <c r="R58" s="1012">
        <v>0</v>
      </c>
      <c r="S58" s="1012">
        <v>0</v>
      </c>
      <c r="T58" s="1012">
        <v>0</v>
      </c>
      <c r="U58" s="1012">
        <v>0</v>
      </c>
      <c r="V58" s="1012">
        <v>-33.9</v>
      </c>
      <c r="W58" s="1012">
        <v>-326</v>
      </c>
      <c r="X58" s="1012">
        <v>-62</v>
      </c>
      <c r="Y58" s="1012">
        <v>-113.09</v>
      </c>
      <c r="Z58" s="1012">
        <v>-2170.54</v>
      </c>
      <c r="AA58" s="1012">
        <v>-33</v>
      </c>
      <c r="AB58" s="1012">
        <v>-502</v>
      </c>
      <c r="AC58" s="1012">
        <v>-2.06</v>
      </c>
      <c r="AD58" s="1012">
        <v>-0.69</v>
      </c>
      <c r="AE58" s="1012">
        <v>-143</v>
      </c>
      <c r="AF58" s="1012">
        <v>-93.25</v>
      </c>
      <c r="AG58" s="1012">
        <v>-34.869999999999997</v>
      </c>
      <c r="AH58" s="1012">
        <v>-0.86</v>
      </c>
      <c r="AI58" s="1012">
        <v>-33.880000000000003</v>
      </c>
      <c r="AJ58" s="1012">
        <v>-0.95</v>
      </c>
      <c r="AK58" s="1012">
        <v>-140.19999999999999</v>
      </c>
      <c r="AL58" s="1012">
        <v>-0.68</v>
      </c>
      <c r="AM58" s="1012">
        <v>-35.49</v>
      </c>
      <c r="AN58" s="1012">
        <v>-1109.9020253106801</v>
      </c>
      <c r="AO58" s="1012">
        <v>-6.8</v>
      </c>
      <c r="AP58" s="1012">
        <v>-601</v>
      </c>
      <c r="AQ58" s="1012">
        <v>-206.7</v>
      </c>
      <c r="AR58" s="1012">
        <v>-40.119999999999997</v>
      </c>
      <c r="AS58" s="1012">
        <v>-7.0000000000000007E-2</v>
      </c>
      <c r="AT58" s="1012">
        <v>-7.0000000000000007E-2</v>
      </c>
      <c r="AU58" s="1012">
        <v>-0.1</v>
      </c>
      <c r="AV58" s="1012">
        <v>-30.8</v>
      </c>
      <c r="AW58" s="1012">
        <v>-339.8</v>
      </c>
      <c r="AX58" s="1012">
        <v>-146.19999999999999</v>
      </c>
      <c r="AY58" s="1012">
        <v>-30.09</v>
      </c>
      <c r="AZ58" s="1012">
        <v>-0.23990302191105312</v>
      </c>
      <c r="BA58" s="1012">
        <v>0</v>
      </c>
      <c r="BB58" s="1012">
        <v>-7.4923252141303992E-2</v>
      </c>
      <c r="BC58" s="1012">
        <v>-83.75</v>
      </c>
      <c r="BD58" s="1012">
        <v>-1.1389827775052581E-2</v>
      </c>
      <c r="BE58" s="1012">
        <v>-0.17958144466488918</v>
      </c>
      <c r="BF58" s="1012">
        <v>-25</v>
      </c>
      <c r="BG58" s="1012">
        <v>-40</v>
      </c>
      <c r="BH58" s="1012">
        <v>-397</v>
      </c>
      <c r="BI58" s="1012">
        <v>-149</v>
      </c>
      <c r="BJ58" s="1012">
        <v>0</v>
      </c>
      <c r="BK58" s="1012">
        <v>0</v>
      </c>
      <c r="BL58" s="1012">
        <v>0</v>
      </c>
      <c r="BM58" s="1012">
        <v>0</v>
      </c>
      <c r="BN58" s="1012">
        <v>0</v>
      </c>
      <c r="BO58" s="1012">
        <v>0</v>
      </c>
      <c r="BP58" s="1012">
        <v>0</v>
      </c>
      <c r="BQ58" s="1012">
        <v>0</v>
      </c>
      <c r="BR58" s="1012">
        <v>0</v>
      </c>
      <c r="BS58" s="1012">
        <v>0</v>
      </c>
      <c r="BT58" s="1012">
        <v>0</v>
      </c>
      <c r="BU58" s="1012">
        <v>0</v>
      </c>
      <c r="BV58" s="1012">
        <v>0</v>
      </c>
      <c r="BW58" s="1012">
        <v>0</v>
      </c>
      <c r="BX58" s="1012">
        <v>0</v>
      </c>
      <c r="BY58" s="1012">
        <v>0</v>
      </c>
      <c r="BZ58" s="1012">
        <v>0</v>
      </c>
      <c r="CA58" s="1012">
        <v>0</v>
      </c>
      <c r="CB58" s="1012">
        <v>0</v>
      </c>
      <c r="CC58" s="1012">
        <v>0</v>
      </c>
      <c r="CD58" s="1012">
        <v>0</v>
      </c>
      <c r="CE58" s="1012">
        <v>0</v>
      </c>
      <c r="CF58" s="1012">
        <v>0</v>
      </c>
      <c r="CG58" s="1012">
        <v>0</v>
      </c>
      <c r="CH58" s="1012">
        <v>0</v>
      </c>
      <c r="CI58" s="1012">
        <v>0</v>
      </c>
      <c r="CJ58" s="1012">
        <v>0</v>
      </c>
      <c r="CK58" s="1012">
        <v>0</v>
      </c>
      <c r="CL58" s="1012">
        <v>0</v>
      </c>
      <c r="CM58" s="1012">
        <v>0</v>
      </c>
      <c r="CN58" s="1012">
        <v>0</v>
      </c>
      <c r="CO58" s="1012">
        <v>0</v>
      </c>
      <c r="CP58" s="1012">
        <v>0</v>
      </c>
      <c r="CQ58" s="1012">
        <v>0</v>
      </c>
      <c r="CR58" s="1012">
        <v>0</v>
      </c>
      <c r="CS58" s="1012">
        <v>0</v>
      </c>
      <c r="CT58" s="1012">
        <v>0</v>
      </c>
      <c r="CU58" s="1012">
        <v>0</v>
      </c>
      <c r="CV58" s="1012">
        <v>0</v>
      </c>
      <c r="CW58" s="1012">
        <v>0</v>
      </c>
      <c r="CX58" s="1012">
        <v>0</v>
      </c>
      <c r="CY58" s="1012">
        <v>0</v>
      </c>
      <c r="CZ58" s="1012">
        <v>0</v>
      </c>
      <c r="DA58" s="1012">
        <v>0</v>
      </c>
      <c r="DB58" s="1012">
        <v>0</v>
      </c>
      <c r="DC58" s="1012">
        <v>0</v>
      </c>
      <c r="DD58" s="1012">
        <v>0</v>
      </c>
      <c r="DE58" s="1012">
        <v>0</v>
      </c>
      <c r="DF58" s="1012">
        <v>0</v>
      </c>
      <c r="DG58" s="1012">
        <v>0</v>
      </c>
      <c r="DH58" s="1012">
        <v>0</v>
      </c>
      <c r="DI58" s="1012">
        <v>0</v>
      </c>
      <c r="DJ58" s="1012">
        <v>0</v>
      </c>
      <c r="DK58" s="1012">
        <v>0</v>
      </c>
      <c r="DL58" s="1012">
        <v>0</v>
      </c>
      <c r="DM58" s="1012">
        <v>0</v>
      </c>
      <c r="DN58" s="1012">
        <v>0</v>
      </c>
      <c r="DO58" s="1012">
        <v>0</v>
      </c>
      <c r="DP58" s="1012">
        <v>0</v>
      </c>
      <c r="DQ58" s="1012">
        <v>0</v>
      </c>
      <c r="DR58" s="1012">
        <v>0</v>
      </c>
      <c r="DS58" s="1012">
        <v>0</v>
      </c>
      <c r="DT58" s="1012">
        <v>0</v>
      </c>
      <c r="DU58" s="1012">
        <v>0</v>
      </c>
      <c r="DV58" s="1012">
        <v>0</v>
      </c>
      <c r="DW58" s="1012">
        <v>0</v>
      </c>
      <c r="DX58" s="1012">
        <v>0</v>
      </c>
      <c r="DY58" s="1012">
        <v>0</v>
      </c>
    </row>
    <row r="59" spans="2:129" s="3" customFormat="1" ht="11.7" customHeight="1" outlineLevel="1" x14ac:dyDescent="0.3">
      <c r="B59" s="117" t="s">
        <v>49</v>
      </c>
      <c r="C59" s="117"/>
      <c r="D59" s="302">
        <f>+'CapEx Budget'!G68</f>
        <v>8195</v>
      </c>
      <c r="E59" s="129"/>
      <c r="F59" s="129"/>
      <c r="G59" s="312">
        <f>+SUM(I59:DY59)</f>
        <v>-8137.257822857172</v>
      </c>
      <c r="I59" s="128">
        <f>+SUM(I58)</f>
        <v>0</v>
      </c>
      <c r="J59" s="128">
        <f t="shared" ref="J59:BU59" si="36">+SUM(J58)</f>
        <v>-1078</v>
      </c>
      <c r="K59" s="128">
        <f t="shared" si="36"/>
        <v>0</v>
      </c>
      <c r="L59" s="128">
        <f t="shared" si="36"/>
        <v>0</v>
      </c>
      <c r="M59" s="128">
        <f t="shared" si="36"/>
        <v>-9.99</v>
      </c>
      <c r="N59" s="128">
        <f t="shared" si="36"/>
        <v>0</v>
      </c>
      <c r="O59" s="128">
        <f t="shared" si="36"/>
        <v>0</v>
      </c>
      <c r="P59" s="128">
        <f t="shared" si="36"/>
        <v>-115.9</v>
      </c>
      <c r="Q59" s="128">
        <f t="shared" si="36"/>
        <v>0</v>
      </c>
      <c r="R59" s="128">
        <f t="shared" si="36"/>
        <v>0</v>
      </c>
      <c r="S59" s="128">
        <f t="shared" si="36"/>
        <v>0</v>
      </c>
      <c r="T59" s="128">
        <f t="shared" si="36"/>
        <v>0</v>
      </c>
      <c r="U59" s="128">
        <f t="shared" si="36"/>
        <v>0</v>
      </c>
      <c r="V59" s="128">
        <f t="shared" si="36"/>
        <v>-33.9</v>
      </c>
      <c r="W59" s="128">
        <f t="shared" si="36"/>
        <v>-326</v>
      </c>
      <c r="X59" s="128">
        <f t="shared" si="36"/>
        <v>-62</v>
      </c>
      <c r="Y59" s="128">
        <f t="shared" si="36"/>
        <v>-113.09</v>
      </c>
      <c r="Z59" s="128">
        <f t="shared" si="36"/>
        <v>-2170.54</v>
      </c>
      <c r="AA59" s="128">
        <f t="shared" si="36"/>
        <v>-33</v>
      </c>
      <c r="AB59" s="128">
        <f t="shared" si="36"/>
        <v>-502</v>
      </c>
      <c r="AC59" s="128">
        <f t="shared" si="36"/>
        <v>-2.06</v>
      </c>
      <c r="AD59" s="128">
        <f t="shared" si="36"/>
        <v>-0.69</v>
      </c>
      <c r="AE59" s="128">
        <f t="shared" si="36"/>
        <v>-143</v>
      </c>
      <c r="AF59" s="128">
        <f t="shared" si="36"/>
        <v>-93.25</v>
      </c>
      <c r="AG59" s="128">
        <f t="shared" si="36"/>
        <v>-34.869999999999997</v>
      </c>
      <c r="AH59" s="128">
        <f t="shared" si="36"/>
        <v>-0.86</v>
      </c>
      <c r="AI59" s="128">
        <f t="shared" si="36"/>
        <v>-33.880000000000003</v>
      </c>
      <c r="AJ59" s="128">
        <f t="shared" si="36"/>
        <v>-0.95</v>
      </c>
      <c r="AK59" s="128">
        <f t="shared" si="36"/>
        <v>-140.19999999999999</v>
      </c>
      <c r="AL59" s="128">
        <f t="shared" si="36"/>
        <v>-0.68</v>
      </c>
      <c r="AM59" s="128">
        <f t="shared" si="36"/>
        <v>-35.49</v>
      </c>
      <c r="AN59" s="128">
        <f t="shared" si="36"/>
        <v>-1109.9020253106801</v>
      </c>
      <c r="AO59" s="128">
        <f t="shared" si="36"/>
        <v>-6.8</v>
      </c>
      <c r="AP59" s="128">
        <f t="shared" si="36"/>
        <v>-601</v>
      </c>
      <c r="AQ59" s="128">
        <f t="shared" si="36"/>
        <v>-206.7</v>
      </c>
      <c r="AR59" s="128">
        <f t="shared" si="36"/>
        <v>-40.119999999999997</v>
      </c>
      <c r="AS59" s="128">
        <f t="shared" si="36"/>
        <v>-7.0000000000000007E-2</v>
      </c>
      <c r="AT59" s="128">
        <f t="shared" si="36"/>
        <v>-7.0000000000000007E-2</v>
      </c>
      <c r="AU59" s="128">
        <f t="shared" si="36"/>
        <v>-0.1</v>
      </c>
      <c r="AV59" s="128">
        <f t="shared" si="36"/>
        <v>-30.8</v>
      </c>
      <c r="AW59" s="128">
        <f t="shared" si="36"/>
        <v>-339.8</v>
      </c>
      <c r="AX59" s="128">
        <f t="shared" si="36"/>
        <v>-146.19999999999999</v>
      </c>
      <c r="AY59" s="128">
        <f t="shared" si="36"/>
        <v>-30.09</v>
      </c>
      <c r="AZ59" s="128">
        <f t="shared" si="36"/>
        <v>-0.23990302191105312</v>
      </c>
      <c r="BA59" s="128">
        <f t="shared" si="36"/>
        <v>0</v>
      </c>
      <c r="BB59" s="128">
        <f t="shared" si="36"/>
        <v>-7.4923252141303992E-2</v>
      </c>
      <c r="BC59" s="128">
        <f t="shared" si="36"/>
        <v>-83.75</v>
      </c>
      <c r="BD59" s="128">
        <f t="shared" si="36"/>
        <v>-1.1389827775052581E-2</v>
      </c>
      <c r="BE59" s="128">
        <f t="shared" si="36"/>
        <v>-0.17958144466488918</v>
      </c>
      <c r="BF59" s="128">
        <f t="shared" si="36"/>
        <v>-25</v>
      </c>
      <c r="BG59" s="128">
        <f t="shared" si="36"/>
        <v>-40</v>
      </c>
      <c r="BH59" s="128">
        <f t="shared" si="36"/>
        <v>-397</v>
      </c>
      <c r="BI59" s="128">
        <f t="shared" si="36"/>
        <v>-149</v>
      </c>
      <c r="BJ59" s="128">
        <f t="shared" si="36"/>
        <v>0</v>
      </c>
      <c r="BK59" s="128">
        <f t="shared" si="36"/>
        <v>0</v>
      </c>
      <c r="BL59" s="128">
        <f t="shared" si="36"/>
        <v>0</v>
      </c>
      <c r="BM59" s="128">
        <f t="shared" si="36"/>
        <v>0</v>
      </c>
      <c r="BN59" s="128">
        <f t="shared" si="36"/>
        <v>0</v>
      </c>
      <c r="BO59" s="128">
        <f t="shared" si="36"/>
        <v>0</v>
      </c>
      <c r="BP59" s="128">
        <f t="shared" si="36"/>
        <v>0</v>
      </c>
      <c r="BQ59" s="128">
        <f t="shared" si="36"/>
        <v>0</v>
      </c>
      <c r="BR59" s="128">
        <f t="shared" si="36"/>
        <v>0</v>
      </c>
      <c r="BS59" s="128">
        <f t="shared" si="36"/>
        <v>0</v>
      </c>
      <c r="BT59" s="128">
        <f t="shared" si="36"/>
        <v>0</v>
      </c>
      <c r="BU59" s="128">
        <f t="shared" si="36"/>
        <v>0</v>
      </c>
      <c r="BV59" s="128">
        <f t="shared" ref="BV59:DY59" si="37">+SUM(BV58)</f>
        <v>0</v>
      </c>
      <c r="BW59" s="128">
        <f t="shared" si="37"/>
        <v>0</v>
      </c>
      <c r="BX59" s="128">
        <f t="shared" si="37"/>
        <v>0</v>
      </c>
      <c r="BY59" s="128">
        <f t="shared" si="37"/>
        <v>0</v>
      </c>
      <c r="BZ59" s="128">
        <f t="shared" si="37"/>
        <v>0</v>
      </c>
      <c r="CA59" s="128">
        <f t="shared" si="37"/>
        <v>0</v>
      </c>
      <c r="CB59" s="128">
        <f t="shared" si="37"/>
        <v>0</v>
      </c>
      <c r="CC59" s="128">
        <f t="shared" si="37"/>
        <v>0</v>
      </c>
      <c r="CD59" s="128">
        <f t="shared" si="37"/>
        <v>0</v>
      </c>
      <c r="CE59" s="128">
        <f t="shared" si="37"/>
        <v>0</v>
      </c>
      <c r="CF59" s="128">
        <f t="shared" si="37"/>
        <v>0</v>
      </c>
      <c r="CG59" s="128">
        <f t="shared" si="37"/>
        <v>0</v>
      </c>
      <c r="CH59" s="128">
        <f t="shared" si="37"/>
        <v>0</v>
      </c>
      <c r="CI59" s="128">
        <f t="shared" si="37"/>
        <v>0</v>
      </c>
      <c r="CJ59" s="128">
        <f t="shared" si="37"/>
        <v>0</v>
      </c>
      <c r="CK59" s="128">
        <f t="shared" si="37"/>
        <v>0</v>
      </c>
      <c r="CL59" s="128">
        <f t="shared" si="37"/>
        <v>0</v>
      </c>
      <c r="CM59" s="128">
        <f t="shared" si="37"/>
        <v>0</v>
      </c>
      <c r="CN59" s="128">
        <f t="shared" si="37"/>
        <v>0</v>
      </c>
      <c r="CO59" s="128">
        <f t="shared" si="37"/>
        <v>0</v>
      </c>
      <c r="CP59" s="128">
        <f t="shared" si="37"/>
        <v>0</v>
      </c>
      <c r="CQ59" s="128">
        <f t="shared" si="37"/>
        <v>0</v>
      </c>
      <c r="CR59" s="128">
        <f t="shared" si="37"/>
        <v>0</v>
      </c>
      <c r="CS59" s="128">
        <f t="shared" si="37"/>
        <v>0</v>
      </c>
      <c r="CT59" s="128">
        <f t="shared" si="37"/>
        <v>0</v>
      </c>
      <c r="CU59" s="128">
        <f t="shared" si="37"/>
        <v>0</v>
      </c>
      <c r="CV59" s="128">
        <f t="shared" si="37"/>
        <v>0</v>
      </c>
      <c r="CW59" s="128">
        <f t="shared" si="37"/>
        <v>0</v>
      </c>
      <c r="CX59" s="128">
        <f t="shared" si="37"/>
        <v>0</v>
      </c>
      <c r="CY59" s="128">
        <f t="shared" si="37"/>
        <v>0</v>
      </c>
      <c r="CZ59" s="128">
        <f t="shared" si="37"/>
        <v>0</v>
      </c>
      <c r="DA59" s="128">
        <f t="shared" si="37"/>
        <v>0</v>
      </c>
      <c r="DB59" s="128">
        <f t="shared" si="37"/>
        <v>0</v>
      </c>
      <c r="DC59" s="128">
        <f t="shared" si="37"/>
        <v>0</v>
      </c>
      <c r="DD59" s="128">
        <f t="shared" si="37"/>
        <v>0</v>
      </c>
      <c r="DE59" s="128">
        <f t="shared" si="37"/>
        <v>0</v>
      </c>
      <c r="DF59" s="128">
        <f t="shared" si="37"/>
        <v>0</v>
      </c>
      <c r="DG59" s="128">
        <f t="shared" si="37"/>
        <v>0</v>
      </c>
      <c r="DH59" s="128">
        <f t="shared" si="37"/>
        <v>0</v>
      </c>
      <c r="DI59" s="128">
        <f t="shared" si="37"/>
        <v>0</v>
      </c>
      <c r="DJ59" s="128">
        <f t="shared" si="37"/>
        <v>0</v>
      </c>
      <c r="DK59" s="128">
        <f t="shared" si="37"/>
        <v>0</v>
      </c>
      <c r="DL59" s="128">
        <f t="shared" si="37"/>
        <v>0</v>
      </c>
      <c r="DM59" s="128">
        <f t="shared" si="37"/>
        <v>0</v>
      </c>
      <c r="DN59" s="128">
        <f t="shared" si="37"/>
        <v>0</v>
      </c>
      <c r="DO59" s="128">
        <f t="shared" si="37"/>
        <v>0</v>
      </c>
      <c r="DP59" s="128">
        <f t="shared" si="37"/>
        <v>0</v>
      </c>
      <c r="DQ59" s="128">
        <f t="shared" si="37"/>
        <v>0</v>
      </c>
      <c r="DR59" s="128">
        <f t="shared" si="37"/>
        <v>0</v>
      </c>
      <c r="DS59" s="128">
        <f t="shared" si="37"/>
        <v>0</v>
      </c>
      <c r="DT59" s="128">
        <f t="shared" si="37"/>
        <v>0</v>
      </c>
      <c r="DU59" s="128">
        <f t="shared" si="37"/>
        <v>0</v>
      </c>
      <c r="DV59" s="128">
        <f t="shared" si="37"/>
        <v>0</v>
      </c>
      <c r="DW59" s="128">
        <f t="shared" si="37"/>
        <v>0</v>
      </c>
      <c r="DX59" s="128">
        <f t="shared" si="37"/>
        <v>0</v>
      </c>
      <c r="DY59" s="128">
        <f t="shared" si="37"/>
        <v>0</v>
      </c>
    </row>
    <row r="60" spans="2:129" s="3" customFormat="1" ht="11.7" customHeight="1" outlineLevel="1" x14ac:dyDescent="0.3">
      <c r="B60" s="117"/>
      <c r="C60" s="117"/>
      <c r="D60" s="1135"/>
      <c r="E60" s="129"/>
      <c r="F60" s="129"/>
      <c r="G60" s="896"/>
      <c r="I60" s="128"/>
      <c r="J60" s="128"/>
      <c r="K60" s="128"/>
      <c r="L60" s="128"/>
      <c r="M60" s="128"/>
      <c r="N60" s="128"/>
      <c r="O60" s="128"/>
      <c r="P60" s="128"/>
      <c r="Q60" s="128"/>
      <c r="R60" s="128"/>
      <c r="S60" s="128"/>
      <c r="T60" s="128"/>
      <c r="U60" s="128"/>
      <c r="V60" s="128"/>
      <c r="W60" s="128"/>
      <c r="X60" s="128"/>
      <c r="Y60" s="128"/>
      <c r="Z60" s="128"/>
      <c r="AA60" s="128"/>
      <c r="AB60" s="128"/>
      <c r="AC60" s="128"/>
      <c r="AD60" s="128"/>
      <c r="AE60" s="128"/>
      <c r="AF60" s="128"/>
      <c r="AG60" s="128"/>
      <c r="AH60" s="128"/>
      <c r="AI60" s="128"/>
      <c r="AJ60" s="128"/>
      <c r="AK60" s="128"/>
      <c r="AL60" s="128"/>
      <c r="AM60" s="128"/>
      <c r="AN60" s="128"/>
      <c r="AO60" s="128"/>
      <c r="AP60" s="128"/>
      <c r="AQ60" s="128"/>
      <c r="AR60" s="128"/>
      <c r="AS60" s="128"/>
      <c r="AT60" s="128"/>
      <c r="AU60" s="128"/>
      <c r="AV60" s="128"/>
      <c r="AW60" s="128"/>
      <c r="AX60" s="128"/>
      <c r="AY60" s="128"/>
      <c r="AZ60" s="128"/>
      <c r="BA60" s="128"/>
      <c r="BB60" s="128"/>
      <c r="BC60" s="128"/>
      <c r="BD60" s="128"/>
      <c r="BE60" s="128"/>
      <c r="BF60" s="128"/>
      <c r="BG60" s="128"/>
      <c r="BH60" s="128"/>
      <c r="BI60" s="128"/>
      <c r="BJ60" s="128"/>
      <c r="BK60" s="128"/>
      <c r="BL60" s="128"/>
      <c r="BM60" s="128"/>
      <c r="BN60" s="128"/>
      <c r="BO60" s="128"/>
      <c r="BP60" s="128"/>
      <c r="BQ60" s="128"/>
      <c r="BR60" s="128"/>
      <c r="BS60" s="128"/>
      <c r="BT60" s="128"/>
      <c r="BU60" s="128"/>
      <c r="BV60" s="128"/>
      <c r="BW60" s="128"/>
      <c r="BX60" s="128"/>
      <c r="BY60" s="128"/>
      <c r="BZ60" s="128"/>
      <c r="CA60" s="128"/>
      <c r="CB60" s="128"/>
      <c r="CC60" s="128"/>
      <c r="CD60" s="128"/>
      <c r="CE60" s="128"/>
      <c r="CF60" s="128"/>
      <c r="CG60" s="128"/>
      <c r="CH60" s="128"/>
      <c r="CI60" s="128"/>
      <c r="CJ60" s="128"/>
      <c r="CK60" s="128"/>
      <c r="CL60" s="128"/>
      <c r="CM60" s="128"/>
      <c r="CN60" s="128"/>
      <c r="CO60" s="128"/>
      <c r="CP60" s="128"/>
      <c r="CQ60" s="128"/>
      <c r="CR60" s="128"/>
      <c r="CS60" s="128"/>
      <c r="CT60" s="128"/>
      <c r="CU60" s="128"/>
      <c r="CV60" s="128"/>
      <c r="CW60" s="128"/>
      <c r="CX60" s="128"/>
      <c r="CY60" s="128"/>
      <c r="CZ60" s="128"/>
      <c r="DA60" s="128"/>
      <c r="DB60" s="128"/>
      <c r="DC60" s="128"/>
      <c r="DD60" s="128"/>
      <c r="DE60" s="128"/>
      <c r="DF60" s="128"/>
      <c r="DG60" s="128"/>
      <c r="DH60" s="128"/>
      <c r="DI60" s="128"/>
      <c r="DJ60" s="128"/>
      <c r="DK60" s="128"/>
      <c r="DL60" s="128"/>
      <c r="DM60" s="128"/>
      <c r="DN60" s="128"/>
      <c r="DO60" s="128"/>
      <c r="DP60" s="128"/>
      <c r="DQ60" s="128"/>
      <c r="DR60" s="128"/>
      <c r="DS60" s="128"/>
      <c r="DT60" s="128"/>
      <c r="DU60" s="128"/>
      <c r="DV60" s="128"/>
      <c r="DW60" s="128"/>
      <c r="DX60" s="128"/>
      <c r="DY60" s="128"/>
    </row>
    <row r="61" spans="2:129" s="3" customFormat="1" ht="11.7" customHeight="1" outlineLevel="1" x14ac:dyDescent="0.3">
      <c r="B61" s="131"/>
      <c r="C61" s="131"/>
      <c r="D61" s="132"/>
      <c r="E61" s="133"/>
      <c r="F61" s="133"/>
      <c r="G61" s="134"/>
      <c r="H61" s="134"/>
      <c r="I61" s="115"/>
      <c r="J61" s="135"/>
      <c r="K61" s="135"/>
      <c r="L61" s="135"/>
      <c r="M61" s="135"/>
      <c r="N61" s="135"/>
      <c r="O61" s="135"/>
      <c r="P61" s="135"/>
      <c r="Q61" s="135"/>
      <c r="R61" s="135"/>
      <c r="S61" s="135"/>
      <c r="T61" s="135"/>
      <c r="U61" s="135"/>
      <c r="V61" s="135"/>
      <c r="W61" s="135"/>
      <c r="X61" s="135"/>
      <c r="Y61" s="135"/>
      <c r="Z61" s="135"/>
      <c r="AA61" s="135"/>
      <c r="AB61" s="135"/>
      <c r="AC61" s="135"/>
      <c r="AD61" s="135"/>
      <c r="AE61" s="135"/>
      <c r="AF61" s="135"/>
      <c r="AG61" s="135"/>
      <c r="AH61" s="135"/>
      <c r="AI61" s="135"/>
      <c r="AJ61" s="135"/>
      <c r="AK61" s="135"/>
      <c r="AL61" s="135"/>
      <c r="AM61" s="135"/>
      <c r="AN61" s="135"/>
      <c r="AO61" s="135"/>
      <c r="AP61" s="135"/>
      <c r="AQ61" s="135"/>
      <c r="AR61" s="135"/>
      <c r="AS61" s="135"/>
      <c r="AT61" s="135"/>
      <c r="AU61" s="135"/>
      <c r="AV61" s="135"/>
      <c r="AW61" s="135"/>
      <c r="AX61" s="135"/>
      <c r="AY61" s="135"/>
      <c r="AZ61" s="135"/>
      <c r="BA61" s="135"/>
      <c r="BB61" s="135"/>
      <c r="BC61" s="135"/>
      <c r="BD61" s="135"/>
      <c r="BE61" s="135"/>
      <c r="BF61" s="135"/>
      <c r="BG61" s="135"/>
      <c r="BH61" s="135"/>
      <c r="BI61" s="135"/>
      <c r="BJ61" s="135"/>
      <c r="BK61" s="135"/>
      <c r="BL61" s="135"/>
      <c r="BM61" s="135"/>
      <c r="BN61" s="135"/>
      <c r="BO61" s="135"/>
      <c r="BP61" s="135"/>
      <c r="BQ61" s="135"/>
      <c r="BR61" s="135"/>
      <c r="BS61" s="135"/>
      <c r="BT61" s="135"/>
      <c r="BU61" s="135"/>
      <c r="BV61" s="135"/>
      <c r="BW61" s="135"/>
      <c r="BX61" s="135"/>
      <c r="BY61" s="135"/>
      <c r="BZ61" s="135"/>
      <c r="CA61" s="135"/>
      <c r="CB61" s="135"/>
      <c r="CC61" s="135"/>
      <c r="CD61" s="135"/>
      <c r="CE61" s="135"/>
      <c r="CF61" s="135"/>
      <c r="CG61" s="135"/>
      <c r="CH61" s="135"/>
      <c r="CI61" s="135"/>
      <c r="CJ61" s="135"/>
      <c r="CK61" s="135"/>
      <c r="CL61" s="135"/>
      <c r="CM61" s="135"/>
      <c r="CN61" s="135"/>
      <c r="CO61" s="135"/>
      <c r="CP61" s="135"/>
      <c r="CQ61" s="135"/>
      <c r="CR61" s="135"/>
      <c r="CS61" s="135"/>
      <c r="CT61" s="135"/>
      <c r="CU61" s="135"/>
      <c r="CV61" s="135"/>
      <c r="CW61" s="135"/>
      <c r="CX61" s="135"/>
      <c r="CY61" s="135"/>
      <c r="CZ61" s="135"/>
      <c r="DA61" s="135"/>
      <c r="DB61" s="135"/>
      <c r="DC61" s="135"/>
      <c r="DD61" s="135"/>
      <c r="DE61" s="135"/>
      <c r="DF61" s="135"/>
      <c r="DG61" s="135"/>
      <c r="DH61" s="135"/>
      <c r="DI61" s="135"/>
      <c r="DJ61" s="135"/>
      <c r="DK61" s="135"/>
      <c r="DL61" s="135"/>
      <c r="DM61" s="135"/>
      <c r="DN61" s="135"/>
      <c r="DO61" s="135"/>
      <c r="DP61" s="135"/>
      <c r="DQ61" s="135"/>
      <c r="DR61" s="135"/>
      <c r="DS61" s="135"/>
      <c r="DT61" s="135"/>
      <c r="DU61" s="135"/>
      <c r="DV61" s="135"/>
      <c r="DW61" s="135"/>
      <c r="DX61" s="135"/>
      <c r="DY61" s="135"/>
    </row>
    <row r="62" spans="2:129" s="3" customFormat="1" ht="11.7" customHeight="1" outlineLevel="1" x14ac:dyDescent="0.3">
      <c r="B62" s="5" t="s">
        <v>670</v>
      </c>
      <c r="C62" s="5"/>
      <c r="D62" s="132"/>
      <c r="E62" s="133"/>
      <c r="F62" s="133"/>
      <c r="G62" s="134"/>
      <c r="H62" s="134"/>
      <c r="I62" s="115"/>
      <c r="J62" s="135"/>
      <c r="K62" s="135"/>
      <c r="L62" s="135"/>
      <c r="M62" s="135"/>
      <c r="N62" s="135"/>
      <c r="O62" s="135"/>
      <c r="P62" s="135"/>
      <c r="Q62" s="135"/>
      <c r="R62" s="135"/>
      <c r="S62" s="135"/>
      <c r="T62" s="135"/>
      <c r="U62" s="135"/>
      <c r="V62" s="135"/>
      <c r="W62" s="135"/>
      <c r="X62" s="135"/>
      <c r="Y62" s="135"/>
      <c r="Z62" s="135"/>
      <c r="AA62" s="135"/>
      <c r="AB62" s="135"/>
      <c r="AC62" s="135"/>
      <c r="AD62" s="135"/>
      <c r="AE62" s="135"/>
      <c r="AF62" s="135"/>
      <c r="AG62" s="135"/>
      <c r="AH62" s="135"/>
      <c r="AI62" s="135"/>
      <c r="AJ62" s="135"/>
      <c r="AK62" s="135"/>
      <c r="AL62" s="135"/>
      <c r="AM62" s="135"/>
      <c r="AN62" s="135"/>
      <c r="AO62" s="135"/>
      <c r="AP62" s="135"/>
      <c r="AQ62" s="135"/>
      <c r="AR62" s="135"/>
      <c r="AS62" s="135"/>
      <c r="AT62" s="135"/>
      <c r="AU62" s="135"/>
      <c r="AV62" s="135"/>
      <c r="AW62" s="135"/>
      <c r="AX62" s="135"/>
      <c r="AY62" s="135"/>
      <c r="AZ62" s="135"/>
      <c r="BA62" s="135"/>
      <c r="BB62" s="135"/>
      <c r="BC62" s="135"/>
      <c r="BD62" s="135"/>
      <c r="BE62" s="135"/>
      <c r="BF62" s="135"/>
      <c r="BG62" s="135"/>
      <c r="BH62" s="135"/>
      <c r="BI62" s="135"/>
      <c r="BJ62" s="135"/>
      <c r="BK62" s="135"/>
      <c r="BL62" s="135"/>
      <c r="BM62" s="135"/>
      <c r="BN62" s="135"/>
      <c r="BO62" s="135"/>
      <c r="BP62" s="135"/>
      <c r="BQ62" s="135"/>
      <c r="BR62" s="135"/>
      <c r="BS62" s="135"/>
      <c r="BT62" s="135"/>
      <c r="BU62" s="135"/>
      <c r="BV62" s="135"/>
      <c r="BW62" s="135"/>
      <c r="BX62" s="135"/>
      <c r="BY62" s="135"/>
      <c r="BZ62" s="135"/>
      <c r="CA62" s="135"/>
      <c r="CB62" s="135"/>
      <c r="CC62" s="135"/>
      <c r="CD62" s="135"/>
      <c r="CE62" s="135"/>
      <c r="CF62" s="135"/>
      <c r="CG62" s="135"/>
      <c r="CH62" s="135"/>
      <c r="CI62" s="135"/>
      <c r="CJ62" s="135"/>
      <c r="CK62" s="135"/>
      <c r="CL62" s="135"/>
      <c r="CM62" s="135"/>
      <c r="CN62" s="135"/>
      <c r="CO62" s="135"/>
      <c r="CP62" s="135"/>
      <c r="CQ62" s="135"/>
      <c r="CR62" s="135"/>
      <c r="CS62" s="135"/>
      <c r="CT62" s="135"/>
      <c r="CU62" s="135"/>
      <c r="CV62" s="135"/>
      <c r="CW62" s="135"/>
      <c r="CX62" s="135"/>
      <c r="CY62" s="135"/>
      <c r="CZ62" s="135"/>
      <c r="DA62" s="135"/>
      <c r="DB62" s="135"/>
      <c r="DC62" s="135"/>
      <c r="DD62" s="135"/>
      <c r="DE62" s="135"/>
      <c r="DF62" s="135"/>
      <c r="DG62" s="135"/>
      <c r="DH62" s="135"/>
      <c r="DI62" s="135"/>
      <c r="DJ62" s="135"/>
      <c r="DK62" s="135"/>
      <c r="DL62" s="135"/>
      <c r="DM62" s="135"/>
      <c r="DN62" s="135"/>
      <c r="DO62" s="135"/>
      <c r="DP62" s="135"/>
      <c r="DQ62" s="135"/>
      <c r="DR62" s="135"/>
      <c r="DS62" s="135"/>
      <c r="DT62" s="135"/>
      <c r="DU62" s="135"/>
      <c r="DV62" s="135"/>
      <c r="DW62" s="135"/>
      <c r="DX62" s="135"/>
      <c r="DY62" s="135"/>
    </row>
    <row r="63" spans="2:129" s="3" customFormat="1" ht="11.7" customHeight="1" outlineLevel="1" x14ac:dyDescent="0.3">
      <c r="B63" s="112" t="s">
        <v>671</v>
      </c>
      <c r="C63" s="112"/>
      <c r="D63" s="132"/>
      <c r="E63" s="133"/>
      <c r="F63" s="133"/>
      <c r="G63" s="134"/>
      <c r="H63" s="134"/>
      <c r="I63" s="115"/>
      <c r="J63" s="135"/>
      <c r="K63" s="135"/>
      <c r="L63" s="135"/>
      <c r="M63" s="135"/>
      <c r="N63" s="135"/>
      <c r="O63" s="135"/>
      <c r="P63" s="135"/>
      <c r="Q63" s="135"/>
      <c r="R63" s="135"/>
      <c r="S63" s="135"/>
      <c r="T63" s="135"/>
      <c r="U63" s="135"/>
      <c r="V63" s="135"/>
      <c r="W63" s="135"/>
      <c r="X63" s="135"/>
      <c r="Y63" s="135"/>
      <c r="Z63" s="135"/>
      <c r="AA63" s="135"/>
      <c r="AB63" s="135"/>
      <c r="AC63" s="135"/>
      <c r="AD63" s="135"/>
      <c r="AE63" s="135"/>
      <c r="AF63" s="135"/>
      <c r="AG63" s="135"/>
      <c r="AH63" s="135"/>
      <c r="AI63" s="135"/>
      <c r="AJ63" s="135"/>
      <c r="AK63" s="135"/>
      <c r="AL63" s="135"/>
      <c r="AM63" s="135"/>
      <c r="AN63" s="135"/>
      <c r="AO63" s="135"/>
      <c r="AP63" s="135"/>
      <c r="AQ63" s="135"/>
      <c r="AR63" s="135"/>
      <c r="AS63" s="135"/>
      <c r="AT63" s="135"/>
      <c r="AU63" s="135"/>
      <c r="AV63" s="135"/>
      <c r="AW63" s="135"/>
      <c r="AX63" s="135"/>
      <c r="AY63" s="135"/>
      <c r="AZ63" s="135"/>
      <c r="BA63" s="135"/>
      <c r="BB63" s="135"/>
      <c r="BC63" s="135"/>
      <c r="BD63" s="135"/>
      <c r="BE63" s="135"/>
      <c r="BF63" s="135"/>
      <c r="BG63" s="135"/>
      <c r="BH63" s="115"/>
      <c r="BI63" s="135"/>
      <c r="BJ63" s="135"/>
      <c r="BK63" s="135"/>
      <c r="BL63" s="135"/>
      <c r="BM63" s="135"/>
      <c r="BN63" s="135"/>
      <c r="BO63" s="135"/>
      <c r="BP63" s="135"/>
      <c r="BQ63" s="135"/>
      <c r="BR63" s="135"/>
      <c r="BS63" s="135"/>
      <c r="BT63" s="135"/>
      <c r="BU63" s="135"/>
      <c r="BV63" s="135"/>
      <c r="BW63" s="135"/>
      <c r="BX63" s="135"/>
      <c r="BY63" s="135"/>
      <c r="BZ63" s="135"/>
      <c r="CA63" s="135"/>
      <c r="CB63" s="135"/>
      <c r="CC63" s="135"/>
      <c r="CD63" s="135"/>
      <c r="CE63" s="135"/>
      <c r="CF63" s="135"/>
      <c r="CG63" s="135"/>
      <c r="CH63" s="135"/>
      <c r="CI63" s="135"/>
      <c r="CJ63" s="135"/>
      <c r="CK63" s="135"/>
      <c r="CL63" s="135"/>
      <c r="CM63" s="135"/>
      <c r="CN63" s="135"/>
      <c r="CO63" s="135"/>
      <c r="CP63" s="135"/>
      <c r="CQ63" s="135"/>
      <c r="CR63" s="135"/>
      <c r="CS63" s="135"/>
      <c r="CT63" s="135"/>
      <c r="CU63" s="135"/>
      <c r="CV63" s="135"/>
      <c r="CW63" s="135"/>
      <c r="CX63" s="135"/>
      <c r="CY63" s="135"/>
      <c r="CZ63" s="135"/>
      <c r="DA63" s="135"/>
      <c r="DB63" s="135"/>
      <c r="DC63" s="135"/>
      <c r="DD63" s="135"/>
      <c r="DE63" s="135"/>
      <c r="DF63" s="135"/>
      <c r="DG63" s="135"/>
      <c r="DH63" s="135"/>
      <c r="DI63" s="135"/>
      <c r="DJ63" s="135"/>
      <c r="DK63" s="135"/>
      <c r="DL63" s="135"/>
      <c r="DM63" s="135"/>
      <c r="DN63" s="135"/>
      <c r="DO63" s="135"/>
      <c r="DP63" s="135"/>
      <c r="DQ63" s="135"/>
      <c r="DR63" s="135"/>
      <c r="DS63" s="135"/>
      <c r="DT63" s="135"/>
      <c r="DU63" s="135"/>
      <c r="DV63" s="135"/>
      <c r="DW63" s="135"/>
      <c r="DX63" s="135"/>
      <c r="DY63" s="135"/>
    </row>
    <row r="64" spans="2:129" s="3" customFormat="1" ht="11.7" customHeight="1" outlineLevel="1" x14ac:dyDescent="0.25">
      <c r="B64" s="116" t="s">
        <v>672</v>
      </c>
      <c r="C64" s="116"/>
      <c r="D64" s="1126">
        <f>988+892</f>
        <v>1880</v>
      </c>
      <c r="E64" s="292">
        <f>EOMONTH(Inputs!$K$91,5)</f>
        <v>44681</v>
      </c>
      <c r="F64" s="1120"/>
      <c r="G64" s="290">
        <f>+SUM(I64:DY64)</f>
        <v>-1025.9389924070501</v>
      </c>
      <c r="H64" s="1121"/>
      <c r="I64" s="1012">
        <v>0</v>
      </c>
      <c r="J64" s="1012">
        <v>0</v>
      </c>
      <c r="K64" s="1012">
        <v>0</v>
      </c>
      <c r="L64" s="1012">
        <v>0</v>
      </c>
      <c r="M64" s="1012">
        <v>0</v>
      </c>
      <c r="N64" s="1012">
        <v>0</v>
      </c>
      <c r="O64" s="1012">
        <v>0</v>
      </c>
      <c r="P64" s="1012">
        <v>0</v>
      </c>
      <c r="Q64" s="1012">
        <v>0</v>
      </c>
      <c r="R64" s="1012">
        <v>0</v>
      </c>
      <c r="S64" s="1012">
        <v>0</v>
      </c>
      <c r="T64" s="1012">
        <v>0</v>
      </c>
      <c r="U64" s="1012">
        <v>0</v>
      </c>
      <c r="V64" s="1012">
        <v>0</v>
      </c>
      <c r="W64" s="1012">
        <v>0</v>
      </c>
      <c r="X64" s="1012">
        <v>0</v>
      </c>
      <c r="Y64" s="1012">
        <v>0</v>
      </c>
      <c r="Z64" s="1012">
        <v>0</v>
      </c>
      <c r="AA64" s="1012">
        <v>0</v>
      </c>
      <c r="AB64" s="1012">
        <v>0</v>
      </c>
      <c r="AC64" s="1012">
        <v>0</v>
      </c>
      <c r="AD64" s="1012">
        <v>0</v>
      </c>
      <c r="AE64" s="1012">
        <v>0</v>
      </c>
      <c r="AF64" s="1012">
        <v>0</v>
      </c>
      <c r="AG64" s="1012">
        <v>0</v>
      </c>
      <c r="AH64" s="1012">
        <v>0</v>
      </c>
      <c r="AI64" s="1012">
        <v>0</v>
      </c>
      <c r="AJ64" s="1012">
        <v>0</v>
      </c>
      <c r="AK64" s="1012">
        <v>0</v>
      </c>
      <c r="AL64" s="1012">
        <v>0</v>
      </c>
      <c r="AM64" s="1012">
        <v>0</v>
      </c>
      <c r="AN64" s="1012">
        <v>0</v>
      </c>
      <c r="AO64" s="1012">
        <v>0</v>
      </c>
      <c r="AP64" s="1012">
        <v>0</v>
      </c>
      <c r="AQ64" s="1012">
        <v>0</v>
      </c>
      <c r="AR64" s="1012">
        <v>0</v>
      </c>
      <c r="AS64" s="1012">
        <v>0</v>
      </c>
      <c r="AT64" s="1012">
        <v>0</v>
      </c>
      <c r="AU64" s="1012">
        <v>0</v>
      </c>
      <c r="AV64" s="1012">
        <v>0</v>
      </c>
      <c r="AW64" s="1012">
        <v>0</v>
      </c>
      <c r="AX64" s="1012">
        <v>0</v>
      </c>
      <c r="AY64" s="1012">
        <v>0</v>
      </c>
      <c r="AZ64" s="1012">
        <v>0</v>
      </c>
      <c r="BA64" s="1012">
        <v>0</v>
      </c>
      <c r="BB64" s="1012">
        <v>0</v>
      </c>
      <c r="BC64" s="1012">
        <v>0</v>
      </c>
      <c r="BD64" s="1012">
        <v>0</v>
      </c>
      <c r="BE64" s="1012">
        <v>0</v>
      </c>
      <c r="BF64" s="1012">
        <v>0</v>
      </c>
      <c r="BG64" s="1012">
        <v>0</v>
      </c>
      <c r="BH64" s="1125">
        <v>-163</v>
      </c>
      <c r="BI64" s="1125">
        <v>-728.93899240705002</v>
      </c>
      <c r="BJ64" s="1125">
        <v>0</v>
      </c>
      <c r="BK64" s="1125">
        <v>-134</v>
      </c>
      <c r="BL64" s="1125">
        <v>0</v>
      </c>
      <c r="BM64" s="1127">
        <f>IFERROR(-($D64+SUM($H64:BL64))/(DATEDIF(BM$6,$E64,"m")+1),0)</f>
        <v>0</v>
      </c>
      <c r="BN64" s="1127">
        <f>IFERROR(-($D64+SUM($H64:BM64))/(DATEDIF(BN$6,$E64,"m")+1),0)</f>
        <v>0</v>
      </c>
      <c r="BO64" s="1127">
        <f>IFERROR(-($D64+SUM($H64:BN64))/(DATEDIF(BO$6,$E64,"m")+1),0)</f>
        <v>0</v>
      </c>
      <c r="BP64" s="1127">
        <f>IFERROR(-($D64+SUM($H64:BO64))/(DATEDIF(BP$6,$E64,"m")+1),0)</f>
        <v>0</v>
      </c>
      <c r="BQ64" s="1127">
        <f>IFERROR(-($D64+SUM($H64:BP64))/(DATEDIF(BQ$6,$E64,"m")+1),0)</f>
        <v>0</v>
      </c>
      <c r="BR64" s="1127">
        <f>IFERROR(-($D64+SUM($H64:BQ64))/(DATEDIF(BR$6,$E64,"m")+1),0)</f>
        <v>0</v>
      </c>
      <c r="BS64" s="1127">
        <f>IFERROR(-($D64+SUM($H64:BR64))/(DATEDIF(BS$6,$E64,"m")+1),0)</f>
        <v>0</v>
      </c>
      <c r="BT64" s="1127">
        <f>IFERROR(-($D64+SUM($H64:BS64))/(DATEDIF(BT$6,$E64,"m")+1),0)</f>
        <v>0</v>
      </c>
      <c r="BU64" s="1127">
        <f>IFERROR(-($D64+SUM($H64:BT64))/(DATEDIF(BU$6,$E64,"m")+1),0)</f>
        <v>0</v>
      </c>
      <c r="BV64" s="1127">
        <f>IFERROR(-($D64+SUM($H64:BU64))/(DATEDIF(BV$6,$E64,"m")+1),0)</f>
        <v>0</v>
      </c>
      <c r="BW64" s="1127">
        <f>IFERROR(-($D64+SUM($H64:BV64))/(DATEDIF(BW$6,$E64,"m")+1),0)</f>
        <v>0</v>
      </c>
      <c r="BX64" s="1127">
        <f>IFERROR(-($D64+SUM($H64:BW64))/(DATEDIF(BX$6,$E64,"m")+1),0)</f>
        <v>0</v>
      </c>
      <c r="BY64" s="1127">
        <f>IFERROR(-($D64+SUM($H64:BX64))/(DATEDIF(BY$6,$E64,"m")+1),0)</f>
        <v>0</v>
      </c>
      <c r="BZ64" s="1127">
        <f>IFERROR(-($D64+SUM($H64:BY64))/(DATEDIF(BZ$6,$E64,"m")+1),0)</f>
        <v>0</v>
      </c>
      <c r="CA64" s="1127">
        <f>IFERROR(-($D64+SUM($H64:BZ64))/(DATEDIF(CA$6,$E64,"m")+1),0)</f>
        <v>0</v>
      </c>
      <c r="CB64" s="1127">
        <f>IFERROR(-($D64+SUM($H64:CA64))/(DATEDIF(CB$6,$E64,"m")+1),0)</f>
        <v>0</v>
      </c>
      <c r="CC64" s="1127">
        <f>IFERROR(-($D64+SUM($H64:CB64))/(DATEDIF(CC$6,$E64,"m")+1),0)</f>
        <v>0</v>
      </c>
      <c r="CD64" s="1127">
        <f>IFERROR(-($D64+SUM($H64:CC64))/(DATEDIF(CD$6,$E64,"m")+1),0)</f>
        <v>0</v>
      </c>
      <c r="CE64" s="1127">
        <f>IFERROR(-($D64+SUM($H64:CD64))/(DATEDIF(CE$6,$E64,"m")+1),0)</f>
        <v>0</v>
      </c>
      <c r="CF64" s="1127">
        <f>IFERROR(-($D64+SUM($H64:CE64))/(DATEDIF(CF$6,$E64,"m")+1),0)</f>
        <v>0</v>
      </c>
      <c r="CG64" s="1127">
        <f>IFERROR(-($D64+SUM($H64:CF64))/(DATEDIF(CG$6,$E64,"m")+1),0)</f>
        <v>0</v>
      </c>
      <c r="CH64" s="1127">
        <f>IFERROR(-($D64+SUM($H64:CG64))/(DATEDIF(CH$6,$E64,"m")+1),0)</f>
        <v>0</v>
      </c>
      <c r="CI64" s="1127">
        <f>IFERROR(-($D64+SUM($H64:CH64))/(DATEDIF(CI$6,$E64,"m")+1),0)</f>
        <v>0</v>
      </c>
      <c r="CJ64" s="1127">
        <f>IFERROR(-($D64+SUM($H64:CI64))/(DATEDIF(CJ$6,$E64,"m")+1),0)</f>
        <v>0</v>
      </c>
      <c r="CK64" s="1127">
        <f>IFERROR(-($D64+SUM($H64:CJ64))/(DATEDIF(CK$6,$E64,"m")+1),0)</f>
        <v>0</v>
      </c>
      <c r="CL64" s="1127">
        <f>IFERROR(-($D64+SUM($H64:CK64))/(DATEDIF(CL$6,$E64,"m")+1),0)</f>
        <v>0</v>
      </c>
      <c r="CM64" s="1127">
        <f>IFERROR(-($D64+SUM($H64:CL64))/(DATEDIF(CM$6,$E64,"m")+1),0)</f>
        <v>0</v>
      </c>
      <c r="CN64" s="1127">
        <f>IFERROR(-($D64+SUM($H64:CM64))/(DATEDIF(CN$6,$E64,"m")+1),0)</f>
        <v>0</v>
      </c>
      <c r="CO64" s="1127">
        <f>IFERROR(-($D64+SUM($H64:CN64))/(DATEDIF(CO$6,$E64,"m")+1),0)</f>
        <v>0</v>
      </c>
      <c r="CP64" s="1127">
        <f>IFERROR(-($D64+SUM($H64:CO64))/(DATEDIF(CP$6,$E64,"m")+1),0)</f>
        <v>0</v>
      </c>
      <c r="CQ64" s="1127">
        <f>IFERROR(-($D64+SUM($H64:CP64))/(DATEDIF(CQ$6,$E64,"m")+1),0)</f>
        <v>0</v>
      </c>
      <c r="CR64" s="1127">
        <f>IFERROR(-($D64+SUM($H64:CQ64))/(DATEDIF(CR$6,$E64,"m")+1),0)</f>
        <v>0</v>
      </c>
      <c r="CS64" s="1127">
        <f>IFERROR(-($D64+SUM($H64:CR64))/(DATEDIF(CS$6,$E64,"m")+1),0)</f>
        <v>0</v>
      </c>
      <c r="CT64" s="1127">
        <f>IFERROR(-($D64+SUM($H64:CS64))/(DATEDIF(CT$6,$E64,"m")+1),0)</f>
        <v>0</v>
      </c>
      <c r="CU64" s="1127">
        <f>IFERROR(-($D64+SUM($H64:CT64))/(DATEDIF(CU$6,$E64,"m")+1),0)</f>
        <v>0</v>
      </c>
      <c r="CV64" s="1127">
        <f>IFERROR(-($D64+SUM($H64:CU64))/(DATEDIF(CV$6,$E64,"m")+1),0)</f>
        <v>0</v>
      </c>
      <c r="CW64" s="1127">
        <f>IFERROR(-($D64+SUM($H64:CV64))/(DATEDIF(CW$6,$E64,"m")+1),0)</f>
        <v>0</v>
      </c>
      <c r="CX64" s="1127">
        <f>IFERROR(-($D64+SUM($H64:CW64))/(DATEDIF(CX$6,$E64,"m")+1),0)</f>
        <v>0</v>
      </c>
      <c r="CY64" s="1127">
        <f>IFERROR(-($D64+SUM($H64:CX64))/(DATEDIF(CY$6,$E64,"m")+1),0)</f>
        <v>0</v>
      </c>
      <c r="CZ64" s="1127">
        <f>IFERROR(-($D64+SUM($H64:CY64))/(DATEDIF(CZ$6,$E64,"m")+1),0)</f>
        <v>0</v>
      </c>
      <c r="DA64" s="1127">
        <f>IFERROR(-($D64+SUM($H64:CZ64))/(DATEDIF(DA$6,$E64,"m")+1),0)</f>
        <v>0</v>
      </c>
      <c r="DB64" s="1127">
        <f>IFERROR(-($D64+SUM($H64:DA64))/(DATEDIF(DB$6,$E64,"m")+1),0)</f>
        <v>0</v>
      </c>
      <c r="DC64" s="1127">
        <f>IFERROR(-($D64+SUM($H64:DB64))/(DATEDIF(DC$6,$E64,"m")+1),0)</f>
        <v>0</v>
      </c>
      <c r="DD64" s="1127">
        <f>IFERROR(-($D64+SUM($H64:DC64))/(DATEDIF(DD$6,$E64,"m")+1),0)</f>
        <v>0</v>
      </c>
      <c r="DE64" s="1127">
        <f>IFERROR(-($D64+SUM($H64:DD64))/(DATEDIF(DE$6,$E64,"m")+1),0)</f>
        <v>0</v>
      </c>
      <c r="DF64" s="1127">
        <f>IFERROR(-($D64+SUM($H64:DE64))/(DATEDIF(DF$6,$E64,"m")+1),0)</f>
        <v>0</v>
      </c>
      <c r="DG64" s="1127">
        <f>IFERROR(-($D64+SUM($H64:DF64))/(DATEDIF(DG$6,$E64,"m")+1),0)</f>
        <v>0</v>
      </c>
      <c r="DH64" s="1127">
        <f>IFERROR(-($D64+SUM($H64:DG64))/(DATEDIF(DH$6,$E64,"m")+1),0)</f>
        <v>0</v>
      </c>
      <c r="DI64" s="1127">
        <f>IFERROR(-($D64+SUM($H64:DH64))/(DATEDIF(DI$6,$E64,"m")+1),0)</f>
        <v>0</v>
      </c>
      <c r="DJ64" s="1127">
        <f>IFERROR(-($D64+SUM($H64:DI64))/(DATEDIF(DJ$6,$E64,"m")+1),0)</f>
        <v>0</v>
      </c>
      <c r="DK64" s="1127">
        <f>IFERROR(-($D64+SUM($H64:DJ64))/(DATEDIF(DK$6,$E64,"m")+1),0)</f>
        <v>0</v>
      </c>
      <c r="DL64" s="1127">
        <f>IFERROR(-($D64+SUM($H64:DK64))/(DATEDIF(DL$6,$E64,"m")+1),0)</f>
        <v>0</v>
      </c>
      <c r="DM64" s="1127">
        <f>IFERROR(-($D64+SUM($H64:DL64))/(DATEDIF(DM$6,$E64,"m")+1),0)</f>
        <v>0</v>
      </c>
      <c r="DN64" s="1127">
        <f>IFERROR(-($D64+SUM($H64:DM64))/(DATEDIF(DN$6,$E64,"m")+1),0)</f>
        <v>0</v>
      </c>
      <c r="DO64" s="1127">
        <f>IFERROR(-($D64+SUM($H64:DN64))/(DATEDIF(DO$6,$E64,"m")+1),0)</f>
        <v>0</v>
      </c>
      <c r="DP64" s="1127">
        <f>IFERROR(-($D64+SUM($H64:DO64))/(DATEDIF(DP$6,$E64,"m")+1),0)</f>
        <v>0</v>
      </c>
      <c r="DQ64" s="1127">
        <f>IFERROR(-($D64+SUM($H64:DP64))/(DATEDIF(DQ$6,$E64,"m")+1),0)</f>
        <v>0</v>
      </c>
      <c r="DR64" s="1127">
        <f>IFERROR(-($D64+SUM($H64:DQ64))/(DATEDIF(DR$6,$E64,"m")+1),0)</f>
        <v>0</v>
      </c>
      <c r="DS64" s="1127">
        <f>IFERROR(-($D64+SUM($H64:DR64))/(DATEDIF(DS$6,$E64,"m")+1),0)</f>
        <v>0</v>
      </c>
      <c r="DT64" s="1127">
        <f>IFERROR(-($D64+SUM($H64:DS64))/(DATEDIF(DT$6,$E64,"m")+1),0)</f>
        <v>0</v>
      </c>
      <c r="DU64" s="1127">
        <f>IFERROR(-($D64+SUM($H64:DT64))/(DATEDIF(DU$6,$E64,"m")+1),0)</f>
        <v>0</v>
      </c>
      <c r="DV64" s="1127">
        <f>IFERROR(-($D64+SUM($H64:DU64))/(DATEDIF(DV$6,$E64,"m")+1),0)</f>
        <v>0</v>
      </c>
      <c r="DW64" s="1127">
        <f>IFERROR(-($D64+SUM($H64:DV64))/(DATEDIF(DW$6,$E64,"m")+1),0)</f>
        <v>0</v>
      </c>
      <c r="DX64" s="1127">
        <f>IFERROR(-($D64+SUM($H64:DW64))/(DATEDIF(DX$6,$E64,"m")+1),0)</f>
        <v>0</v>
      </c>
      <c r="DY64" s="1127">
        <f>IFERROR(-($D64+SUM($H64:DX64))/(DATEDIF(DY$6,$E64,"m")+1),0)</f>
        <v>0</v>
      </c>
    </row>
    <row r="65" spans="1:129" s="3" customFormat="1" ht="11.7" customHeight="1" outlineLevel="1" x14ac:dyDescent="0.3">
      <c r="B65" s="113"/>
      <c r="C65" s="113"/>
      <c r="D65" s="132"/>
      <c r="E65" s="133"/>
      <c r="F65" s="133"/>
      <c r="G65" s="134"/>
      <c r="H65" s="134"/>
      <c r="I65" s="115"/>
      <c r="J65" s="135"/>
      <c r="K65" s="135"/>
      <c r="L65" s="135"/>
      <c r="M65" s="135"/>
      <c r="N65" s="135"/>
      <c r="O65" s="135"/>
      <c r="P65" s="135"/>
      <c r="Q65" s="135"/>
      <c r="R65" s="135"/>
      <c r="S65" s="135"/>
      <c r="T65" s="135"/>
      <c r="U65" s="135"/>
      <c r="V65" s="135"/>
      <c r="W65" s="135"/>
      <c r="X65" s="135"/>
      <c r="Y65" s="135"/>
      <c r="Z65" s="135"/>
      <c r="AA65" s="135"/>
      <c r="AB65" s="135"/>
      <c r="AC65" s="135"/>
      <c r="AD65" s="135"/>
      <c r="AE65" s="135"/>
      <c r="AF65" s="135"/>
      <c r="AG65" s="135"/>
      <c r="AH65" s="135"/>
      <c r="AI65" s="135"/>
      <c r="AJ65" s="135"/>
      <c r="AK65" s="135"/>
      <c r="AL65" s="135"/>
      <c r="AM65" s="135"/>
      <c r="AN65" s="135"/>
      <c r="AO65" s="135"/>
      <c r="AP65" s="135"/>
      <c r="AQ65" s="135"/>
      <c r="AR65" s="135"/>
      <c r="AS65" s="135"/>
      <c r="AT65" s="135"/>
      <c r="AU65" s="135"/>
      <c r="AV65" s="135"/>
      <c r="AW65" s="135"/>
      <c r="AX65" s="135"/>
      <c r="AY65" s="135"/>
      <c r="AZ65" s="135"/>
      <c r="BA65" s="135"/>
      <c r="BB65" s="135"/>
      <c r="BC65" s="135"/>
      <c r="BD65" s="135"/>
      <c r="BE65" s="135"/>
      <c r="BF65" s="135"/>
      <c r="BG65" s="135"/>
      <c r="BH65" s="135"/>
      <c r="BI65" s="135"/>
      <c r="BJ65" s="135"/>
      <c r="BK65" s="135"/>
      <c r="BL65" s="135"/>
      <c r="BM65" s="135"/>
      <c r="BN65" s="135"/>
      <c r="BO65" s="135"/>
      <c r="BP65" s="135"/>
      <c r="BQ65" s="135"/>
      <c r="BR65" s="135"/>
      <c r="BS65" s="135"/>
      <c r="BT65" s="135"/>
      <c r="BU65" s="135"/>
      <c r="BV65" s="135"/>
      <c r="BW65" s="135"/>
      <c r="BX65" s="135"/>
      <c r="BY65" s="135"/>
      <c r="BZ65" s="135"/>
      <c r="CA65" s="135"/>
      <c r="CB65" s="135"/>
      <c r="CC65" s="135"/>
      <c r="CD65" s="135"/>
      <c r="CE65" s="135"/>
      <c r="CF65" s="135"/>
      <c r="CG65" s="135"/>
      <c r="CH65" s="135"/>
      <c r="CI65" s="135"/>
      <c r="CJ65" s="135"/>
      <c r="CK65" s="135"/>
      <c r="CL65" s="135"/>
      <c r="CM65" s="135"/>
      <c r="CN65" s="135"/>
      <c r="CO65" s="135"/>
      <c r="CP65" s="135"/>
      <c r="CQ65" s="135"/>
      <c r="CR65" s="135"/>
      <c r="CS65" s="135"/>
      <c r="CT65" s="135"/>
      <c r="CU65" s="135"/>
      <c r="CV65" s="135"/>
      <c r="CW65" s="135"/>
      <c r="CX65" s="135"/>
      <c r="CY65" s="135"/>
      <c r="CZ65" s="135"/>
      <c r="DA65" s="135"/>
      <c r="DB65" s="135"/>
      <c r="DC65" s="135"/>
      <c r="DD65" s="135"/>
      <c r="DE65" s="135"/>
      <c r="DF65" s="135"/>
      <c r="DG65" s="135"/>
      <c r="DH65" s="135"/>
      <c r="DI65" s="135"/>
      <c r="DJ65" s="135"/>
      <c r="DK65" s="135"/>
      <c r="DL65" s="135"/>
      <c r="DM65" s="135"/>
      <c r="DN65" s="135"/>
      <c r="DO65" s="135"/>
      <c r="DP65" s="135"/>
      <c r="DQ65" s="135"/>
      <c r="DR65" s="135"/>
      <c r="DS65" s="135"/>
      <c r="DT65" s="135"/>
      <c r="DU65" s="135"/>
      <c r="DV65" s="135"/>
      <c r="DW65" s="135"/>
      <c r="DX65" s="135"/>
      <c r="DY65" s="135"/>
    </row>
    <row r="66" spans="1:129" s="3" customFormat="1" ht="11.7" customHeight="1" outlineLevel="1" thickBot="1" x14ac:dyDescent="0.35">
      <c r="B66" s="136"/>
      <c r="C66" s="136"/>
      <c r="D66" s="137"/>
      <c r="E66" s="138"/>
      <c r="F66" s="138"/>
      <c r="G66" s="154"/>
      <c r="H66" s="139"/>
      <c r="I66" s="722"/>
      <c r="J66" s="722"/>
      <c r="K66" s="722"/>
      <c r="L66" s="722"/>
      <c r="M66" s="722"/>
      <c r="N66" s="722"/>
      <c r="O66" s="722"/>
      <c r="P66" s="722"/>
      <c r="Q66" s="722"/>
      <c r="R66" s="722"/>
      <c r="S66" s="722"/>
      <c r="T66" s="722"/>
      <c r="U66" s="722"/>
      <c r="V66" s="722"/>
      <c r="W66" s="722"/>
      <c r="X66" s="722"/>
      <c r="Y66" s="722"/>
      <c r="Z66" s="722"/>
      <c r="AA66" s="722"/>
      <c r="AB66" s="722"/>
      <c r="AC66" s="722"/>
      <c r="AD66" s="722"/>
      <c r="AE66" s="722"/>
      <c r="AF66" s="722"/>
      <c r="AG66" s="722"/>
      <c r="AH66" s="722"/>
      <c r="AI66" s="722"/>
      <c r="AJ66" s="722"/>
      <c r="AK66" s="722"/>
      <c r="AL66" s="722"/>
      <c r="AM66" s="722"/>
      <c r="AN66" s="722"/>
      <c r="AO66" s="722"/>
      <c r="AP66" s="722"/>
      <c r="AQ66" s="722"/>
      <c r="AR66" s="722"/>
      <c r="AS66" s="722"/>
      <c r="AT66" s="722"/>
      <c r="AU66" s="722"/>
      <c r="AV66" s="722"/>
      <c r="AW66" s="722"/>
      <c r="AX66" s="722"/>
      <c r="AY66" s="722"/>
      <c r="AZ66" s="722"/>
      <c r="BA66" s="722"/>
      <c r="BB66" s="722"/>
      <c r="BC66" s="722"/>
      <c r="BD66" s="722"/>
      <c r="BE66" s="722"/>
      <c r="BF66" s="722"/>
      <c r="BG66" s="722"/>
      <c r="BH66" s="722"/>
      <c r="BI66" s="722"/>
      <c r="BJ66" s="722">
        <f t="shared" ref="BJ66:BV66" si="38">+BJ340</f>
        <v>0</v>
      </c>
      <c r="BK66" s="722">
        <f t="shared" si="38"/>
        <v>0</v>
      </c>
      <c r="BL66" s="722">
        <f t="shared" si="38"/>
        <v>0</v>
      </c>
      <c r="BM66" s="722">
        <f t="shared" si="38"/>
        <v>0</v>
      </c>
      <c r="BN66" s="722">
        <f t="shared" si="38"/>
        <v>0</v>
      </c>
      <c r="BO66" s="722">
        <f t="shared" si="38"/>
        <v>0</v>
      </c>
      <c r="BP66" s="722">
        <f t="shared" si="38"/>
        <v>0</v>
      </c>
      <c r="BQ66" s="722">
        <f t="shared" si="38"/>
        <v>0</v>
      </c>
      <c r="BR66" s="722">
        <f t="shared" si="38"/>
        <v>0</v>
      </c>
      <c r="BS66" s="722">
        <f t="shared" si="38"/>
        <v>0</v>
      </c>
      <c r="BT66" s="722">
        <f t="shared" si="38"/>
        <v>0</v>
      </c>
      <c r="BU66" s="722">
        <f t="shared" si="38"/>
        <v>0</v>
      </c>
      <c r="BV66" s="722">
        <f t="shared" si="38"/>
        <v>0</v>
      </c>
      <c r="BW66" s="722">
        <f t="shared" ref="BW66:DY66" si="39">+BW340</f>
        <v>0</v>
      </c>
      <c r="BX66" s="722">
        <f t="shared" si="39"/>
        <v>0</v>
      </c>
      <c r="BY66" s="722">
        <f t="shared" si="39"/>
        <v>0</v>
      </c>
      <c r="BZ66" s="722">
        <f t="shared" si="39"/>
        <v>0</v>
      </c>
      <c r="CA66" s="722">
        <f t="shared" si="39"/>
        <v>0</v>
      </c>
      <c r="CB66" s="722">
        <f t="shared" si="39"/>
        <v>0</v>
      </c>
      <c r="CC66" s="722">
        <f t="shared" si="39"/>
        <v>0</v>
      </c>
      <c r="CD66" s="722">
        <f t="shared" si="39"/>
        <v>0</v>
      </c>
      <c r="CE66" s="722">
        <f t="shared" si="39"/>
        <v>0</v>
      </c>
      <c r="CF66" s="722">
        <f t="shared" si="39"/>
        <v>0</v>
      </c>
      <c r="CG66" s="722">
        <f t="shared" si="39"/>
        <v>0</v>
      </c>
      <c r="CH66" s="722">
        <f t="shared" si="39"/>
        <v>0</v>
      </c>
      <c r="CI66" s="722">
        <f t="shared" si="39"/>
        <v>0</v>
      </c>
      <c r="CJ66" s="722">
        <f t="shared" si="39"/>
        <v>0</v>
      </c>
      <c r="CK66" s="722">
        <f t="shared" si="39"/>
        <v>0</v>
      </c>
      <c r="CL66" s="722">
        <f t="shared" si="39"/>
        <v>0</v>
      </c>
      <c r="CM66" s="722">
        <f t="shared" si="39"/>
        <v>0</v>
      </c>
      <c r="CN66" s="722">
        <f t="shared" si="39"/>
        <v>0</v>
      </c>
      <c r="CO66" s="722">
        <f t="shared" si="39"/>
        <v>0</v>
      </c>
      <c r="CP66" s="722">
        <f t="shared" si="39"/>
        <v>0</v>
      </c>
      <c r="CQ66" s="722">
        <f t="shared" si="39"/>
        <v>0</v>
      </c>
      <c r="CR66" s="722">
        <f t="shared" si="39"/>
        <v>0</v>
      </c>
      <c r="CS66" s="722">
        <f t="shared" si="39"/>
        <v>0</v>
      </c>
      <c r="CT66" s="722">
        <f t="shared" si="39"/>
        <v>0</v>
      </c>
      <c r="CU66" s="722">
        <f t="shared" si="39"/>
        <v>0</v>
      </c>
      <c r="CV66" s="722">
        <f t="shared" si="39"/>
        <v>0</v>
      </c>
      <c r="CW66" s="722">
        <f t="shared" si="39"/>
        <v>0</v>
      </c>
      <c r="CX66" s="722">
        <f t="shared" si="39"/>
        <v>0</v>
      </c>
      <c r="CY66" s="722">
        <f t="shared" si="39"/>
        <v>0</v>
      </c>
      <c r="CZ66" s="722">
        <f t="shared" si="39"/>
        <v>0</v>
      </c>
      <c r="DA66" s="722">
        <f t="shared" si="39"/>
        <v>0</v>
      </c>
      <c r="DB66" s="722">
        <f t="shared" si="39"/>
        <v>0</v>
      </c>
      <c r="DC66" s="722">
        <f t="shared" si="39"/>
        <v>0</v>
      </c>
      <c r="DD66" s="722">
        <f t="shared" si="39"/>
        <v>0</v>
      </c>
      <c r="DE66" s="722">
        <f t="shared" si="39"/>
        <v>0</v>
      </c>
      <c r="DF66" s="722">
        <f t="shared" si="39"/>
        <v>0</v>
      </c>
      <c r="DG66" s="722">
        <f t="shared" si="39"/>
        <v>0</v>
      </c>
      <c r="DH66" s="722">
        <f t="shared" si="39"/>
        <v>0</v>
      </c>
      <c r="DI66" s="722">
        <f t="shared" si="39"/>
        <v>0</v>
      </c>
      <c r="DJ66" s="722">
        <f t="shared" si="39"/>
        <v>0</v>
      </c>
      <c r="DK66" s="722">
        <f t="shared" si="39"/>
        <v>0</v>
      </c>
      <c r="DL66" s="722">
        <f t="shared" si="39"/>
        <v>0</v>
      </c>
      <c r="DM66" s="722">
        <f t="shared" si="39"/>
        <v>0</v>
      </c>
      <c r="DN66" s="722">
        <f t="shared" si="39"/>
        <v>0</v>
      </c>
      <c r="DO66" s="722">
        <f t="shared" si="39"/>
        <v>0</v>
      </c>
      <c r="DP66" s="722">
        <f t="shared" si="39"/>
        <v>0</v>
      </c>
      <c r="DQ66" s="722">
        <f t="shared" si="39"/>
        <v>0</v>
      </c>
      <c r="DR66" s="722">
        <f t="shared" si="39"/>
        <v>0</v>
      </c>
      <c r="DS66" s="722">
        <f t="shared" si="39"/>
        <v>0</v>
      </c>
      <c r="DT66" s="722">
        <f t="shared" si="39"/>
        <v>0</v>
      </c>
      <c r="DU66" s="722">
        <f t="shared" si="39"/>
        <v>0</v>
      </c>
      <c r="DV66" s="722">
        <f t="shared" si="39"/>
        <v>0</v>
      </c>
      <c r="DW66" s="722">
        <f t="shared" si="39"/>
        <v>0</v>
      </c>
      <c r="DX66" s="722">
        <f t="shared" si="39"/>
        <v>0</v>
      </c>
      <c r="DY66" s="722">
        <f t="shared" si="39"/>
        <v>0</v>
      </c>
    </row>
    <row r="67" spans="1:129" s="3" customFormat="1" ht="11.7" customHeight="1" outlineLevel="1" thickTop="1" thickBot="1" x14ac:dyDescent="0.35">
      <c r="B67" s="140" t="s">
        <v>673</v>
      </c>
      <c r="C67" s="140"/>
      <c r="D67" s="310">
        <f>+'CapEx Budget'!G72-'CapEx Budget'!G69</f>
        <v>553612.48003666452</v>
      </c>
      <c r="E67" s="138"/>
      <c r="F67" s="138"/>
      <c r="G67" s="647">
        <f>+SUM(I67:DY67)</f>
        <v>-551615.36953662685</v>
      </c>
      <c r="H67" s="206"/>
      <c r="I67" s="296">
        <f t="shared" ref="I67:BF67" si="40">+SUM(I33,I42,I54,I59,I64)</f>
        <v>-148941.6</v>
      </c>
      <c r="J67" s="296">
        <f t="shared" si="40"/>
        <v>-8541.0184170888751</v>
      </c>
      <c r="K67" s="296">
        <f t="shared" si="40"/>
        <v>-771.2</v>
      </c>
      <c r="L67" s="296">
        <f t="shared" si="40"/>
        <v>-2963.8068221862859</v>
      </c>
      <c r="M67" s="296">
        <f t="shared" si="40"/>
        <v>-503.53645603247571</v>
      </c>
      <c r="N67" s="296">
        <f t="shared" si="40"/>
        <v>-2606.4505945243063</v>
      </c>
      <c r="O67" s="296">
        <f t="shared" si="40"/>
        <v>0</v>
      </c>
      <c r="P67" s="296">
        <f t="shared" si="40"/>
        <v>-660.89596559726238</v>
      </c>
      <c r="Q67" s="296">
        <f t="shared" si="40"/>
        <v>-2371.1427321533956</v>
      </c>
      <c r="R67" s="296">
        <f t="shared" si="40"/>
        <v>-823.40604281012747</v>
      </c>
      <c r="S67" s="296">
        <f t="shared" si="40"/>
        <v>-1555.46</v>
      </c>
      <c r="T67" s="296">
        <f t="shared" si="40"/>
        <v>-1087.3312740467463</v>
      </c>
      <c r="U67" s="296">
        <f t="shared" si="40"/>
        <v>-225.53644334802181</v>
      </c>
      <c r="V67" s="296">
        <f t="shared" si="40"/>
        <v>-2724.8097463965332</v>
      </c>
      <c r="W67" s="296">
        <f t="shared" si="40"/>
        <v>-6344.4078985883452</v>
      </c>
      <c r="X67" s="296">
        <f t="shared" si="40"/>
        <v>-1307.5542789935589</v>
      </c>
      <c r="Y67" s="296">
        <f t="shared" si="40"/>
        <v>-7717.3486573334576</v>
      </c>
      <c r="Z67" s="296">
        <f t="shared" si="40"/>
        <v>-4061.0446828974077</v>
      </c>
      <c r="AA67" s="296">
        <f t="shared" si="40"/>
        <v>-4216.3458708520411</v>
      </c>
      <c r="AB67" s="296">
        <f t="shared" si="40"/>
        <v>-981.84470258408942</v>
      </c>
      <c r="AC67" s="296">
        <f t="shared" si="40"/>
        <v>-1321.5461440737463</v>
      </c>
      <c r="AD67" s="296">
        <f t="shared" si="40"/>
        <v>-3481.8356605773606</v>
      </c>
      <c r="AE67" s="296">
        <f t="shared" si="40"/>
        <v>-55126.119213714774</v>
      </c>
      <c r="AF67" s="296">
        <f t="shared" si="40"/>
        <v>-13483.536749733721</v>
      </c>
      <c r="AG67" s="296">
        <f t="shared" si="40"/>
        <v>-10370.059832144636</v>
      </c>
      <c r="AH67" s="296">
        <f t="shared" si="40"/>
        <v>-8372.0491953956753</v>
      </c>
      <c r="AI67" s="296">
        <f t="shared" si="40"/>
        <v>-15525.587726628564</v>
      </c>
      <c r="AJ67" s="296">
        <f t="shared" si="40"/>
        <v>-7493.1690625462552</v>
      </c>
      <c r="AK67" s="296">
        <f t="shared" si="40"/>
        <v>-7215.7254079626136</v>
      </c>
      <c r="AL67" s="296">
        <f t="shared" si="40"/>
        <v>-7835.4260072918514</v>
      </c>
      <c r="AM67" s="296">
        <f t="shared" si="40"/>
        <v>-8860.927566965187</v>
      </c>
      <c r="AN67" s="296">
        <f t="shared" si="40"/>
        <v>-9447.7831231859054</v>
      </c>
      <c r="AO67" s="296">
        <f t="shared" si="40"/>
        <v>-7035.3947436527842</v>
      </c>
      <c r="AP67" s="296">
        <f t="shared" si="40"/>
        <v>-8576.095759093676</v>
      </c>
      <c r="AQ67" s="296">
        <f t="shared" si="40"/>
        <v>-1539.78</v>
      </c>
      <c r="AR67" s="296">
        <f t="shared" si="40"/>
        <v>-862.85</v>
      </c>
      <c r="AS67" s="296">
        <f t="shared" si="40"/>
        <v>-8358.57</v>
      </c>
      <c r="AT67" s="296">
        <f t="shared" si="40"/>
        <v>-7796.53</v>
      </c>
      <c r="AU67" s="296">
        <f t="shared" si="40"/>
        <v>-2122.9999999999995</v>
      </c>
      <c r="AV67" s="296">
        <f t="shared" si="40"/>
        <v>-12410.3</v>
      </c>
      <c r="AW67" s="296">
        <f t="shared" si="40"/>
        <v>-28072.1</v>
      </c>
      <c r="AX67" s="296">
        <f t="shared" si="40"/>
        <v>-1039</v>
      </c>
      <c r="AY67" s="296">
        <f t="shared" si="40"/>
        <v>-15511.775501065091</v>
      </c>
      <c r="AZ67" s="296">
        <f t="shared" si="40"/>
        <v>-15307.189264965129</v>
      </c>
      <c r="BA67" s="296">
        <f t="shared" si="40"/>
        <v>-26456.38547448771</v>
      </c>
      <c r="BB67" s="296">
        <f t="shared" si="40"/>
        <v>-15304.636121912592</v>
      </c>
      <c r="BC67" s="296">
        <f t="shared" si="40"/>
        <v>-1448.6248167620831</v>
      </c>
      <c r="BD67" s="296">
        <f t="shared" si="40"/>
        <v>-9973.9541640516127</v>
      </c>
      <c r="BE67" s="296">
        <f t="shared" si="40"/>
        <v>-11624.265889258984</v>
      </c>
      <c r="BF67" s="296">
        <f t="shared" si="40"/>
        <v>-2569.1468313122314</v>
      </c>
      <c r="BG67" s="296">
        <f>+SUM(BG33,BG42,BG54,BG59,BG64)</f>
        <v>-3711.006984235722</v>
      </c>
      <c r="BH67" s="296">
        <f t="shared" ref="BH67:DS67" si="41">+SUM(BH33,BH42,BH54,BH59,BH64)</f>
        <v>-19570.939824978901</v>
      </c>
      <c r="BI67" s="296">
        <f t="shared" si="41"/>
        <v>-2207.7410474840267</v>
      </c>
      <c r="BJ67" s="296">
        <f t="shared" si="41"/>
        <v>-684.57683771306802</v>
      </c>
      <c r="BK67" s="296">
        <f t="shared" si="41"/>
        <v>-2318</v>
      </c>
      <c r="BL67" s="296">
        <f t="shared" si="41"/>
        <v>-175</v>
      </c>
      <c r="BM67" s="296">
        <f t="shared" si="41"/>
        <v>0</v>
      </c>
      <c r="BN67" s="296">
        <f t="shared" si="41"/>
        <v>0</v>
      </c>
      <c r="BO67" s="296">
        <f t="shared" si="41"/>
        <v>0</v>
      </c>
      <c r="BP67" s="296">
        <f t="shared" si="41"/>
        <v>0</v>
      </c>
      <c r="BQ67" s="296">
        <f t="shared" si="41"/>
        <v>0</v>
      </c>
      <c r="BR67" s="296">
        <f t="shared" si="41"/>
        <v>0</v>
      </c>
      <c r="BS67" s="296">
        <f t="shared" si="41"/>
        <v>0</v>
      </c>
      <c r="BT67" s="296">
        <f t="shared" si="41"/>
        <v>0</v>
      </c>
      <c r="BU67" s="296">
        <f t="shared" si="41"/>
        <v>0</v>
      </c>
      <c r="BV67" s="296">
        <f t="shared" si="41"/>
        <v>0</v>
      </c>
      <c r="BW67" s="296">
        <f t="shared" si="41"/>
        <v>0</v>
      </c>
      <c r="BX67" s="296">
        <f t="shared" si="41"/>
        <v>0</v>
      </c>
      <c r="BY67" s="296">
        <f t="shared" si="41"/>
        <v>0</v>
      </c>
      <c r="BZ67" s="296">
        <f t="shared" si="41"/>
        <v>0</v>
      </c>
      <c r="CA67" s="296">
        <f t="shared" si="41"/>
        <v>0</v>
      </c>
      <c r="CB67" s="296">
        <f t="shared" si="41"/>
        <v>0</v>
      </c>
      <c r="CC67" s="296">
        <f t="shared" si="41"/>
        <v>0</v>
      </c>
      <c r="CD67" s="296">
        <f t="shared" si="41"/>
        <v>0</v>
      </c>
      <c r="CE67" s="296">
        <f t="shared" si="41"/>
        <v>0</v>
      </c>
      <c r="CF67" s="296">
        <f t="shared" si="41"/>
        <v>0</v>
      </c>
      <c r="CG67" s="296">
        <f t="shared" si="41"/>
        <v>0</v>
      </c>
      <c r="CH67" s="296">
        <f t="shared" si="41"/>
        <v>0</v>
      </c>
      <c r="CI67" s="296">
        <f t="shared" si="41"/>
        <v>0</v>
      </c>
      <c r="CJ67" s="296">
        <f t="shared" si="41"/>
        <v>0</v>
      </c>
      <c r="CK67" s="296">
        <f t="shared" si="41"/>
        <v>0</v>
      </c>
      <c r="CL67" s="296">
        <f t="shared" si="41"/>
        <v>0</v>
      </c>
      <c r="CM67" s="296">
        <f t="shared" si="41"/>
        <v>0</v>
      </c>
      <c r="CN67" s="296">
        <f t="shared" si="41"/>
        <v>0</v>
      </c>
      <c r="CO67" s="296">
        <f t="shared" si="41"/>
        <v>0</v>
      </c>
      <c r="CP67" s="296">
        <f t="shared" si="41"/>
        <v>0</v>
      </c>
      <c r="CQ67" s="296">
        <f t="shared" si="41"/>
        <v>0</v>
      </c>
      <c r="CR67" s="296">
        <f t="shared" si="41"/>
        <v>0</v>
      </c>
      <c r="CS67" s="296">
        <f t="shared" si="41"/>
        <v>0</v>
      </c>
      <c r="CT67" s="296">
        <f t="shared" si="41"/>
        <v>0</v>
      </c>
      <c r="CU67" s="296">
        <f t="shared" si="41"/>
        <v>0</v>
      </c>
      <c r="CV67" s="296">
        <f t="shared" si="41"/>
        <v>0</v>
      </c>
      <c r="CW67" s="296">
        <f t="shared" si="41"/>
        <v>0</v>
      </c>
      <c r="CX67" s="296">
        <f t="shared" si="41"/>
        <v>0</v>
      </c>
      <c r="CY67" s="296">
        <f t="shared" si="41"/>
        <v>0</v>
      </c>
      <c r="CZ67" s="296">
        <f t="shared" si="41"/>
        <v>0</v>
      </c>
      <c r="DA67" s="296">
        <f t="shared" si="41"/>
        <v>0</v>
      </c>
      <c r="DB67" s="296">
        <f t="shared" si="41"/>
        <v>0</v>
      </c>
      <c r="DC67" s="296">
        <f t="shared" si="41"/>
        <v>0</v>
      </c>
      <c r="DD67" s="296">
        <f t="shared" si="41"/>
        <v>0</v>
      </c>
      <c r="DE67" s="296">
        <f t="shared" si="41"/>
        <v>0</v>
      </c>
      <c r="DF67" s="296">
        <f t="shared" si="41"/>
        <v>0</v>
      </c>
      <c r="DG67" s="296">
        <f t="shared" si="41"/>
        <v>0</v>
      </c>
      <c r="DH67" s="296">
        <f t="shared" si="41"/>
        <v>0</v>
      </c>
      <c r="DI67" s="296">
        <f t="shared" si="41"/>
        <v>0</v>
      </c>
      <c r="DJ67" s="296">
        <f t="shared" si="41"/>
        <v>0</v>
      </c>
      <c r="DK67" s="296">
        <f t="shared" si="41"/>
        <v>0</v>
      </c>
      <c r="DL67" s="296">
        <f t="shared" si="41"/>
        <v>0</v>
      </c>
      <c r="DM67" s="296">
        <f t="shared" si="41"/>
        <v>0</v>
      </c>
      <c r="DN67" s="296">
        <f t="shared" si="41"/>
        <v>0</v>
      </c>
      <c r="DO67" s="296">
        <f t="shared" si="41"/>
        <v>0</v>
      </c>
      <c r="DP67" s="296">
        <f t="shared" si="41"/>
        <v>0</v>
      </c>
      <c r="DQ67" s="296">
        <f t="shared" si="41"/>
        <v>0</v>
      </c>
      <c r="DR67" s="296">
        <f t="shared" si="41"/>
        <v>0</v>
      </c>
      <c r="DS67" s="296">
        <f t="shared" si="41"/>
        <v>0</v>
      </c>
      <c r="DT67" s="296">
        <f t="shared" ref="DT67:DY67" si="42">+SUM(DT33,DT42,DT54,DT59,DT64)</f>
        <v>0</v>
      </c>
      <c r="DU67" s="296">
        <f t="shared" si="42"/>
        <v>0</v>
      </c>
      <c r="DV67" s="296">
        <f t="shared" si="42"/>
        <v>0</v>
      </c>
      <c r="DW67" s="296">
        <f t="shared" si="42"/>
        <v>0</v>
      </c>
      <c r="DX67" s="296">
        <f t="shared" si="42"/>
        <v>0</v>
      </c>
      <c r="DY67" s="296">
        <f t="shared" si="42"/>
        <v>0</v>
      </c>
    </row>
    <row r="68" spans="1:129" s="3" customFormat="1" ht="11.7" customHeight="1" outlineLevel="1" thickTop="1" x14ac:dyDescent="0.3">
      <c r="B68" s="141" t="s">
        <v>105</v>
      </c>
      <c r="C68" s="141"/>
      <c r="D68" s="724"/>
      <c r="E68" s="118"/>
      <c r="F68" s="118"/>
      <c r="G68" s="127"/>
      <c r="H68" s="127"/>
      <c r="I68" s="297">
        <f>+SUM($I$67:I67)</f>
        <v>-148941.6</v>
      </c>
      <c r="J68" s="297">
        <f>+J67+I68</f>
        <v>-157482.61841708887</v>
      </c>
      <c r="K68" s="297">
        <f t="shared" ref="K68:BV68" si="43">+K67+J68</f>
        <v>-158253.81841708889</v>
      </c>
      <c r="L68" s="297">
        <f t="shared" si="43"/>
        <v>-161217.62523927516</v>
      </c>
      <c r="M68" s="297">
        <f t="shared" si="43"/>
        <v>-161721.16169530764</v>
      </c>
      <c r="N68" s="297">
        <f t="shared" si="43"/>
        <v>-164327.61228983194</v>
      </c>
      <c r="O68" s="297">
        <f t="shared" si="43"/>
        <v>-164327.61228983194</v>
      </c>
      <c r="P68" s="297">
        <f t="shared" si="43"/>
        <v>-164988.50825542922</v>
      </c>
      <c r="Q68" s="297">
        <f t="shared" si="43"/>
        <v>-167359.6509875826</v>
      </c>
      <c r="R68" s="297">
        <f t="shared" si="43"/>
        <v>-168183.05703039272</v>
      </c>
      <c r="S68" s="297">
        <f t="shared" si="43"/>
        <v>-169738.51703039272</v>
      </c>
      <c r="T68" s="297">
        <f t="shared" si="43"/>
        <v>-170825.84830443945</v>
      </c>
      <c r="U68" s="297">
        <f t="shared" si="43"/>
        <v>-171051.38474778747</v>
      </c>
      <c r="V68" s="297">
        <f t="shared" si="43"/>
        <v>-173776.19449418399</v>
      </c>
      <c r="W68" s="297">
        <f t="shared" si="43"/>
        <v>-180120.60239277233</v>
      </c>
      <c r="X68" s="297">
        <f t="shared" si="43"/>
        <v>-181428.1566717659</v>
      </c>
      <c r="Y68" s="297">
        <f t="shared" si="43"/>
        <v>-189145.50532909937</v>
      </c>
      <c r="Z68" s="297">
        <f t="shared" si="43"/>
        <v>-193206.55001199676</v>
      </c>
      <c r="AA68" s="297">
        <f t="shared" si="43"/>
        <v>-197422.8958828488</v>
      </c>
      <c r="AB68" s="297">
        <f t="shared" si="43"/>
        <v>-198404.74058543288</v>
      </c>
      <c r="AC68" s="297">
        <f t="shared" si="43"/>
        <v>-199726.28672950662</v>
      </c>
      <c r="AD68" s="297">
        <f t="shared" si="43"/>
        <v>-203208.122390084</v>
      </c>
      <c r="AE68" s="297">
        <f t="shared" si="43"/>
        <v>-258334.24160379876</v>
      </c>
      <c r="AF68" s="297">
        <f t="shared" si="43"/>
        <v>-271817.77835353249</v>
      </c>
      <c r="AG68" s="297">
        <f t="shared" si="43"/>
        <v>-282187.83818567713</v>
      </c>
      <c r="AH68" s="297">
        <f t="shared" si="43"/>
        <v>-290559.8873810728</v>
      </c>
      <c r="AI68" s="297">
        <f t="shared" si="43"/>
        <v>-306085.47510770138</v>
      </c>
      <c r="AJ68" s="297">
        <f t="shared" si="43"/>
        <v>-313578.64417024766</v>
      </c>
      <c r="AK68" s="297">
        <f t="shared" si="43"/>
        <v>-320794.36957821029</v>
      </c>
      <c r="AL68" s="297">
        <f t="shared" si="43"/>
        <v>-328629.79558550211</v>
      </c>
      <c r="AM68" s="297">
        <f t="shared" si="43"/>
        <v>-337490.72315246728</v>
      </c>
      <c r="AN68" s="297">
        <f t="shared" si="43"/>
        <v>-346938.5062756532</v>
      </c>
      <c r="AO68" s="297">
        <f t="shared" si="43"/>
        <v>-353973.90101930598</v>
      </c>
      <c r="AP68" s="297">
        <f t="shared" si="43"/>
        <v>-362549.99677839968</v>
      </c>
      <c r="AQ68" s="297">
        <f t="shared" si="43"/>
        <v>-364089.77677839971</v>
      </c>
      <c r="AR68" s="297">
        <f t="shared" si="43"/>
        <v>-364952.62677839969</v>
      </c>
      <c r="AS68" s="297">
        <f t="shared" si="43"/>
        <v>-373311.1967783997</v>
      </c>
      <c r="AT68" s="297">
        <f t="shared" si="43"/>
        <v>-381107.72677839972</v>
      </c>
      <c r="AU68" s="297">
        <f t="shared" si="43"/>
        <v>-383230.72677839972</v>
      </c>
      <c r="AV68" s="297">
        <f t="shared" si="43"/>
        <v>-395641.02677839971</v>
      </c>
      <c r="AW68" s="297">
        <f t="shared" si="43"/>
        <v>-423713.12677839969</v>
      </c>
      <c r="AX68" s="297">
        <f t="shared" si="43"/>
        <v>-424752.12677839969</v>
      </c>
      <c r="AY68" s="297">
        <f t="shared" si="43"/>
        <v>-440263.90227946476</v>
      </c>
      <c r="AZ68" s="297">
        <f t="shared" si="43"/>
        <v>-455571.09154442989</v>
      </c>
      <c r="BA68" s="297">
        <f t="shared" si="43"/>
        <v>-482027.47701891762</v>
      </c>
      <c r="BB68" s="297">
        <f t="shared" si="43"/>
        <v>-497332.11314083019</v>
      </c>
      <c r="BC68" s="297">
        <f t="shared" si="43"/>
        <v>-498780.7379575923</v>
      </c>
      <c r="BD68" s="297">
        <f t="shared" si="43"/>
        <v>-508754.69212164392</v>
      </c>
      <c r="BE68" s="297">
        <f t="shared" si="43"/>
        <v>-520378.95801090292</v>
      </c>
      <c r="BF68" s="297">
        <f t="shared" si="43"/>
        <v>-522948.10484221514</v>
      </c>
      <c r="BG68" s="297">
        <f t="shared" si="43"/>
        <v>-526659.11182645091</v>
      </c>
      <c r="BH68" s="297">
        <f t="shared" si="43"/>
        <v>-546230.05165142985</v>
      </c>
      <c r="BI68" s="297">
        <f t="shared" si="43"/>
        <v>-548437.79269891384</v>
      </c>
      <c r="BJ68" s="297">
        <f t="shared" si="43"/>
        <v>-549122.36953662685</v>
      </c>
      <c r="BK68" s="297">
        <f t="shared" si="43"/>
        <v>-551440.36953662685</v>
      </c>
      <c r="BL68" s="297">
        <f t="shared" si="43"/>
        <v>-551615.36953662685</v>
      </c>
      <c r="BM68" s="297">
        <f t="shared" si="43"/>
        <v>-551615.36953662685</v>
      </c>
      <c r="BN68" s="297">
        <f t="shared" si="43"/>
        <v>-551615.36953662685</v>
      </c>
      <c r="BO68" s="297">
        <f t="shared" si="43"/>
        <v>-551615.36953662685</v>
      </c>
      <c r="BP68" s="297">
        <f t="shared" si="43"/>
        <v>-551615.36953662685</v>
      </c>
      <c r="BQ68" s="297">
        <f t="shared" si="43"/>
        <v>-551615.36953662685</v>
      </c>
      <c r="BR68" s="297">
        <f t="shared" si="43"/>
        <v>-551615.36953662685</v>
      </c>
      <c r="BS68" s="297">
        <f t="shared" si="43"/>
        <v>-551615.36953662685</v>
      </c>
      <c r="BT68" s="297">
        <f t="shared" si="43"/>
        <v>-551615.36953662685</v>
      </c>
      <c r="BU68" s="297">
        <f t="shared" si="43"/>
        <v>-551615.36953662685</v>
      </c>
      <c r="BV68" s="297">
        <f t="shared" si="43"/>
        <v>-551615.36953662685</v>
      </c>
      <c r="BW68" s="297">
        <f t="shared" ref="BW68:DW68" si="44">+BW67+BV68</f>
        <v>-551615.36953662685</v>
      </c>
      <c r="BX68" s="297">
        <f t="shared" si="44"/>
        <v>-551615.36953662685</v>
      </c>
      <c r="BY68" s="297">
        <f t="shared" si="44"/>
        <v>-551615.36953662685</v>
      </c>
      <c r="BZ68" s="297">
        <f t="shared" si="44"/>
        <v>-551615.36953662685</v>
      </c>
      <c r="CA68" s="297">
        <f t="shared" si="44"/>
        <v>-551615.36953662685</v>
      </c>
      <c r="CB68" s="297">
        <f t="shared" si="44"/>
        <v>-551615.36953662685</v>
      </c>
      <c r="CC68" s="297">
        <f t="shared" si="44"/>
        <v>-551615.36953662685</v>
      </c>
      <c r="CD68" s="297">
        <f t="shared" si="44"/>
        <v>-551615.36953662685</v>
      </c>
      <c r="CE68" s="297">
        <f t="shared" si="44"/>
        <v>-551615.36953662685</v>
      </c>
      <c r="CF68" s="297">
        <f t="shared" si="44"/>
        <v>-551615.36953662685</v>
      </c>
      <c r="CG68" s="297">
        <f t="shared" si="44"/>
        <v>-551615.36953662685</v>
      </c>
      <c r="CH68" s="297">
        <f t="shared" si="44"/>
        <v>-551615.36953662685</v>
      </c>
      <c r="CI68" s="297">
        <f t="shared" si="44"/>
        <v>-551615.36953662685</v>
      </c>
      <c r="CJ68" s="297">
        <f t="shared" si="44"/>
        <v>-551615.36953662685</v>
      </c>
      <c r="CK68" s="297">
        <f t="shared" si="44"/>
        <v>-551615.36953662685</v>
      </c>
      <c r="CL68" s="297">
        <f t="shared" si="44"/>
        <v>-551615.36953662685</v>
      </c>
      <c r="CM68" s="297">
        <f t="shared" si="44"/>
        <v>-551615.36953662685</v>
      </c>
      <c r="CN68" s="297">
        <f t="shared" si="44"/>
        <v>-551615.36953662685</v>
      </c>
      <c r="CO68" s="297">
        <f t="shared" si="44"/>
        <v>-551615.36953662685</v>
      </c>
      <c r="CP68" s="297">
        <f t="shared" si="44"/>
        <v>-551615.36953662685</v>
      </c>
      <c r="CQ68" s="297">
        <f t="shared" si="44"/>
        <v>-551615.36953662685</v>
      </c>
      <c r="CR68" s="297">
        <f t="shared" si="44"/>
        <v>-551615.36953662685</v>
      </c>
      <c r="CS68" s="297">
        <f t="shared" si="44"/>
        <v>-551615.36953662685</v>
      </c>
      <c r="CT68" s="297">
        <f t="shared" si="44"/>
        <v>-551615.36953662685</v>
      </c>
      <c r="CU68" s="297">
        <f t="shared" si="44"/>
        <v>-551615.36953662685</v>
      </c>
      <c r="CV68" s="297">
        <f t="shared" si="44"/>
        <v>-551615.36953662685</v>
      </c>
      <c r="CW68" s="297">
        <f t="shared" si="44"/>
        <v>-551615.36953662685</v>
      </c>
      <c r="CX68" s="297">
        <f t="shared" si="44"/>
        <v>-551615.36953662685</v>
      </c>
      <c r="CY68" s="297">
        <f t="shared" si="44"/>
        <v>-551615.36953662685</v>
      </c>
      <c r="CZ68" s="297">
        <f t="shared" si="44"/>
        <v>-551615.36953662685</v>
      </c>
      <c r="DA68" s="297">
        <f t="shared" si="44"/>
        <v>-551615.36953662685</v>
      </c>
      <c r="DB68" s="297">
        <f t="shared" si="44"/>
        <v>-551615.36953662685</v>
      </c>
      <c r="DC68" s="297">
        <f t="shared" si="44"/>
        <v>-551615.36953662685</v>
      </c>
      <c r="DD68" s="297">
        <f t="shared" si="44"/>
        <v>-551615.36953662685</v>
      </c>
      <c r="DE68" s="297">
        <f t="shared" si="44"/>
        <v>-551615.36953662685</v>
      </c>
      <c r="DF68" s="297">
        <f t="shared" si="44"/>
        <v>-551615.36953662685</v>
      </c>
      <c r="DG68" s="297">
        <f t="shared" si="44"/>
        <v>-551615.36953662685</v>
      </c>
      <c r="DH68" s="297">
        <f t="shared" si="44"/>
        <v>-551615.36953662685</v>
      </c>
      <c r="DI68" s="297">
        <f t="shared" si="44"/>
        <v>-551615.36953662685</v>
      </c>
      <c r="DJ68" s="297">
        <f t="shared" si="44"/>
        <v>-551615.36953662685</v>
      </c>
      <c r="DK68" s="297">
        <f t="shared" si="44"/>
        <v>-551615.36953662685</v>
      </c>
      <c r="DL68" s="297">
        <f t="shared" si="44"/>
        <v>-551615.36953662685</v>
      </c>
      <c r="DM68" s="297">
        <f t="shared" si="44"/>
        <v>-551615.36953662685</v>
      </c>
      <c r="DN68" s="297">
        <f t="shared" si="44"/>
        <v>-551615.36953662685</v>
      </c>
      <c r="DO68" s="297">
        <f t="shared" si="44"/>
        <v>-551615.36953662685</v>
      </c>
      <c r="DP68" s="297">
        <f t="shared" si="44"/>
        <v>-551615.36953662685</v>
      </c>
      <c r="DQ68" s="297">
        <f t="shared" si="44"/>
        <v>-551615.36953662685</v>
      </c>
      <c r="DR68" s="297">
        <f t="shared" si="44"/>
        <v>-551615.36953662685</v>
      </c>
      <c r="DS68" s="297">
        <f t="shared" si="44"/>
        <v>-551615.36953662685</v>
      </c>
      <c r="DT68" s="297">
        <f t="shared" si="44"/>
        <v>-551615.36953662685</v>
      </c>
      <c r="DU68" s="297">
        <f t="shared" si="44"/>
        <v>-551615.36953662685</v>
      </c>
      <c r="DV68" s="297">
        <f t="shared" si="44"/>
        <v>-551615.36953662685</v>
      </c>
      <c r="DW68" s="297">
        <f t="shared" si="44"/>
        <v>-551615.36953662685</v>
      </c>
      <c r="DX68" s="297">
        <f t="shared" ref="DX68" si="45">+DX67+DW68</f>
        <v>-551615.36953662685</v>
      </c>
      <c r="DY68" s="297">
        <f t="shared" ref="DY68" si="46">+DY67+DX68</f>
        <v>-551615.36953662685</v>
      </c>
    </row>
    <row r="69" spans="1:129" s="3" customFormat="1" ht="11.7" customHeight="1" outlineLevel="1" x14ac:dyDescent="0.3">
      <c r="B69" s="141"/>
      <c r="C69" s="141"/>
      <c r="D69" s="142"/>
      <c r="E69" s="118"/>
      <c r="F69" s="118"/>
      <c r="G69" s="127"/>
      <c r="H69" s="127"/>
      <c r="I69" s="115"/>
      <c r="J69" s="297"/>
      <c r="K69" s="297"/>
      <c r="L69" s="297"/>
      <c r="M69" s="297"/>
      <c r="N69" s="297"/>
      <c r="O69" s="297"/>
      <c r="P69" s="297"/>
      <c r="Q69" s="297"/>
      <c r="R69" s="297"/>
      <c r="S69" s="297"/>
      <c r="T69" s="297"/>
      <c r="U69" s="297"/>
      <c r="V69" s="297"/>
      <c r="W69" s="297"/>
      <c r="X69" s="297"/>
      <c r="Y69" s="297"/>
      <c r="Z69" s="297"/>
      <c r="AA69" s="297"/>
      <c r="AB69" s="297"/>
      <c r="AC69" s="297"/>
      <c r="AD69" s="297"/>
      <c r="AE69" s="297"/>
      <c r="AF69" s="297"/>
      <c r="AG69" s="297"/>
      <c r="AH69" s="297"/>
      <c r="AI69" s="297"/>
      <c r="AJ69" s="297"/>
      <c r="AK69" s="297"/>
      <c r="AL69" s="297"/>
      <c r="AM69" s="297"/>
      <c r="AN69" s="297"/>
      <c r="AO69" s="297"/>
      <c r="AP69" s="297"/>
      <c r="AQ69" s="297"/>
      <c r="AR69" s="297"/>
      <c r="AS69" s="297"/>
      <c r="AT69" s="297"/>
      <c r="AU69" s="297"/>
      <c r="AV69" s="297"/>
      <c r="AW69" s="297"/>
      <c r="AX69" s="297"/>
      <c r="AY69" s="297"/>
      <c r="AZ69" s="297"/>
      <c r="BA69" s="297"/>
      <c r="BB69" s="297"/>
      <c r="BC69" s="297"/>
      <c r="BD69" s="297"/>
      <c r="BE69" s="297"/>
      <c r="BF69" s="297"/>
      <c r="BG69" s="297"/>
      <c r="BH69" s="297"/>
      <c r="BI69" s="297"/>
      <c r="BJ69" s="297"/>
      <c r="BK69" s="297"/>
      <c r="BL69" s="297"/>
      <c r="BM69" s="297"/>
      <c r="BN69" s="297"/>
      <c r="BO69" s="297"/>
      <c r="BP69" s="297"/>
      <c r="BQ69" s="297"/>
      <c r="BR69" s="297"/>
      <c r="BS69" s="297"/>
      <c r="BT69" s="297"/>
      <c r="BU69" s="297"/>
      <c r="BV69" s="297"/>
      <c r="BW69" s="297"/>
      <c r="BX69" s="297"/>
      <c r="BY69" s="297"/>
      <c r="BZ69" s="297"/>
      <c r="CA69" s="297"/>
      <c r="CB69" s="297"/>
      <c r="CC69" s="297"/>
      <c r="CD69" s="297"/>
      <c r="CE69" s="297"/>
      <c r="CF69" s="297"/>
      <c r="CG69" s="297"/>
      <c r="CH69" s="297"/>
      <c r="CI69" s="297"/>
      <c r="CJ69" s="297"/>
      <c r="CK69" s="297"/>
      <c r="CL69" s="297"/>
      <c r="CM69" s="297"/>
      <c r="CN69" s="297"/>
      <c r="CO69" s="297"/>
      <c r="CP69" s="297"/>
      <c r="CQ69" s="297"/>
      <c r="CR69" s="297"/>
      <c r="CS69" s="297"/>
      <c r="CT69" s="297"/>
      <c r="CU69" s="297"/>
      <c r="CV69" s="297"/>
      <c r="CW69" s="297"/>
      <c r="CX69" s="297"/>
      <c r="CY69" s="297"/>
      <c r="CZ69" s="297"/>
      <c r="DA69" s="297"/>
      <c r="DB69" s="297"/>
      <c r="DC69" s="297"/>
      <c r="DD69" s="297"/>
      <c r="DE69" s="297"/>
      <c r="DF69" s="297"/>
      <c r="DG69" s="297"/>
      <c r="DH69" s="297"/>
      <c r="DI69" s="297"/>
      <c r="DJ69" s="297"/>
      <c r="DK69" s="297"/>
      <c r="DL69" s="297"/>
      <c r="DM69" s="297"/>
      <c r="DN69" s="297"/>
      <c r="DO69" s="297"/>
      <c r="DP69" s="297"/>
      <c r="DQ69" s="297"/>
      <c r="DR69" s="297"/>
      <c r="DS69" s="297"/>
      <c r="DT69" s="297"/>
      <c r="DU69" s="297"/>
      <c r="DV69" s="297"/>
      <c r="DW69" s="297"/>
      <c r="DX69" s="297"/>
      <c r="DY69" s="297"/>
    </row>
    <row r="70" spans="1:129" s="5" customFormat="1" ht="11.7" customHeight="1" outlineLevel="1" x14ac:dyDescent="0.3">
      <c r="A70" s="3"/>
      <c r="B70" s="143" t="s">
        <v>91</v>
      </c>
      <c r="C70" s="143"/>
      <c r="D70" s="144"/>
      <c r="E70" s="144"/>
      <c r="F70" s="144"/>
      <c r="G70" s="290">
        <f>+SUM(I70:DY70)</f>
        <v>-9950.6014714271696</v>
      </c>
      <c r="H70" s="90"/>
      <c r="I70" s="145">
        <f t="shared" ref="I70:AN70" si="47">+SUM(I394,I406,I409)*I13</f>
        <v>0</v>
      </c>
      <c r="J70" s="145">
        <f t="shared" si="47"/>
        <v>0</v>
      </c>
      <c r="K70" s="145">
        <f t="shared" si="47"/>
        <v>0</v>
      </c>
      <c r="L70" s="145">
        <f t="shared" si="47"/>
        <v>0</v>
      </c>
      <c r="M70" s="145">
        <f t="shared" si="47"/>
        <v>0</v>
      </c>
      <c r="N70" s="145">
        <f t="shared" si="47"/>
        <v>0</v>
      </c>
      <c r="O70" s="145">
        <f t="shared" si="47"/>
        <v>0</v>
      </c>
      <c r="P70" s="145">
        <f t="shared" si="47"/>
        <v>0</v>
      </c>
      <c r="Q70" s="145">
        <f t="shared" si="47"/>
        <v>0</v>
      </c>
      <c r="R70" s="145">
        <f t="shared" si="47"/>
        <v>0</v>
      </c>
      <c r="S70" s="145">
        <f t="shared" si="47"/>
        <v>0</v>
      </c>
      <c r="T70" s="145">
        <f t="shared" si="47"/>
        <v>0</v>
      </c>
      <c r="U70" s="145">
        <f t="shared" si="47"/>
        <v>0</v>
      </c>
      <c r="V70" s="145">
        <f t="shared" si="47"/>
        <v>0</v>
      </c>
      <c r="W70" s="145">
        <f t="shared" si="47"/>
        <v>0</v>
      </c>
      <c r="X70" s="145">
        <f t="shared" si="47"/>
        <v>0</v>
      </c>
      <c r="Y70" s="145">
        <f t="shared" si="47"/>
        <v>0</v>
      </c>
      <c r="Z70" s="145">
        <f t="shared" si="47"/>
        <v>0</v>
      </c>
      <c r="AA70" s="145">
        <f t="shared" si="47"/>
        <v>0</v>
      </c>
      <c r="AB70" s="145">
        <f t="shared" si="47"/>
        <v>0</v>
      </c>
      <c r="AC70" s="145">
        <f t="shared" si="47"/>
        <v>0</v>
      </c>
      <c r="AD70" s="145">
        <f t="shared" si="47"/>
        <v>0</v>
      </c>
      <c r="AE70" s="145">
        <f t="shared" si="47"/>
        <v>0</v>
      </c>
      <c r="AF70" s="145">
        <f t="shared" si="47"/>
        <v>-1061.4101546647171</v>
      </c>
      <c r="AG70" s="145">
        <f t="shared" si="47"/>
        <v>-230.6</v>
      </c>
      <c r="AH70" s="145">
        <f t="shared" si="47"/>
        <v>-94.01</v>
      </c>
      <c r="AI70" s="145">
        <f t="shared" si="47"/>
        <v>-90.42</v>
      </c>
      <c r="AJ70" s="145">
        <f t="shared" si="47"/>
        <v>-84.02</v>
      </c>
      <c r="AK70" s="145">
        <f t="shared" si="47"/>
        <v>-126.17</v>
      </c>
      <c r="AL70" s="145">
        <f t="shared" si="47"/>
        <v>-93.81</v>
      </c>
      <c r="AM70" s="145">
        <f t="shared" si="47"/>
        <v>-85.67</v>
      </c>
      <c r="AN70" s="145">
        <f t="shared" si="47"/>
        <v>-0.35</v>
      </c>
      <c r="AO70" s="145">
        <f t="shared" ref="AO70:BT70" si="48">+SUM(AO394,AO406,AO409)*AO13</f>
        <v>-0.35</v>
      </c>
      <c r="AP70" s="145">
        <f t="shared" si="48"/>
        <v>-0.7</v>
      </c>
      <c r="AQ70" s="145">
        <f t="shared" si="48"/>
        <v>0</v>
      </c>
      <c r="AR70" s="145">
        <f t="shared" si="48"/>
        <v>0</v>
      </c>
      <c r="AS70" s="145">
        <f t="shared" si="48"/>
        <v>-1958.05</v>
      </c>
      <c r="AT70" s="145">
        <f t="shared" si="48"/>
        <v>-285.5</v>
      </c>
      <c r="AU70" s="145">
        <f t="shared" si="48"/>
        <v>-181.3</v>
      </c>
      <c r="AV70" s="145">
        <f t="shared" si="48"/>
        <v>-297.5</v>
      </c>
      <c r="AW70" s="145">
        <f t="shared" si="48"/>
        <v>-463.18</v>
      </c>
      <c r="AX70" s="145">
        <f t="shared" si="48"/>
        <v>-303.7</v>
      </c>
      <c r="AY70" s="145">
        <f t="shared" si="48"/>
        <v>-173.34059975203346</v>
      </c>
      <c r="AZ70" s="145">
        <f t="shared" si="48"/>
        <v>-376.99232166040167</v>
      </c>
      <c r="BA70" s="145">
        <f t="shared" si="48"/>
        <v>-410.54839535001776</v>
      </c>
      <c r="BB70" s="145">
        <f t="shared" si="48"/>
        <v>-584.6</v>
      </c>
      <c r="BC70" s="145">
        <f t="shared" si="48"/>
        <v>-152.68</v>
      </c>
      <c r="BD70" s="145">
        <f t="shared" si="48"/>
        <v>0</v>
      </c>
      <c r="BE70" s="145">
        <f t="shared" si="48"/>
        <v>-2327.6999999999998</v>
      </c>
      <c r="BF70" s="145">
        <f t="shared" si="48"/>
        <v>-340</v>
      </c>
      <c r="BG70" s="145">
        <f t="shared" si="48"/>
        <v>-228</v>
      </c>
      <c r="BH70" s="145">
        <f t="shared" si="48"/>
        <v>0</v>
      </c>
      <c r="BI70" s="145">
        <f t="shared" si="48"/>
        <v>0</v>
      </c>
      <c r="BJ70" s="145">
        <f t="shared" si="48"/>
        <v>0</v>
      </c>
      <c r="BK70" s="145">
        <f t="shared" si="48"/>
        <v>0</v>
      </c>
      <c r="BL70" s="145">
        <f t="shared" si="48"/>
        <v>0</v>
      </c>
      <c r="BM70" s="145">
        <f t="shared" si="48"/>
        <v>0</v>
      </c>
      <c r="BN70" s="145">
        <f t="shared" si="48"/>
        <v>0</v>
      </c>
      <c r="BO70" s="145">
        <f t="shared" si="48"/>
        <v>0</v>
      </c>
      <c r="BP70" s="145">
        <f t="shared" si="48"/>
        <v>0</v>
      </c>
      <c r="BQ70" s="145">
        <f t="shared" si="48"/>
        <v>0</v>
      </c>
      <c r="BR70" s="145">
        <f t="shared" si="48"/>
        <v>0</v>
      </c>
      <c r="BS70" s="145">
        <f t="shared" si="48"/>
        <v>0</v>
      </c>
      <c r="BT70" s="145">
        <f t="shared" si="48"/>
        <v>0</v>
      </c>
      <c r="BU70" s="145">
        <f t="shared" ref="BU70:CZ70" si="49">+SUM(BU394,BU406,BU409)*BU13</f>
        <v>0</v>
      </c>
      <c r="BV70" s="145">
        <f t="shared" si="49"/>
        <v>0</v>
      </c>
      <c r="BW70" s="145">
        <f t="shared" si="49"/>
        <v>0</v>
      </c>
      <c r="BX70" s="145">
        <f t="shared" si="49"/>
        <v>0</v>
      </c>
      <c r="BY70" s="145">
        <f t="shared" si="49"/>
        <v>0</v>
      </c>
      <c r="BZ70" s="145">
        <f t="shared" si="49"/>
        <v>0</v>
      </c>
      <c r="CA70" s="145">
        <f t="shared" si="49"/>
        <v>0</v>
      </c>
      <c r="CB70" s="145">
        <f t="shared" si="49"/>
        <v>0</v>
      </c>
      <c r="CC70" s="145">
        <f t="shared" si="49"/>
        <v>0</v>
      </c>
      <c r="CD70" s="145">
        <f t="shared" si="49"/>
        <v>0</v>
      </c>
      <c r="CE70" s="145">
        <f t="shared" si="49"/>
        <v>0</v>
      </c>
      <c r="CF70" s="145">
        <f t="shared" si="49"/>
        <v>0</v>
      </c>
      <c r="CG70" s="145">
        <f t="shared" si="49"/>
        <v>0</v>
      </c>
      <c r="CH70" s="145">
        <f t="shared" si="49"/>
        <v>0</v>
      </c>
      <c r="CI70" s="145">
        <f t="shared" si="49"/>
        <v>0</v>
      </c>
      <c r="CJ70" s="145">
        <f t="shared" si="49"/>
        <v>0</v>
      </c>
      <c r="CK70" s="145">
        <f t="shared" si="49"/>
        <v>0</v>
      </c>
      <c r="CL70" s="145">
        <f t="shared" si="49"/>
        <v>0</v>
      </c>
      <c r="CM70" s="145">
        <f t="shared" si="49"/>
        <v>0</v>
      </c>
      <c r="CN70" s="145">
        <f t="shared" si="49"/>
        <v>0</v>
      </c>
      <c r="CO70" s="145">
        <f t="shared" si="49"/>
        <v>0</v>
      </c>
      <c r="CP70" s="145">
        <f t="shared" si="49"/>
        <v>0</v>
      </c>
      <c r="CQ70" s="145">
        <f t="shared" si="49"/>
        <v>0</v>
      </c>
      <c r="CR70" s="145">
        <f t="shared" si="49"/>
        <v>0</v>
      </c>
      <c r="CS70" s="145">
        <f t="shared" si="49"/>
        <v>0</v>
      </c>
      <c r="CT70" s="145">
        <f t="shared" si="49"/>
        <v>0</v>
      </c>
      <c r="CU70" s="145">
        <f t="shared" si="49"/>
        <v>0</v>
      </c>
      <c r="CV70" s="145">
        <f t="shared" si="49"/>
        <v>0</v>
      </c>
      <c r="CW70" s="145">
        <f t="shared" si="49"/>
        <v>0</v>
      </c>
      <c r="CX70" s="145">
        <f t="shared" si="49"/>
        <v>0</v>
      </c>
      <c r="CY70" s="145">
        <f t="shared" si="49"/>
        <v>0</v>
      </c>
      <c r="CZ70" s="145">
        <f t="shared" si="49"/>
        <v>0</v>
      </c>
      <c r="DA70" s="145">
        <f t="shared" ref="DA70:DY70" si="50">+SUM(DA394,DA406,DA409)*DA13</f>
        <v>0</v>
      </c>
      <c r="DB70" s="145">
        <f t="shared" si="50"/>
        <v>0</v>
      </c>
      <c r="DC70" s="145">
        <f t="shared" si="50"/>
        <v>0</v>
      </c>
      <c r="DD70" s="145">
        <f t="shared" si="50"/>
        <v>0</v>
      </c>
      <c r="DE70" s="145">
        <f t="shared" si="50"/>
        <v>0</v>
      </c>
      <c r="DF70" s="145">
        <f t="shared" si="50"/>
        <v>0</v>
      </c>
      <c r="DG70" s="145">
        <f t="shared" si="50"/>
        <v>0</v>
      </c>
      <c r="DH70" s="145">
        <f t="shared" si="50"/>
        <v>0</v>
      </c>
      <c r="DI70" s="145">
        <f t="shared" si="50"/>
        <v>0</v>
      </c>
      <c r="DJ70" s="145">
        <f t="shared" si="50"/>
        <v>0</v>
      </c>
      <c r="DK70" s="145">
        <f t="shared" si="50"/>
        <v>0</v>
      </c>
      <c r="DL70" s="145">
        <f t="shared" si="50"/>
        <v>0</v>
      </c>
      <c r="DM70" s="145">
        <f t="shared" si="50"/>
        <v>0</v>
      </c>
      <c r="DN70" s="145">
        <f t="shared" si="50"/>
        <v>0</v>
      </c>
      <c r="DO70" s="145">
        <f t="shared" si="50"/>
        <v>0</v>
      </c>
      <c r="DP70" s="145">
        <f t="shared" si="50"/>
        <v>0</v>
      </c>
      <c r="DQ70" s="145">
        <f t="shared" si="50"/>
        <v>0</v>
      </c>
      <c r="DR70" s="145">
        <f t="shared" si="50"/>
        <v>0</v>
      </c>
      <c r="DS70" s="145">
        <f t="shared" si="50"/>
        <v>0</v>
      </c>
      <c r="DT70" s="145">
        <f t="shared" si="50"/>
        <v>0</v>
      </c>
      <c r="DU70" s="145">
        <f t="shared" si="50"/>
        <v>0</v>
      </c>
      <c r="DV70" s="145">
        <f t="shared" si="50"/>
        <v>0</v>
      </c>
      <c r="DW70" s="145">
        <f t="shared" si="50"/>
        <v>0</v>
      </c>
      <c r="DX70" s="145">
        <f t="shared" si="50"/>
        <v>0</v>
      </c>
      <c r="DY70" s="145">
        <f t="shared" si="50"/>
        <v>0</v>
      </c>
    </row>
    <row r="71" spans="1:129" s="130" customFormat="1" ht="11.7" customHeight="1" outlineLevel="1" x14ac:dyDescent="0.25">
      <c r="A71" s="3"/>
      <c r="B71" s="5"/>
      <c r="C71" s="5"/>
      <c r="D71" s="5"/>
      <c r="E71" s="5"/>
      <c r="F71" s="5"/>
      <c r="G71" s="5"/>
      <c r="H71" s="5"/>
      <c r="I71" s="802"/>
      <c r="J71" s="802"/>
      <c r="K71" s="802"/>
      <c r="L71" s="803"/>
      <c r="M71" s="803"/>
      <c r="N71" s="803"/>
      <c r="O71" s="146"/>
      <c r="P71" s="146"/>
      <c r="Q71" s="146"/>
      <c r="R71" s="146"/>
      <c r="S71" s="146"/>
      <c r="T71" s="146"/>
      <c r="U71" s="146"/>
      <c r="V71" s="146"/>
      <c r="W71" s="146"/>
      <c r="X71" s="146"/>
      <c r="Y71" s="146"/>
      <c r="Z71" s="146"/>
      <c r="AA71" s="146"/>
      <c r="AB71" s="146"/>
      <c r="AC71" s="146"/>
      <c r="AD71" s="146"/>
      <c r="AE71" s="146"/>
      <c r="AF71" s="146"/>
      <c r="AG71" s="146"/>
      <c r="AH71" s="146"/>
      <c r="AI71" s="146"/>
      <c r="AJ71" s="146"/>
      <c r="AK71" s="146"/>
      <c r="AL71" s="146"/>
      <c r="AM71" s="146"/>
      <c r="AN71" s="146"/>
      <c r="AO71" s="146"/>
      <c r="AP71" s="146"/>
      <c r="AQ71" s="146"/>
      <c r="AR71" s="146"/>
      <c r="AS71" s="146"/>
      <c r="AT71" s="146"/>
      <c r="AU71" s="146"/>
      <c r="AV71" s="146"/>
      <c r="AW71" s="146"/>
      <c r="AX71" s="146"/>
      <c r="AY71" s="146"/>
      <c r="AZ71" s="146"/>
      <c r="BA71" s="146"/>
      <c r="BB71" s="146"/>
      <c r="BC71" s="146"/>
      <c r="BD71" s="146"/>
      <c r="BE71" s="146"/>
      <c r="BF71" s="146"/>
      <c r="BG71" s="146"/>
      <c r="BH71" s="146"/>
      <c r="BI71" s="146"/>
      <c r="BJ71" s="146"/>
      <c r="BK71" s="146"/>
      <c r="BL71" s="146"/>
      <c r="BM71" s="146"/>
      <c r="BN71" s="146"/>
      <c r="BO71" s="146"/>
      <c r="BP71" s="146"/>
      <c r="BQ71" s="146"/>
      <c r="BR71" s="146"/>
      <c r="BS71" s="146"/>
      <c r="BT71" s="146"/>
      <c r="BU71" s="146"/>
      <c r="BV71" s="146"/>
      <c r="BW71" s="146"/>
      <c r="BX71" s="146"/>
      <c r="BY71" s="146"/>
      <c r="BZ71" s="146"/>
      <c r="CA71" s="146"/>
      <c r="CB71" s="146"/>
      <c r="CC71" s="146"/>
      <c r="CD71" s="146"/>
      <c r="CE71" s="146"/>
      <c r="CF71" s="146"/>
      <c r="CG71" s="146"/>
      <c r="CH71" s="146"/>
      <c r="CI71" s="146"/>
      <c r="CJ71" s="146"/>
      <c r="CK71" s="146"/>
      <c r="CL71" s="146"/>
      <c r="CM71" s="146"/>
      <c r="CN71" s="146"/>
      <c r="CO71" s="146"/>
      <c r="CP71" s="146"/>
      <c r="CQ71" s="146"/>
      <c r="CR71" s="146"/>
      <c r="CS71" s="146"/>
      <c r="CT71" s="146"/>
      <c r="CU71" s="146"/>
      <c r="CV71" s="146"/>
      <c r="CW71" s="146"/>
      <c r="CX71" s="146"/>
      <c r="CY71" s="146"/>
      <c r="CZ71" s="146"/>
      <c r="DA71" s="146"/>
      <c r="DB71" s="146"/>
      <c r="DC71" s="146"/>
      <c r="DD71" s="146"/>
      <c r="DE71" s="146"/>
      <c r="DF71" s="146"/>
      <c r="DG71" s="146"/>
      <c r="DH71" s="146"/>
      <c r="DI71" s="146"/>
      <c r="DJ71" s="146"/>
      <c r="DK71" s="146"/>
      <c r="DL71" s="146"/>
      <c r="DM71" s="146"/>
      <c r="DN71" s="146"/>
      <c r="DO71" s="146"/>
      <c r="DP71" s="146"/>
      <c r="DQ71" s="146"/>
      <c r="DR71" s="146"/>
      <c r="DS71" s="146"/>
      <c r="DT71" s="146"/>
      <c r="DU71" s="146"/>
      <c r="DV71" s="146"/>
      <c r="DW71" s="146"/>
      <c r="DX71" s="146"/>
      <c r="DY71" s="146"/>
    </row>
    <row r="72" spans="1:129" s="3" customFormat="1" ht="11.7" customHeight="1" x14ac:dyDescent="0.3">
      <c r="D72" s="142"/>
      <c r="E72" s="118"/>
      <c r="F72" s="118"/>
      <c r="G72" s="127"/>
      <c r="H72" s="127"/>
      <c r="I72" s="115"/>
      <c r="J72" s="115"/>
      <c r="K72" s="115"/>
      <c r="L72" s="115"/>
      <c r="M72" s="115"/>
      <c r="N72" s="115"/>
      <c r="O72" s="115"/>
      <c r="P72" s="115"/>
      <c r="Q72" s="115"/>
      <c r="R72" s="115"/>
      <c r="S72" s="115"/>
      <c r="T72" s="115"/>
      <c r="U72" s="115"/>
      <c r="V72" s="115"/>
      <c r="W72" s="115"/>
      <c r="X72" s="115"/>
      <c r="Y72" s="115"/>
      <c r="Z72" s="115"/>
      <c r="AA72" s="115"/>
      <c r="AB72" s="115"/>
      <c r="AC72" s="115"/>
      <c r="AD72" s="115"/>
      <c r="AE72" s="115"/>
      <c r="AF72" s="115"/>
      <c r="AG72" s="115"/>
      <c r="AH72" s="115"/>
      <c r="AI72" s="115"/>
      <c r="AJ72" s="115"/>
      <c r="AK72" s="115"/>
      <c r="AL72" s="115"/>
      <c r="AM72" s="115"/>
      <c r="AN72" s="115"/>
      <c r="AO72" s="115"/>
      <c r="AP72" s="115"/>
      <c r="AQ72" s="115"/>
      <c r="AR72" s="115"/>
      <c r="AS72" s="115"/>
      <c r="AT72" s="115"/>
      <c r="AU72" s="115"/>
      <c r="AV72" s="115"/>
      <c r="AW72" s="115"/>
      <c r="AX72" s="115"/>
      <c r="AY72" s="115"/>
      <c r="AZ72" s="115"/>
      <c r="BA72" s="115"/>
      <c r="BB72" s="115"/>
      <c r="BC72" s="115"/>
      <c r="BD72" s="115"/>
      <c r="BE72" s="115"/>
      <c r="BF72" s="115"/>
      <c r="BG72" s="115"/>
      <c r="BH72" s="115"/>
      <c r="BI72" s="115"/>
      <c r="BJ72" s="115"/>
      <c r="BK72" s="115"/>
      <c r="BL72" s="115"/>
      <c r="BM72" s="115"/>
      <c r="BN72" s="115"/>
      <c r="BO72" s="115"/>
      <c r="BP72" s="115"/>
      <c r="BQ72" s="115"/>
      <c r="BR72" s="115"/>
      <c r="BS72" s="115"/>
      <c r="BT72" s="115"/>
      <c r="BU72" s="115"/>
      <c r="BV72" s="115"/>
      <c r="BW72" s="115"/>
      <c r="BX72" s="115"/>
      <c r="BY72" s="115"/>
      <c r="BZ72" s="115"/>
      <c r="CA72" s="115"/>
      <c r="CB72" s="115"/>
      <c r="CC72" s="115"/>
      <c r="CD72" s="115"/>
      <c r="CE72" s="115"/>
      <c r="CF72" s="115"/>
      <c r="CG72" s="115"/>
      <c r="CH72" s="115"/>
      <c r="CI72" s="115"/>
      <c r="CJ72" s="115"/>
      <c r="CK72" s="115"/>
      <c r="CL72" s="115"/>
      <c r="CM72" s="115"/>
      <c r="CN72" s="115"/>
      <c r="CO72" s="115"/>
      <c r="CP72" s="115"/>
      <c r="CQ72" s="115"/>
      <c r="CR72" s="115"/>
      <c r="CS72" s="115"/>
      <c r="CT72" s="115"/>
      <c r="CU72" s="115"/>
      <c r="CV72" s="115"/>
      <c r="CW72" s="115"/>
      <c r="CX72" s="115"/>
      <c r="CY72" s="115"/>
      <c r="CZ72" s="115"/>
      <c r="DA72" s="115"/>
      <c r="DB72" s="115"/>
      <c r="DC72" s="115"/>
      <c r="DD72" s="115"/>
      <c r="DE72" s="115"/>
      <c r="DF72" s="115"/>
      <c r="DG72" s="115"/>
      <c r="DH72" s="115"/>
      <c r="DI72" s="115"/>
      <c r="DJ72" s="115"/>
      <c r="DK72" s="115"/>
      <c r="DL72" s="115"/>
      <c r="DM72" s="115"/>
      <c r="DN72" s="115"/>
      <c r="DO72" s="115"/>
      <c r="DP72" s="115"/>
      <c r="DQ72" s="115"/>
      <c r="DR72" s="115"/>
      <c r="DS72" s="115"/>
      <c r="DT72" s="115"/>
      <c r="DU72" s="115"/>
      <c r="DV72" s="115"/>
      <c r="DW72" s="115"/>
      <c r="DX72" s="115"/>
      <c r="DY72" s="115"/>
    </row>
    <row r="73" spans="1:129" s="3" customFormat="1" ht="11.7" customHeight="1" x14ac:dyDescent="0.3">
      <c r="B73" s="313" t="s">
        <v>392</v>
      </c>
      <c r="C73" s="313"/>
      <c r="D73" s="313"/>
      <c r="E73" s="313"/>
      <c r="F73" s="313"/>
      <c r="G73" s="313"/>
      <c r="H73" s="313"/>
      <c r="I73" s="313"/>
      <c r="J73" s="313"/>
      <c r="K73" s="313"/>
      <c r="L73" s="313"/>
      <c r="M73" s="313"/>
      <c r="N73" s="313"/>
      <c r="O73" s="313"/>
      <c r="P73" s="313"/>
      <c r="Q73" s="313"/>
      <c r="R73" s="313"/>
      <c r="S73" s="313"/>
      <c r="T73" s="313"/>
      <c r="U73" s="313"/>
      <c r="V73" s="313"/>
      <c r="W73" s="313"/>
      <c r="X73" s="313"/>
      <c r="Y73" s="313"/>
      <c r="Z73" s="313"/>
      <c r="AA73" s="313"/>
      <c r="AB73" s="313"/>
      <c r="AC73" s="313"/>
      <c r="AD73" s="313"/>
      <c r="AE73" s="313"/>
      <c r="AF73" s="313"/>
      <c r="AG73" s="313"/>
      <c r="AH73" s="313"/>
      <c r="AI73" s="313"/>
      <c r="AJ73" s="313"/>
      <c r="AK73" s="313"/>
      <c r="AL73" s="313"/>
      <c r="AM73" s="313"/>
      <c r="AN73" s="313"/>
      <c r="AO73" s="313"/>
      <c r="AP73" s="313"/>
      <c r="AQ73" s="313"/>
      <c r="AR73" s="313"/>
      <c r="AS73" s="313"/>
      <c r="AT73" s="313"/>
      <c r="AU73" s="313"/>
      <c r="AV73" s="313"/>
      <c r="AW73" s="313"/>
      <c r="AX73" s="313"/>
      <c r="AY73" s="313"/>
      <c r="AZ73" s="313"/>
      <c r="BA73" s="313"/>
      <c r="BB73" s="313"/>
      <c r="BC73" s="313"/>
      <c r="BD73" s="313"/>
      <c r="BE73" s="313"/>
      <c r="BF73" s="313"/>
      <c r="BG73" s="313"/>
      <c r="BH73" s="313"/>
      <c r="BI73" s="313"/>
      <c r="BJ73" s="313"/>
      <c r="BK73" s="313"/>
      <c r="BL73" s="313"/>
      <c r="BM73" s="313"/>
      <c r="BN73" s="313"/>
      <c r="BO73" s="313"/>
      <c r="BP73" s="313"/>
      <c r="BQ73" s="313"/>
      <c r="BR73" s="313"/>
      <c r="BS73" s="313"/>
      <c r="BT73" s="313"/>
      <c r="BU73" s="313"/>
      <c r="BV73" s="313"/>
      <c r="BW73" s="313"/>
      <c r="BX73" s="313"/>
      <c r="BY73" s="313"/>
      <c r="BZ73" s="313"/>
      <c r="CA73" s="313"/>
      <c r="CB73" s="313"/>
      <c r="CC73" s="313"/>
      <c r="CD73" s="313"/>
      <c r="CE73" s="313"/>
      <c r="CF73" s="313"/>
      <c r="CG73" s="313"/>
      <c r="CH73" s="313"/>
      <c r="CI73" s="313"/>
      <c r="CJ73" s="313"/>
      <c r="CK73" s="313"/>
      <c r="CL73" s="313"/>
      <c r="CM73" s="313"/>
      <c r="CN73" s="313"/>
      <c r="CO73" s="313"/>
      <c r="CP73" s="313"/>
      <c r="CQ73" s="313"/>
      <c r="CR73" s="313"/>
      <c r="CS73" s="313"/>
      <c r="CT73" s="313"/>
      <c r="CU73" s="313"/>
      <c r="CV73" s="313"/>
      <c r="CW73" s="313"/>
      <c r="CX73" s="313"/>
      <c r="CY73" s="313"/>
      <c r="CZ73" s="313"/>
      <c r="DA73" s="313"/>
      <c r="DB73" s="313"/>
      <c r="DC73" s="313"/>
      <c r="DD73" s="313"/>
      <c r="DE73" s="313"/>
      <c r="DF73" s="313"/>
      <c r="DG73" s="313"/>
      <c r="DH73" s="313"/>
      <c r="DI73" s="313"/>
      <c r="DJ73" s="313"/>
      <c r="DK73" s="313"/>
      <c r="DL73" s="313"/>
      <c r="DM73" s="313"/>
      <c r="DN73" s="313"/>
      <c r="DO73" s="313"/>
      <c r="DP73" s="313"/>
      <c r="DQ73" s="313"/>
      <c r="DR73" s="313"/>
      <c r="DS73" s="313"/>
      <c r="DT73" s="313"/>
      <c r="DU73" s="313"/>
      <c r="DV73" s="313"/>
      <c r="DW73" s="313"/>
      <c r="DX73" s="313"/>
      <c r="DY73" s="313"/>
    </row>
    <row r="74" spans="1:129" s="3" customFormat="1" ht="11.7" customHeight="1" x14ac:dyDescent="0.3">
      <c r="D74" s="142"/>
      <c r="E74" s="118"/>
      <c r="F74" s="118"/>
      <c r="G74" s="127"/>
      <c r="H74" s="127"/>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c r="CC74" s="115"/>
      <c r="CD74" s="115"/>
      <c r="CE74" s="115"/>
      <c r="CF74" s="115"/>
      <c r="CG74" s="115"/>
      <c r="CH74" s="115"/>
      <c r="CI74" s="115"/>
      <c r="CJ74" s="115"/>
      <c r="CK74" s="115"/>
      <c r="CL74" s="115"/>
      <c r="CM74" s="115"/>
      <c r="CN74" s="115"/>
      <c r="CO74" s="115"/>
      <c r="CP74" s="115"/>
      <c r="CQ74" s="115"/>
      <c r="CR74" s="115"/>
      <c r="CS74" s="115"/>
      <c r="CT74" s="115"/>
      <c r="CU74" s="115"/>
      <c r="CV74" s="115"/>
      <c r="CW74" s="115"/>
      <c r="CX74" s="115"/>
      <c r="CY74" s="115"/>
      <c r="CZ74" s="115"/>
      <c r="DA74" s="115"/>
      <c r="DB74" s="115"/>
      <c r="DC74" s="115"/>
      <c r="DD74" s="115"/>
      <c r="DE74" s="115"/>
      <c r="DF74" s="115"/>
      <c r="DG74" s="115"/>
      <c r="DH74" s="115"/>
      <c r="DI74" s="115"/>
      <c r="DJ74" s="115"/>
      <c r="DK74" s="115"/>
      <c r="DL74" s="115"/>
      <c r="DM74" s="115"/>
      <c r="DN74" s="115"/>
      <c r="DO74" s="115"/>
      <c r="DP74" s="115"/>
      <c r="DQ74" s="115"/>
      <c r="DR74" s="115"/>
      <c r="DS74" s="115"/>
      <c r="DT74" s="115"/>
      <c r="DU74" s="115"/>
      <c r="DV74" s="115"/>
      <c r="DW74" s="115"/>
      <c r="DX74" s="115"/>
      <c r="DY74" s="115"/>
    </row>
    <row r="75" spans="1:129" s="3" customFormat="1" ht="11.7" customHeight="1" x14ac:dyDescent="0.3">
      <c r="A75" s="13"/>
      <c r="B75" s="340" t="s">
        <v>44</v>
      </c>
      <c r="C75" s="340"/>
      <c r="D75" s="339"/>
      <c r="E75" s="339"/>
      <c r="F75" s="339"/>
      <c r="G75" s="339"/>
      <c r="H75" s="339"/>
      <c r="I75" s="339"/>
      <c r="J75" s="339"/>
      <c r="K75" s="339"/>
      <c r="L75" s="703"/>
      <c r="M75" s="339"/>
      <c r="N75" s="339"/>
      <c r="O75" s="339"/>
      <c r="P75" s="339"/>
      <c r="Q75" s="339"/>
      <c r="R75" s="339"/>
      <c r="S75" s="339"/>
      <c r="T75" s="339"/>
      <c r="U75" s="339"/>
      <c r="V75" s="339"/>
      <c r="W75" s="339"/>
      <c r="X75" s="339"/>
      <c r="Y75" s="339"/>
      <c r="Z75" s="339"/>
      <c r="AA75" s="339"/>
      <c r="AB75" s="339"/>
      <c r="AC75" s="339"/>
      <c r="AD75" s="339"/>
      <c r="AE75" s="339"/>
      <c r="AF75" s="339"/>
      <c r="AG75" s="339"/>
      <c r="AH75" s="339"/>
      <c r="AI75" s="339"/>
      <c r="AJ75" s="339"/>
      <c r="AK75" s="339"/>
      <c r="AL75" s="339"/>
      <c r="AM75" s="339"/>
      <c r="AN75" s="339"/>
      <c r="AO75" s="339"/>
      <c r="AP75" s="339"/>
      <c r="AQ75" s="339"/>
      <c r="AR75" s="339"/>
      <c r="AS75" s="339"/>
      <c r="AT75" s="339"/>
      <c r="AU75" s="339"/>
      <c r="AV75" s="339"/>
      <c r="AW75" s="339"/>
      <c r="AX75" s="339"/>
      <c r="AY75" s="339"/>
      <c r="AZ75" s="339"/>
      <c r="BA75" s="339"/>
      <c r="BB75" s="339"/>
      <c r="BC75" s="339"/>
      <c r="BD75" s="339"/>
      <c r="BE75" s="339"/>
      <c r="BF75" s="339"/>
      <c r="BG75" s="339"/>
      <c r="BH75" s="339"/>
      <c r="BI75" s="339"/>
      <c r="BJ75" s="339"/>
      <c r="BK75" s="339"/>
      <c r="BL75" s="339"/>
      <c r="BM75" s="339"/>
      <c r="BN75" s="339"/>
      <c r="BO75" s="339"/>
      <c r="BP75" s="339"/>
      <c r="BQ75" s="339"/>
      <c r="BR75" s="339"/>
      <c r="BS75" s="339"/>
      <c r="BT75" s="339"/>
      <c r="BU75" s="339"/>
      <c r="BV75" s="339"/>
      <c r="BW75" s="339"/>
      <c r="BX75" s="339"/>
      <c r="BY75" s="339"/>
      <c r="BZ75" s="339"/>
      <c r="CA75" s="339"/>
      <c r="CB75" s="339"/>
      <c r="CC75" s="339"/>
      <c r="CD75" s="339"/>
      <c r="CE75" s="339"/>
      <c r="CF75" s="339"/>
      <c r="CG75" s="339"/>
      <c r="CH75" s="339"/>
      <c r="CI75" s="339"/>
      <c r="CJ75" s="339"/>
      <c r="CK75" s="339"/>
      <c r="CL75" s="339"/>
      <c r="CM75" s="339"/>
      <c r="CN75" s="339"/>
      <c r="CO75" s="339"/>
      <c r="CP75" s="339"/>
      <c r="CQ75" s="339"/>
      <c r="CR75" s="339"/>
      <c r="CS75" s="339"/>
      <c r="CT75" s="339"/>
      <c r="CU75" s="339"/>
      <c r="CV75" s="339"/>
      <c r="CW75" s="339"/>
      <c r="CX75" s="339"/>
      <c r="CY75" s="339"/>
      <c r="CZ75" s="339"/>
      <c r="DA75" s="339"/>
      <c r="DB75" s="339"/>
      <c r="DC75" s="339"/>
      <c r="DD75" s="339"/>
      <c r="DE75" s="339"/>
      <c r="DF75" s="339"/>
      <c r="DG75" s="339"/>
      <c r="DH75" s="339"/>
      <c r="DI75" s="339"/>
      <c r="DJ75" s="339"/>
      <c r="DK75" s="339"/>
      <c r="DL75" s="339"/>
      <c r="DM75" s="339"/>
      <c r="DN75" s="339"/>
      <c r="DO75" s="339"/>
      <c r="DP75" s="339"/>
      <c r="DQ75" s="339"/>
      <c r="DR75" s="339"/>
      <c r="DS75" s="339"/>
      <c r="DT75" s="339"/>
      <c r="DU75" s="339"/>
      <c r="DV75" s="339"/>
      <c r="DW75" s="339"/>
      <c r="DX75" s="339"/>
      <c r="DY75" s="339"/>
    </row>
    <row r="76" spans="1:129" s="3" customFormat="1" ht="11.7" customHeight="1" outlineLevel="1" x14ac:dyDescent="0.3">
      <c r="A76" s="83"/>
      <c r="B76" s="125"/>
      <c r="C76" s="125"/>
      <c r="G76" s="127"/>
      <c r="H76" s="127"/>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c r="AH76" s="111"/>
      <c r="AI76" s="111"/>
      <c r="AJ76" s="111"/>
      <c r="AK76" s="111"/>
      <c r="AL76" s="111"/>
      <c r="AM76" s="111"/>
      <c r="AN76" s="111"/>
      <c r="AO76" s="111"/>
      <c r="AP76" s="111"/>
      <c r="AQ76" s="111"/>
      <c r="AR76" s="111"/>
      <c r="AS76" s="111"/>
      <c r="AT76" s="111"/>
      <c r="AU76" s="111"/>
      <c r="AV76" s="111"/>
      <c r="AW76" s="111"/>
      <c r="AX76" s="111"/>
      <c r="AY76" s="111"/>
      <c r="AZ76" s="111"/>
      <c r="BA76" s="111"/>
      <c r="BB76" s="111"/>
      <c r="BC76" s="111"/>
      <c r="BD76" s="111"/>
      <c r="BE76" s="111"/>
      <c r="BF76" s="111"/>
      <c r="BG76" s="111"/>
      <c r="BH76" s="111"/>
      <c r="BI76" s="111"/>
      <c r="BJ76" s="111"/>
      <c r="BK76" s="111"/>
      <c r="BL76" s="111"/>
      <c r="BM76" s="111"/>
      <c r="BN76" s="111"/>
      <c r="BO76" s="111"/>
      <c r="BP76" s="111"/>
      <c r="BQ76" s="111"/>
      <c r="BR76" s="111"/>
      <c r="BS76" s="111"/>
      <c r="BT76" s="111"/>
      <c r="BU76" s="111"/>
      <c r="BV76" s="111"/>
      <c r="BW76" s="111"/>
      <c r="BX76" s="111"/>
      <c r="BY76" s="111"/>
      <c r="BZ76" s="111"/>
      <c r="CA76" s="111"/>
      <c r="CB76" s="111"/>
      <c r="CC76" s="111"/>
      <c r="CD76" s="111"/>
      <c r="CE76" s="111"/>
      <c r="CF76" s="111"/>
      <c r="CG76" s="111"/>
      <c r="CH76" s="111"/>
      <c r="CI76" s="111"/>
      <c r="CJ76" s="111"/>
      <c r="CK76" s="111"/>
      <c r="CL76" s="111"/>
      <c r="CM76" s="111"/>
      <c r="CN76" s="111"/>
      <c r="CO76" s="111"/>
      <c r="CP76" s="111"/>
      <c r="CQ76" s="111"/>
      <c r="CR76" s="111"/>
      <c r="CS76" s="111"/>
      <c r="CT76" s="111"/>
      <c r="CU76" s="111"/>
      <c r="CV76" s="111"/>
      <c r="CW76" s="111"/>
      <c r="CX76" s="111"/>
      <c r="CY76" s="111"/>
      <c r="CZ76" s="111"/>
      <c r="DA76" s="111"/>
      <c r="DB76" s="111"/>
      <c r="DC76" s="111"/>
      <c r="DD76" s="111"/>
      <c r="DE76" s="111"/>
      <c r="DF76" s="111"/>
      <c r="DG76" s="111"/>
      <c r="DH76" s="111"/>
      <c r="DI76" s="111"/>
      <c r="DJ76" s="111"/>
      <c r="DK76" s="111"/>
      <c r="DL76" s="111"/>
      <c r="DM76" s="111"/>
      <c r="DN76" s="111"/>
      <c r="DO76" s="111"/>
      <c r="DP76" s="111"/>
      <c r="DQ76" s="111"/>
      <c r="DR76" s="111"/>
      <c r="DS76" s="111"/>
      <c r="DT76" s="111"/>
      <c r="DU76" s="111"/>
      <c r="DV76" s="111"/>
      <c r="DW76" s="111"/>
      <c r="DX76" s="111"/>
      <c r="DY76" s="111"/>
    </row>
    <row r="77" spans="1:129" s="3" customFormat="1" ht="11.7" customHeight="1" outlineLevel="1" x14ac:dyDescent="0.3">
      <c r="A77" s="85"/>
      <c r="B77" s="195" t="s">
        <v>23</v>
      </c>
      <c r="C77" s="195"/>
      <c r="E77" s="118"/>
      <c r="F77" s="118"/>
      <c r="G77" s="127"/>
      <c r="H77" s="127"/>
      <c r="I77" s="115"/>
      <c r="J77" s="115"/>
      <c r="K77" s="115"/>
      <c r="L77" s="115"/>
      <c r="M77" s="115"/>
      <c r="N77" s="115"/>
      <c r="O77" s="115"/>
      <c r="P77" s="115"/>
      <c r="Q77" s="115"/>
      <c r="R77" s="115"/>
      <c r="S77" s="115"/>
      <c r="T77" s="115"/>
      <c r="U77" s="115"/>
      <c r="V77" s="115"/>
      <c r="W77" s="115"/>
      <c r="X77" s="115"/>
      <c r="Y77" s="115"/>
      <c r="Z77" s="115"/>
      <c r="AA77" s="115"/>
      <c r="AB77" s="115"/>
      <c r="AC77" s="115"/>
      <c r="AD77" s="115"/>
      <c r="AE77" s="115"/>
      <c r="AF77" s="115"/>
      <c r="AG77" s="115"/>
      <c r="AH77" s="115"/>
      <c r="AI77" s="115"/>
      <c r="AJ77" s="115"/>
      <c r="AK77" s="115"/>
      <c r="AL77" s="115"/>
      <c r="AM77" s="115"/>
      <c r="AN77" s="115"/>
      <c r="AO77" s="115"/>
      <c r="AP77" s="115"/>
      <c r="AQ77" s="115"/>
      <c r="AR77" s="115"/>
      <c r="AS77" s="115"/>
      <c r="AT77" s="115"/>
      <c r="AU77" s="115"/>
      <c r="AV77" s="115"/>
      <c r="AW77" s="115"/>
      <c r="AX77" s="115"/>
      <c r="AY77" s="115"/>
      <c r="AZ77" s="115"/>
      <c r="BA77" s="115"/>
      <c r="BB77" s="115"/>
      <c r="BC77" s="115"/>
      <c r="BD77" s="115"/>
      <c r="BE77" s="115"/>
      <c r="BF77" s="115"/>
      <c r="BG77" s="115"/>
      <c r="BH77" s="115"/>
      <c r="BI77" s="115"/>
      <c r="BJ77" s="115"/>
      <c r="BK77" s="115"/>
      <c r="BL77" s="115"/>
      <c r="BM77" s="115"/>
      <c r="BN77" s="115"/>
      <c r="BO77" s="1178"/>
      <c r="BP77" s="115"/>
      <c r="BQ77" s="115"/>
      <c r="BR77" s="115"/>
      <c r="BS77" s="115"/>
      <c r="BT77" s="115"/>
      <c r="BU77" s="115"/>
      <c r="BV77" s="115"/>
      <c r="BW77" s="115"/>
      <c r="BX77" s="115"/>
      <c r="BY77" s="115"/>
      <c r="BZ77" s="115"/>
      <c r="CA77" s="115"/>
      <c r="CB77" s="115"/>
      <c r="CC77" s="115"/>
      <c r="CD77" s="115"/>
      <c r="CE77" s="115"/>
      <c r="CF77" s="115"/>
      <c r="CG77" s="115"/>
      <c r="CH77" s="115"/>
      <c r="CI77" s="115"/>
      <c r="CJ77" s="115"/>
      <c r="CK77" s="115"/>
      <c r="CL77" s="115"/>
      <c r="CM77" s="115"/>
      <c r="CN77" s="115"/>
      <c r="CO77" s="115"/>
      <c r="CP77" s="115"/>
      <c r="CQ77" s="115"/>
      <c r="CR77" s="115"/>
      <c r="CS77" s="115"/>
      <c r="CT77" s="115"/>
      <c r="CU77" s="115"/>
      <c r="CV77" s="115"/>
      <c r="CW77" s="115"/>
      <c r="CX77" s="115"/>
      <c r="CY77" s="115"/>
      <c r="CZ77" s="115"/>
      <c r="DA77" s="115"/>
      <c r="DB77" s="115"/>
      <c r="DC77" s="115"/>
      <c r="DD77" s="115"/>
      <c r="DE77" s="115"/>
      <c r="DF77" s="115"/>
      <c r="DG77" s="115"/>
      <c r="DH77" s="115"/>
      <c r="DI77" s="115"/>
      <c r="DJ77" s="115"/>
      <c r="DK77" s="115"/>
      <c r="DL77" s="115"/>
      <c r="DM77" s="115"/>
      <c r="DN77" s="115"/>
      <c r="DO77" s="115"/>
      <c r="DP77" s="115"/>
      <c r="DQ77" s="115"/>
      <c r="DR77" s="115"/>
      <c r="DS77" s="115"/>
      <c r="DT77" s="115"/>
      <c r="DU77" s="115"/>
      <c r="DV77" s="115"/>
      <c r="DW77" s="115"/>
      <c r="DX77" s="115"/>
      <c r="DY77" s="115"/>
    </row>
    <row r="78" spans="1:129" s="130" customFormat="1" ht="11.7" customHeight="1" outlineLevel="1" x14ac:dyDescent="0.3">
      <c r="A78" s="85"/>
      <c r="B78" s="116" t="s">
        <v>192</v>
      </c>
      <c r="C78" s="116"/>
      <c r="D78" s="63"/>
      <c r="E78" s="63"/>
      <c r="F78" s="63"/>
      <c r="G78" s="147"/>
      <c r="H78" s="147"/>
      <c r="I78" s="148">
        <f>+H81</f>
        <v>0</v>
      </c>
      <c r="J78" s="148">
        <f t="shared" ref="J78:BU78" si="51">+I81</f>
        <v>0</v>
      </c>
      <c r="K78" s="148">
        <f t="shared" si="51"/>
        <v>0</v>
      </c>
      <c r="L78" s="148">
        <f t="shared" si="51"/>
        <v>0</v>
      </c>
      <c r="M78" s="148">
        <f t="shared" si="51"/>
        <v>0</v>
      </c>
      <c r="N78" s="148">
        <f t="shared" si="51"/>
        <v>0</v>
      </c>
      <c r="O78" s="148">
        <f t="shared" si="51"/>
        <v>0</v>
      </c>
      <c r="P78" s="148">
        <f t="shared" si="51"/>
        <v>0</v>
      </c>
      <c r="Q78" s="148">
        <f t="shared" si="51"/>
        <v>0</v>
      </c>
      <c r="R78" s="148">
        <f t="shared" si="51"/>
        <v>0</v>
      </c>
      <c r="S78" s="148">
        <f t="shared" si="51"/>
        <v>0</v>
      </c>
      <c r="T78" s="148">
        <f t="shared" si="51"/>
        <v>0</v>
      </c>
      <c r="U78" s="148">
        <f t="shared" si="51"/>
        <v>0</v>
      </c>
      <c r="V78" s="148">
        <f t="shared" si="51"/>
        <v>0</v>
      </c>
      <c r="W78" s="148">
        <f t="shared" si="51"/>
        <v>0</v>
      </c>
      <c r="X78" s="148">
        <f t="shared" si="51"/>
        <v>0</v>
      </c>
      <c r="Y78" s="148">
        <f t="shared" si="51"/>
        <v>0</v>
      </c>
      <c r="Z78" s="148">
        <f t="shared" si="51"/>
        <v>0</v>
      </c>
      <c r="AA78" s="148">
        <f t="shared" si="51"/>
        <v>0</v>
      </c>
      <c r="AB78" s="148">
        <f t="shared" si="51"/>
        <v>0</v>
      </c>
      <c r="AC78" s="148">
        <f t="shared" si="51"/>
        <v>0</v>
      </c>
      <c r="AD78" s="148">
        <f t="shared" si="51"/>
        <v>0</v>
      </c>
      <c r="AE78" s="148">
        <f t="shared" si="51"/>
        <v>0</v>
      </c>
      <c r="AF78" s="148">
        <f t="shared" si="51"/>
        <v>0</v>
      </c>
      <c r="AG78" s="148">
        <f t="shared" si="51"/>
        <v>0</v>
      </c>
      <c r="AH78" s="148">
        <f t="shared" si="51"/>
        <v>0</v>
      </c>
      <c r="AI78" s="148">
        <f t="shared" si="51"/>
        <v>0</v>
      </c>
      <c r="AJ78" s="148">
        <f t="shared" si="51"/>
        <v>0</v>
      </c>
      <c r="AK78" s="148">
        <f t="shared" si="51"/>
        <v>0</v>
      </c>
      <c r="AL78" s="148">
        <f t="shared" si="51"/>
        <v>0</v>
      </c>
      <c r="AM78" s="148">
        <f t="shared" si="51"/>
        <v>0</v>
      </c>
      <c r="AN78" s="148">
        <f t="shared" si="51"/>
        <v>0</v>
      </c>
      <c r="AO78" s="148">
        <f t="shared" si="51"/>
        <v>0</v>
      </c>
      <c r="AP78" s="148">
        <f t="shared" si="51"/>
        <v>0</v>
      </c>
      <c r="AQ78" s="148">
        <f t="shared" si="51"/>
        <v>0</v>
      </c>
      <c r="AR78" s="148">
        <f t="shared" si="51"/>
        <v>0</v>
      </c>
      <c r="AS78" s="148">
        <f t="shared" si="51"/>
        <v>0</v>
      </c>
      <c r="AT78" s="148">
        <f t="shared" si="51"/>
        <v>0</v>
      </c>
      <c r="AU78" s="148">
        <f t="shared" si="51"/>
        <v>0</v>
      </c>
      <c r="AV78" s="148">
        <f t="shared" si="51"/>
        <v>0</v>
      </c>
      <c r="AW78" s="148">
        <f t="shared" si="51"/>
        <v>0</v>
      </c>
      <c r="AX78" s="148">
        <f t="shared" si="51"/>
        <v>0</v>
      </c>
      <c r="AY78" s="148">
        <f t="shared" si="51"/>
        <v>0</v>
      </c>
      <c r="AZ78" s="148">
        <f t="shared" si="51"/>
        <v>0</v>
      </c>
      <c r="BA78" s="148">
        <f t="shared" si="51"/>
        <v>0</v>
      </c>
      <c r="BB78" s="148">
        <f t="shared" si="51"/>
        <v>0</v>
      </c>
      <c r="BC78" s="148">
        <f t="shared" si="51"/>
        <v>0</v>
      </c>
      <c r="BD78" s="148">
        <f t="shared" si="51"/>
        <v>0</v>
      </c>
      <c r="BE78" s="148">
        <f t="shared" si="51"/>
        <v>0</v>
      </c>
      <c r="BF78" s="148">
        <f t="shared" si="51"/>
        <v>0</v>
      </c>
      <c r="BG78" s="148">
        <f t="shared" si="51"/>
        <v>0</v>
      </c>
      <c r="BH78" s="148">
        <f t="shared" si="51"/>
        <v>0</v>
      </c>
      <c r="BI78" s="148">
        <f t="shared" si="51"/>
        <v>0</v>
      </c>
      <c r="BJ78" s="148">
        <f>+BI81</f>
        <v>23</v>
      </c>
      <c r="BK78" s="148">
        <f t="shared" ca="1" si="51"/>
        <v>56</v>
      </c>
      <c r="BL78" s="148">
        <f t="shared" ca="1" si="51"/>
        <v>93</v>
      </c>
      <c r="BM78" s="148">
        <f ca="1">+BL81</f>
        <v>90</v>
      </c>
      <c r="BN78" s="148">
        <f t="shared" ca="1" si="51"/>
        <v>93</v>
      </c>
      <c r="BO78" s="148">
        <f t="shared" ca="1" si="51"/>
        <v>94</v>
      </c>
      <c r="BP78" s="148">
        <f t="shared" ca="1" si="51"/>
        <v>94</v>
      </c>
      <c r="BQ78" s="148">
        <f t="shared" ca="1" si="51"/>
        <v>98</v>
      </c>
      <c r="BR78" s="148">
        <f t="shared" ca="1" si="51"/>
        <v>102</v>
      </c>
      <c r="BS78" s="148">
        <f t="shared" ca="1" si="51"/>
        <v>100</v>
      </c>
      <c r="BT78" s="148">
        <f t="shared" ca="1" si="51"/>
        <v>112</v>
      </c>
      <c r="BU78" s="148">
        <f t="shared" ca="1" si="51"/>
        <v>111</v>
      </c>
      <c r="BV78" s="148">
        <f t="shared" ref="BV78:DW78" ca="1" si="52">+BU81</f>
        <v>108</v>
      </c>
      <c r="BW78" s="148">
        <f t="shared" ca="1" si="52"/>
        <v>113</v>
      </c>
      <c r="BX78" s="148">
        <f t="shared" ca="1" si="52"/>
        <v>121</v>
      </c>
      <c r="BY78" s="148">
        <f t="shared" ca="1" si="52"/>
        <v>122</v>
      </c>
      <c r="BZ78" s="148">
        <f t="shared" ca="1" si="52"/>
        <v>121</v>
      </c>
      <c r="CA78" s="148">
        <f t="shared" ca="1" si="52"/>
        <v>131</v>
      </c>
      <c r="CB78" s="148">
        <f t="shared" ca="1" si="52"/>
        <v>134</v>
      </c>
      <c r="CC78" s="148">
        <f t="shared" ca="1" si="52"/>
        <v>134</v>
      </c>
      <c r="CD78" s="148">
        <f t="shared" ca="1" si="52"/>
        <v>134</v>
      </c>
      <c r="CE78" s="148">
        <f t="shared" ca="1" si="52"/>
        <v>134</v>
      </c>
      <c r="CF78" s="148">
        <f t="shared" ca="1" si="52"/>
        <v>134</v>
      </c>
      <c r="CG78" s="148">
        <f t="shared" ca="1" si="52"/>
        <v>134</v>
      </c>
      <c r="CH78" s="148">
        <f t="shared" ca="1" si="52"/>
        <v>134</v>
      </c>
      <c r="CI78" s="148">
        <f t="shared" ca="1" si="52"/>
        <v>134</v>
      </c>
      <c r="CJ78" s="148">
        <f t="shared" ca="1" si="52"/>
        <v>134</v>
      </c>
      <c r="CK78" s="148">
        <f t="shared" ca="1" si="52"/>
        <v>134</v>
      </c>
      <c r="CL78" s="148">
        <f t="shared" ca="1" si="52"/>
        <v>134</v>
      </c>
      <c r="CM78" s="148">
        <f t="shared" ca="1" si="52"/>
        <v>134</v>
      </c>
      <c r="CN78" s="148">
        <f t="shared" ca="1" si="52"/>
        <v>134</v>
      </c>
      <c r="CO78" s="148">
        <f t="shared" ca="1" si="52"/>
        <v>134</v>
      </c>
      <c r="CP78" s="148">
        <f t="shared" ca="1" si="52"/>
        <v>134</v>
      </c>
      <c r="CQ78" s="148">
        <f t="shared" ca="1" si="52"/>
        <v>134</v>
      </c>
      <c r="CR78" s="148">
        <f t="shared" ca="1" si="52"/>
        <v>134</v>
      </c>
      <c r="CS78" s="148">
        <f t="shared" ca="1" si="52"/>
        <v>134</v>
      </c>
      <c r="CT78" s="148">
        <f t="shared" ca="1" si="52"/>
        <v>134</v>
      </c>
      <c r="CU78" s="148">
        <f t="shared" ca="1" si="52"/>
        <v>134</v>
      </c>
      <c r="CV78" s="148">
        <f t="shared" ca="1" si="52"/>
        <v>134</v>
      </c>
      <c r="CW78" s="148">
        <f t="shared" ca="1" si="52"/>
        <v>134</v>
      </c>
      <c r="CX78" s="148">
        <f t="shared" ca="1" si="52"/>
        <v>134</v>
      </c>
      <c r="CY78" s="148">
        <f t="shared" ca="1" si="52"/>
        <v>134</v>
      </c>
      <c r="CZ78" s="148">
        <f t="shared" ca="1" si="52"/>
        <v>134</v>
      </c>
      <c r="DA78" s="148">
        <f t="shared" ca="1" si="52"/>
        <v>134</v>
      </c>
      <c r="DB78" s="148">
        <f t="shared" ca="1" si="52"/>
        <v>134</v>
      </c>
      <c r="DC78" s="148">
        <f t="shared" ca="1" si="52"/>
        <v>134</v>
      </c>
      <c r="DD78" s="148">
        <f t="shared" ca="1" si="52"/>
        <v>134</v>
      </c>
      <c r="DE78" s="148">
        <f t="shared" ca="1" si="52"/>
        <v>134</v>
      </c>
      <c r="DF78" s="148">
        <f t="shared" ca="1" si="52"/>
        <v>134</v>
      </c>
      <c r="DG78" s="148">
        <f t="shared" ca="1" si="52"/>
        <v>134</v>
      </c>
      <c r="DH78" s="148">
        <f t="shared" ca="1" si="52"/>
        <v>134</v>
      </c>
      <c r="DI78" s="148">
        <f t="shared" ca="1" si="52"/>
        <v>134</v>
      </c>
      <c r="DJ78" s="148">
        <f t="shared" ca="1" si="52"/>
        <v>134</v>
      </c>
      <c r="DK78" s="148">
        <f t="shared" ca="1" si="52"/>
        <v>134</v>
      </c>
      <c r="DL78" s="148">
        <f t="shared" ca="1" si="52"/>
        <v>134</v>
      </c>
      <c r="DM78" s="148">
        <f t="shared" ca="1" si="52"/>
        <v>134</v>
      </c>
      <c r="DN78" s="148">
        <f t="shared" ca="1" si="52"/>
        <v>134</v>
      </c>
      <c r="DO78" s="148">
        <f t="shared" ca="1" si="52"/>
        <v>134</v>
      </c>
      <c r="DP78" s="148">
        <f t="shared" ca="1" si="52"/>
        <v>134</v>
      </c>
      <c r="DQ78" s="148">
        <f t="shared" ca="1" si="52"/>
        <v>134</v>
      </c>
      <c r="DR78" s="148">
        <f t="shared" ca="1" si="52"/>
        <v>134</v>
      </c>
      <c r="DS78" s="148">
        <f t="shared" ca="1" si="52"/>
        <v>134</v>
      </c>
      <c r="DT78" s="148">
        <f t="shared" ca="1" si="52"/>
        <v>134</v>
      </c>
      <c r="DU78" s="148">
        <f t="shared" ca="1" si="52"/>
        <v>134</v>
      </c>
      <c r="DV78" s="148">
        <f t="shared" ca="1" si="52"/>
        <v>134</v>
      </c>
      <c r="DW78" s="148">
        <f t="shared" ca="1" si="52"/>
        <v>134</v>
      </c>
      <c r="DX78" s="148">
        <f t="shared" ref="DX78" ca="1" si="53">+DW81</f>
        <v>134</v>
      </c>
      <c r="DY78" s="148">
        <f t="shared" ref="DY78" ca="1" si="54">+DX81</f>
        <v>134</v>
      </c>
    </row>
    <row r="79" spans="1:129" s="130" customFormat="1" ht="11.7" customHeight="1" outlineLevel="1" x14ac:dyDescent="0.25">
      <c r="A79" s="85"/>
      <c r="B79" s="196" t="s">
        <v>193</v>
      </c>
      <c r="C79" s="196"/>
      <c r="D79" s="324">
        <f ca="1">+Inputs!$G$45</f>
        <v>0</v>
      </c>
      <c r="E79" s="292">
        <f>+EOMONTH(Inputs!$F$45,1)</f>
        <v>59</v>
      </c>
      <c r="F79" s="150"/>
      <c r="G79" s="127"/>
      <c r="H79" s="290">
        <f ca="1">+SUM(I79:DY79)</f>
        <v>0</v>
      </c>
      <c r="I79" s="1094">
        <v>0</v>
      </c>
      <c r="J79" s="1094">
        <v>0</v>
      </c>
      <c r="K79" s="1094">
        <v>0</v>
      </c>
      <c r="L79" s="1094">
        <v>0</v>
      </c>
      <c r="M79" s="1094">
        <v>0</v>
      </c>
      <c r="N79" s="1094">
        <v>0</v>
      </c>
      <c r="O79" s="1094">
        <v>0</v>
      </c>
      <c r="P79" s="1094">
        <v>0</v>
      </c>
      <c r="Q79" s="1094">
        <v>0</v>
      </c>
      <c r="R79" s="1094">
        <v>0</v>
      </c>
      <c r="S79" s="1094">
        <v>0</v>
      </c>
      <c r="T79" s="1094">
        <v>0</v>
      </c>
      <c r="U79" s="1094">
        <v>0</v>
      </c>
      <c r="V79" s="1094">
        <v>0</v>
      </c>
      <c r="W79" s="1094">
        <v>0</v>
      </c>
      <c r="X79" s="1094">
        <v>0</v>
      </c>
      <c r="Y79" s="1094">
        <v>0</v>
      </c>
      <c r="Z79" s="1094">
        <v>0</v>
      </c>
      <c r="AA79" s="1094">
        <v>0</v>
      </c>
      <c r="AB79" s="1094">
        <v>0</v>
      </c>
      <c r="AC79" s="1094">
        <v>0</v>
      </c>
      <c r="AD79" s="1094">
        <v>0</v>
      </c>
      <c r="AE79" s="1094">
        <v>0</v>
      </c>
      <c r="AF79" s="1094">
        <v>0</v>
      </c>
      <c r="AG79" s="1094">
        <v>0</v>
      </c>
      <c r="AH79" s="1094">
        <v>0</v>
      </c>
      <c r="AI79" s="1094">
        <v>0</v>
      </c>
      <c r="AJ79" s="1094">
        <v>0</v>
      </c>
      <c r="AK79" s="1094">
        <v>0</v>
      </c>
      <c r="AL79" s="1094">
        <v>0</v>
      </c>
      <c r="AM79" s="1094">
        <v>0</v>
      </c>
      <c r="AN79" s="1094">
        <v>0</v>
      </c>
      <c r="AO79" s="1094">
        <v>0</v>
      </c>
      <c r="AP79" s="1094">
        <v>0</v>
      </c>
      <c r="AQ79" s="1094">
        <v>0</v>
      </c>
      <c r="AR79" s="1094">
        <v>0</v>
      </c>
      <c r="AS79" s="1094">
        <v>0</v>
      </c>
      <c r="AT79" s="1094">
        <v>0</v>
      </c>
      <c r="AU79" s="1094">
        <v>0</v>
      </c>
      <c r="AV79" s="1094">
        <v>0</v>
      </c>
      <c r="AW79" s="1094">
        <v>0</v>
      </c>
      <c r="AX79" s="1094">
        <v>0</v>
      </c>
      <c r="AY79" s="1094">
        <v>0</v>
      </c>
      <c r="AZ79" s="1094">
        <v>0</v>
      </c>
      <c r="BA79" s="1094">
        <v>0</v>
      </c>
      <c r="BB79" s="1094">
        <v>0</v>
      </c>
      <c r="BC79" s="1094">
        <v>0</v>
      </c>
      <c r="BD79" s="1094">
        <v>0</v>
      </c>
      <c r="BE79" s="1094">
        <v>0</v>
      </c>
      <c r="BF79" s="1094">
        <v>0</v>
      </c>
      <c r="BG79" s="1094">
        <v>0</v>
      </c>
      <c r="BH79" s="1094">
        <v>0</v>
      </c>
      <c r="BI79" s="1094">
        <v>0</v>
      </c>
      <c r="BJ79" s="151">
        <f t="shared" ref="BJ79:CN79" ca="1" si="55">+$D$79*(BJ$7=$E$79)</f>
        <v>0</v>
      </c>
      <c r="BK79" s="151">
        <f t="shared" ca="1" si="55"/>
        <v>0</v>
      </c>
      <c r="BL79" s="151">
        <f t="shared" ca="1" si="55"/>
        <v>0</v>
      </c>
      <c r="BM79" s="151">
        <f ca="1">+$D$79*(BM$7=$E$79)</f>
        <v>0</v>
      </c>
      <c r="BN79" s="151">
        <f t="shared" ca="1" si="55"/>
        <v>0</v>
      </c>
      <c r="BO79" s="151">
        <f t="shared" ca="1" si="55"/>
        <v>0</v>
      </c>
      <c r="BP79" s="151">
        <f t="shared" ca="1" si="55"/>
        <v>0</v>
      </c>
      <c r="BQ79" s="151">
        <f t="shared" ca="1" si="55"/>
        <v>0</v>
      </c>
      <c r="BR79" s="151">
        <f t="shared" ca="1" si="55"/>
        <v>0</v>
      </c>
      <c r="BS79" s="151">
        <f t="shared" ca="1" si="55"/>
        <v>0</v>
      </c>
      <c r="BT79" s="151">
        <f t="shared" ca="1" si="55"/>
        <v>0</v>
      </c>
      <c r="BU79" s="151">
        <f t="shared" ca="1" si="55"/>
        <v>0</v>
      </c>
      <c r="BV79" s="151">
        <f t="shared" ca="1" si="55"/>
        <v>0</v>
      </c>
      <c r="BW79" s="151">
        <f t="shared" ca="1" si="55"/>
        <v>0</v>
      </c>
      <c r="BX79" s="151">
        <f t="shared" ca="1" si="55"/>
        <v>0</v>
      </c>
      <c r="BY79" s="151">
        <f t="shared" ca="1" si="55"/>
        <v>0</v>
      </c>
      <c r="BZ79" s="151">
        <f t="shared" ca="1" si="55"/>
        <v>0</v>
      </c>
      <c r="CA79" s="151">
        <f t="shared" ca="1" si="55"/>
        <v>0</v>
      </c>
      <c r="CB79" s="151">
        <f t="shared" ca="1" si="55"/>
        <v>0</v>
      </c>
      <c r="CC79" s="151">
        <f t="shared" ca="1" si="55"/>
        <v>0</v>
      </c>
      <c r="CD79" s="151">
        <f t="shared" ca="1" si="55"/>
        <v>0</v>
      </c>
      <c r="CE79" s="151">
        <f t="shared" ca="1" si="55"/>
        <v>0</v>
      </c>
      <c r="CF79" s="151">
        <f t="shared" ca="1" si="55"/>
        <v>0</v>
      </c>
      <c r="CG79" s="151">
        <f t="shared" ca="1" si="55"/>
        <v>0</v>
      </c>
      <c r="CH79" s="151">
        <f t="shared" ca="1" si="55"/>
        <v>0</v>
      </c>
      <c r="CI79" s="151">
        <f t="shared" ca="1" si="55"/>
        <v>0</v>
      </c>
      <c r="CJ79" s="151">
        <f t="shared" ca="1" si="55"/>
        <v>0</v>
      </c>
      <c r="CK79" s="151">
        <f t="shared" ca="1" si="55"/>
        <v>0</v>
      </c>
      <c r="CL79" s="151">
        <f t="shared" ca="1" si="55"/>
        <v>0</v>
      </c>
      <c r="CM79" s="151">
        <f t="shared" ca="1" si="55"/>
        <v>0</v>
      </c>
      <c r="CN79" s="151">
        <f t="shared" ca="1" si="55"/>
        <v>0</v>
      </c>
      <c r="CO79" s="151">
        <f t="shared" ref="CO79:DY79" ca="1" si="56">+$D$79*(CO$7=$E$79)</f>
        <v>0</v>
      </c>
      <c r="CP79" s="151">
        <f t="shared" ca="1" si="56"/>
        <v>0</v>
      </c>
      <c r="CQ79" s="151">
        <f t="shared" ca="1" si="56"/>
        <v>0</v>
      </c>
      <c r="CR79" s="151">
        <f t="shared" ca="1" si="56"/>
        <v>0</v>
      </c>
      <c r="CS79" s="151">
        <f t="shared" ca="1" si="56"/>
        <v>0</v>
      </c>
      <c r="CT79" s="151">
        <f t="shared" ca="1" si="56"/>
        <v>0</v>
      </c>
      <c r="CU79" s="151">
        <f t="shared" ca="1" si="56"/>
        <v>0</v>
      </c>
      <c r="CV79" s="151">
        <f t="shared" ca="1" si="56"/>
        <v>0</v>
      </c>
      <c r="CW79" s="151">
        <f t="shared" ca="1" si="56"/>
        <v>0</v>
      </c>
      <c r="CX79" s="151">
        <f t="shared" ca="1" si="56"/>
        <v>0</v>
      </c>
      <c r="CY79" s="151">
        <f t="shared" ca="1" si="56"/>
        <v>0</v>
      </c>
      <c r="CZ79" s="151">
        <f t="shared" ca="1" si="56"/>
        <v>0</v>
      </c>
      <c r="DA79" s="151">
        <f t="shared" ca="1" si="56"/>
        <v>0</v>
      </c>
      <c r="DB79" s="151">
        <f t="shared" ca="1" si="56"/>
        <v>0</v>
      </c>
      <c r="DC79" s="151">
        <f t="shared" ca="1" si="56"/>
        <v>0</v>
      </c>
      <c r="DD79" s="151">
        <f t="shared" ca="1" si="56"/>
        <v>0</v>
      </c>
      <c r="DE79" s="151">
        <f t="shared" ca="1" si="56"/>
        <v>0</v>
      </c>
      <c r="DF79" s="151">
        <f t="shared" ca="1" si="56"/>
        <v>0</v>
      </c>
      <c r="DG79" s="151">
        <f t="shared" ca="1" si="56"/>
        <v>0</v>
      </c>
      <c r="DH79" s="151">
        <f t="shared" ca="1" si="56"/>
        <v>0</v>
      </c>
      <c r="DI79" s="151">
        <f t="shared" ca="1" si="56"/>
        <v>0</v>
      </c>
      <c r="DJ79" s="151">
        <f t="shared" ca="1" si="56"/>
        <v>0</v>
      </c>
      <c r="DK79" s="151">
        <f t="shared" ca="1" si="56"/>
        <v>0</v>
      </c>
      <c r="DL79" s="151">
        <f t="shared" ca="1" si="56"/>
        <v>0</v>
      </c>
      <c r="DM79" s="151">
        <f t="shared" ca="1" si="56"/>
        <v>0</v>
      </c>
      <c r="DN79" s="151">
        <f t="shared" ca="1" si="56"/>
        <v>0</v>
      </c>
      <c r="DO79" s="151">
        <f t="shared" ca="1" si="56"/>
        <v>0</v>
      </c>
      <c r="DP79" s="151">
        <f t="shared" ca="1" si="56"/>
        <v>0</v>
      </c>
      <c r="DQ79" s="151">
        <f t="shared" ca="1" si="56"/>
        <v>0</v>
      </c>
      <c r="DR79" s="151">
        <f t="shared" ca="1" si="56"/>
        <v>0</v>
      </c>
      <c r="DS79" s="151">
        <f t="shared" ca="1" si="56"/>
        <v>0</v>
      </c>
      <c r="DT79" s="151">
        <f t="shared" ca="1" si="56"/>
        <v>0</v>
      </c>
      <c r="DU79" s="151">
        <f t="shared" ca="1" si="56"/>
        <v>0</v>
      </c>
      <c r="DV79" s="151">
        <f t="shared" ca="1" si="56"/>
        <v>0</v>
      </c>
      <c r="DW79" s="151">
        <f t="shared" ca="1" si="56"/>
        <v>0</v>
      </c>
      <c r="DX79" s="151">
        <f t="shared" ca="1" si="56"/>
        <v>0</v>
      </c>
      <c r="DY79" s="151">
        <f t="shared" ca="1" si="56"/>
        <v>0</v>
      </c>
    </row>
    <row r="80" spans="1:129" s="3" customFormat="1" ht="11.7" customHeight="1" outlineLevel="1" x14ac:dyDescent="0.25">
      <c r="A80" s="85"/>
      <c r="B80" s="197" t="s">
        <v>194</v>
      </c>
      <c r="C80" s="197"/>
      <c r="D80" s="324">
        <f>+Inputs!$G$46</f>
        <v>10</v>
      </c>
      <c r="E80" s="153"/>
      <c r="F80" s="153"/>
      <c r="G80" s="147"/>
      <c r="H80" s="290">
        <f ca="1">+SUM(I80:DY80)</f>
        <v>134</v>
      </c>
      <c r="I80" s="1122">
        <v>0</v>
      </c>
      <c r="J80" s="1123">
        <v>0</v>
      </c>
      <c r="K80" s="1123">
        <v>0</v>
      </c>
      <c r="L80" s="1123">
        <v>0</v>
      </c>
      <c r="M80" s="1123">
        <v>0</v>
      </c>
      <c r="N80" s="1123">
        <v>0</v>
      </c>
      <c r="O80" s="1123">
        <v>0</v>
      </c>
      <c r="P80" s="1123">
        <v>0</v>
      </c>
      <c r="Q80" s="1123">
        <v>0</v>
      </c>
      <c r="R80" s="1123">
        <v>0</v>
      </c>
      <c r="S80" s="1123">
        <v>0</v>
      </c>
      <c r="T80" s="1123">
        <v>0</v>
      </c>
      <c r="U80" s="1123">
        <v>0</v>
      </c>
      <c r="V80" s="1123">
        <v>0</v>
      </c>
      <c r="W80" s="1123">
        <v>0</v>
      </c>
      <c r="X80" s="1123">
        <v>0</v>
      </c>
      <c r="Y80" s="1123">
        <v>0</v>
      </c>
      <c r="Z80" s="1123">
        <v>0</v>
      </c>
      <c r="AA80" s="1123">
        <v>0</v>
      </c>
      <c r="AB80" s="1123">
        <v>0</v>
      </c>
      <c r="AC80" s="1123">
        <v>0</v>
      </c>
      <c r="AD80" s="1123">
        <v>0</v>
      </c>
      <c r="AE80" s="1123">
        <v>0</v>
      </c>
      <c r="AF80" s="1123">
        <v>0</v>
      </c>
      <c r="AG80" s="1123">
        <v>0</v>
      </c>
      <c r="AH80" s="1123">
        <v>0</v>
      </c>
      <c r="AI80" s="1123">
        <v>0</v>
      </c>
      <c r="AJ80" s="1123">
        <v>0</v>
      </c>
      <c r="AK80" s="1123">
        <v>0</v>
      </c>
      <c r="AL80" s="1123">
        <v>0</v>
      </c>
      <c r="AM80" s="1123">
        <v>0</v>
      </c>
      <c r="AN80" s="1123">
        <v>0</v>
      </c>
      <c r="AO80" s="1123">
        <v>0</v>
      </c>
      <c r="AP80" s="1123">
        <v>0</v>
      </c>
      <c r="AQ80" s="1123">
        <v>0</v>
      </c>
      <c r="AR80" s="1123">
        <v>0</v>
      </c>
      <c r="AS80" s="1123">
        <v>0</v>
      </c>
      <c r="AT80" s="1123">
        <v>0</v>
      </c>
      <c r="AU80" s="1123">
        <v>0</v>
      </c>
      <c r="AV80" s="1123">
        <v>0</v>
      </c>
      <c r="AW80" s="1123">
        <v>0</v>
      </c>
      <c r="AX80" s="1123">
        <v>0</v>
      </c>
      <c r="AY80" s="1123">
        <v>0</v>
      </c>
      <c r="AZ80" s="1123">
        <v>0</v>
      </c>
      <c r="BA80" s="1123">
        <v>0</v>
      </c>
      <c r="BB80" s="1123">
        <v>0</v>
      </c>
      <c r="BC80" s="1123">
        <v>0</v>
      </c>
      <c r="BD80" s="1123">
        <v>0</v>
      </c>
      <c r="BE80" s="1123">
        <v>0</v>
      </c>
      <c r="BF80" s="1123">
        <v>0</v>
      </c>
      <c r="BG80" s="1123">
        <v>0</v>
      </c>
      <c r="BH80" s="1123">
        <v>0</v>
      </c>
      <c r="BI80" s="1123">
        <f>16+7</f>
        <v>23</v>
      </c>
      <c r="BJ80" s="1123">
        <f>43-BI81+13</f>
        <v>33</v>
      </c>
      <c r="BK80" s="1123">
        <f ca="1">80-BJ81+13</f>
        <v>37</v>
      </c>
      <c r="BL80" s="1123">
        <f ca="1">90-BK81+0</f>
        <v>-3</v>
      </c>
      <c r="BM80" s="1123">
        <f ca="1">91-BL81+2</f>
        <v>3</v>
      </c>
      <c r="BN80" s="1123">
        <f ca="1">92-BM81+2</f>
        <v>1</v>
      </c>
      <c r="BO80" s="1123">
        <v>0</v>
      </c>
      <c r="BP80" s="1123">
        <v>4</v>
      </c>
      <c r="BQ80" s="1123">
        <f ca="1">99-BP81+3</f>
        <v>4</v>
      </c>
      <c r="BR80" s="1123">
        <v>-2</v>
      </c>
      <c r="BS80" s="1123">
        <v>12</v>
      </c>
      <c r="BT80" s="1123">
        <v>-1</v>
      </c>
      <c r="BU80" s="1123">
        <v>-3</v>
      </c>
      <c r="BV80" s="1123">
        <v>5</v>
      </c>
      <c r="BW80" s="1123">
        <v>8</v>
      </c>
      <c r="BX80" s="1123">
        <v>1</v>
      </c>
      <c r="BY80" s="1123">
        <v>-1</v>
      </c>
      <c r="BZ80" s="148">
        <f ca="1">+MIN($D$80,$D$81-SUM(BZ78:BZ79))*(BZ$6&gt;=Inputs!$L$76)</f>
        <v>10</v>
      </c>
      <c r="CA80" s="148">
        <f ca="1">+MIN($D$80,$D$81-SUM(CA78:CA79))*(CA$6&gt;=Inputs!$L$76)</f>
        <v>3</v>
      </c>
      <c r="CB80" s="148">
        <f ca="1">+MIN($D$80,$D$81-SUM(CB78:CB79))*(CB$6&gt;=Inputs!$L$76)</f>
        <v>0</v>
      </c>
      <c r="CC80" s="148">
        <f ca="1">+MIN($D$80,$D$81-SUM(CC78:CC79))*(CC$6&gt;=Inputs!$L$76)</f>
        <v>0</v>
      </c>
      <c r="CD80" s="148">
        <f ca="1">+MIN($D$80,$D$81-SUM(CD78:CD79))*(CD$6&gt;=Inputs!$L$76)</f>
        <v>0</v>
      </c>
      <c r="CE80" s="148">
        <f ca="1">+MIN($D$80,$D$81-SUM(CE78:CE79))*(CE$6&gt;=Inputs!$L$76)</f>
        <v>0</v>
      </c>
      <c r="CF80" s="148">
        <f ca="1">+MIN($D$80,$D$81-SUM(CF78:CF79))*(CF$6&gt;=Inputs!$L$76)</f>
        <v>0</v>
      </c>
      <c r="CG80" s="148">
        <f ca="1">+MIN($D$80,$D$81-SUM(CG78:CG79))*(CG$6&gt;=Inputs!$L$76)</f>
        <v>0</v>
      </c>
      <c r="CH80" s="148">
        <f ca="1">+MIN($D$80,$D$81-SUM(CH78:CH79))*(CH$6&gt;=Inputs!$L$76)</f>
        <v>0</v>
      </c>
      <c r="CI80" s="148">
        <f ca="1">+MIN($D$80,$D$81-SUM(CI78:CI79))*(CI$6&gt;=Inputs!$L$76)</f>
        <v>0</v>
      </c>
      <c r="CJ80" s="148">
        <f ca="1">+MIN($D$80,$D$81-SUM(CJ78:CJ79))*(CJ$6&gt;=Inputs!$L$76)</f>
        <v>0</v>
      </c>
      <c r="CK80" s="148">
        <f ca="1">+MIN($D$80,$D$81-SUM(CK78:CK79))*(CK$6&gt;=Inputs!$L$76)</f>
        <v>0</v>
      </c>
      <c r="CL80" s="148">
        <f ca="1">+MIN($D$80,$D$81-SUM(CL78:CL79))*(CL$6&gt;=Inputs!$L$76)</f>
        <v>0</v>
      </c>
      <c r="CM80" s="148">
        <f ca="1">+MIN($D$80,$D$81-SUM(CM78:CM79))*(CM$6&gt;=Inputs!$L$76)</f>
        <v>0</v>
      </c>
      <c r="CN80" s="148">
        <f ca="1">+MIN($D$80,$D$81-SUM(CN78:CN79))*(CN$6&gt;=Inputs!$L$76)</f>
        <v>0</v>
      </c>
      <c r="CO80" s="148">
        <f ca="1">+MIN($D$80,$D$81-SUM(CO78:CO79))*(CO$6&gt;=Inputs!$L$76)</f>
        <v>0</v>
      </c>
      <c r="CP80" s="148">
        <f ca="1">+MIN($D$80,$D$81-SUM(CP78:CP79))*(CP$6&gt;=Inputs!$L$76)</f>
        <v>0</v>
      </c>
      <c r="CQ80" s="148">
        <f ca="1">+MIN($D$80,$D$81-SUM(CQ78:CQ79))*(CQ$6&gt;=Inputs!$L$76)</f>
        <v>0</v>
      </c>
      <c r="CR80" s="148">
        <f ca="1">+MIN($D$80,$D$81-SUM(CR78:CR79))*(CR$6&gt;=Inputs!$L$76)</f>
        <v>0</v>
      </c>
      <c r="CS80" s="148">
        <f ca="1">+MIN($D$80,$D$81-SUM(CS78:CS79))*(CS$6&gt;=Inputs!$L$76)</f>
        <v>0</v>
      </c>
      <c r="CT80" s="148">
        <f ca="1">+MIN($D$80,$D$81-SUM(CT78:CT79))*(CT$6&gt;=Inputs!$L$76)</f>
        <v>0</v>
      </c>
      <c r="CU80" s="148">
        <f ca="1">+MIN($D$80,$D$81-SUM(CU78:CU79))*(CU$6&gt;=Inputs!$L$76)</f>
        <v>0</v>
      </c>
      <c r="CV80" s="148">
        <f ca="1">+MIN($D$80,$D$81-SUM(CV78:CV79))*(CV$6&gt;=Inputs!$L$76)</f>
        <v>0</v>
      </c>
      <c r="CW80" s="148">
        <f ca="1">+MIN($D$80,$D$81-SUM(CW78:CW79))*(CW$6&gt;=Inputs!$L$76)</f>
        <v>0</v>
      </c>
      <c r="CX80" s="148">
        <f ca="1">+MIN($D$80,$D$81-SUM(CX78:CX79))*(CX$6&gt;=Inputs!$L$76)</f>
        <v>0</v>
      </c>
      <c r="CY80" s="148">
        <f ca="1">+MIN($D$80,$D$81-SUM(CY78:CY79))*(CY$6&gt;=Inputs!$L$76)</f>
        <v>0</v>
      </c>
      <c r="CZ80" s="148">
        <f ca="1">+MIN($D$80,$D$81-SUM(CZ78:CZ79))*(CZ$6&gt;=Inputs!$L$76)</f>
        <v>0</v>
      </c>
      <c r="DA80" s="148">
        <f ca="1">+MIN($D$80,$D$81-SUM(DA78:DA79))*(DA$6&gt;=Inputs!$L$76)</f>
        <v>0</v>
      </c>
      <c r="DB80" s="148">
        <f ca="1">+MIN($D$80,$D$81-SUM(DB78:DB79))*(DB$6&gt;=Inputs!$L$76)</f>
        <v>0</v>
      </c>
      <c r="DC80" s="148">
        <f ca="1">+MIN($D$80,$D$81-SUM(DC78:DC79))*(DC$6&gt;=Inputs!$L$76)</f>
        <v>0</v>
      </c>
      <c r="DD80" s="148">
        <f ca="1">+MIN($D$80,$D$81-SUM(DD78:DD79))*(DD$6&gt;=Inputs!$L$76)</f>
        <v>0</v>
      </c>
      <c r="DE80" s="148">
        <f ca="1">+MIN($D$80,$D$81-SUM(DE78:DE79))*(DE$6&gt;=Inputs!$L$76)</f>
        <v>0</v>
      </c>
      <c r="DF80" s="148">
        <f ca="1">+MIN($D$80,$D$81-SUM(DF78:DF79))*(DF$6&gt;=Inputs!$L$76)</f>
        <v>0</v>
      </c>
      <c r="DG80" s="148">
        <f ca="1">+MIN($D$80,$D$81-SUM(DG78:DG79))*(DG$6&gt;=Inputs!$L$76)</f>
        <v>0</v>
      </c>
      <c r="DH80" s="148">
        <f ca="1">+MIN($D$80,$D$81-SUM(DH78:DH79))*(DH$6&gt;=Inputs!$L$76)</f>
        <v>0</v>
      </c>
      <c r="DI80" s="148">
        <f ca="1">+MIN($D$80,$D$81-SUM(DI78:DI79))*(DI$6&gt;=Inputs!$L$76)</f>
        <v>0</v>
      </c>
      <c r="DJ80" s="148">
        <f ca="1">+MIN($D$80,$D$81-SUM(DJ78:DJ79))*(DJ$6&gt;=Inputs!$L$76)</f>
        <v>0</v>
      </c>
      <c r="DK80" s="148">
        <f ca="1">+MIN($D$80,$D$81-SUM(DK78:DK79))*(DK$6&gt;=Inputs!$L$76)</f>
        <v>0</v>
      </c>
      <c r="DL80" s="148">
        <f ca="1">+MIN($D$80,$D$81-SUM(DL78:DL79))*(DL$6&gt;=Inputs!$L$76)</f>
        <v>0</v>
      </c>
      <c r="DM80" s="148">
        <f ca="1">+MIN($D$80,$D$81-SUM(DM78:DM79))*(DM$6&gt;=Inputs!$L$76)</f>
        <v>0</v>
      </c>
      <c r="DN80" s="148">
        <f ca="1">+MIN($D$80,$D$81-SUM(DN78:DN79))*(DN$6&gt;=Inputs!$L$76)</f>
        <v>0</v>
      </c>
      <c r="DO80" s="148">
        <f ca="1">+MIN($D$80,$D$81-SUM(DO78:DO79))*(DO$6&gt;=Inputs!$L$76)</f>
        <v>0</v>
      </c>
      <c r="DP80" s="148">
        <f ca="1">+MIN($D$80,$D$81-SUM(DP78:DP79))*(DP$6&gt;=Inputs!$L$76)</f>
        <v>0</v>
      </c>
      <c r="DQ80" s="148">
        <f ca="1">+MIN($D$80,$D$81-SUM(DQ78:DQ79))*(DQ$6&gt;=Inputs!$L$76)</f>
        <v>0</v>
      </c>
      <c r="DR80" s="148">
        <f ca="1">+MIN($D$80,$D$81-SUM(DR78:DR79))*(DR$6&gt;=Inputs!$L$76)</f>
        <v>0</v>
      </c>
      <c r="DS80" s="148">
        <f ca="1">+MIN($D$80,$D$81-SUM(DS78:DS79))*(DS$6&gt;=Inputs!$L$76)</f>
        <v>0</v>
      </c>
      <c r="DT80" s="148">
        <f ca="1">+MIN($D$80,$D$81-SUM(DT78:DT79))*(DT$6&gt;=Inputs!$L$76)</f>
        <v>0</v>
      </c>
      <c r="DU80" s="148">
        <f ca="1">+MIN($D$80,$D$81-SUM(DU78:DU79))*(DU$6&gt;=Inputs!$L$76)</f>
        <v>0</v>
      </c>
      <c r="DV80" s="148">
        <f ca="1">+MIN($D$80,$D$81-SUM(DV78:DV79))*(DV$6&gt;=Inputs!$L$76)</f>
        <v>0</v>
      </c>
      <c r="DW80" s="148">
        <f ca="1">+MIN($D$80,$D$81-SUM(DW78:DW79))*(DW$6&gt;=Inputs!$L$76)</f>
        <v>0</v>
      </c>
      <c r="DX80" s="148">
        <f ca="1">+MIN($D$80,$D$81-SUM(DX78:DX79))*(DX$6&gt;=Inputs!$L$76)</f>
        <v>0</v>
      </c>
      <c r="DY80" s="148">
        <f ca="1">+MIN($D$80,$D$81-SUM(DY78:DY79))*(DY$6&gt;=Inputs!$L$76)</f>
        <v>0</v>
      </c>
    </row>
    <row r="81" spans="1:130" s="3" customFormat="1" ht="11.7" customHeight="1" outlineLevel="1" x14ac:dyDescent="0.25">
      <c r="B81" s="113" t="s">
        <v>255</v>
      </c>
      <c r="C81" s="113"/>
      <c r="D81" s="324">
        <f>+Inputs!$G$23</f>
        <v>134</v>
      </c>
      <c r="G81" s="74"/>
      <c r="H81" s="74"/>
      <c r="I81" s="151">
        <f>+SUM(I78:I80)</f>
        <v>0</v>
      </c>
      <c r="J81" s="151">
        <f t="shared" ref="J81:N81" si="57">+SUM(J78:J80)</f>
        <v>0</v>
      </c>
      <c r="K81" s="151">
        <f t="shared" si="57"/>
        <v>0</v>
      </c>
      <c r="L81" s="151">
        <f t="shared" si="57"/>
        <v>0</v>
      </c>
      <c r="M81" s="151">
        <f t="shared" si="57"/>
        <v>0</v>
      </c>
      <c r="N81" s="151">
        <f t="shared" si="57"/>
        <v>0</v>
      </c>
      <c r="O81" s="151">
        <f t="shared" ref="O81:BU81" si="58">+SUM(O78:O80)</f>
        <v>0</v>
      </c>
      <c r="P81" s="151">
        <f t="shared" si="58"/>
        <v>0</v>
      </c>
      <c r="Q81" s="151">
        <f t="shared" si="58"/>
        <v>0</v>
      </c>
      <c r="R81" s="151">
        <f t="shared" si="58"/>
        <v>0</v>
      </c>
      <c r="S81" s="151">
        <f t="shared" si="58"/>
        <v>0</v>
      </c>
      <c r="T81" s="151">
        <f t="shared" si="58"/>
        <v>0</v>
      </c>
      <c r="U81" s="151">
        <f t="shared" si="58"/>
        <v>0</v>
      </c>
      <c r="V81" s="151">
        <f t="shared" si="58"/>
        <v>0</v>
      </c>
      <c r="W81" s="151">
        <f t="shared" si="58"/>
        <v>0</v>
      </c>
      <c r="X81" s="151">
        <f t="shared" si="58"/>
        <v>0</v>
      </c>
      <c r="Y81" s="151">
        <f t="shared" si="58"/>
        <v>0</v>
      </c>
      <c r="Z81" s="151">
        <f t="shared" si="58"/>
        <v>0</v>
      </c>
      <c r="AA81" s="151">
        <f t="shared" si="58"/>
        <v>0</v>
      </c>
      <c r="AB81" s="151">
        <f t="shared" si="58"/>
        <v>0</v>
      </c>
      <c r="AC81" s="151">
        <f t="shared" si="58"/>
        <v>0</v>
      </c>
      <c r="AD81" s="151">
        <f t="shared" si="58"/>
        <v>0</v>
      </c>
      <c r="AE81" s="151">
        <f t="shared" si="58"/>
        <v>0</v>
      </c>
      <c r="AF81" s="151">
        <f t="shared" si="58"/>
        <v>0</v>
      </c>
      <c r="AG81" s="151">
        <f t="shared" si="58"/>
        <v>0</v>
      </c>
      <c r="AH81" s="151">
        <f t="shared" si="58"/>
        <v>0</v>
      </c>
      <c r="AI81" s="151">
        <f t="shared" si="58"/>
        <v>0</v>
      </c>
      <c r="AJ81" s="151">
        <f t="shared" si="58"/>
        <v>0</v>
      </c>
      <c r="AK81" s="151">
        <f t="shared" si="58"/>
        <v>0</v>
      </c>
      <c r="AL81" s="151">
        <f t="shared" si="58"/>
        <v>0</v>
      </c>
      <c r="AM81" s="151">
        <f t="shared" si="58"/>
        <v>0</v>
      </c>
      <c r="AN81" s="151">
        <f t="shared" si="58"/>
        <v>0</v>
      </c>
      <c r="AO81" s="151">
        <f t="shared" si="58"/>
        <v>0</v>
      </c>
      <c r="AP81" s="151">
        <f t="shared" si="58"/>
        <v>0</v>
      </c>
      <c r="AQ81" s="151">
        <f t="shared" si="58"/>
        <v>0</v>
      </c>
      <c r="AR81" s="151">
        <f t="shared" si="58"/>
        <v>0</v>
      </c>
      <c r="AS81" s="151">
        <f t="shared" si="58"/>
        <v>0</v>
      </c>
      <c r="AT81" s="151">
        <f t="shared" si="58"/>
        <v>0</v>
      </c>
      <c r="AU81" s="151">
        <f t="shared" si="58"/>
        <v>0</v>
      </c>
      <c r="AV81" s="151">
        <f t="shared" si="58"/>
        <v>0</v>
      </c>
      <c r="AW81" s="151">
        <f t="shared" si="58"/>
        <v>0</v>
      </c>
      <c r="AX81" s="151">
        <f t="shared" si="58"/>
        <v>0</v>
      </c>
      <c r="AY81" s="151">
        <f t="shared" si="58"/>
        <v>0</v>
      </c>
      <c r="AZ81" s="151">
        <f t="shared" si="58"/>
        <v>0</v>
      </c>
      <c r="BA81" s="151">
        <f t="shared" si="58"/>
        <v>0</v>
      </c>
      <c r="BB81" s="151">
        <f t="shared" si="58"/>
        <v>0</v>
      </c>
      <c r="BC81" s="151">
        <f t="shared" si="58"/>
        <v>0</v>
      </c>
      <c r="BD81" s="151">
        <f t="shared" si="58"/>
        <v>0</v>
      </c>
      <c r="BE81" s="151">
        <f t="shared" si="58"/>
        <v>0</v>
      </c>
      <c r="BF81" s="151">
        <f t="shared" si="58"/>
        <v>0</v>
      </c>
      <c r="BG81" s="151">
        <f t="shared" si="58"/>
        <v>0</v>
      </c>
      <c r="BH81" s="151">
        <f>+SUM(BH78:BH80)</f>
        <v>0</v>
      </c>
      <c r="BI81" s="151">
        <f t="shared" si="58"/>
        <v>23</v>
      </c>
      <c r="BJ81" s="151">
        <f t="shared" ca="1" si="58"/>
        <v>56</v>
      </c>
      <c r="BK81" s="151">
        <f t="shared" ca="1" si="58"/>
        <v>93</v>
      </c>
      <c r="BL81" s="151">
        <f t="shared" ca="1" si="58"/>
        <v>90</v>
      </c>
      <c r="BM81" s="151">
        <f t="shared" ca="1" si="58"/>
        <v>93</v>
      </c>
      <c r="BN81" s="151">
        <f t="shared" ca="1" si="58"/>
        <v>94</v>
      </c>
      <c r="BO81" s="151">
        <f t="shared" ca="1" si="58"/>
        <v>94</v>
      </c>
      <c r="BP81" s="151">
        <f t="shared" ca="1" si="58"/>
        <v>98</v>
      </c>
      <c r="BQ81" s="151">
        <f t="shared" ca="1" si="58"/>
        <v>102</v>
      </c>
      <c r="BR81" s="151">
        <f t="shared" ca="1" si="58"/>
        <v>100</v>
      </c>
      <c r="BS81" s="151">
        <f t="shared" ca="1" si="58"/>
        <v>112</v>
      </c>
      <c r="BT81" s="151">
        <f t="shared" ca="1" si="58"/>
        <v>111</v>
      </c>
      <c r="BU81" s="151">
        <f t="shared" ca="1" si="58"/>
        <v>108</v>
      </c>
      <c r="BV81" s="151">
        <f t="shared" ref="BV81:DW81" ca="1" si="59">+SUM(BV78:BV80)</f>
        <v>113</v>
      </c>
      <c r="BW81" s="151">
        <f t="shared" ca="1" si="59"/>
        <v>121</v>
      </c>
      <c r="BX81" s="151">
        <f t="shared" ca="1" si="59"/>
        <v>122</v>
      </c>
      <c r="BY81" s="151">
        <f t="shared" ca="1" si="59"/>
        <v>121</v>
      </c>
      <c r="BZ81" s="151">
        <f t="shared" ca="1" si="59"/>
        <v>131</v>
      </c>
      <c r="CA81" s="151">
        <f t="shared" ca="1" si="59"/>
        <v>134</v>
      </c>
      <c r="CB81" s="151">
        <f t="shared" ca="1" si="59"/>
        <v>134</v>
      </c>
      <c r="CC81" s="151">
        <f t="shared" ca="1" si="59"/>
        <v>134</v>
      </c>
      <c r="CD81" s="151">
        <f ca="1">+SUM(CD78:CD80)</f>
        <v>134</v>
      </c>
      <c r="CE81" s="151">
        <f t="shared" ca="1" si="59"/>
        <v>134</v>
      </c>
      <c r="CF81" s="151">
        <f t="shared" ca="1" si="59"/>
        <v>134</v>
      </c>
      <c r="CG81" s="151">
        <f t="shared" ca="1" si="59"/>
        <v>134</v>
      </c>
      <c r="CH81" s="151">
        <f t="shared" ca="1" si="59"/>
        <v>134</v>
      </c>
      <c r="CI81" s="151">
        <f t="shared" ca="1" si="59"/>
        <v>134</v>
      </c>
      <c r="CJ81" s="151">
        <f t="shared" ca="1" si="59"/>
        <v>134</v>
      </c>
      <c r="CK81" s="151">
        <f t="shared" ca="1" si="59"/>
        <v>134</v>
      </c>
      <c r="CL81" s="151">
        <f t="shared" ca="1" si="59"/>
        <v>134</v>
      </c>
      <c r="CM81" s="151">
        <f t="shared" ca="1" si="59"/>
        <v>134</v>
      </c>
      <c r="CN81" s="151">
        <f t="shared" ca="1" si="59"/>
        <v>134</v>
      </c>
      <c r="CO81" s="151">
        <f t="shared" ca="1" si="59"/>
        <v>134</v>
      </c>
      <c r="CP81" s="151">
        <f t="shared" ca="1" si="59"/>
        <v>134</v>
      </c>
      <c r="CQ81" s="151">
        <f t="shared" ca="1" si="59"/>
        <v>134</v>
      </c>
      <c r="CR81" s="151">
        <f t="shared" ca="1" si="59"/>
        <v>134</v>
      </c>
      <c r="CS81" s="151">
        <f t="shared" ca="1" si="59"/>
        <v>134</v>
      </c>
      <c r="CT81" s="151">
        <f t="shared" ca="1" si="59"/>
        <v>134</v>
      </c>
      <c r="CU81" s="151">
        <f t="shared" ca="1" si="59"/>
        <v>134</v>
      </c>
      <c r="CV81" s="151">
        <f t="shared" ca="1" si="59"/>
        <v>134</v>
      </c>
      <c r="CW81" s="151">
        <f t="shared" ca="1" si="59"/>
        <v>134</v>
      </c>
      <c r="CX81" s="151">
        <f t="shared" ca="1" si="59"/>
        <v>134</v>
      </c>
      <c r="CY81" s="151">
        <f t="shared" ca="1" si="59"/>
        <v>134</v>
      </c>
      <c r="CZ81" s="151">
        <f t="shared" ca="1" si="59"/>
        <v>134</v>
      </c>
      <c r="DA81" s="151">
        <f t="shared" ca="1" si="59"/>
        <v>134</v>
      </c>
      <c r="DB81" s="151">
        <f t="shared" ca="1" si="59"/>
        <v>134</v>
      </c>
      <c r="DC81" s="151">
        <f t="shared" ca="1" si="59"/>
        <v>134</v>
      </c>
      <c r="DD81" s="151">
        <f t="shared" ca="1" si="59"/>
        <v>134</v>
      </c>
      <c r="DE81" s="151">
        <f t="shared" ca="1" si="59"/>
        <v>134</v>
      </c>
      <c r="DF81" s="151">
        <f t="shared" ca="1" si="59"/>
        <v>134</v>
      </c>
      <c r="DG81" s="151">
        <f t="shared" ca="1" si="59"/>
        <v>134</v>
      </c>
      <c r="DH81" s="151">
        <f t="shared" ca="1" si="59"/>
        <v>134</v>
      </c>
      <c r="DI81" s="151">
        <f t="shared" ca="1" si="59"/>
        <v>134</v>
      </c>
      <c r="DJ81" s="151">
        <f t="shared" ca="1" si="59"/>
        <v>134</v>
      </c>
      <c r="DK81" s="151">
        <f t="shared" ca="1" si="59"/>
        <v>134</v>
      </c>
      <c r="DL81" s="151">
        <f t="shared" ca="1" si="59"/>
        <v>134</v>
      </c>
      <c r="DM81" s="151">
        <f t="shared" ca="1" si="59"/>
        <v>134</v>
      </c>
      <c r="DN81" s="151">
        <f t="shared" ca="1" si="59"/>
        <v>134</v>
      </c>
      <c r="DO81" s="151">
        <f t="shared" ca="1" si="59"/>
        <v>134</v>
      </c>
      <c r="DP81" s="151">
        <f t="shared" ca="1" si="59"/>
        <v>134</v>
      </c>
      <c r="DQ81" s="151">
        <f t="shared" ca="1" si="59"/>
        <v>134</v>
      </c>
      <c r="DR81" s="151">
        <f t="shared" ca="1" si="59"/>
        <v>134</v>
      </c>
      <c r="DS81" s="151">
        <f t="shared" ca="1" si="59"/>
        <v>134</v>
      </c>
      <c r="DT81" s="151">
        <f t="shared" ca="1" si="59"/>
        <v>134</v>
      </c>
      <c r="DU81" s="151">
        <f t="shared" ca="1" si="59"/>
        <v>134</v>
      </c>
      <c r="DV81" s="151">
        <f t="shared" ca="1" si="59"/>
        <v>134</v>
      </c>
      <c r="DW81" s="151">
        <f t="shared" ca="1" si="59"/>
        <v>134</v>
      </c>
      <c r="DX81" s="151">
        <f t="shared" ref="DX81" ca="1" si="60">+SUM(DX78:DX80)</f>
        <v>134</v>
      </c>
      <c r="DY81" s="151">
        <f t="shared" ref="DY81" ca="1" si="61">+SUM(DY78:DY80)</f>
        <v>134</v>
      </c>
    </row>
    <row r="82" spans="1:130" s="3" customFormat="1" ht="11.7" customHeight="1" outlineLevel="1" x14ac:dyDescent="0.3">
      <c r="A82" s="13"/>
      <c r="B82" s="149"/>
      <c r="C82" s="149"/>
      <c r="G82" s="127"/>
      <c r="H82" s="127"/>
      <c r="I82" s="111"/>
      <c r="J82" s="111"/>
      <c r="K82" s="111"/>
      <c r="L82" s="111"/>
      <c r="M82" s="111"/>
      <c r="N82" s="111"/>
      <c r="O82" s="111"/>
      <c r="P82" s="111"/>
      <c r="Q82" s="111"/>
      <c r="R82" s="111"/>
      <c r="S82" s="111"/>
      <c r="T82" s="111"/>
      <c r="U82" s="111"/>
      <c r="V82" s="111"/>
      <c r="W82" s="111"/>
      <c r="X82" s="111"/>
      <c r="Y82" s="111"/>
      <c r="Z82" s="111"/>
      <c r="AA82" s="111"/>
      <c r="AB82" s="111"/>
      <c r="AC82" s="111"/>
      <c r="AD82" s="111"/>
      <c r="AE82" s="111"/>
      <c r="AF82" s="111"/>
      <c r="AG82" s="111"/>
      <c r="AH82" s="111"/>
      <c r="AI82" s="111"/>
      <c r="AJ82" s="111"/>
      <c r="AK82" s="111"/>
      <c r="AL82" s="111"/>
      <c r="AM82" s="111"/>
      <c r="AN82" s="111"/>
      <c r="AO82" s="111"/>
      <c r="AP82" s="111"/>
      <c r="AQ82" s="111"/>
      <c r="AR82" s="111"/>
      <c r="AS82" s="111"/>
      <c r="AT82" s="111"/>
      <c r="AU82" s="111"/>
      <c r="AV82" s="111"/>
      <c r="AW82" s="111"/>
      <c r="AX82" s="111"/>
      <c r="AY82" s="111"/>
      <c r="AZ82" s="111"/>
      <c r="BA82" s="111"/>
      <c r="BB82" s="111"/>
      <c r="BC82" s="111"/>
      <c r="BD82" s="111"/>
      <c r="BE82" s="111"/>
      <c r="BF82" s="111"/>
      <c r="BG82" s="111"/>
      <c r="BH82" s="111"/>
      <c r="BJ82" s="151"/>
      <c r="BK82" s="151"/>
      <c r="BL82" s="151"/>
      <c r="BM82" s="151"/>
      <c r="BN82" s="151"/>
      <c r="BO82" s="151"/>
      <c r="BP82" s="151"/>
      <c r="BQ82" s="151"/>
      <c r="BR82" s="151"/>
      <c r="BS82" s="151"/>
      <c r="BT82" s="151"/>
      <c r="BU82" s="151"/>
      <c r="BV82" s="151"/>
      <c r="BW82" s="111"/>
      <c r="BX82" s="151"/>
      <c r="BY82" s="111"/>
      <c r="BZ82" s="151"/>
      <c r="CA82" s="111"/>
      <c r="CB82" s="111"/>
      <c r="CC82" s="111"/>
      <c r="CD82" s="111"/>
      <c r="CE82" s="111"/>
      <c r="CF82" s="111"/>
      <c r="CG82" s="111"/>
      <c r="CH82" s="111"/>
      <c r="CI82" s="111"/>
      <c r="CJ82" s="111"/>
      <c r="CK82" s="111"/>
      <c r="CL82" s="111"/>
      <c r="CM82" s="111"/>
      <c r="CN82" s="111"/>
      <c r="CO82" s="111"/>
      <c r="CP82" s="111"/>
      <c r="CQ82" s="111"/>
      <c r="CR82" s="111"/>
      <c r="CS82" s="111"/>
      <c r="CT82" s="111"/>
      <c r="CU82" s="111"/>
      <c r="CV82" s="111"/>
      <c r="CW82" s="111"/>
      <c r="CX82" s="111"/>
      <c r="CY82" s="111"/>
      <c r="CZ82" s="111"/>
      <c r="DA82" s="111"/>
      <c r="DB82" s="111"/>
      <c r="DC82" s="111"/>
      <c r="DD82" s="111"/>
      <c r="DE82" s="111"/>
      <c r="DF82" s="111"/>
      <c r="DG82" s="111"/>
      <c r="DH82" s="111"/>
      <c r="DI82" s="111"/>
      <c r="DJ82" s="111"/>
      <c r="DK82" s="111"/>
      <c r="DL82" s="111"/>
      <c r="DM82" s="111"/>
      <c r="DN82" s="111"/>
      <c r="DO82" s="111"/>
      <c r="DP82" s="111"/>
      <c r="DQ82" s="111"/>
      <c r="DR82" s="111"/>
      <c r="DS82" s="111"/>
      <c r="DT82" s="111"/>
      <c r="DU82" s="111"/>
      <c r="DV82" s="111"/>
      <c r="DW82" s="111"/>
      <c r="DX82" s="111"/>
      <c r="DY82" s="111"/>
    </row>
    <row r="83" spans="1:130" s="3" customFormat="1" ht="11.7" customHeight="1" outlineLevel="1" x14ac:dyDescent="0.3">
      <c r="A83" s="85"/>
      <c r="B83" s="329" t="s">
        <v>254</v>
      </c>
      <c r="C83" s="329"/>
      <c r="D83" s="159"/>
      <c r="G83" s="127"/>
      <c r="H83" s="127"/>
      <c r="I83" s="921">
        <f>+IFERROR(I81/$D$81,0)</f>
        <v>0</v>
      </c>
      <c r="J83" s="921">
        <f t="shared" ref="J83:BU83" si="62">+IFERROR(J81/$D$81,0)</f>
        <v>0</v>
      </c>
      <c r="K83" s="921">
        <f t="shared" si="62"/>
        <v>0</v>
      </c>
      <c r="L83" s="921">
        <f t="shared" si="62"/>
        <v>0</v>
      </c>
      <c r="M83" s="921">
        <f t="shared" si="62"/>
        <v>0</v>
      </c>
      <c r="N83" s="921">
        <f t="shared" si="62"/>
        <v>0</v>
      </c>
      <c r="O83" s="921">
        <f t="shared" si="62"/>
        <v>0</v>
      </c>
      <c r="P83" s="921">
        <f t="shared" si="62"/>
        <v>0</v>
      </c>
      <c r="Q83" s="921">
        <f t="shared" si="62"/>
        <v>0</v>
      </c>
      <c r="R83" s="921">
        <f t="shared" si="62"/>
        <v>0</v>
      </c>
      <c r="S83" s="921">
        <f t="shared" si="62"/>
        <v>0</v>
      </c>
      <c r="T83" s="921">
        <f t="shared" si="62"/>
        <v>0</v>
      </c>
      <c r="U83" s="921">
        <f t="shared" si="62"/>
        <v>0</v>
      </c>
      <c r="V83" s="921">
        <f t="shared" si="62"/>
        <v>0</v>
      </c>
      <c r="W83" s="921">
        <f t="shared" si="62"/>
        <v>0</v>
      </c>
      <c r="X83" s="921">
        <f t="shared" si="62"/>
        <v>0</v>
      </c>
      <c r="Y83" s="921">
        <f t="shared" si="62"/>
        <v>0</v>
      </c>
      <c r="Z83" s="921">
        <f t="shared" si="62"/>
        <v>0</v>
      </c>
      <c r="AA83" s="921">
        <f t="shared" si="62"/>
        <v>0</v>
      </c>
      <c r="AB83" s="921">
        <f t="shared" si="62"/>
        <v>0</v>
      </c>
      <c r="AC83" s="921">
        <f t="shared" si="62"/>
        <v>0</v>
      </c>
      <c r="AD83" s="921">
        <f t="shared" si="62"/>
        <v>0</v>
      </c>
      <c r="AE83" s="921">
        <f t="shared" si="62"/>
        <v>0</v>
      </c>
      <c r="AF83" s="921">
        <f t="shared" si="62"/>
        <v>0</v>
      </c>
      <c r="AG83" s="921">
        <f t="shared" si="62"/>
        <v>0</v>
      </c>
      <c r="AH83" s="921">
        <f t="shared" si="62"/>
        <v>0</v>
      </c>
      <c r="AI83" s="921">
        <f t="shared" si="62"/>
        <v>0</v>
      </c>
      <c r="AJ83" s="921">
        <f t="shared" si="62"/>
        <v>0</v>
      </c>
      <c r="AK83" s="921">
        <f t="shared" si="62"/>
        <v>0</v>
      </c>
      <c r="AL83" s="921">
        <f t="shared" si="62"/>
        <v>0</v>
      </c>
      <c r="AM83" s="921">
        <f t="shared" si="62"/>
        <v>0</v>
      </c>
      <c r="AN83" s="921">
        <f t="shared" si="62"/>
        <v>0</v>
      </c>
      <c r="AO83" s="921">
        <f t="shared" si="62"/>
        <v>0</v>
      </c>
      <c r="AP83" s="921">
        <f t="shared" si="62"/>
        <v>0</v>
      </c>
      <c r="AQ83" s="921">
        <f t="shared" si="62"/>
        <v>0</v>
      </c>
      <c r="AR83" s="921">
        <f t="shared" si="62"/>
        <v>0</v>
      </c>
      <c r="AS83" s="921">
        <f t="shared" si="62"/>
        <v>0</v>
      </c>
      <c r="AT83" s="921">
        <f t="shared" si="62"/>
        <v>0</v>
      </c>
      <c r="AU83" s="921">
        <f t="shared" si="62"/>
        <v>0</v>
      </c>
      <c r="AV83" s="921">
        <f t="shared" si="62"/>
        <v>0</v>
      </c>
      <c r="AW83" s="921">
        <f t="shared" si="62"/>
        <v>0</v>
      </c>
      <c r="AX83" s="921">
        <f t="shared" si="62"/>
        <v>0</v>
      </c>
      <c r="AY83" s="921">
        <f t="shared" si="62"/>
        <v>0</v>
      </c>
      <c r="AZ83" s="921">
        <f t="shared" si="62"/>
        <v>0</v>
      </c>
      <c r="BA83" s="921">
        <f t="shared" si="62"/>
        <v>0</v>
      </c>
      <c r="BB83" s="921">
        <f t="shared" si="62"/>
        <v>0</v>
      </c>
      <c r="BC83" s="921">
        <f t="shared" si="62"/>
        <v>0</v>
      </c>
      <c r="BD83" s="921">
        <f t="shared" si="62"/>
        <v>0</v>
      </c>
      <c r="BE83" s="921">
        <f t="shared" si="62"/>
        <v>0</v>
      </c>
      <c r="BF83" s="921">
        <f t="shared" si="62"/>
        <v>0</v>
      </c>
      <c r="BG83" s="921">
        <f t="shared" si="62"/>
        <v>0</v>
      </c>
      <c r="BH83" s="921">
        <f t="shared" si="62"/>
        <v>0</v>
      </c>
      <c r="BI83" s="921">
        <f t="shared" si="62"/>
        <v>0.17164179104477612</v>
      </c>
      <c r="BJ83" s="921">
        <f t="shared" ca="1" si="62"/>
        <v>0.41791044776119401</v>
      </c>
      <c r="BK83" s="921">
        <f t="shared" ca="1" si="62"/>
        <v>0.69402985074626866</v>
      </c>
      <c r="BL83" s="921">
        <f t="shared" ca="1" si="62"/>
        <v>0.67164179104477617</v>
      </c>
      <c r="BM83" s="921">
        <f t="shared" ca="1" si="62"/>
        <v>0.69402985074626866</v>
      </c>
      <c r="BN83" s="921">
        <f t="shared" ca="1" si="62"/>
        <v>0.70149253731343286</v>
      </c>
      <c r="BO83" s="921">
        <f t="shared" ca="1" si="62"/>
        <v>0.70149253731343286</v>
      </c>
      <c r="BP83" s="921">
        <f t="shared" ca="1" si="62"/>
        <v>0.73134328358208955</v>
      </c>
      <c r="BQ83" s="921">
        <f t="shared" ca="1" si="62"/>
        <v>0.76119402985074625</v>
      </c>
      <c r="BR83" s="921">
        <f t="shared" ca="1" si="62"/>
        <v>0.74626865671641796</v>
      </c>
      <c r="BS83" s="921">
        <f t="shared" ca="1" si="62"/>
        <v>0.83582089552238803</v>
      </c>
      <c r="BT83" s="921">
        <f t="shared" ca="1" si="62"/>
        <v>0.82835820895522383</v>
      </c>
      <c r="BU83" s="921">
        <f t="shared" ca="1" si="62"/>
        <v>0.80597014925373134</v>
      </c>
      <c r="BV83" s="921">
        <f t="shared" ref="BV83:DW83" ca="1" si="63">+IFERROR(BV81/$D$81,0)</f>
        <v>0.84328358208955223</v>
      </c>
      <c r="BW83" s="921">
        <f t="shared" ca="1" si="63"/>
        <v>0.90298507462686572</v>
      </c>
      <c r="BX83" s="921">
        <f t="shared" ca="1" si="63"/>
        <v>0.91044776119402981</v>
      </c>
      <c r="BY83" s="921">
        <f t="shared" ca="1" si="63"/>
        <v>0.90298507462686572</v>
      </c>
      <c r="BZ83" s="921">
        <f t="shared" ca="1" si="63"/>
        <v>0.97761194029850751</v>
      </c>
      <c r="CA83" s="921">
        <f t="shared" ca="1" si="63"/>
        <v>1</v>
      </c>
      <c r="CB83" s="921">
        <f t="shared" ca="1" si="63"/>
        <v>1</v>
      </c>
      <c r="CC83" s="921">
        <f t="shared" ca="1" si="63"/>
        <v>1</v>
      </c>
      <c r="CD83" s="921">
        <f t="shared" ca="1" si="63"/>
        <v>1</v>
      </c>
      <c r="CE83" s="921">
        <f t="shared" ca="1" si="63"/>
        <v>1</v>
      </c>
      <c r="CF83" s="921">
        <f t="shared" ca="1" si="63"/>
        <v>1</v>
      </c>
      <c r="CG83" s="921">
        <f t="shared" ca="1" si="63"/>
        <v>1</v>
      </c>
      <c r="CH83" s="921">
        <f t="shared" ca="1" si="63"/>
        <v>1</v>
      </c>
      <c r="CI83" s="921">
        <f t="shared" ca="1" si="63"/>
        <v>1</v>
      </c>
      <c r="CJ83" s="921">
        <f t="shared" ca="1" si="63"/>
        <v>1</v>
      </c>
      <c r="CK83" s="921">
        <f t="shared" ca="1" si="63"/>
        <v>1</v>
      </c>
      <c r="CL83" s="921">
        <f t="shared" ca="1" si="63"/>
        <v>1</v>
      </c>
      <c r="CM83" s="921">
        <f t="shared" ca="1" si="63"/>
        <v>1</v>
      </c>
      <c r="CN83" s="921">
        <f t="shared" ca="1" si="63"/>
        <v>1</v>
      </c>
      <c r="CO83" s="921">
        <f t="shared" ca="1" si="63"/>
        <v>1</v>
      </c>
      <c r="CP83" s="921">
        <f t="shared" ca="1" si="63"/>
        <v>1</v>
      </c>
      <c r="CQ83" s="921">
        <f t="shared" ca="1" si="63"/>
        <v>1</v>
      </c>
      <c r="CR83" s="921">
        <f t="shared" ca="1" si="63"/>
        <v>1</v>
      </c>
      <c r="CS83" s="921">
        <f t="shared" ca="1" si="63"/>
        <v>1</v>
      </c>
      <c r="CT83" s="921">
        <f t="shared" ca="1" si="63"/>
        <v>1</v>
      </c>
      <c r="CU83" s="921">
        <f t="shared" ca="1" si="63"/>
        <v>1</v>
      </c>
      <c r="CV83" s="921">
        <f t="shared" ca="1" si="63"/>
        <v>1</v>
      </c>
      <c r="CW83" s="921">
        <f t="shared" ca="1" si="63"/>
        <v>1</v>
      </c>
      <c r="CX83" s="921">
        <f t="shared" ca="1" si="63"/>
        <v>1</v>
      </c>
      <c r="CY83" s="921">
        <f t="shared" ca="1" si="63"/>
        <v>1</v>
      </c>
      <c r="CZ83" s="921">
        <f t="shared" ca="1" si="63"/>
        <v>1</v>
      </c>
      <c r="DA83" s="921">
        <f t="shared" ca="1" si="63"/>
        <v>1</v>
      </c>
      <c r="DB83" s="921">
        <f t="shared" ca="1" si="63"/>
        <v>1</v>
      </c>
      <c r="DC83" s="921">
        <f t="shared" ca="1" si="63"/>
        <v>1</v>
      </c>
      <c r="DD83" s="921">
        <f t="shared" ca="1" si="63"/>
        <v>1</v>
      </c>
      <c r="DE83" s="921">
        <f t="shared" ca="1" si="63"/>
        <v>1</v>
      </c>
      <c r="DF83" s="921">
        <f t="shared" ca="1" si="63"/>
        <v>1</v>
      </c>
      <c r="DG83" s="921">
        <f t="shared" ca="1" si="63"/>
        <v>1</v>
      </c>
      <c r="DH83" s="921">
        <f t="shared" ca="1" si="63"/>
        <v>1</v>
      </c>
      <c r="DI83" s="921">
        <f t="shared" ca="1" si="63"/>
        <v>1</v>
      </c>
      <c r="DJ83" s="921">
        <f t="shared" ca="1" si="63"/>
        <v>1</v>
      </c>
      <c r="DK83" s="921">
        <f t="shared" ca="1" si="63"/>
        <v>1</v>
      </c>
      <c r="DL83" s="921">
        <f t="shared" ca="1" si="63"/>
        <v>1</v>
      </c>
      <c r="DM83" s="921">
        <f t="shared" ca="1" si="63"/>
        <v>1</v>
      </c>
      <c r="DN83" s="921">
        <f t="shared" ca="1" si="63"/>
        <v>1</v>
      </c>
      <c r="DO83" s="921">
        <f t="shared" ca="1" si="63"/>
        <v>1</v>
      </c>
      <c r="DP83" s="921">
        <f t="shared" ca="1" si="63"/>
        <v>1</v>
      </c>
      <c r="DQ83" s="921">
        <f t="shared" ca="1" si="63"/>
        <v>1</v>
      </c>
      <c r="DR83" s="921">
        <f t="shared" ca="1" si="63"/>
        <v>1</v>
      </c>
      <c r="DS83" s="921">
        <f t="shared" ca="1" si="63"/>
        <v>1</v>
      </c>
      <c r="DT83" s="921">
        <f t="shared" ca="1" si="63"/>
        <v>1</v>
      </c>
      <c r="DU83" s="921">
        <f t="shared" ca="1" si="63"/>
        <v>1</v>
      </c>
      <c r="DV83" s="921">
        <f t="shared" ca="1" si="63"/>
        <v>1</v>
      </c>
      <c r="DW83" s="921">
        <f t="shared" ca="1" si="63"/>
        <v>1</v>
      </c>
      <c r="DX83" s="921">
        <f t="shared" ref="DX83" ca="1" si="64">+IFERROR(DX81/$D$81,0)</f>
        <v>1</v>
      </c>
      <c r="DY83" s="921">
        <f t="shared" ref="DY83" ca="1" si="65">+IFERROR(DY81/$D$81,0)</f>
        <v>1</v>
      </c>
    </row>
    <row r="84" spans="1:130" s="3" customFormat="1" ht="11.7" customHeight="1" outlineLevel="1" x14ac:dyDescent="0.3">
      <c r="A84" s="85"/>
      <c r="B84" s="141" t="s">
        <v>558</v>
      </c>
      <c r="C84" s="141"/>
      <c r="D84" s="159"/>
      <c r="G84" s="127"/>
      <c r="H84" s="127"/>
      <c r="I84" s="920">
        <f t="shared" ref="I84:AN84" si="66">MAX(1-I83,$D$104)</f>
        <v>1</v>
      </c>
      <c r="J84" s="920">
        <f t="shared" si="66"/>
        <v>1</v>
      </c>
      <c r="K84" s="920">
        <f t="shared" si="66"/>
        <v>1</v>
      </c>
      <c r="L84" s="920">
        <f t="shared" si="66"/>
        <v>1</v>
      </c>
      <c r="M84" s="920">
        <f t="shared" si="66"/>
        <v>1</v>
      </c>
      <c r="N84" s="920">
        <f t="shared" si="66"/>
        <v>1</v>
      </c>
      <c r="O84" s="920">
        <f t="shared" si="66"/>
        <v>1</v>
      </c>
      <c r="P84" s="920">
        <f t="shared" si="66"/>
        <v>1</v>
      </c>
      <c r="Q84" s="920">
        <f t="shared" si="66"/>
        <v>1</v>
      </c>
      <c r="R84" s="920">
        <f t="shared" si="66"/>
        <v>1</v>
      </c>
      <c r="S84" s="920">
        <f t="shared" si="66"/>
        <v>1</v>
      </c>
      <c r="T84" s="920">
        <f t="shared" si="66"/>
        <v>1</v>
      </c>
      <c r="U84" s="920">
        <f t="shared" si="66"/>
        <v>1</v>
      </c>
      <c r="V84" s="920">
        <f t="shared" si="66"/>
        <v>1</v>
      </c>
      <c r="W84" s="920">
        <f t="shared" si="66"/>
        <v>1</v>
      </c>
      <c r="X84" s="920">
        <f t="shared" si="66"/>
        <v>1</v>
      </c>
      <c r="Y84" s="920">
        <f t="shared" si="66"/>
        <v>1</v>
      </c>
      <c r="Z84" s="920">
        <f t="shared" si="66"/>
        <v>1</v>
      </c>
      <c r="AA84" s="920">
        <f t="shared" si="66"/>
        <v>1</v>
      </c>
      <c r="AB84" s="920">
        <f t="shared" si="66"/>
        <v>1</v>
      </c>
      <c r="AC84" s="920">
        <f t="shared" si="66"/>
        <v>1</v>
      </c>
      <c r="AD84" s="920">
        <f t="shared" si="66"/>
        <v>1</v>
      </c>
      <c r="AE84" s="920">
        <f t="shared" si="66"/>
        <v>1</v>
      </c>
      <c r="AF84" s="920">
        <f t="shared" si="66"/>
        <v>1</v>
      </c>
      <c r="AG84" s="920">
        <f t="shared" si="66"/>
        <v>1</v>
      </c>
      <c r="AH84" s="920">
        <f t="shared" si="66"/>
        <v>1</v>
      </c>
      <c r="AI84" s="920">
        <f t="shared" si="66"/>
        <v>1</v>
      </c>
      <c r="AJ84" s="920">
        <f t="shared" si="66"/>
        <v>1</v>
      </c>
      <c r="AK84" s="920">
        <f t="shared" si="66"/>
        <v>1</v>
      </c>
      <c r="AL84" s="920">
        <f t="shared" si="66"/>
        <v>1</v>
      </c>
      <c r="AM84" s="920">
        <f t="shared" si="66"/>
        <v>1</v>
      </c>
      <c r="AN84" s="920">
        <f t="shared" si="66"/>
        <v>1</v>
      </c>
      <c r="AO84" s="920">
        <f t="shared" ref="AO84:BT84" si="67">MAX(1-AO83,$D$104)</f>
        <v>1</v>
      </c>
      <c r="AP84" s="920">
        <f t="shared" si="67"/>
        <v>1</v>
      </c>
      <c r="AQ84" s="920">
        <f t="shared" si="67"/>
        <v>1</v>
      </c>
      <c r="AR84" s="920">
        <f t="shared" si="67"/>
        <v>1</v>
      </c>
      <c r="AS84" s="920">
        <f t="shared" si="67"/>
        <v>1</v>
      </c>
      <c r="AT84" s="920">
        <f t="shared" si="67"/>
        <v>1</v>
      </c>
      <c r="AU84" s="920">
        <f t="shared" si="67"/>
        <v>1</v>
      </c>
      <c r="AV84" s="920">
        <f t="shared" si="67"/>
        <v>1</v>
      </c>
      <c r="AW84" s="920">
        <f t="shared" si="67"/>
        <v>1</v>
      </c>
      <c r="AX84" s="920">
        <f t="shared" si="67"/>
        <v>1</v>
      </c>
      <c r="AY84" s="920">
        <f t="shared" si="67"/>
        <v>1</v>
      </c>
      <c r="AZ84" s="920">
        <f t="shared" si="67"/>
        <v>1</v>
      </c>
      <c r="BA84" s="920">
        <f t="shared" si="67"/>
        <v>1</v>
      </c>
      <c r="BB84" s="920">
        <f t="shared" si="67"/>
        <v>1</v>
      </c>
      <c r="BC84" s="920">
        <f t="shared" si="67"/>
        <v>1</v>
      </c>
      <c r="BD84" s="920">
        <f t="shared" si="67"/>
        <v>1</v>
      </c>
      <c r="BE84" s="920">
        <f t="shared" si="67"/>
        <v>1</v>
      </c>
      <c r="BF84" s="920">
        <f t="shared" si="67"/>
        <v>1</v>
      </c>
      <c r="BG84" s="920">
        <f t="shared" si="67"/>
        <v>1</v>
      </c>
      <c r="BH84" s="920">
        <f t="shared" si="67"/>
        <v>1</v>
      </c>
      <c r="BI84" s="920">
        <f t="shared" si="67"/>
        <v>0.82835820895522394</v>
      </c>
      <c r="BJ84" s="920">
        <f t="shared" ca="1" si="67"/>
        <v>0.58208955223880599</v>
      </c>
      <c r="BK84" s="920">
        <f t="shared" ca="1" si="67"/>
        <v>0.30597014925373134</v>
      </c>
      <c r="BL84" s="920">
        <f t="shared" ca="1" si="67"/>
        <v>0.32835820895522383</v>
      </c>
      <c r="BM84" s="920">
        <f t="shared" ca="1" si="67"/>
        <v>0.30597014925373134</v>
      </c>
      <c r="BN84" s="920">
        <f t="shared" ca="1" si="67"/>
        <v>0.29850746268656714</v>
      </c>
      <c r="BO84" s="920">
        <f t="shared" ca="1" si="67"/>
        <v>0.29850746268656714</v>
      </c>
      <c r="BP84" s="920">
        <f t="shared" ca="1" si="67"/>
        <v>0.26865671641791045</v>
      </c>
      <c r="BQ84" s="920">
        <f t="shared" ca="1" si="67"/>
        <v>0.23880597014925375</v>
      </c>
      <c r="BR84" s="920">
        <f t="shared" ca="1" si="67"/>
        <v>0.25373134328358204</v>
      </c>
      <c r="BS84" s="920">
        <f t="shared" ca="1" si="67"/>
        <v>0.16417910447761197</v>
      </c>
      <c r="BT84" s="920">
        <f t="shared" ca="1" si="67"/>
        <v>0.17164179104477617</v>
      </c>
      <c r="BU84" s="920">
        <f t="shared" ref="BU84:CZ84" ca="1" si="68">MAX(1-BU83,$D$104)</f>
        <v>0.19402985074626866</v>
      </c>
      <c r="BV84" s="920">
        <f t="shared" ca="1" si="68"/>
        <v>0.15671641791044777</v>
      </c>
      <c r="BW84" s="920">
        <f t="shared" ca="1" si="68"/>
        <v>9.7014925373134275E-2</v>
      </c>
      <c r="BX84" s="920">
        <f t="shared" ca="1" si="68"/>
        <v>8.9552238805970186E-2</v>
      </c>
      <c r="BY84" s="920">
        <f t="shared" ca="1" si="68"/>
        <v>9.7014925373134275E-2</v>
      </c>
      <c r="BZ84" s="920">
        <f t="shared" ca="1" si="68"/>
        <v>2.5000000000000001E-2</v>
      </c>
      <c r="CA84" s="920">
        <f t="shared" ca="1" si="68"/>
        <v>2.5000000000000001E-2</v>
      </c>
      <c r="CB84" s="920">
        <f t="shared" ca="1" si="68"/>
        <v>2.5000000000000001E-2</v>
      </c>
      <c r="CC84" s="920">
        <f t="shared" ca="1" si="68"/>
        <v>2.5000000000000001E-2</v>
      </c>
      <c r="CD84" s="920">
        <f t="shared" ca="1" si="68"/>
        <v>2.5000000000000001E-2</v>
      </c>
      <c r="CE84" s="920">
        <f t="shared" ca="1" si="68"/>
        <v>2.5000000000000001E-2</v>
      </c>
      <c r="CF84" s="920">
        <f t="shared" ca="1" si="68"/>
        <v>2.5000000000000001E-2</v>
      </c>
      <c r="CG84" s="920">
        <f t="shared" ca="1" si="68"/>
        <v>2.5000000000000001E-2</v>
      </c>
      <c r="CH84" s="920">
        <f t="shared" ca="1" si="68"/>
        <v>2.5000000000000001E-2</v>
      </c>
      <c r="CI84" s="920">
        <f t="shared" ca="1" si="68"/>
        <v>2.5000000000000001E-2</v>
      </c>
      <c r="CJ84" s="920">
        <f t="shared" ca="1" si="68"/>
        <v>2.5000000000000001E-2</v>
      </c>
      <c r="CK84" s="920">
        <f t="shared" ca="1" si="68"/>
        <v>2.5000000000000001E-2</v>
      </c>
      <c r="CL84" s="920">
        <f t="shared" ca="1" si="68"/>
        <v>2.5000000000000001E-2</v>
      </c>
      <c r="CM84" s="920">
        <f t="shared" ca="1" si="68"/>
        <v>2.5000000000000001E-2</v>
      </c>
      <c r="CN84" s="920">
        <f t="shared" ca="1" si="68"/>
        <v>2.5000000000000001E-2</v>
      </c>
      <c r="CO84" s="920">
        <f t="shared" ca="1" si="68"/>
        <v>2.5000000000000001E-2</v>
      </c>
      <c r="CP84" s="920">
        <f t="shared" ca="1" si="68"/>
        <v>2.5000000000000001E-2</v>
      </c>
      <c r="CQ84" s="920">
        <f t="shared" ca="1" si="68"/>
        <v>2.5000000000000001E-2</v>
      </c>
      <c r="CR84" s="920">
        <f t="shared" ca="1" si="68"/>
        <v>2.5000000000000001E-2</v>
      </c>
      <c r="CS84" s="920">
        <f t="shared" ca="1" si="68"/>
        <v>2.5000000000000001E-2</v>
      </c>
      <c r="CT84" s="920">
        <f t="shared" ca="1" si="68"/>
        <v>2.5000000000000001E-2</v>
      </c>
      <c r="CU84" s="920">
        <f t="shared" ca="1" si="68"/>
        <v>2.5000000000000001E-2</v>
      </c>
      <c r="CV84" s="920">
        <f t="shared" ca="1" si="68"/>
        <v>2.5000000000000001E-2</v>
      </c>
      <c r="CW84" s="920">
        <f t="shared" ca="1" si="68"/>
        <v>2.5000000000000001E-2</v>
      </c>
      <c r="CX84" s="920">
        <f t="shared" ca="1" si="68"/>
        <v>2.5000000000000001E-2</v>
      </c>
      <c r="CY84" s="920">
        <f t="shared" ca="1" si="68"/>
        <v>2.5000000000000001E-2</v>
      </c>
      <c r="CZ84" s="920">
        <f t="shared" ca="1" si="68"/>
        <v>2.5000000000000001E-2</v>
      </c>
      <c r="DA84" s="920">
        <f t="shared" ref="DA84:DY84" ca="1" si="69">MAX(1-DA83,$D$104)</f>
        <v>2.5000000000000001E-2</v>
      </c>
      <c r="DB84" s="920">
        <f t="shared" ca="1" si="69"/>
        <v>2.5000000000000001E-2</v>
      </c>
      <c r="DC84" s="920">
        <f t="shared" ca="1" si="69"/>
        <v>2.5000000000000001E-2</v>
      </c>
      <c r="DD84" s="920">
        <f t="shared" ca="1" si="69"/>
        <v>2.5000000000000001E-2</v>
      </c>
      <c r="DE84" s="920">
        <f t="shared" ca="1" si="69"/>
        <v>2.5000000000000001E-2</v>
      </c>
      <c r="DF84" s="920">
        <f t="shared" ca="1" si="69"/>
        <v>2.5000000000000001E-2</v>
      </c>
      <c r="DG84" s="920">
        <f t="shared" ca="1" si="69"/>
        <v>2.5000000000000001E-2</v>
      </c>
      <c r="DH84" s="920">
        <f t="shared" ca="1" si="69"/>
        <v>2.5000000000000001E-2</v>
      </c>
      <c r="DI84" s="920">
        <f t="shared" ca="1" si="69"/>
        <v>2.5000000000000001E-2</v>
      </c>
      <c r="DJ84" s="920">
        <f t="shared" ca="1" si="69"/>
        <v>2.5000000000000001E-2</v>
      </c>
      <c r="DK84" s="920">
        <f t="shared" ca="1" si="69"/>
        <v>2.5000000000000001E-2</v>
      </c>
      <c r="DL84" s="920">
        <f t="shared" ca="1" si="69"/>
        <v>2.5000000000000001E-2</v>
      </c>
      <c r="DM84" s="920">
        <f t="shared" ca="1" si="69"/>
        <v>2.5000000000000001E-2</v>
      </c>
      <c r="DN84" s="920">
        <f t="shared" ca="1" si="69"/>
        <v>2.5000000000000001E-2</v>
      </c>
      <c r="DO84" s="920">
        <f t="shared" ca="1" si="69"/>
        <v>2.5000000000000001E-2</v>
      </c>
      <c r="DP84" s="920">
        <f t="shared" ca="1" si="69"/>
        <v>2.5000000000000001E-2</v>
      </c>
      <c r="DQ84" s="920">
        <f t="shared" ca="1" si="69"/>
        <v>2.5000000000000001E-2</v>
      </c>
      <c r="DR84" s="920">
        <f t="shared" ca="1" si="69"/>
        <v>2.5000000000000001E-2</v>
      </c>
      <c r="DS84" s="920">
        <f t="shared" ca="1" si="69"/>
        <v>2.5000000000000001E-2</v>
      </c>
      <c r="DT84" s="920">
        <f t="shared" ca="1" si="69"/>
        <v>2.5000000000000001E-2</v>
      </c>
      <c r="DU84" s="920">
        <f t="shared" ca="1" si="69"/>
        <v>2.5000000000000001E-2</v>
      </c>
      <c r="DV84" s="920">
        <f t="shared" ca="1" si="69"/>
        <v>2.5000000000000001E-2</v>
      </c>
      <c r="DW84" s="920">
        <f t="shared" ca="1" si="69"/>
        <v>2.5000000000000001E-2</v>
      </c>
      <c r="DX84" s="920">
        <f t="shared" ca="1" si="69"/>
        <v>2.5000000000000001E-2</v>
      </c>
      <c r="DY84" s="920">
        <f t="shared" ca="1" si="69"/>
        <v>2.5000000000000001E-2</v>
      </c>
      <c r="DZ84" s="920"/>
    </row>
    <row r="85" spans="1:130" s="3" customFormat="1" ht="11.7" customHeight="1" outlineLevel="1" x14ac:dyDescent="0.3">
      <c r="A85" s="85"/>
      <c r="B85" s="141" t="s">
        <v>557</v>
      </c>
      <c r="C85" s="141"/>
      <c r="D85" s="157"/>
      <c r="E85" s="130"/>
      <c r="F85" s="130"/>
      <c r="G85" s="134"/>
      <c r="H85" s="134"/>
      <c r="I85" s="323">
        <f>+SUM($I$79:I80)</f>
        <v>0</v>
      </c>
      <c r="J85" s="323">
        <f>+SUM($I$79:J80)</f>
        <v>0</v>
      </c>
      <c r="K85" s="323">
        <f>+SUM($I$79:K80)</f>
        <v>0</v>
      </c>
      <c r="L85" s="323">
        <f>+SUM($I$79:L80)</f>
        <v>0</v>
      </c>
      <c r="M85" s="323">
        <f>+SUM($I$79:M80)</f>
        <v>0</v>
      </c>
      <c r="N85" s="323">
        <f>+SUM($I$79:N80)</f>
        <v>0</v>
      </c>
      <c r="O85" s="323">
        <f>+SUM($I$79:O80)</f>
        <v>0</v>
      </c>
      <c r="P85" s="323">
        <f>+SUM($I$79:P80)</f>
        <v>0</v>
      </c>
      <c r="Q85" s="323">
        <f>+SUM($I$79:Q80)</f>
        <v>0</v>
      </c>
      <c r="R85" s="323">
        <f>+SUM($I$79:R80)</f>
        <v>0</v>
      </c>
      <c r="S85" s="323">
        <f>+SUM($I$79:S80)</f>
        <v>0</v>
      </c>
      <c r="T85" s="323">
        <f>+SUM($I$79:T80)</f>
        <v>0</v>
      </c>
      <c r="U85" s="323">
        <f>+SUM($I$79:U80)</f>
        <v>0</v>
      </c>
      <c r="V85" s="323">
        <f>+SUM($I$79:V80)</f>
        <v>0</v>
      </c>
      <c r="W85" s="323">
        <f>+SUM($I$79:W80)</f>
        <v>0</v>
      </c>
      <c r="X85" s="323">
        <f>+SUM($I$79:X80)</f>
        <v>0</v>
      </c>
      <c r="Y85" s="323">
        <f>+SUM($I$79:Y80)</f>
        <v>0</v>
      </c>
      <c r="Z85" s="323">
        <f>+SUM($I$79:Z80)</f>
        <v>0</v>
      </c>
      <c r="AA85" s="323">
        <f>+SUM($I$79:AA80)</f>
        <v>0</v>
      </c>
      <c r="AB85" s="323">
        <f>+SUM($I$79:AB80)</f>
        <v>0</v>
      </c>
      <c r="AC85" s="323">
        <f>+SUM($I$79:AC80)</f>
        <v>0</v>
      </c>
      <c r="AD85" s="323">
        <f>+SUM($I$79:AD80)</f>
        <v>0</v>
      </c>
      <c r="AE85" s="323">
        <f>+SUM($I$79:AE80)</f>
        <v>0</v>
      </c>
      <c r="AF85" s="323">
        <f>+SUM($I$79:AF80)</f>
        <v>0</v>
      </c>
      <c r="AG85" s="323">
        <f>+SUM($I$79:AG80)</f>
        <v>0</v>
      </c>
      <c r="AH85" s="323">
        <f>+SUM($I$79:AH80)</f>
        <v>0</v>
      </c>
      <c r="AI85" s="323">
        <f>+SUM($I$79:AI80)</f>
        <v>0</v>
      </c>
      <c r="AJ85" s="323">
        <f>+SUM($I$79:AJ80)</f>
        <v>0</v>
      </c>
      <c r="AK85" s="323">
        <f>+SUM($I$79:AK80)</f>
        <v>0</v>
      </c>
      <c r="AL85" s="323">
        <f>+SUM($I$79:AL80)</f>
        <v>0</v>
      </c>
      <c r="AM85" s="323">
        <f>+SUM($I$79:AM80)</f>
        <v>0</v>
      </c>
      <c r="AN85" s="323">
        <f>+SUM($I$79:AN80)</f>
        <v>0</v>
      </c>
      <c r="AO85" s="323">
        <f>+SUM($I$79:AO80)</f>
        <v>0</v>
      </c>
      <c r="AP85" s="323">
        <f>+SUM($I$79:AP80)</f>
        <v>0</v>
      </c>
      <c r="AQ85" s="323">
        <f>+SUM($I$79:AQ80)</f>
        <v>0</v>
      </c>
      <c r="AR85" s="323">
        <f>+SUM($I$79:AR80)</f>
        <v>0</v>
      </c>
      <c r="AS85" s="323">
        <f>+SUM($I$79:AS80)</f>
        <v>0</v>
      </c>
      <c r="AT85" s="323">
        <f>+SUM($I$79:AT80)</f>
        <v>0</v>
      </c>
      <c r="AU85" s="323">
        <f>+SUM($I$79:AU80)</f>
        <v>0</v>
      </c>
      <c r="AV85" s="323">
        <f>+SUM($I$79:AV80)</f>
        <v>0</v>
      </c>
      <c r="AW85" s="323">
        <f>+SUM($I$79:AW80)</f>
        <v>0</v>
      </c>
      <c r="AX85" s="323">
        <f>+SUM($I$79:AX80)</f>
        <v>0</v>
      </c>
      <c r="AY85" s="323">
        <f>+SUM($I$79:AY80)</f>
        <v>0</v>
      </c>
      <c r="AZ85" s="323">
        <f>+SUM($I$79:AZ80)</f>
        <v>0</v>
      </c>
      <c r="BA85" s="323">
        <f>+SUM($I$79:BA80)</f>
        <v>0</v>
      </c>
      <c r="BB85" s="323">
        <f>+SUM($I$79:BB80)</f>
        <v>0</v>
      </c>
      <c r="BC85" s="323">
        <f>+SUM($I$79:BC80)</f>
        <v>0</v>
      </c>
      <c r="BD85" s="323">
        <f>+SUM($I$79:BD80)</f>
        <v>0</v>
      </c>
      <c r="BE85" s="323">
        <f>+SUM($I$79:BE80)</f>
        <v>0</v>
      </c>
      <c r="BF85" s="323">
        <f>+SUM($I$79:BF80)</f>
        <v>0</v>
      </c>
      <c r="BG85" s="323">
        <f>+SUM($I$79:BG80)</f>
        <v>0</v>
      </c>
      <c r="BH85" s="323">
        <f>+SUM($I$79:BH80)</f>
        <v>0</v>
      </c>
      <c r="BI85" s="323">
        <f>+SUM($I$79:BI80)</f>
        <v>23</v>
      </c>
      <c r="BJ85" s="323">
        <f ca="1">+SUM($I$79:BJ80)</f>
        <v>56</v>
      </c>
      <c r="BK85" s="323">
        <f ca="1">+SUM($I$79:BK80)</f>
        <v>93</v>
      </c>
      <c r="BL85" s="323">
        <f ca="1">+SUM($I$79:BL80)</f>
        <v>90</v>
      </c>
      <c r="BM85" s="323">
        <f ca="1">+SUM($I$79:BM80)</f>
        <v>93</v>
      </c>
      <c r="BN85" s="323">
        <f ca="1">+SUM($I$79:BN80)</f>
        <v>94</v>
      </c>
      <c r="BO85" s="323">
        <f ca="1">+SUM($I$79:BO80)</f>
        <v>94</v>
      </c>
      <c r="BP85" s="323">
        <f ca="1">+SUM($I$79:BP80)</f>
        <v>98</v>
      </c>
      <c r="BQ85" s="323">
        <f ca="1">+SUM($I$79:BQ80)</f>
        <v>102</v>
      </c>
      <c r="BR85" s="323">
        <f ca="1">+SUM($I$79:BR80)</f>
        <v>100</v>
      </c>
      <c r="BS85" s="323">
        <f ca="1">+SUM($I$79:BS80)</f>
        <v>112</v>
      </c>
      <c r="BT85" s="323">
        <f ca="1">+SUM($I$79:BT80)</f>
        <v>111</v>
      </c>
      <c r="BU85" s="323">
        <f ca="1">+SUM($I$79:BU80)</f>
        <v>108</v>
      </c>
      <c r="BV85" s="323">
        <f ca="1">+SUM($I$79:BV80)</f>
        <v>113</v>
      </c>
      <c r="BW85" s="323">
        <f ca="1">+SUM($I$79:BW80)</f>
        <v>121</v>
      </c>
      <c r="BX85" s="323">
        <f ca="1">+SUM($I$79:BX80)</f>
        <v>122</v>
      </c>
      <c r="BY85" s="323">
        <f ca="1">+SUM($I$79:BY80)</f>
        <v>121</v>
      </c>
      <c r="BZ85" s="323">
        <f ca="1">+SUM($I$79:BZ80)</f>
        <v>131</v>
      </c>
      <c r="CA85" s="323">
        <f ca="1">+SUM($I$79:CA80)</f>
        <v>134</v>
      </c>
      <c r="CB85" s="323">
        <f ca="1">+SUM($I$79:CB80)</f>
        <v>134</v>
      </c>
      <c r="CC85" s="323">
        <f ca="1">+SUM($I$79:CC80)</f>
        <v>134</v>
      </c>
      <c r="CD85" s="323">
        <f ca="1">+SUM($I$79:CD80)</f>
        <v>134</v>
      </c>
      <c r="CE85" s="323">
        <f ca="1">+SUM($I$79:CE80)</f>
        <v>134</v>
      </c>
      <c r="CF85" s="323">
        <f ca="1">+SUM($I$79:CF80)</f>
        <v>134</v>
      </c>
      <c r="CG85" s="323">
        <f ca="1">+SUM($I$79:CG80)</f>
        <v>134</v>
      </c>
      <c r="CH85" s="323">
        <f ca="1">+SUM($I$79:CH80)</f>
        <v>134</v>
      </c>
      <c r="CI85" s="323">
        <f ca="1">+SUM($I$79:CI80)</f>
        <v>134</v>
      </c>
      <c r="CJ85" s="323">
        <f ca="1">+SUM($I$79:CJ80)</f>
        <v>134</v>
      </c>
      <c r="CK85" s="323">
        <f ca="1">+SUM($I$79:CK80)</f>
        <v>134</v>
      </c>
      <c r="CL85" s="323">
        <f ca="1">+SUM($I$79:CL80)</f>
        <v>134</v>
      </c>
      <c r="CM85" s="323">
        <f ca="1">+SUM($I$79:CM80)</f>
        <v>134</v>
      </c>
      <c r="CN85" s="323">
        <f ca="1">+SUM($I$79:CN80)</f>
        <v>134</v>
      </c>
      <c r="CO85" s="323">
        <f ca="1">+SUM($I$79:CO80)</f>
        <v>134</v>
      </c>
      <c r="CP85" s="323">
        <f ca="1">+SUM($I$79:CP80)</f>
        <v>134</v>
      </c>
      <c r="CQ85" s="323">
        <f ca="1">+SUM($I$79:CQ80)</f>
        <v>134</v>
      </c>
      <c r="CR85" s="323">
        <f ca="1">+SUM($I$79:CR80)</f>
        <v>134</v>
      </c>
      <c r="CS85" s="323">
        <f ca="1">+SUM($I$79:CS80)</f>
        <v>134</v>
      </c>
      <c r="CT85" s="323">
        <f ca="1">+SUM($I$79:CT80)</f>
        <v>134</v>
      </c>
      <c r="CU85" s="323">
        <f ca="1">+SUM($I$79:CU80)</f>
        <v>134</v>
      </c>
      <c r="CV85" s="323">
        <f ca="1">+SUM($I$79:CV80)</f>
        <v>134</v>
      </c>
      <c r="CW85" s="323">
        <f ca="1">+SUM($I$79:CW80)</f>
        <v>134</v>
      </c>
      <c r="CX85" s="323">
        <f ca="1">+SUM($I$79:CX80)</f>
        <v>134</v>
      </c>
      <c r="CY85" s="323">
        <f ca="1">+SUM($I$79:CY80)</f>
        <v>134</v>
      </c>
      <c r="CZ85" s="323">
        <f ca="1">+SUM($I$79:CZ80)</f>
        <v>134</v>
      </c>
      <c r="DA85" s="323">
        <f ca="1">+SUM($I$79:DA80)</f>
        <v>134</v>
      </c>
      <c r="DB85" s="323">
        <f ca="1">+SUM($I$79:DB80)</f>
        <v>134</v>
      </c>
      <c r="DC85" s="323">
        <f ca="1">+SUM($I$79:DC80)</f>
        <v>134</v>
      </c>
      <c r="DD85" s="323">
        <f ca="1">+SUM($I$79:DD80)</f>
        <v>134</v>
      </c>
      <c r="DE85" s="323">
        <f ca="1">+SUM($I$79:DE80)</f>
        <v>134</v>
      </c>
      <c r="DF85" s="323">
        <f ca="1">+SUM($I$79:DF80)</f>
        <v>134</v>
      </c>
      <c r="DG85" s="323">
        <f ca="1">+SUM($I$79:DG80)</f>
        <v>134</v>
      </c>
      <c r="DH85" s="323">
        <f ca="1">+SUM($I$79:DH80)</f>
        <v>134</v>
      </c>
      <c r="DI85" s="323">
        <f ca="1">+SUM($I$79:DI80)</f>
        <v>134</v>
      </c>
      <c r="DJ85" s="323">
        <f ca="1">+SUM($I$79:DJ80)</f>
        <v>134</v>
      </c>
      <c r="DK85" s="323">
        <f ca="1">+SUM($I$79:DK80)</f>
        <v>134</v>
      </c>
      <c r="DL85" s="323">
        <f ca="1">+SUM($I$79:DL80)</f>
        <v>134</v>
      </c>
      <c r="DM85" s="323">
        <f ca="1">+SUM($I$79:DM80)</f>
        <v>134</v>
      </c>
      <c r="DN85" s="323">
        <f ca="1">+SUM($I$79:DN80)</f>
        <v>134</v>
      </c>
      <c r="DO85" s="323">
        <f ca="1">+SUM($I$79:DO80)</f>
        <v>134</v>
      </c>
      <c r="DP85" s="323">
        <f ca="1">+SUM($I$79:DP80)</f>
        <v>134</v>
      </c>
      <c r="DQ85" s="323">
        <f ca="1">+SUM($I$79:DQ80)</f>
        <v>134</v>
      </c>
      <c r="DR85" s="323">
        <f ca="1">+SUM($I$79:DR80)</f>
        <v>134</v>
      </c>
      <c r="DS85" s="323">
        <f ca="1">+SUM($I$79:DS80)</f>
        <v>134</v>
      </c>
      <c r="DT85" s="323">
        <f ca="1">+SUM($I$79:DT80)</f>
        <v>134</v>
      </c>
      <c r="DU85" s="323">
        <f ca="1">+SUM($I$79:DU80)</f>
        <v>134</v>
      </c>
      <c r="DV85" s="323">
        <f ca="1">+SUM($I$79:DV80)</f>
        <v>134</v>
      </c>
      <c r="DW85" s="323">
        <f ca="1">+SUM($I$79:DW80)</f>
        <v>134</v>
      </c>
      <c r="DX85" s="323">
        <f ca="1">+SUM($I$79:DX80)</f>
        <v>134</v>
      </c>
      <c r="DY85" s="323">
        <f ca="1">+SUM($I$79:DY80)</f>
        <v>134</v>
      </c>
    </row>
    <row r="86" spans="1:130" s="3" customFormat="1" ht="11.7" customHeight="1" outlineLevel="1" x14ac:dyDescent="0.3">
      <c r="A86" s="85"/>
      <c r="B86" s="141" t="s">
        <v>561</v>
      </c>
      <c r="C86" s="141"/>
      <c r="G86" s="127"/>
      <c r="H86" s="127"/>
      <c r="I86" s="323">
        <f>+$D$81-I85</f>
        <v>134</v>
      </c>
      <c r="J86" s="323">
        <f t="shared" ref="J86:BU86" si="70">+$D$81-J85</f>
        <v>134</v>
      </c>
      <c r="K86" s="323">
        <f t="shared" si="70"/>
        <v>134</v>
      </c>
      <c r="L86" s="323">
        <f t="shared" si="70"/>
        <v>134</v>
      </c>
      <c r="M86" s="323">
        <f t="shared" si="70"/>
        <v>134</v>
      </c>
      <c r="N86" s="323">
        <f t="shared" si="70"/>
        <v>134</v>
      </c>
      <c r="O86" s="323">
        <f t="shared" si="70"/>
        <v>134</v>
      </c>
      <c r="P86" s="323">
        <f t="shared" si="70"/>
        <v>134</v>
      </c>
      <c r="Q86" s="323">
        <f t="shared" si="70"/>
        <v>134</v>
      </c>
      <c r="R86" s="323">
        <f t="shared" si="70"/>
        <v>134</v>
      </c>
      <c r="S86" s="323">
        <f t="shared" si="70"/>
        <v>134</v>
      </c>
      <c r="T86" s="323">
        <f t="shared" si="70"/>
        <v>134</v>
      </c>
      <c r="U86" s="323">
        <f t="shared" si="70"/>
        <v>134</v>
      </c>
      <c r="V86" s="323">
        <f t="shared" si="70"/>
        <v>134</v>
      </c>
      <c r="W86" s="323">
        <f t="shared" si="70"/>
        <v>134</v>
      </c>
      <c r="X86" s="323">
        <f t="shared" si="70"/>
        <v>134</v>
      </c>
      <c r="Y86" s="323">
        <f t="shared" si="70"/>
        <v>134</v>
      </c>
      <c r="Z86" s="323">
        <f t="shared" si="70"/>
        <v>134</v>
      </c>
      <c r="AA86" s="323">
        <f t="shared" si="70"/>
        <v>134</v>
      </c>
      <c r="AB86" s="323">
        <f t="shared" si="70"/>
        <v>134</v>
      </c>
      <c r="AC86" s="323">
        <f t="shared" si="70"/>
        <v>134</v>
      </c>
      <c r="AD86" s="323">
        <f t="shared" si="70"/>
        <v>134</v>
      </c>
      <c r="AE86" s="323">
        <f t="shared" si="70"/>
        <v>134</v>
      </c>
      <c r="AF86" s="323">
        <f t="shared" si="70"/>
        <v>134</v>
      </c>
      <c r="AG86" s="323">
        <f t="shared" si="70"/>
        <v>134</v>
      </c>
      <c r="AH86" s="323">
        <f t="shared" si="70"/>
        <v>134</v>
      </c>
      <c r="AI86" s="323">
        <f t="shared" si="70"/>
        <v>134</v>
      </c>
      <c r="AJ86" s="323">
        <f t="shared" si="70"/>
        <v>134</v>
      </c>
      <c r="AK86" s="323">
        <f t="shared" si="70"/>
        <v>134</v>
      </c>
      <c r="AL86" s="323">
        <f t="shared" si="70"/>
        <v>134</v>
      </c>
      <c r="AM86" s="323">
        <f t="shared" si="70"/>
        <v>134</v>
      </c>
      <c r="AN86" s="323">
        <f t="shared" si="70"/>
        <v>134</v>
      </c>
      <c r="AO86" s="323">
        <f t="shared" si="70"/>
        <v>134</v>
      </c>
      <c r="AP86" s="323">
        <f t="shared" si="70"/>
        <v>134</v>
      </c>
      <c r="AQ86" s="323">
        <f t="shared" si="70"/>
        <v>134</v>
      </c>
      <c r="AR86" s="323">
        <f t="shared" si="70"/>
        <v>134</v>
      </c>
      <c r="AS86" s="323">
        <f t="shared" si="70"/>
        <v>134</v>
      </c>
      <c r="AT86" s="323">
        <f t="shared" si="70"/>
        <v>134</v>
      </c>
      <c r="AU86" s="323">
        <f t="shared" si="70"/>
        <v>134</v>
      </c>
      <c r="AV86" s="323">
        <f t="shared" si="70"/>
        <v>134</v>
      </c>
      <c r="AW86" s="323">
        <f t="shared" si="70"/>
        <v>134</v>
      </c>
      <c r="AX86" s="323">
        <f t="shared" si="70"/>
        <v>134</v>
      </c>
      <c r="AY86" s="323">
        <f t="shared" si="70"/>
        <v>134</v>
      </c>
      <c r="AZ86" s="323">
        <f t="shared" si="70"/>
        <v>134</v>
      </c>
      <c r="BA86" s="323">
        <f t="shared" si="70"/>
        <v>134</v>
      </c>
      <c r="BB86" s="323">
        <f t="shared" si="70"/>
        <v>134</v>
      </c>
      <c r="BC86" s="323">
        <f t="shared" si="70"/>
        <v>134</v>
      </c>
      <c r="BD86" s="323">
        <f t="shared" si="70"/>
        <v>134</v>
      </c>
      <c r="BE86" s="323">
        <f t="shared" si="70"/>
        <v>134</v>
      </c>
      <c r="BF86" s="323">
        <f t="shared" si="70"/>
        <v>134</v>
      </c>
      <c r="BG86" s="323">
        <f t="shared" si="70"/>
        <v>134</v>
      </c>
      <c r="BH86" s="323">
        <f t="shared" si="70"/>
        <v>134</v>
      </c>
      <c r="BI86" s="323">
        <f t="shared" si="70"/>
        <v>111</v>
      </c>
      <c r="BJ86" s="323">
        <f t="shared" ca="1" si="70"/>
        <v>78</v>
      </c>
      <c r="BK86" s="323">
        <f t="shared" ca="1" si="70"/>
        <v>41</v>
      </c>
      <c r="BL86" s="323">
        <f t="shared" ca="1" si="70"/>
        <v>44</v>
      </c>
      <c r="BM86" s="323">
        <f t="shared" ca="1" si="70"/>
        <v>41</v>
      </c>
      <c r="BN86" s="323">
        <f t="shared" ca="1" si="70"/>
        <v>40</v>
      </c>
      <c r="BO86" s="323">
        <f t="shared" ca="1" si="70"/>
        <v>40</v>
      </c>
      <c r="BP86" s="323">
        <f t="shared" ca="1" si="70"/>
        <v>36</v>
      </c>
      <c r="BQ86" s="323">
        <f t="shared" ca="1" si="70"/>
        <v>32</v>
      </c>
      <c r="BR86" s="323">
        <f t="shared" ca="1" si="70"/>
        <v>34</v>
      </c>
      <c r="BS86" s="323">
        <f t="shared" ca="1" si="70"/>
        <v>22</v>
      </c>
      <c r="BT86" s="323">
        <f t="shared" ca="1" si="70"/>
        <v>23</v>
      </c>
      <c r="BU86" s="323">
        <f t="shared" ca="1" si="70"/>
        <v>26</v>
      </c>
      <c r="BV86" s="323">
        <f t="shared" ref="BV86:DW86" ca="1" si="71">+$D$81-BV85</f>
        <v>21</v>
      </c>
      <c r="BW86" s="323">
        <f t="shared" ca="1" si="71"/>
        <v>13</v>
      </c>
      <c r="BX86" s="323">
        <f t="shared" ca="1" si="71"/>
        <v>12</v>
      </c>
      <c r="BY86" s="323">
        <f t="shared" ca="1" si="71"/>
        <v>13</v>
      </c>
      <c r="BZ86" s="323">
        <f t="shared" ca="1" si="71"/>
        <v>3</v>
      </c>
      <c r="CA86" s="323">
        <f t="shared" ca="1" si="71"/>
        <v>0</v>
      </c>
      <c r="CB86" s="323">
        <f t="shared" ca="1" si="71"/>
        <v>0</v>
      </c>
      <c r="CC86" s="323">
        <f t="shared" ca="1" si="71"/>
        <v>0</v>
      </c>
      <c r="CD86" s="323">
        <f t="shared" ca="1" si="71"/>
        <v>0</v>
      </c>
      <c r="CE86" s="323">
        <f t="shared" ca="1" si="71"/>
        <v>0</v>
      </c>
      <c r="CF86" s="323">
        <f t="shared" ca="1" si="71"/>
        <v>0</v>
      </c>
      <c r="CG86" s="323">
        <f t="shared" ca="1" si="71"/>
        <v>0</v>
      </c>
      <c r="CH86" s="323">
        <f t="shared" ca="1" si="71"/>
        <v>0</v>
      </c>
      <c r="CI86" s="323">
        <f t="shared" ca="1" si="71"/>
        <v>0</v>
      </c>
      <c r="CJ86" s="323">
        <f t="shared" ca="1" si="71"/>
        <v>0</v>
      </c>
      <c r="CK86" s="323">
        <f t="shared" ca="1" si="71"/>
        <v>0</v>
      </c>
      <c r="CL86" s="323">
        <f t="shared" ca="1" si="71"/>
        <v>0</v>
      </c>
      <c r="CM86" s="323">
        <f t="shared" ca="1" si="71"/>
        <v>0</v>
      </c>
      <c r="CN86" s="323">
        <f t="shared" ca="1" si="71"/>
        <v>0</v>
      </c>
      <c r="CO86" s="323">
        <f t="shared" ca="1" si="71"/>
        <v>0</v>
      </c>
      <c r="CP86" s="323">
        <f t="shared" ca="1" si="71"/>
        <v>0</v>
      </c>
      <c r="CQ86" s="323">
        <f t="shared" ca="1" si="71"/>
        <v>0</v>
      </c>
      <c r="CR86" s="323">
        <f t="shared" ca="1" si="71"/>
        <v>0</v>
      </c>
      <c r="CS86" s="323">
        <f t="shared" ca="1" si="71"/>
        <v>0</v>
      </c>
      <c r="CT86" s="323">
        <f t="shared" ca="1" si="71"/>
        <v>0</v>
      </c>
      <c r="CU86" s="323">
        <f t="shared" ca="1" si="71"/>
        <v>0</v>
      </c>
      <c r="CV86" s="323">
        <f t="shared" ca="1" si="71"/>
        <v>0</v>
      </c>
      <c r="CW86" s="323">
        <f t="shared" ca="1" si="71"/>
        <v>0</v>
      </c>
      <c r="CX86" s="323">
        <f t="shared" ca="1" si="71"/>
        <v>0</v>
      </c>
      <c r="CY86" s="323">
        <f t="shared" ca="1" si="71"/>
        <v>0</v>
      </c>
      <c r="CZ86" s="323">
        <f t="shared" ca="1" si="71"/>
        <v>0</v>
      </c>
      <c r="DA86" s="323">
        <f t="shared" ca="1" si="71"/>
        <v>0</v>
      </c>
      <c r="DB86" s="323">
        <f t="shared" ca="1" si="71"/>
        <v>0</v>
      </c>
      <c r="DC86" s="323">
        <f t="shared" ca="1" si="71"/>
        <v>0</v>
      </c>
      <c r="DD86" s="323">
        <f t="shared" ca="1" si="71"/>
        <v>0</v>
      </c>
      <c r="DE86" s="323">
        <f t="shared" ca="1" si="71"/>
        <v>0</v>
      </c>
      <c r="DF86" s="323">
        <f t="shared" ca="1" si="71"/>
        <v>0</v>
      </c>
      <c r="DG86" s="323">
        <f t="shared" ca="1" si="71"/>
        <v>0</v>
      </c>
      <c r="DH86" s="323">
        <f t="shared" ca="1" si="71"/>
        <v>0</v>
      </c>
      <c r="DI86" s="323">
        <f t="shared" ca="1" si="71"/>
        <v>0</v>
      </c>
      <c r="DJ86" s="323">
        <f t="shared" ca="1" si="71"/>
        <v>0</v>
      </c>
      <c r="DK86" s="323">
        <f t="shared" ca="1" si="71"/>
        <v>0</v>
      </c>
      <c r="DL86" s="323">
        <f t="shared" ca="1" si="71"/>
        <v>0</v>
      </c>
      <c r="DM86" s="323">
        <f t="shared" ca="1" si="71"/>
        <v>0</v>
      </c>
      <c r="DN86" s="323">
        <f t="shared" ca="1" si="71"/>
        <v>0</v>
      </c>
      <c r="DO86" s="323">
        <f t="shared" ca="1" si="71"/>
        <v>0</v>
      </c>
      <c r="DP86" s="323">
        <f t="shared" ca="1" si="71"/>
        <v>0</v>
      </c>
      <c r="DQ86" s="323">
        <f t="shared" ca="1" si="71"/>
        <v>0</v>
      </c>
      <c r="DR86" s="323">
        <f t="shared" ca="1" si="71"/>
        <v>0</v>
      </c>
      <c r="DS86" s="323">
        <f t="shared" ca="1" si="71"/>
        <v>0</v>
      </c>
      <c r="DT86" s="323">
        <f t="shared" ca="1" si="71"/>
        <v>0</v>
      </c>
      <c r="DU86" s="323">
        <f t="shared" ca="1" si="71"/>
        <v>0</v>
      </c>
      <c r="DV86" s="323">
        <f t="shared" ca="1" si="71"/>
        <v>0</v>
      </c>
      <c r="DW86" s="323">
        <f t="shared" ca="1" si="71"/>
        <v>0</v>
      </c>
      <c r="DX86" s="323">
        <f t="shared" ref="DX86" ca="1" si="72">+$D$81-DX85</f>
        <v>0</v>
      </c>
      <c r="DY86" s="323">
        <f t="shared" ref="DY86" ca="1" si="73">+$D$81-DY85</f>
        <v>0</v>
      </c>
    </row>
    <row r="87" spans="1:130" s="3" customFormat="1" ht="11.7" customHeight="1" outlineLevel="1" x14ac:dyDescent="0.3">
      <c r="A87" s="85"/>
      <c r="B87" s="141"/>
      <c r="C87" s="141"/>
      <c r="G87" s="127"/>
      <c r="H87" s="127"/>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111"/>
      <c r="AI87" s="111"/>
      <c r="AJ87" s="111"/>
      <c r="AK87" s="111"/>
      <c r="AL87" s="111"/>
      <c r="AM87" s="111"/>
      <c r="AN87" s="111"/>
      <c r="AO87" s="111"/>
      <c r="AP87" s="111"/>
      <c r="AQ87" s="111"/>
      <c r="AR87" s="111"/>
      <c r="AS87" s="111"/>
      <c r="AT87" s="111"/>
      <c r="AU87" s="111"/>
      <c r="AV87" s="111"/>
      <c r="AW87" s="111"/>
      <c r="AX87" s="111"/>
      <c r="AY87" s="111"/>
      <c r="AZ87" s="111"/>
      <c r="BA87" s="111"/>
      <c r="BB87" s="111"/>
      <c r="BC87" s="111"/>
      <c r="BD87" s="111"/>
      <c r="BE87" s="111"/>
      <c r="BF87" s="111"/>
      <c r="BG87" s="111"/>
      <c r="BH87" s="111"/>
      <c r="BI87" s="111"/>
      <c r="BJ87" s="111"/>
      <c r="BK87" s="111"/>
      <c r="BL87" s="111"/>
      <c r="BM87" s="111"/>
      <c r="BN87" s="111"/>
      <c r="BO87" s="111"/>
      <c r="BP87" s="111"/>
      <c r="BQ87" s="111"/>
      <c r="BR87" s="111"/>
      <c r="BS87" s="111"/>
      <c r="BT87" s="111"/>
      <c r="BU87" s="111"/>
      <c r="BV87" s="111"/>
      <c r="BW87" s="111"/>
      <c r="BX87" s="111"/>
      <c r="BY87" s="111"/>
      <c r="BZ87" s="111"/>
      <c r="CA87" s="111"/>
      <c r="CB87" s="111"/>
      <c r="CC87" s="111"/>
      <c r="CD87" s="111"/>
      <c r="CE87" s="111"/>
      <c r="CF87" s="111"/>
      <c r="CG87" s="111"/>
      <c r="CH87" s="111"/>
      <c r="CI87" s="111"/>
      <c r="CJ87" s="111"/>
      <c r="CK87" s="111"/>
      <c r="CL87" s="111"/>
      <c r="CM87" s="111"/>
      <c r="CN87" s="111"/>
      <c r="CO87" s="111"/>
      <c r="CP87" s="111"/>
      <c r="CQ87" s="111"/>
      <c r="CR87" s="111"/>
      <c r="CS87" s="111"/>
      <c r="CT87" s="111"/>
      <c r="CU87" s="111"/>
      <c r="CV87" s="111"/>
      <c r="CW87" s="111"/>
      <c r="CX87" s="111"/>
      <c r="CY87" s="111"/>
      <c r="CZ87" s="111"/>
      <c r="DA87" s="111"/>
      <c r="DB87" s="111"/>
      <c r="DC87" s="111"/>
      <c r="DD87" s="111"/>
      <c r="DE87" s="111"/>
      <c r="DF87" s="111"/>
      <c r="DG87" s="111"/>
      <c r="DH87" s="111"/>
      <c r="DI87" s="111"/>
      <c r="DJ87" s="111"/>
      <c r="DK87" s="111"/>
      <c r="DL87" s="111"/>
      <c r="DM87" s="111"/>
      <c r="DN87" s="111"/>
      <c r="DO87" s="111"/>
      <c r="DP87" s="111"/>
      <c r="DQ87" s="111"/>
      <c r="DR87" s="111"/>
      <c r="DS87" s="111"/>
      <c r="DT87" s="111"/>
      <c r="DU87" s="111"/>
      <c r="DV87" s="111"/>
      <c r="DW87" s="111"/>
      <c r="DX87" s="111"/>
      <c r="DY87" s="111"/>
    </row>
    <row r="88" spans="1:130" s="130" customFormat="1" ht="11.7" customHeight="1" outlineLevel="1" x14ac:dyDescent="0.3">
      <c r="A88" s="85"/>
      <c r="B88" s="149"/>
      <c r="C88" s="149"/>
      <c r="D88" s="1163" t="s">
        <v>745</v>
      </c>
      <c r="E88" s="1163" t="s">
        <v>746</v>
      </c>
      <c r="F88" s="159"/>
      <c r="G88" s="127"/>
      <c r="H88" s="127"/>
      <c r="I88" s="160"/>
      <c r="J88" s="160"/>
      <c r="K88" s="160"/>
      <c r="L88" s="160"/>
      <c r="M88" s="160"/>
      <c r="N88" s="160"/>
      <c r="O88" s="160"/>
      <c r="P88" s="160"/>
      <c r="Q88" s="160"/>
      <c r="R88" s="160"/>
      <c r="S88" s="160"/>
      <c r="T88" s="160"/>
      <c r="U88" s="160"/>
      <c r="V88" s="160"/>
      <c r="W88" s="160"/>
      <c r="X88" s="160"/>
      <c r="Y88" s="160"/>
      <c r="Z88" s="160"/>
      <c r="AA88" s="160"/>
      <c r="AB88" s="160"/>
      <c r="AC88" s="160"/>
      <c r="AD88" s="160"/>
      <c r="AE88" s="160"/>
      <c r="AF88" s="160"/>
      <c r="AG88" s="160"/>
      <c r="AH88" s="160"/>
      <c r="AI88" s="160"/>
      <c r="AJ88" s="160"/>
      <c r="AK88" s="160"/>
      <c r="AL88" s="160"/>
      <c r="AM88" s="160"/>
      <c r="AN88" s="160"/>
      <c r="AO88" s="160"/>
      <c r="AP88" s="160"/>
      <c r="AQ88" s="160"/>
      <c r="AR88" s="160"/>
      <c r="AS88" s="160"/>
      <c r="AT88" s="160"/>
      <c r="AU88" s="160"/>
      <c r="AV88" s="160"/>
      <c r="AW88" s="160"/>
      <c r="AX88" s="160"/>
      <c r="AY88" s="160"/>
      <c r="AZ88" s="160"/>
      <c r="BA88" s="160"/>
      <c r="BB88" s="160"/>
      <c r="BC88" s="160"/>
      <c r="BD88" s="160"/>
      <c r="BE88" s="160"/>
      <c r="BF88" s="160"/>
      <c r="BG88" s="160"/>
      <c r="BH88" s="160"/>
      <c r="BI88" s="160"/>
      <c r="BJ88" s="160"/>
      <c r="BK88" s="160"/>
      <c r="BL88" s="160"/>
      <c r="BM88" s="160"/>
      <c r="BN88" s="160"/>
      <c r="BO88" s="160"/>
      <c r="BP88" s="160"/>
      <c r="BQ88" s="160"/>
      <c r="BR88" s="160"/>
      <c r="BS88" s="160"/>
      <c r="BT88" s="160"/>
      <c r="BU88" s="160"/>
      <c r="BV88" s="160"/>
      <c r="BW88" s="160"/>
      <c r="BX88" s="160"/>
      <c r="BY88" s="160"/>
      <c r="BZ88" s="160"/>
      <c r="CA88" s="160"/>
      <c r="CB88" s="160"/>
      <c r="CC88" s="160"/>
      <c r="CD88" s="160"/>
      <c r="CE88" s="160"/>
      <c r="CF88" s="160"/>
      <c r="CG88" s="160"/>
      <c r="CH88" s="160"/>
      <c r="CI88" s="160"/>
      <c r="CJ88" s="160"/>
      <c r="CK88" s="160"/>
      <c r="CL88" s="160"/>
      <c r="CM88" s="160"/>
      <c r="CN88" s="160"/>
      <c r="CO88" s="160"/>
      <c r="CP88" s="160"/>
      <c r="CQ88" s="160"/>
      <c r="CR88" s="160"/>
      <c r="CS88" s="160"/>
      <c r="CT88" s="160"/>
      <c r="CU88" s="160"/>
      <c r="CV88" s="160"/>
      <c r="CW88" s="160"/>
      <c r="CX88" s="160"/>
      <c r="CY88" s="160"/>
      <c r="CZ88" s="160"/>
      <c r="DA88" s="160"/>
      <c r="DB88" s="160"/>
      <c r="DC88" s="160"/>
      <c r="DD88" s="160"/>
      <c r="DE88" s="160"/>
      <c r="DF88" s="160"/>
      <c r="DG88" s="160"/>
      <c r="DH88" s="160"/>
      <c r="DI88" s="160"/>
      <c r="DJ88" s="160"/>
      <c r="DK88" s="160"/>
      <c r="DL88" s="160"/>
      <c r="DM88" s="160"/>
      <c r="DN88" s="160"/>
      <c r="DO88" s="160"/>
      <c r="DP88" s="160"/>
      <c r="DQ88" s="160"/>
      <c r="DR88" s="160"/>
      <c r="DS88" s="160"/>
      <c r="DT88" s="160"/>
      <c r="DU88" s="160"/>
      <c r="DV88" s="160"/>
      <c r="DW88" s="160"/>
      <c r="DX88" s="160"/>
      <c r="DY88" s="160"/>
    </row>
    <row r="89" spans="1:130" s="3" customFormat="1" ht="11.7" customHeight="1" outlineLevel="1" x14ac:dyDescent="0.25">
      <c r="A89" s="85"/>
      <c r="B89" s="149" t="s">
        <v>117</v>
      </c>
      <c r="C89" s="149"/>
      <c r="D89" s="317">
        <f>+Inputs!$G$59</f>
        <v>0.38964223137243004</v>
      </c>
      <c r="E89" s="317">
        <f>+Inputs!G62</f>
        <v>0.45303999883282386</v>
      </c>
      <c r="G89" s="127"/>
      <c r="H89" s="127"/>
      <c r="I89" s="330"/>
      <c r="J89" s="330"/>
      <c r="K89" s="330"/>
      <c r="L89" s="330"/>
      <c r="M89" s="330"/>
      <c r="N89" s="330"/>
      <c r="O89" s="330"/>
      <c r="P89" s="330"/>
      <c r="Q89" s="330"/>
      <c r="R89" s="330"/>
      <c r="S89" s="330"/>
      <c r="T89" s="330"/>
      <c r="U89" s="330"/>
      <c r="V89" s="330"/>
      <c r="W89" s="330"/>
      <c r="X89" s="330"/>
      <c r="Y89" s="330"/>
      <c r="Z89" s="330"/>
      <c r="AA89" s="330"/>
      <c r="AB89" s="330"/>
      <c r="AC89" s="330"/>
      <c r="AD89" s="330"/>
      <c r="AE89" s="330"/>
      <c r="AF89" s="330"/>
      <c r="AG89" s="330"/>
      <c r="AH89" s="330"/>
      <c r="AI89" s="330"/>
      <c r="AJ89" s="330"/>
      <c r="AK89" s="330"/>
      <c r="AL89" s="330"/>
      <c r="AM89" s="330"/>
      <c r="AN89" s="330"/>
      <c r="AO89" s="330"/>
      <c r="AP89" s="330"/>
      <c r="AQ89" s="330"/>
      <c r="AR89" s="330"/>
      <c r="AS89" s="330"/>
      <c r="AT89" s="330"/>
      <c r="AU89" s="330"/>
      <c r="AV89" s="330"/>
      <c r="AW89" s="330"/>
      <c r="AX89" s="330"/>
      <c r="AY89" s="330"/>
      <c r="AZ89" s="330"/>
      <c r="BA89" s="330"/>
      <c r="BB89" s="330"/>
      <c r="BC89" s="330"/>
      <c r="BD89" s="330"/>
      <c r="BE89" s="330"/>
      <c r="BF89" s="330"/>
      <c r="BG89" s="330"/>
      <c r="BH89" s="1162">
        <v>0.34345610678826</v>
      </c>
      <c r="BI89" s="1162">
        <v>0.34345610678826</v>
      </c>
      <c r="BJ89" s="1162">
        <v>0.34345610678826</v>
      </c>
      <c r="BK89" s="1162">
        <v>0.34345610678826</v>
      </c>
      <c r="BL89" s="1162">
        <v>0.34345610678826</v>
      </c>
      <c r="BM89" s="1162">
        <v>0.34345610678826</v>
      </c>
      <c r="BN89" s="1162">
        <v>0.34345610678826</v>
      </c>
      <c r="BO89" s="1162">
        <v>0.34345610678826</v>
      </c>
      <c r="BP89" s="1162">
        <v>0.34345610678826</v>
      </c>
      <c r="BQ89" s="1162">
        <v>0.34345610678826</v>
      </c>
      <c r="BR89" s="1162">
        <v>0.34345610678826</v>
      </c>
      <c r="BS89" s="1162">
        <v>0.34345610678826</v>
      </c>
      <c r="BT89" s="1162">
        <v>0.34345610678826</v>
      </c>
      <c r="BU89" s="1162">
        <v>0.34345610678826</v>
      </c>
      <c r="BV89" s="1162">
        <v>0.34345610678826</v>
      </c>
      <c r="BW89" s="1162">
        <v>0.34345610678826</v>
      </c>
      <c r="BX89" s="1162">
        <v>0.34345610678826</v>
      </c>
      <c r="BY89" s="1162">
        <v>0.34345610678826</v>
      </c>
      <c r="BZ89" s="330">
        <f>+$D$89*(BZ7&lt;Inputs!$K$81)+$E$89*(BZ7&gt;=Inputs!$K$81)</f>
        <v>0.38964223137243004</v>
      </c>
      <c r="CA89" s="330">
        <f>+$D$89*(CA7&lt;Inputs!$K$81)+$E$89*(CA7&gt;=Inputs!$K$81)</f>
        <v>0.38964223137243004</v>
      </c>
      <c r="CB89" s="330">
        <f>+$D$89*(CB7&lt;Inputs!$K$81)+$E$89*(CB7&gt;=Inputs!$K$81)</f>
        <v>0.38964223137243004</v>
      </c>
      <c r="CC89" s="330">
        <f>+$D$89*(CC7&lt;Inputs!$K$81)+$E$89*(CC7&gt;=Inputs!$K$81)</f>
        <v>0.38964223137243004</v>
      </c>
      <c r="CD89" s="330">
        <f>+$D$89*(CD7&lt;Inputs!$K$81)+$E$89*(CD7&gt;=Inputs!$K$81)</f>
        <v>0.38964223137243004</v>
      </c>
      <c r="CE89" s="330">
        <f>+$D$89*(CE7&lt;Inputs!$K$81)+$E$89*(CE7&gt;=Inputs!$K$81)</f>
        <v>0.38964223137243004</v>
      </c>
      <c r="CF89" s="330">
        <f>+$D$89*(CF7&lt;Inputs!$K$81)+$E$89*(CF7&gt;=Inputs!$K$81)</f>
        <v>0.45303999883282386</v>
      </c>
      <c r="CG89" s="330">
        <f>+$D$89*(CG7&lt;Inputs!$K$81)+$E$89*(CG7&gt;=Inputs!$K$81)</f>
        <v>0.45303999883282386</v>
      </c>
      <c r="CH89" s="330">
        <f>+$D$89*(CH7&lt;Inputs!$K$81)+$E$89*(CH7&gt;=Inputs!$K$81)</f>
        <v>0.45303999883282386</v>
      </c>
      <c r="CI89" s="330">
        <f>+$D$89*(CI7&lt;Inputs!$K$81)+$E$89*(CI7&gt;=Inputs!$K$81)</f>
        <v>0.45303999883282386</v>
      </c>
      <c r="CJ89" s="330">
        <f>+$D$89*(CJ7&lt;Inputs!$K$81)+$E$89*(CJ7&gt;=Inputs!$K$81)</f>
        <v>0.45303999883282386</v>
      </c>
      <c r="CK89" s="330">
        <f>+$D$89*(CK7&lt;Inputs!$K$81)+$E$89*(CK7&gt;=Inputs!$K$81)</f>
        <v>0.45303999883282386</v>
      </c>
      <c r="CL89" s="330">
        <f>+$D$89*(CL7&lt;Inputs!$K$81)+$E$89*(CL7&gt;=Inputs!$K$81)</f>
        <v>0.45303999883282386</v>
      </c>
      <c r="CM89" s="330">
        <f>+$D$89*(CM7&lt;Inputs!$K$81)+$E$89*(CM7&gt;=Inputs!$K$81)</f>
        <v>0.45303999883282386</v>
      </c>
      <c r="CN89" s="330">
        <f>+$D$89*(CN7&lt;Inputs!$K$81)+$E$89*(CN7&gt;=Inputs!$K$81)</f>
        <v>0.45303999883282386</v>
      </c>
      <c r="CO89" s="330">
        <f>+$D$89*(CO7&lt;Inputs!$K$81)+$E$89*(CO7&gt;=Inputs!$K$81)</f>
        <v>0.45303999883282386</v>
      </c>
      <c r="CP89" s="330">
        <f>+$D$89*(CP7&lt;Inputs!$K$81)+$E$89*(CP7&gt;=Inputs!$K$81)</f>
        <v>0.45303999883282386</v>
      </c>
      <c r="CQ89" s="330">
        <f>+$D$89*(CQ7&lt;Inputs!$K$81)+$E$89*(CQ7&gt;=Inputs!$K$81)</f>
        <v>0.45303999883282386</v>
      </c>
      <c r="CR89" s="330">
        <f>+$D$89*(CR7&lt;Inputs!$K$81)+$E$89*(CR7&gt;=Inputs!$K$81)</f>
        <v>0.45303999883282386</v>
      </c>
      <c r="CS89" s="330">
        <f>+$D$89*(CS7&lt;Inputs!$K$81)+$E$89*(CS7&gt;=Inputs!$K$81)</f>
        <v>0.45303999883282386</v>
      </c>
      <c r="CT89" s="330">
        <f>+$D$89*(CT7&lt;Inputs!$K$81)+$E$89*(CT7&gt;=Inputs!$K$81)</f>
        <v>0.45303999883282386</v>
      </c>
      <c r="CU89" s="330">
        <f>+$D$89*(CU7&lt;Inputs!$K$81)+$E$89*(CU7&gt;=Inputs!$K$81)</f>
        <v>0.45303999883282386</v>
      </c>
      <c r="CV89" s="330">
        <f>+$D$89*(CV7&lt;Inputs!$K$81)+$E$89*(CV7&gt;=Inputs!$K$81)</f>
        <v>0.45303999883282386</v>
      </c>
      <c r="CW89" s="330">
        <f>+$D$89*(CW7&lt;Inputs!$K$81)+$E$89*(CW7&gt;=Inputs!$K$81)</f>
        <v>0.45303999883282386</v>
      </c>
      <c r="CX89" s="330">
        <f>+$D$89*(CX7&lt;Inputs!$K$81)+$E$89*(CX7&gt;=Inputs!$K$81)</f>
        <v>0.45303999883282386</v>
      </c>
      <c r="CY89" s="330">
        <f>+$D$89*(CY7&lt;Inputs!$K$81)+$E$89*(CY7&gt;=Inputs!$K$81)</f>
        <v>0.45303999883282386</v>
      </c>
      <c r="CZ89" s="330">
        <f>+$D$89*(CZ7&lt;Inputs!$K$81)+$E$89*(CZ7&gt;=Inputs!$K$81)</f>
        <v>0.45303999883282386</v>
      </c>
      <c r="DA89" s="330">
        <f>+$D$89*(DA7&lt;Inputs!$K$81)+$E$89*(DA7&gt;=Inputs!$K$81)</f>
        <v>0.45303999883282386</v>
      </c>
      <c r="DB89" s="330">
        <f>+$D$89*(DB7&lt;Inputs!$K$81)+$E$89*(DB7&gt;=Inputs!$K$81)</f>
        <v>0.45303999883282386</v>
      </c>
      <c r="DC89" s="330">
        <f>+$D$89*(DC7&lt;Inputs!$K$81)+$E$89*(DC7&gt;=Inputs!$K$81)</f>
        <v>0.45303999883282386</v>
      </c>
      <c r="DD89" s="330">
        <f>+$D$89*(DD7&lt;Inputs!$K$81)+$E$89*(DD7&gt;=Inputs!$K$81)</f>
        <v>0.45303999883282386</v>
      </c>
      <c r="DE89" s="330">
        <f>+$D$89*(DE7&lt;Inputs!$K$81)+$E$89*(DE7&gt;=Inputs!$K$81)</f>
        <v>0.45303999883282386</v>
      </c>
      <c r="DF89" s="330">
        <f>+$D$89*(DF7&lt;Inputs!$K$81)+$E$89*(DF7&gt;=Inputs!$K$81)</f>
        <v>0.45303999883282386</v>
      </c>
      <c r="DG89" s="330">
        <f>+$D$89*(DG7&lt;Inputs!$K$81)+$E$89*(DG7&gt;=Inputs!$K$81)</f>
        <v>0.45303999883282386</v>
      </c>
      <c r="DH89" s="330">
        <f>+$D$89*(DH7&lt;Inputs!$K$81)+$E$89*(DH7&gt;=Inputs!$K$81)</f>
        <v>0.45303999883282386</v>
      </c>
      <c r="DI89" s="330">
        <f>+$D$89*(DI7&lt;Inputs!$K$81)+$E$89*(DI7&gt;=Inputs!$K$81)</f>
        <v>0.45303999883282386</v>
      </c>
      <c r="DJ89" s="330">
        <f>+$D$89*(DJ7&lt;Inputs!$K$81)+$E$89*(DJ7&gt;=Inputs!$K$81)</f>
        <v>0.45303999883282386</v>
      </c>
      <c r="DK89" s="330">
        <f>+$D$89*(DK7&lt;Inputs!$K$81)+$E$89*(DK7&gt;=Inputs!$K$81)</f>
        <v>0.45303999883282386</v>
      </c>
      <c r="DL89" s="330">
        <f>+$D$89*(DL7&lt;Inputs!$K$81)+$E$89*(DL7&gt;=Inputs!$K$81)</f>
        <v>0.45303999883282386</v>
      </c>
      <c r="DM89" s="330">
        <f>+$D$89*(DM7&lt;Inputs!$K$81)+$E$89*(DM7&gt;=Inputs!$K$81)</f>
        <v>0.45303999883282386</v>
      </c>
      <c r="DN89" s="330">
        <f>+$D$89*(DN7&lt;Inputs!$K$81)+$E$89*(DN7&gt;=Inputs!$K$81)</f>
        <v>0.45303999883282386</v>
      </c>
      <c r="DO89" s="330">
        <f>+$D$89*(DO7&lt;Inputs!$K$81)+$E$89*(DO7&gt;=Inputs!$K$81)</f>
        <v>0.45303999883282386</v>
      </c>
      <c r="DP89" s="330">
        <f>+$D$89*(DP7&lt;Inputs!$K$81)+$E$89*(DP7&gt;=Inputs!$K$81)</f>
        <v>0.45303999883282386</v>
      </c>
      <c r="DQ89" s="330">
        <f>+$D$89*(DQ7&lt;Inputs!$K$81)+$E$89*(DQ7&gt;=Inputs!$K$81)</f>
        <v>0.45303999883282386</v>
      </c>
      <c r="DR89" s="330">
        <f>+$D$89*(DR7&lt;Inputs!$K$81)+$E$89*(DR7&gt;=Inputs!$K$81)</f>
        <v>0.45303999883282386</v>
      </c>
      <c r="DS89" s="330">
        <f>+$D$89*(DS7&lt;Inputs!$K$81)+$E$89*(DS7&gt;=Inputs!$K$81)</f>
        <v>0.45303999883282386</v>
      </c>
      <c r="DT89" s="330">
        <f>+$D$89*(DT7&lt;Inputs!$K$81)+$E$89*(DT7&gt;=Inputs!$K$81)</f>
        <v>0.45303999883282386</v>
      </c>
      <c r="DU89" s="330">
        <f>+$D$89*(DU7&lt;Inputs!$K$81)+$E$89*(DU7&gt;=Inputs!$K$81)</f>
        <v>0.45303999883282386</v>
      </c>
      <c r="DV89" s="330">
        <f>+$D$89*(DV7&lt;Inputs!$K$81)+$E$89*(DV7&gt;=Inputs!$K$81)</f>
        <v>0.45303999883282386</v>
      </c>
      <c r="DW89" s="330">
        <f>+$D$89*(DW7&lt;Inputs!$K$81)+$E$89*(DW7&gt;=Inputs!$K$81)</f>
        <v>0.45303999883282386</v>
      </c>
      <c r="DX89" s="330">
        <f>+$D$89*(DX7&lt;Inputs!$K$81)+$E$89*(DX7&gt;=Inputs!$K$81)</f>
        <v>0.45303999883282386</v>
      </c>
      <c r="DY89" s="330">
        <f>+$D$89*(DY7&lt;Inputs!$K$81)+$E$89*(DY7&gt;=Inputs!$K$81)</f>
        <v>0.45303999883282386</v>
      </c>
    </row>
    <row r="90" spans="1:130" s="3" customFormat="1" ht="11.7" customHeight="1" outlineLevel="1" x14ac:dyDescent="0.3">
      <c r="A90" s="85"/>
      <c r="B90" s="198" t="s">
        <v>115</v>
      </c>
      <c r="C90" s="198"/>
      <c r="D90" s="328"/>
      <c r="E90" s="159"/>
      <c r="F90" s="159"/>
      <c r="G90" s="127"/>
      <c r="H90" s="127"/>
      <c r="I90" s="922"/>
      <c r="J90" s="922"/>
      <c r="K90" s="922"/>
      <c r="L90" s="922"/>
      <c r="M90" s="922"/>
      <c r="N90" s="922"/>
      <c r="O90" s="922"/>
      <c r="P90" s="922"/>
      <c r="Q90" s="922"/>
      <c r="R90" s="922"/>
      <c r="S90" s="922"/>
      <c r="T90" s="922"/>
      <c r="U90" s="922"/>
      <c r="V90" s="922"/>
      <c r="W90" s="922"/>
      <c r="X90" s="922"/>
      <c r="Y90" s="922"/>
      <c r="Z90" s="922"/>
      <c r="AA90" s="922"/>
      <c r="AB90" s="922"/>
      <c r="AC90" s="922"/>
      <c r="AD90" s="922"/>
      <c r="AE90" s="922"/>
      <c r="AF90" s="922"/>
      <c r="AG90" s="922"/>
      <c r="AH90" s="922"/>
      <c r="AI90" s="922"/>
      <c r="AJ90" s="922"/>
      <c r="AK90" s="922"/>
      <c r="AL90" s="922"/>
      <c r="AM90" s="922"/>
      <c r="AN90" s="922"/>
      <c r="AO90" s="922"/>
      <c r="AP90" s="922"/>
      <c r="AQ90" s="922"/>
      <c r="AR90" s="922"/>
      <c r="AS90" s="922"/>
      <c r="AT90" s="922"/>
      <c r="AU90" s="922"/>
      <c r="AV90" s="922"/>
      <c r="AW90" s="922"/>
      <c r="AX90" s="922"/>
      <c r="AY90" s="922"/>
      <c r="AZ90" s="922"/>
      <c r="BA90" s="327"/>
      <c r="BB90" s="327"/>
      <c r="BC90" s="327"/>
      <c r="BD90" s="327"/>
      <c r="BE90" s="327"/>
      <c r="BF90" s="327"/>
      <c r="BG90" s="327"/>
      <c r="BH90" s="327"/>
      <c r="BI90" s="327"/>
      <c r="BJ90" s="327"/>
      <c r="BK90" s="327"/>
      <c r="BL90" s="327"/>
      <c r="BM90" s="327"/>
      <c r="BN90" s="327"/>
      <c r="BO90" s="327"/>
      <c r="BP90" s="327"/>
      <c r="BQ90" s="327"/>
      <c r="BR90" s="327"/>
      <c r="BS90" s="327"/>
      <c r="BT90" s="327"/>
      <c r="BU90" s="327"/>
      <c r="BV90" s="327"/>
      <c r="BW90" s="327"/>
      <c r="BX90" s="327"/>
      <c r="BY90" s="327"/>
      <c r="BZ90" s="327">
        <f>IFERROR(SUMIF(Inputs!$F$73:$F$79,'Monthly UF Model'!BZ$6,Inputs!$G$73:$G$79),0)</f>
        <v>0</v>
      </c>
      <c r="CA90" s="327">
        <f>IFERROR(SUMIF(Inputs!$F$73:$F$79,'Monthly UF Model'!CA$6,Inputs!$G$73:$G$79),0)</f>
        <v>0</v>
      </c>
      <c r="CB90" s="327">
        <f>IFERROR(SUMIF(Inputs!$F$73:$F$79,'Monthly UF Model'!CB$6,Inputs!$G$73:$G$79),0)</f>
        <v>0</v>
      </c>
      <c r="CC90" s="327">
        <f>IFERROR(SUMIF(Inputs!$F$73:$F$79,'Monthly UF Model'!CC$6,Inputs!$G$73:$G$79),0)</f>
        <v>0</v>
      </c>
      <c r="CD90" s="327">
        <f>IFERROR(SUMIF(Inputs!$F$73:$F$79,'Monthly UF Model'!CD$6,Inputs!$G$73:$G$79),0)</f>
        <v>0</v>
      </c>
      <c r="CE90" s="327">
        <f>IFERROR(SUMIF(Inputs!$F$73:$F$79,'Monthly UF Model'!CE$6,Inputs!$G$73:$G$79),0)</f>
        <v>0</v>
      </c>
      <c r="CF90" s="327">
        <f>IFERROR(SUMIF(Inputs!$F$73:$F$79,'Monthly UF Model'!CF$6,Inputs!$G$73:$G$79),0)</f>
        <v>0</v>
      </c>
      <c r="CG90" s="327">
        <f>IFERROR(SUMIF(Inputs!$F$73:$F$79,'Monthly UF Model'!CG$6,Inputs!$G$73:$G$79),0)</f>
        <v>0.02</v>
      </c>
      <c r="CH90" s="327">
        <f>IFERROR(SUMIF(Inputs!$F$73:$F$79,'Monthly UF Model'!CH$6,Inputs!$G$73:$G$79),0)</f>
        <v>0</v>
      </c>
      <c r="CI90" s="327">
        <f>IFERROR(SUMIF(Inputs!$F$73:$F$79,'Monthly UF Model'!CI$6,Inputs!$G$73:$G$79),0)</f>
        <v>0</v>
      </c>
      <c r="CJ90" s="327">
        <f>IFERROR(SUMIF(Inputs!$F$73:$F$79,'Monthly UF Model'!CJ$6,Inputs!$G$73:$G$79),0)</f>
        <v>0</v>
      </c>
      <c r="CK90" s="327">
        <f>IFERROR(SUMIF(Inputs!$F$73:$F$79,'Monthly UF Model'!CK$6,Inputs!$G$73:$G$79),0)</f>
        <v>0</v>
      </c>
      <c r="CL90" s="327">
        <f>IFERROR(SUMIF(Inputs!$F$73:$F$79,'Monthly UF Model'!CL$6,Inputs!$G$73:$G$79),0)</f>
        <v>0</v>
      </c>
      <c r="CM90" s="327">
        <f>IFERROR(SUMIF(Inputs!$F$73:$F$79,'Monthly UF Model'!CM$6,Inputs!$G$73:$G$79),0)</f>
        <v>0</v>
      </c>
      <c r="CN90" s="327">
        <f>IFERROR(SUMIF(Inputs!$F$73:$F$79,'Monthly UF Model'!CN$6,Inputs!$G$73:$G$79),0)</f>
        <v>0</v>
      </c>
      <c r="CO90" s="327">
        <f>IFERROR(SUMIF(Inputs!$F$73:$F$79,'Monthly UF Model'!CO$6,Inputs!$G$73:$G$79),0)</f>
        <v>0</v>
      </c>
      <c r="CP90" s="327">
        <f>IFERROR(SUMIF(Inputs!$F$73:$F$79,'Monthly UF Model'!CP$6,Inputs!$G$73:$G$79),0)</f>
        <v>0</v>
      </c>
      <c r="CQ90" s="327">
        <f>IFERROR(SUMIF(Inputs!$F$73:$F$79,'Monthly UF Model'!CQ$6,Inputs!$G$73:$G$79),0)</f>
        <v>0</v>
      </c>
      <c r="CR90" s="327">
        <f>IFERROR(SUMIF(Inputs!$F$73:$F$79,'Monthly UF Model'!CR$6,Inputs!$G$73:$G$79),0)</f>
        <v>0</v>
      </c>
      <c r="CS90" s="327">
        <f>IFERROR(SUMIF(Inputs!$F$73:$F$79,'Monthly UF Model'!CS$6,Inputs!$G$73:$G$79),0)</f>
        <v>0</v>
      </c>
      <c r="CT90" s="327">
        <f>IFERROR(SUMIF(Inputs!$F$73:$F$79,'Monthly UF Model'!CT$6,Inputs!$G$73:$G$79),0)</f>
        <v>0</v>
      </c>
      <c r="CU90" s="327">
        <f>IFERROR(SUMIF(Inputs!$F$73:$F$79,'Monthly UF Model'!CU$6,Inputs!$G$73:$G$79),0)</f>
        <v>0</v>
      </c>
      <c r="CV90" s="327">
        <f>IFERROR(SUMIF(Inputs!$F$73:$F$79,'Monthly UF Model'!CV$6,Inputs!$G$73:$G$79),0)</f>
        <v>0</v>
      </c>
      <c r="CW90" s="327">
        <f>IFERROR(SUMIF(Inputs!$F$73:$F$79,'Monthly UF Model'!CW$6,Inputs!$G$73:$G$79),0)</f>
        <v>0</v>
      </c>
      <c r="CX90" s="327">
        <f>IFERROR(SUMIF(Inputs!$F$73:$F$79,'Monthly UF Model'!CX$6,Inputs!$G$73:$G$79),0)</f>
        <v>0</v>
      </c>
      <c r="CY90" s="327">
        <f>IFERROR(SUMIF(Inputs!$F$73:$F$79,'Monthly UF Model'!CY$6,Inputs!$G$73:$G$79),0)</f>
        <v>0</v>
      </c>
      <c r="CZ90" s="327">
        <f>IFERROR(SUMIF(Inputs!$F$73:$F$79,'Monthly UF Model'!CZ$6,Inputs!$G$73:$G$79),0)</f>
        <v>0</v>
      </c>
      <c r="DA90" s="327">
        <f>IFERROR(SUMIF(Inputs!$F$73:$F$79,'Monthly UF Model'!DA$6,Inputs!$G$73:$G$79),0)</f>
        <v>0</v>
      </c>
      <c r="DB90" s="327">
        <f>IFERROR(SUMIF(Inputs!$F$73:$F$79,'Monthly UF Model'!DB$6,Inputs!$G$73:$G$79),0)</f>
        <v>0</v>
      </c>
      <c r="DC90" s="327">
        <f>IFERROR(SUMIF(Inputs!$F$73:$F$79,'Monthly UF Model'!DC$6,Inputs!$G$73:$G$79),0)</f>
        <v>0</v>
      </c>
      <c r="DD90" s="327">
        <f>IFERROR(SUMIF(Inputs!$F$73:$F$79,'Monthly UF Model'!DD$6,Inputs!$G$73:$G$79),0)</f>
        <v>0</v>
      </c>
      <c r="DE90" s="327">
        <f>IFERROR(SUMIF(Inputs!$F$73:$F$79,'Monthly UF Model'!DE$6,Inputs!$G$73:$G$79),0)</f>
        <v>0</v>
      </c>
      <c r="DF90" s="327">
        <f>IFERROR(SUMIF(Inputs!$F$73:$F$79,'Monthly UF Model'!DF$6,Inputs!$G$73:$G$79),0)</f>
        <v>0</v>
      </c>
      <c r="DG90" s="327">
        <f>IFERROR(SUMIF(Inputs!$F$73:$F$79,'Monthly UF Model'!DG$6,Inputs!$G$73:$G$79),0)</f>
        <v>0</v>
      </c>
      <c r="DH90" s="327">
        <f>IFERROR(SUMIF(Inputs!$F$73:$F$79,'Monthly UF Model'!DH$6,Inputs!$G$73:$G$79),0)</f>
        <v>0</v>
      </c>
      <c r="DI90" s="327">
        <f>IFERROR(SUMIF(Inputs!$F$73:$F$79,'Monthly UF Model'!DI$6,Inputs!$G$73:$G$79),0)</f>
        <v>0</v>
      </c>
      <c r="DJ90" s="327">
        <f>IFERROR(SUMIF(Inputs!$F$73:$F$79,'Monthly UF Model'!DJ$6,Inputs!$G$73:$G$79),0)</f>
        <v>0</v>
      </c>
      <c r="DK90" s="327">
        <f>IFERROR(SUMIF(Inputs!$F$73:$F$79,'Monthly UF Model'!DK$6,Inputs!$G$73:$G$79),0)</f>
        <v>0</v>
      </c>
      <c r="DL90" s="327">
        <f>IFERROR(SUMIF(Inputs!$F$73:$F$79,'Monthly UF Model'!DL$6,Inputs!$G$73:$G$79),0)</f>
        <v>0</v>
      </c>
      <c r="DM90" s="327">
        <f>IFERROR(SUMIF(Inputs!$F$73:$F$79,'Monthly UF Model'!DM$6,Inputs!$G$73:$G$79),0)</f>
        <v>0</v>
      </c>
      <c r="DN90" s="327">
        <f>IFERROR(SUMIF(Inputs!$F$73:$F$79,'Monthly UF Model'!DN$6,Inputs!$G$73:$G$79),0)</f>
        <v>0</v>
      </c>
      <c r="DO90" s="327">
        <f>IFERROR(SUMIF(Inputs!$F$73:$F$79,'Monthly UF Model'!DO$6,Inputs!$G$73:$G$79),0)</f>
        <v>0</v>
      </c>
      <c r="DP90" s="327">
        <f>IFERROR(SUMIF(Inputs!$F$73:$F$79,'Monthly UF Model'!DP$6,Inputs!$G$73:$G$79),0)</f>
        <v>0</v>
      </c>
      <c r="DQ90" s="327">
        <f>IFERROR(SUMIF(Inputs!$F$73:$F$79,'Monthly UF Model'!DQ$6,Inputs!$G$73:$G$79),0)</f>
        <v>0</v>
      </c>
      <c r="DR90" s="327">
        <f>IFERROR(SUMIF(Inputs!$F$73:$F$79,'Monthly UF Model'!DR$6,Inputs!$G$73:$G$79),0)</f>
        <v>0</v>
      </c>
      <c r="DS90" s="327">
        <f>IFERROR(SUMIF(Inputs!$F$73:$F$79,'Monthly UF Model'!DS$6,Inputs!$G$73:$G$79),0)</f>
        <v>0</v>
      </c>
      <c r="DT90" s="327">
        <f>IFERROR(SUMIF(Inputs!$F$73:$F$79,'Monthly UF Model'!DT$6,Inputs!$G$73:$G$79),0)</f>
        <v>0</v>
      </c>
      <c r="DU90" s="327">
        <f>IFERROR(SUMIF(Inputs!$F$73:$F$79,'Monthly UF Model'!DU$6,Inputs!$G$73:$G$79),0)</f>
        <v>0</v>
      </c>
      <c r="DV90" s="327">
        <f>IFERROR(SUMIF(Inputs!$F$73:$F$79,'Monthly UF Model'!DV$6,Inputs!$G$73:$G$79),0)</f>
        <v>0</v>
      </c>
      <c r="DW90" s="327">
        <f>IFERROR(SUMIF(Inputs!$F$73:$F$79,'Monthly UF Model'!DW$6,Inputs!$G$73:$G$79),0)</f>
        <v>0</v>
      </c>
      <c r="DX90" s="327">
        <f>IFERROR(SUMIF(Inputs!$F$73:$F$79,'Monthly UF Model'!DX$6,Inputs!$G$73:$G$79),0)</f>
        <v>0</v>
      </c>
      <c r="DY90" s="327">
        <f>IFERROR(SUMIF(Inputs!$F$73:$F$79,'Monthly UF Model'!DY$6,Inputs!$G$73:$G$79),0)</f>
        <v>0</v>
      </c>
    </row>
    <row r="91" spans="1:130" s="3" customFormat="1" ht="11.7" customHeight="1" outlineLevel="1" x14ac:dyDescent="0.3">
      <c r="A91" s="85"/>
      <c r="B91" s="198" t="s">
        <v>169</v>
      </c>
      <c r="C91" s="198"/>
      <c r="D91" s="328"/>
      <c r="E91" s="159"/>
      <c r="F91" s="159"/>
      <c r="G91" s="127"/>
      <c r="H91" s="327">
        <v>1</v>
      </c>
      <c r="I91" s="327"/>
      <c r="J91" s="327"/>
      <c r="K91" s="327"/>
      <c r="L91" s="327"/>
      <c r="M91" s="327"/>
      <c r="N91" s="327"/>
      <c r="O91" s="327"/>
      <c r="P91" s="327"/>
      <c r="Q91" s="327"/>
      <c r="R91" s="327"/>
      <c r="S91" s="327"/>
      <c r="T91" s="327"/>
      <c r="U91" s="327"/>
      <c r="V91" s="327"/>
      <c r="W91" s="327"/>
      <c r="X91" s="327"/>
      <c r="Y91" s="327"/>
      <c r="Z91" s="327"/>
      <c r="AA91" s="327"/>
      <c r="AB91" s="327"/>
      <c r="AC91" s="327"/>
      <c r="AD91" s="327"/>
      <c r="AE91" s="327"/>
      <c r="AF91" s="327"/>
      <c r="AG91" s="327"/>
      <c r="AH91" s="327"/>
      <c r="AI91" s="327"/>
      <c r="AJ91" s="327"/>
      <c r="AK91" s="327"/>
      <c r="AL91" s="327"/>
      <c r="AM91" s="327"/>
      <c r="AN91" s="327"/>
      <c r="AO91" s="327"/>
      <c r="AP91" s="327"/>
      <c r="AQ91" s="327"/>
      <c r="AR91" s="327"/>
      <c r="AS91" s="327"/>
      <c r="AT91" s="327"/>
      <c r="AU91" s="327"/>
      <c r="AV91" s="327"/>
      <c r="AW91" s="327"/>
      <c r="AX91" s="327"/>
      <c r="AY91" s="327"/>
      <c r="AZ91" s="327"/>
      <c r="BA91" s="327"/>
      <c r="BB91" s="327"/>
      <c r="BC91" s="327"/>
      <c r="BD91" s="327"/>
      <c r="BE91" s="327"/>
      <c r="BF91" s="327"/>
      <c r="BG91" s="327"/>
      <c r="BH91" s="1147">
        <f t="shared" ref="BH91:BN91" si="74">+BH92/BH89</f>
        <v>0</v>
      </c>
      <c r="BI91" s="1147">
        <f t="shared" si="74"/>
        <v>1.0995437422614256</v>
      </c>
      <c r="BJ91" s="1147">
        <f t="shared" si="74"/>
        <v>1.0121249490242166</v>
      </c>
      <c r="BK91" s="1147">
        <f t="shared" si="74"/>
        <v>0.9416946008517828</v>
      </c>
      <c r="BL91" s="1147">
        <f t="shared" si="74"/>
        <v>1.0378116729494697</v>
      </c>
      <c r="BM91" s="1147">
        <f t="shared" si="74"/>
        <v>1.0707213052382087</v>
      </c>
      <c r="BN91" s="1147">
        <f t="shared" si="74"/>
        <v>1.0432882768166938</v>
      </c>
      <c r="BO91" s="1147">
        <f>+BO92/BO89</f>
        <v>1.0584427682270687</v>
      </c>
      <c r="BP91" s="1147">
        <f t="shared" ref="BP91" si="75">+BP92/BP89</f>
        <v>1.0581368004642009</v>
      </c>
      <c r="BQ91" s="1147">
        <f>+BQ92/BQ89</f>
        <v>1.0269586534758006</v>
      </c>
      <c r="BR91" s="1147">
        <f t="shared" ref="BR91:BU91" si="76">+BR92/BR89</f>
        <v>1.0376670837998572</v>
      </c>
      <c r="BS91" s="1147">
        <f t="shared" si="76"/>
        <v>1.0622127052039203</v>
      </c>
      <c r="BT91" s="1147">
        <f t="shared" si="76"/>
        <v>0.9665997501117144</v>
      </c>
      <c r="BU91" s="1147">
        <f t="shared" si="76"/>
        <v>1.0669252428478497</v>
      </c>
      <c r="BV91" s="1147">
        <f t="shared" ref="BV91" si="77">+BV92/BV89</f>
        <v>1.1261085338998782</v>
      </c>
      <c r="BW91" s="1147">
        <f>+BW92/BW89</f>
        <v>1.1344746058413913</v>
      </c>
      <c r="BX91" s="1147">
        <f t="shared" ref="BX91:BY91" si="78">+BX92/BX89</f>
        <v>1.0880103233954206</v>
      </c>
      <c r="BY91" s="1147">
        <f t="shared" si="78"/>
        <v>1.0542453687760007</v>
      </c>
      <c r="BZ91" s="1259">
        <v>1</v>
      </c>
      <c r="CA91" s="327">
        <f t="shared" ref="BZ91:CS91" si="79">IF(CA90&gt;0,BZ91*(1+CA90),BZ91)</f>
        <v>1</v>
      </c>
      <c r="CB91" s="327">
        <f t="shared" si="79"/>
        <v>1</v>
      </c>
      <c r="CC91" s="327">
        <f t="shared" si="79"/>
        <v>1</v>
      </c>
      <c r="CD91" s="327">
        <f t="shared" si="79"/>
        <v>1</v>
      </c>
      <c r="CE91" s="327">
        <f t="shared" si="79"/>
        <v>1</v>
      </c>
      <c r="CF91" s="327">
        <f t="shared" si="79"/>
        <v>1</v>
      </c>
      <c r="CG91" s="327">
        <f t="shared" si="79"/>
        <v>1.02</v>
      </c>
      <c r="CH91" s="327">
        <f t="shared" si="79"/>
        <v>1.02</v>
      </c>
      <c r="CI91" s="327">
        <f t="shared" si="79"/>
        <v>1.02</v>
      </c>
      <c r="CJ91" s="327">
        <f t="shared" si="79"/>
        <v>1.02</v>
      </c>
      <c r="CK91" s="327">
        <f t="shared" si="79"/>
        <v>1.02</v>
      </c>
      <c r="CL91" s="327">
        <f t="shared" si="79"/>
        <v>1.02</v>
      </c>
      <c r="CM91" s="327">
        <f t="shared" si="79"/>
        <v>1.02</v>
      </c>
      <c r="CN91" s="327">
        <f t="shared" si="79"/>
        <v>1.02</v>
      </c>
      <c r="CO91" s="327">
        <f t="shared" si="79"/>
        <v>1.02</v>
      </c>
      <c r="CP91" s="327">
        <f t="shared" si="79"/>
        <v>1.02</v>
      </c>
      <c r="CQ91" s="327">
        <f t="shared" si="79"/>
        <v>1.02</v>
      </c>
      <c r="CR91" s="327">
        <f t="shared" si="79"/>
        <v>1.02</v>
      </c>
      <c r="CS91" s="327">
        <f t="shared" si="79"/>
        <v>1.02</v>
      </c>
      <c r="CT91" s="327">
        <f t="shared" ref="CT91:DW91" si="80">IF(CT90&gt;0,CS91*(1+CT90),CS91)</f>
        <v>1.02</v>
      </c>
      <c r="CU91" s="327">
        <f t="shared" si="80"/>
        <v>1.02</v>
      </c>
      <c r="CV91" s="327">
        <f t="shared" si="80"/>
        <v>1.02</v>
      </c>
      <c r="CW91" s="327">
        <f t="shared" si="80"/>
        <v>1.02</v>
      </c>
      <c r="CX91" s="327">
        <f t="shared" si="80"/>
        <v>1.02</v>
      </c>
      <c r="CY91" s="327">
        <f t="shared" si="80"/>
        <v>1.02</v>
      </c>
      <c r="CZ91" s="327">
        <f t="shared" si="80"/>
        <v>1.02</v>
      </c>
      <c r="DA91" s="327">
        <f t="shared" si="80"/>
        <v>1.02</v>
      </c>
      <c r="DB91" s="327">
        <f t="shared" si="80"/>
        <v>1.02</v>
      </c>
      <c r="DC91" s="327">
        <f t="shared" si="80"/>
        <v>1.02</v>
      </c>
      <c r="DD91" s="327">
        <f t="shared" si="80"/>
        <v>1.02</v>
      </c>
      <c r="DE91" s="327">
        <f t="shared" si="80"/>
        <v>1.02</v>
      </c>
      <c r="DF91" s="327">
        <f t="shared" si="80"/>
        <v>1.02</v>
      </c>
      <c r="DG91" s="327">
        <f t="shared" si="80"/>
        <v>1.02</v>
      </c>
      <c r="DH91" s="327">
        <f t="shared" si="80"/>
        <v>1.02</v>
      </c>
      <c r="DI91" s="327">
        <f t="shared" si="80"/>
        <v>1.02</v>
      </c>
      <c r="DJ91" s="327">
        <f t="shared" si="80"/>
        <v>1.02</v>
      </c>
      <c r="DK91" s="327">
        <f t="shared" si="80"/>
        <v>1.02</v>
      </c>
      <c r="DL91" s="327">
        <f t="shared" si="80"/>
        <v>1.02</v>
      </c>
      <c r="DM91" s="327">
        <f t="shared" si="80"/>
        <v>1.02</v>
      </c>
      <c r="DN91" s="327">
        <f t="shared" si="80"/>
        <v>1.02</v>
      </c>
      <c r="DO91" s="327">
        <f t="shared" si="80"/>
        <v>1.02</v>
      </c>
      <c r="DP91" s="327">
        <f t="shared" si="80"/>
        <v>1.02</v>
      </c>
      <c r="DQ91" s="327">
        <f t="shared" si="80"/>
        <v>1.02</v>
      </c>
      <c r="DR91" s="327">
        <f t="shared" si="80"/>
        <v>1.02</v>
      </c>
      <c r="DS91" s="327">
        <f t="shared" si="80"/>
        <v>1.02</v>
      </c>
      <c r="DT91" s="327">
        <f t="shared" si="80"/>
        <v>1.02</v>
      </c>
      <c r="DU91" s="327">
        <f t="shared" si="80"/>
        <v>1.02</v>
      </c>
      <c r="DV91" s="327">
        <f t="shared" si="80"/>
        <v>1.02</v>
      </c>
      <c r="DW91" s="327">
        <f t="shared" si="80"/>
        <v>1.02</v>
      </c>
      <c r="DX91" s="327">
        <f t="shared" ref="DX91" si="81">IF(DX90&gt;0,DW91*(1+DX90),DW91)</f>
        <v>1.02</v>
      </c>
      <c r="DY91" s="327">
        <f t="shared" ref="DY91" si="82">IF(DY90&gt;0,DX91*(1+DY90),DX91)</f>
        <v>1.02</v>
      </c>
    </row>
    <row r="92" spans="1:130" s="3" customFormat="1" ht="11.7" customHeight="1" outlineLevel="1" x14ac:dyDescent="0.25">
      <c r="A92" s="85"/>
      <c r="B92" s="149" t="s">
        <v>168</v>
      </c>
      <c r="C92" s="149"/>
      <c r="D92" s="1180">
        <f>+BW92</f>
        <v>0.38964223137243004</v>
      </c>
      <c r="E92" s="149"/>
      <c r="F92" s="149"/>
      <c r="G92" s="149"/>
      <c r="H92" s="149"/>
      <c r="I92" s="330"/>
      <c r="J92" s="330"/>
      <c r="K92" s="330"/>
      <c r="L92" s="330"/>
      <c r="M92" s="330"/>
      <c r="N92" s="330"/>
      <c r="O92" s="330"/>
      <c r="P92" s="330"/>
      <c r="Q92" s="330"/>
      <c r="R92" s="330"/>
      <c r="S92" s="330"/>
      <c r="T92" s="330"/>
      <c r="U92" s="330"/>
      <c r="V92" s="330"/>
      <c r="W92" s="330"/>
      <c r="X92" s="330"/>
      <c r="Y92" s="330"/>
      <c r="Z92" s="330"/>
      <c r="AA92" s="330"/>
      <c r="AB92" s="330"/>
      <c r="AC92" s="330"/>
      <c r="AD92" s="330"/>
      <c r="AE92" s="330"/>
      <c r="AF92" s="330"/>
      <c r="AG92" s="330"/>
      <c r="AH92" s="330"/>
      <c r="AI92" s="330"/>
      <c r="AJ92" s="330"/>
      <c r="AK92" s="330"/>
      <c r="AL92" s="330"/>
      <c r="AM92" s="330"/>
      <c r="AN92" s="330"/>
      <c r="AO92" s="330"/>
      <c r="AP92" s="330"/>
      <c r="AQ92" s="330"/>
      <c r="AR92" s="330"/>
      <c r="AS92" s="330"/>
      <c r="AT92" s="330"/>
      <c r="AU92" s="330"/>
      <c r="AV92" s="330"/>
      <c r="AW92" s="330"/>
      <c r="AX92" s="330"/>
      <c r="AY92" s="330"/>
      <c r="AZ92" s="330"/>
      <c r="BA92" s="330"/>
      <c r="BB92" s="330"/>
      <c r="BC92" s="330"/>
      <c r="BD92" s="330"/>
      <c r="BE92" s="330"/>
      <c r="BF92" s="330"/>
      <c r="BG92" s="330"/>
      <c r="BH92" s="1146">
        <f t="shared" ref="BH92:BO92" si="83">+BH94</f>
        <v>0</v>
      </c>
      <c r="BI92" s="1146">
        <f t="shared" si="83"/>
        <v>0.37764501296050323</v>
      </c>
      <c r="BJ92" s="1146">
        <f t="shared" si="83"/>
        <v>0.34762049457512356</v>
      </c>
      <c r="BK92" s="1146">
        <f t="shared" si="83"/>
        <v>0.32343076139207777</v>
      </c>
      <c r="BL92" s="1146">
        <f t="shared" si="83"/>
        <v>0.35644275677063586</v>
      </c>
      <c r="BM92" s="1146">
        <f t="shared" si="83"/>
        <v>0.36774577095235939</v>
      </c>
      <c r="BN92" s="1146">
        <f t="shared" si="83"/>
        <v>0.35832372981329413</v>
      </c>
      <c r="BO92" s="1146">
        <f t="shared" si="83"/>
        <v>0.36352863243345762</v>
      </c>
      <c r="BP92" s="1146">
        <f t="shared" ref="BP92" si="84">+BP94</f>
        <v>0.3634235459368203</v>
      </c>
      <c r="BQ92" s="1146">
        <f>+BQ94</f>
        <v>0.35271522095531227</v>
      </c>
      <c r="BR92" s="1146">
        <f t="shared" ref="BR92:BS92" si="85">+BR94</f>
        <v>0.35639309674422609</v>
      </c>
      <c r="BS92" s="1146">
        <f t="shared" si="85"/>
        <v>0.36482344031036418</v>
      </c>
      <c r="BT92" s="1146">
        <f t="shared" ref="BT92:BU92" si="86">+BT94</f>
        <v>0.33198458699587441</v>
      </c>
      <c r="BU92" s="1146">
        <f t="shared" si="86"/>
        <v>0.36644199014264128</v>
      </c>
      <c r="BV92" s="1146">
        <f t="shared" ref="BV92:BW92" si="87">+BV94</f>
        <v>0.38676885287428747</v>
      </c>
      <c r="BW92" s="1146">
        <f t="shared" si="87"/>
        <v>0.38964223137243004</v>
      </c>
      <c r="BX92" s="1146">
        <f>+BX94</f>
        <v>0.37368378981882683</v>
      </c>
      <c r="BY92" s="1146">
        <f>+BY94</f>
        <v>0.36208700995935866</v>
      </c>
      <c r="BZ92" s="330">
        <f t="shared" ref="BZ92:DW92" si="88">+IF(BZ91&lt;=0,BZ89,BZ89*BZ91)</f>
        <v>0.38964223137243004</v>
      </c>
      <c r="CA92" s="330">
        <f t="shared" si="88"/>
        <v>0.38964223137243004</v>
      </c>
      <c r="CB92" s="330">
        <f t="shared" si="88"/>
        <v>0.38964223137243004</v>
      </c>
      <c r="CC92" s="330">
        <f t="shared" si="88"/>
        <v>0.38964223137243004</v>
      </c>
      <c r="CD92" s="330">
        <f t="shared" si="88"/>
        <v>0.38964223137243004</v>
      </c>
      <c r="CE92" s="330">
        <f t="shared" si="88"/>
        <v>0.38964223137243004</v>
      </c>
      <c r="CF92" s="330">
        <f t="shared" si="88"/>
        <v>0.45303999883282386</v>
      </c>
      <c r="CG92" s="330">
        <f t="shared" si="88"/>
        <v>0.46210079880948035</v>
      </c>
      <c r="CH92" s="330">
        <f t="shared" si="88"/>
        <v>0.46210079880948035</v>
      </c>
      <c r="CI92" s="330">
        <f t="shared" si="88"/>
        <v>0.46210079880948035</v>
      </c>
      <c r="CJ92" s="330">
        <f t="shared" si="88"/>
        <v>0.46210079880948035</v>
      </c>
      <c r="CK92" s="330">
        <f t="shared" si="88"/>
        <v>0.46210079880948035</v>
      </c>
      <c r="CL92" s="330">
        <f t="shared" si="88"/>
        <v>0.46210079880948035</v>
      </c>
      <c r="CM92" s="330">
        <f t="shared" si="88"/>
        <v>0.46210079880948035</v>
      </c>
      <c r="CN92" s="330">
        <f t="shared" si="88"/>
        <v>0.46210079880948035</v>
      </c>
      <c r="CO92" s="330">
        <f t="shared" si="88"/>
        <v>0.46210079880948035</v>
      </c>
      <c r="CP92" s="330">
        <f t="shared" si="88"/>
        <v>0.46210079880948035</v>
      </c>
      <c r="CQ92" s="330">
        <f t="shared" si="88"/>
        <v>0.46210079880948035</v>
      </c>
      <c r="CR92" s="330">
        <f t="shared" si="88"/>
        <v>0.46210079880948035</v>
      </c>
      <c r="CS92" s="330">
        <f t="shared" si="88"/>
        <v>0.46210079880948035</v>
      </c>
      <c r="CT92" s="330">
        <f t="shared" si="88"/>
        <v>0.46210079880948035</v>
      </c>
      <c r="CU92" s="330">
        <f t="shared" si="88"/>
        <v>0.46210079880948035</v>
      </c>
      <c r="CV92" s="330">
        <f t="shared" si="88"/>
        <v>0.46210079880948035</v>
      </c>
      <c r="CW92" s="330">
        <f t="shared" si="88"/>
        <v>0.46210079880948035</v>
      </c>
      <c r="CX92" s="330">
        <f t="shared" si="88"/>
        <v>0.46210079880948035</v>
      </c>
      <c r="CY92" s="330">
        <f t="shared" si="88"/>
        <v>0.46210079880948035</v>
      </c>
      <c r="CZ92" s="330">
        <f t="shared" si="88"/>
        <v>0.46210079880948035</v>
      </c>
      <c r="DA92" s="330">
        <f t="shared" si="88"/>
        <v>0.46210079880948035</v>
      </c>
      <c r="DB92" s="330">
        <f t="shared" si="88"/>
        <v>0.46210079880948035</v>
      </c>
      <c r="DC92" s="330">
        <f t="shared" si="88"/>
        <v>0.46210079880948035</v>
      </c>
      <c r="DD92" s="330">
        <f t="shared" si="88"/>
        <v>0.46210079880948035</v>
      </c>
      <c r="DE92" s="330">
        <f t="shared" si="88"/>
        <v>0.46210079880948035</v>
      </c>
      <c r="DF92" s="330">
        <f t="shared" si="88"/>
        <v>0.46210079880948035</v>
      </c>
      <c r="DG92" s="330">
        <f t="shared" si="88"/>
        <v>0.46210079880948035</v>
      </c>
      <c r="DH92" s="330">
        <f t="shared" si="88"/>
        <v>0.46210079880948035</v>
      </c>
      <c r="DI92" s="330">
        <f t="shared" si="88"/>
        <v>0.46210079880948035</v>
      </c>
      <c r="DJ92" s="330">
        <f t="shared" si="88"/>
        <v>0.46210079880948035</v>
      </c>
      <c r="DK92" s="330">
        <f t="shared" si="88"/>
        <v>0.46210079880948035</v>
      </c>
      <c r="DL92" s="330">
        <f t="shared" si="88"/>
        <v>0.46210079880948035</v>
      </c>
      <c r="DM92" s="330">
        <f t="shared" si="88"/>
        <v>0.46210079880948035</v>
      </c>
      <c r="DN92" s="330">
        <f t="shared" si="88"/>
        <v>0.46210079880948035</v>
      </c>
      <c r="DO92" s="330">
        <f t="shared" si="88"/>
        <v>0.46210079880948035</v>
      </c>
      <c r="DP92" s="330">
        <f t="shared" si="88"/>
        <v>0.46210079880948035</v>
      </c>
      <c r="DQ92" s="330">
        <f t="shared" si="88"/>
        <v>0.46210079880948035</v>
      </c>
      <c r="DR92" s="330">
        <f t="shared" si="88"/>
        <v>0.46210079880948035</v>
      </c>
      <c r="DS92" s="330">
        <f t="shared" si="88"/>
        <v>0.46210079880948035</v>
      </c>
      <c r="DT92" s="330">
        <f t="shared" si="88"/>
        <v>0.46210079880948035</v>
      </c>
      <c r="DU92" s="330">
        <f t="shared" si="88"/>
        <v>0.46210079880948035</v>
      </c>
      <c r="DV92" s="330">
        <f t="shared" si="88"/>
        <v>0.46210079880948035</v>
      </c>
      <c r="DW92" s="330">
        <f t="shared" si="88"/>
        <v>0.46210079880948035</v>
      </c>
      <c r="DX92" s="330">
        <f t="shared" ref="DX92" si="89">+IF(DX91&lt;=0,DX89,DX89*DX91)</f>
        <v>0.46210079880948035</v>
      </c>
      <c r="DY92" s="330">
        <f t="shared" ref="DY92" si="90">+IF(DY91&lt;=0,DY89,DY89*DY91)</f>
        <v>0.46210079880948035</v>
      </c>
    </row>
    <row r="93" spans="1:130" s="3" customFormat="1" ht="11.7" customHeight="1" outlineLevel="1" x14ac:dyDescent="0.3">
      <c r="A93" s="85"/>
      <c r="B93" s="198"/>
      <c r="C93" s="198"/>
      <c r="D93" s="158"/>
      <c r="E93" s="159"/>
      <c r="F93" s="159"/>
      <c r="G93" s="127"/>
      <c r="H93" s="127"/>
      <c r="I93" s="160"/>
      <c r="J93" s="160"/>
      <c r="K93" s="160"/>
      <c r="L93" s="160"/>
      <c r="M93" s="160"/>
      <c r="N93" s="160"/>
      <c r="O93" s="160"/>
      <c r="P93" s="160"/>
      <c r="Q93" s="160"/>
      <c r="R93" s="160"/>
      <c r="S93" s="160"/>
      <c r="T93" s="160"/>
      <c r="U93" s="160"/>
      <c r="V93" s="160"/>
      <c r="W93" s="160"/>
      <c r="X93" s="160"/>
      <c r="Y93" s="160"/>
      <c r="Z93" s="160"/>
      <c r="AA93" s="160"/>
      <c r="AB93" s="160"/>
      <c r="AC93" s="160"/>
      <c r="AD93" s="160"/>
      <c r="AE93" s="160"/>
      <c r="AF93" s="160"/>
      <c r="AG93" s="160"/>
      <c r="AH93" s="160"/>
      <c r="AI93" s="160"/>
      <c r="AJ93" s="160"/>
      <c r="AK93" s="160"/>
      <c r="AL93" s="160"/>
      <c r="AM93" s="160"/>
      <c r="AN93" s="160"/>
      <c r="AO93" s="160"/>
      <c r="AP93" s="160"/>
      <c r="AQ93" s="160"/>
      <c r="AR93" s="160"/>
      <c r="AS93" s="160"/>
      <c r="AT93" s="160"/>
      <c r="AU93" s="160"/>
      <c r="AV93" s="160"/>
      <c r="AW93" s="160"/>
      <c r="AX93" s="160"/>
      <c r="AY93" s="160"/>
      <c r="AZ93" s="160"/>
      <c r="BA93" s="160"/>
      <c r="BB93" s="160"/>
      <c r="BC93" s="160"/>
      <c r="BD93" s="160"/>
      <c r="BE93" s="160"/>
      <c r="BF93" s="160"/>
      <c r="BG93" s="160"/>
      <c r="BH93" s="160"/>
      <c r="BI93" s="160"/>
      <c r="BJ93" s="160"/>
      <c r="BK93" s="160"/>
      <c r="BL93" s="160"/>
      <c r="BM93" s="160"/>
      <c r="BN93" s="160"/>
      <c r="BO93" s="160"/>
      <c r="BP93" s="160"/>
      <c r="BQ93" s="160"/>
      <c r="BR93" s="160"/>
      <c r="BS93" s="160"/>
      <c r="BT93" s="1181"/>
      <c r="BU93" s="160"/>
      <c r="BV93" s="160"/>
      <c r="BW93" s="160"/>
      <c r="BX93" s="160"/>
      <c r="BY93" s="160"/>
      <c r="BZ93" s="160"/>
      <c r="CA93" s="160"/>
      <c r="CB93" s="160"/>
      <c r="CC93" s="160"/>
      <c r="CD93" s="160"/>
      <c r="CE93" s="160"/>
      <c r="CF93" s="160"/>
      <c r="CG93" s="160"/>
      <c r="CH93" s="160"/>
      <c r="CI93" s="160"/>
      <c r="CJ93" s="160"/>
      <c r="CK93" s="160"/>
      <c r="CL93" s="160"/>
      <c r="CM93" s="160"/>
      <c r="CN93" s="160"/>
      <c r="CO93" s="160"/>
      <c r="CP93" s="160"/>
      <c r="CQ93" s="160"/>
      <c r="CR93" s="160"/>
      <c r="CS93" s="160"/>
      <c r="CT93" s="160"/>
      <c r="CU93" s="160"/>
      <c r="CV93" s="160"/>
      <c r="CW93" s="160"/>
      <c r="CX93" s="160"/>
      <c r="CY93" s="160"/>
      <c r="CZ93" s="160"/>
      <c r="DA93" s="160"/>
      <c r="DB93" s="160"/>
      <c r="DC93" s="160"/>
      <c r="DD93" s="160"/>
      <c r="DE93" s="160"/>
      <c r="DF93" s="160"/>
      <c r="DG93" s="160"/>
      <c r="DH93" s="160"/>
      <c r="DI93" s="160"/>
      <c r="DJ93" s="160"/>
      <c r="DK93" s="160"/>
      <c r="DL93" s="160"/>
      <c r="DM93" s="160"/>
      <c r="DN93" s="160"/>
      <c r="DO93" s="160"/>
      <c r="DP93" s="160"/>
      <c r="DQ93" s="160"/>
      <c r="DR93" s="160"/>
      <c r="DS93" s="160"/>
      <c r="DT93" s="160"/>
      <c r="DU93" s="160"/>
      <c r="DV93" s="160"/>
      <c r="DW93" s="160"/>
      <c r="DX93" s="160"/>
      <c r="DY93" s="160"/>
    </row>
    <row r="94" spans="1:130" s="3" customFormat="1" ht="11.7" customHeight="1" outlineLevel="1" x14ac:dyDescent="0.3">
      <c r="A94" s="85"/>
      <c r="B94" s="199" t="s">
        <v>218</v>
      </c>
      <c r="C94" s="199"/>
      <c r="D94" s="332"/>
      <c r="E94" s="333"/>
      <c r="F94" s="333"/>
      <c r="G94" s="179"/>
      <c r="H94" s="179"/>
      <c r="I94" s="1136"/>
      <c r="J94" s="1136"/>
      <c r="K94" s="1136"/>
      <c r="L94" s="1136"/>
      <c r="M94" s="1136"/>
      <c r="N94" s="1136"/>
      <c r="O94" s="1136"/>
      <c r="P94" s="1136"/>
      <c r="Q94" s="1136"/>
      <c r="R94" s="1136"/>
      <c r="S94" s="1136"/>
      <c r="T94" s="1136"/>
      <c r="U94" s="1136"/>
      <c r="V94" s="1136"/>
      <c r="W94" s="1136"/>
      <c r="X94" s="1136"/>
      <c r="Y94" s="1136"/>
      <c r="Z94" s="1136"/>
      <c r="AA94" s="1136"/>
      <c r="AB94" s="1136"/>
      <c r="AC94" s="1136"/>
      <c r="AD94" s="1136"/>
      <c r="AE94" s="1136"/>
      <c r="AF94" s="1136"/>
      <c r="AG94" s="1136"/>
      <c r="AH94" s="1136"/>
      <c r="AI94" s="1136"/>
      <c r="AJ94" s="1136"/>
      <c r="AK94" s="1136"/>
      <c r="AL94" s="1136"/>
      <c r="AM94" s="1136"/>
      <c r="AN94" s="1136"/>
      <c r="AO94" s="1136"/>
      <c r="AP94" s="1136"/>
      <c r="AQ94" s="1136"/>
      <c r="AR94" s="1136"/>
      <c r="AS94" s="1136"/>
      <c r="AT94" s="1136"/>
      <c r="AU94" s="1136"/>
      <c r="AV94" s="1136"/>
      <c r="AW94" s="1136"/>
      <c r="AX94" s="1136"/>
      <c r="AY94" s="1136"/>
      <c r="AZ94" s="1136"/>
      <c r="BA94" s="1136"/>
      <c r="BB94" s="1136"/>
      <c r="BC94" s="1136"/>
      <c r="BD94" s="1136"/>
      <c r="BE94" s="1136"/>
      <c r="BF94" s="1136"/>
      <c r="BG94" s="1136"/>
      <c r="BH94" s="1144">
        <f t="shared" ref="BH94:BP94" si="91">+BH95/$D$95</f>
        <v>0</v>
      </c>
      <c r="BI94" s="1144">
        <f t="shared" si="91"/>
        <v>0.37764501296050323</v>
      </c>
      <c r="BJ94" s="1144">
        <f t="shared" si="91"/>
        <v>0.34762049457512356</v>
      </c>
      <c r="BK94" s="1144">
        <f t="shared" si="91"/>
        <v>0.32343076139207777</v>
      </c>
      <c r="BL94" s="1144">
        <f t="shared" si="91"/>
        <v>0.35644275677063586</v>
      </c>
      <c r="BM94" s="1144">
        <f t="shared" si="91"/>
        <v>0.36774577095235939</v>
      </c>
      <c r="BN94" s="1144">
        <f t="shared" si="91"/>
        <v>0.35832372981329413</v>
      </c>
      <c r="BO94" s="1144">
        <f t="shared" si="91"/>
        <v>0.36352863243345762</v>
      </c>
      <c r="BP94" s="1144">
        <f t="shared" si="91"/>
        <v>0.3634235459368203</v>
      </c>
      <c r="BQ94" s="1144">
        <f>+BQ95/$D$95</f>
        <v>0.35271522095531227</v>
      </c>
      <c r="BR94" s="1144">
        <f t="shared" ref="BR94:BT94" si="92">+BR95/$D$95</f>
        <v>0.35639309674422609</v>
      </c>
      <c r="BS94" s="1144">
        <f t="shared" si="92"/>
        <v>0.36482344031036418</v>
      </c>
      <c r="BT94" s="1144">
        <f t="shared" si="92"/>
        <v>0.33198458699587441</v>
      </c>
      <c r="BU94" s="1144">
        <f>+BU95/$D$95</f>
        <v>0.36644199014264128</v>
      </c>
      <c r="BV94" s="1144">
        <f t="shared" ref="BV94:BY94" si="93">+BV95/$D$95</f>
        <v>0.38676885287428747</v>
      </c>
      <c r="BW94" s="1144">
        <f t="shared" si="93"/>
        <v>0.38964223137243004</v>
      </c>
      <c r="BX94" s="1144">
        <f t="shared" si="93"/>
        <v>0.37368378981882683</v>
      </c>
      <c r="BY94" s="1144">
        <f t="shared" si="93"/>
        <v>0.36208700995935866</v>
      </c>
      <c r="BZ94" s="325">
        <f t="shared" ref="BZ94:DW94" si="94">+BZ92</f>
        <v>0.38964223137243004</v>
      </c>
      <c r="CA94" s="325">
        <f t="shared" si="94"/>
        <v>0.38964223137243004</v>
      </c>
      <c r="CB94" s="325">
        <f t="shared" si="94"/>
        <v>0.38964223137243004</v>
      </c>
      <c r="CC94" s="325">
        <f t="shared" si="94"/>
        <v>0.38964223137243004</v>
      </c>
      <c r="CD94" s="325">
        <f t="shared" si="94"/>
        <v>0.38964223137243004</v>
      </c>
      <c r="CE94" s="325">
        <f t="shared" si="94"/>
        <v>0.38964223137243004</v>
      </c>
      <c r="CF94" s="325">
        <f t="shared" si="94"/>
        <v>0.45303999883282386</v>
      </c>
      <c r="CG94" s="325">
        <f t="shared" si="94"/>
        <v>0.46210079880948035</v>
      </c>
      <c r="CH94" s="325">
        <f t="shared" si="94"/>
        <v>0.46210079880948035</v>
      </c>
      <c r="CI94" s="325">
        <f t="shared" si="94"/>
        <v>0.46210079880948035</v>
      </c>
      <c r="CJ94" s="325">
        <f t="shared" si="94"/>
        <v>0.46210079880948035</v>
      </c>
      <c r="CK94" s="325">
        <f t="shared" si="94"/>
        <v>0.46210079880948035</v>
      </c>
      <c r="CL94" s="325">
        <f t="shared" si="94"/>
        <v>0.46210079880948035</v>
      </c>
      <c r="CM94" s="325">
        <f t="shared" si="94"/>
        <v>0.46210079880948035</v>
      </c>
      <c r="CN94" s="325">
        <f t="shared" si="94"/>
        <v>0.46210079880948035</v>
      </c>
      <c r="CO94" s="325">
        <f t="shared" si="94"/>
        <v>0.46210079880948035</v>
      </c>
      <c r="CP94" s="325">
        <f t="shared" si="94"/>
        <v>0.46210079880948035</v>
      </c>
      <c r="CQ94" s="325">
        <f t="shared" si="94"/>
        <v>0.46210079880948035</v>
      </c>
      <c r="CR94" s="325">
        <f t="shared" si="94"/>
        <v>0.46210079880948035</v>
      </c>
      <c r="CS94" s="325">
        <f t="shared" si="94"/>
        <v>0.46210079880948035</v>
      </c>
      <c r="CT94" s="325">
        <f t="shared" si="94"/>
        <v>0.46210079880948035</v>
      </c>
      <c r="CU94" s="325">
        <f t="shared" si="94"/>
        <v>0.46210079880948035</v>
      </c>
      <c r="CV94" s="325">
        <f t="shared" si="94"/>
        <v>0.46210079880948035</v>
      </c>
      <c r="CW94" s="325">
        <f t="shared" si="94"/>
        <v>0.46210079880948035</v>
      </c>
      <c r="CX94" s="325">
        <f t="shared" si="94"/>
        <v>0.46210079880948035</v>
      </c>
      <c r="CY94" s="325">
        <f t="shared" si="94"/>
        <v>0.46210079880948035</v>
      </c>
      <c r="CZ94" s="325">
        <f t="shared" si="94"/>
        <v>0.46210079880948035</v>
      </c>
      <c r="DA94" s="325">
        <f t="shared" si="94"/>
        <v>0.46210079880948035</v>
      </c>
      <c r="DB94" s="325">
        <f t="shared" si="94"/>
        <v>0.46210079880948035</v>
      </c>
      <c r="DC94" s="325">
        <f t="shared" si="94"/>
        <v>0.46210079880948035</v>
      </c>
      <c r="DD94" s="325">
        <f t="shared" si="94"/>
        <v>0.46210079880948035</v>
      </c>
      <c r="DE94" s="325">
        <f t="shared" si="94"/>
        <v>0.46210079880948035</v>
      </c>
      <c r="DF94" s="325">
        <f t="shared" si="94"/>
        <v>0.46210079880948035</v>
      </c>
      <c r="DG94" s="325">
        <f t="shared" si="94"/>
        <v>0.46210079880948035</v>
      </c>
      <c r="DH94" s="325">
        <f t="shared" si="94"/>
        <v>0.46210079880948035</v>
      </c>
      <c r="DI94" s="325">
        <f t="shared" si="94"/>
        <v>0.46210079880948035</v>
      </c>
      <c r="DJ94" s="325">
        <f t="shared" si="94"/>
        <v>0.46210079880948035</v>
      </c>
      <c r="DK94" s="325">
        <f t="shared" si="94"/>
        <v>0.46210079880948035</v>
      </c>
      <c r="DL94" s="325">
        <f t="shared" si="94"/>
        <v>0.46210079880948035</v>
      </c>
      <c r="DM94" s="325">
        <f t="shared" si="94"/>
        <v>0.46210079880948035</v>
      </c>
      <c r="DN94" s="325">
        <f t="shared" si="94"/>
        <v>0.46210079880948035</v>
      </c>
      <c r="DO94" s="325">
        <f t="shared" si="94"/>
        <v>0.46210079880948035</v>
      </c>
      <c r="DP94" s="325">
        <f t="shared" si="94"/>
        <v>0.46210079880948035</v>
      </c>
      <c r="DQ94" s="325">
        <f t="shared" si="94"/>
        <v>0.46210079880948035</v>
      </c>
      <c r="DR94" s="325">
        <f t="shared" si="94"/>
        <v>0.46210079880948035</v>
      </c>
      <c r="DS94" s="325">
        <f t="shared" si="94"/>
        <v>0.46210079880948035</v>
      </c>
      <c r="DT94" s="325">
        <f t="shared" si="94"/>
        <v>0.46210079880948035</v>
      </c>
      <c r="DU94" s="325">
        <f t="shared" si="94"/>
        <v>0.46210079880948035</v>
      </c>
      <c r="DV94" s="325">
        <f t="shared" si="94"/>
        <v>0.46210079880948035</v>
      </c>
      <c r="DW94" s="325">
        <f t="shared" si="94"/>
        <v>0.46210079880948035</v>
      </c>
      <c r="DX94" s="325">
        <f t="shared" ref="DX94" si="95">+DX92</f>
        <v>0.46210079880948035</v>
      </c>
      <c r="DY94" s="325">
        <f t="shared" ref="DY94" si="96">+DY92</f>
        <v>0.46210079880948035</v>
      </c>
    </row>
    <row r="95" spans="1:130" s="3" customFormat="1" ht="11.7" customHeight="1" outlineLevel="1" x14ac:dyDescent="0.3">
      <c r="A95" s="85"/>
      <c r="B95" s="199" t="s">
        <v>219</v>
      </c>
      <c r="C95" s="199"/>
      <c r="D95" s="799">
        <f>+UnitMix!$G$33</f>
        <v>43.436492537313441</v>
      </c>
      <c r="E95" s="333"/>
      <c r="F95" s="333"/>
      <c r="G95" s="179"/>
      <c r="H95" s="179"/>
      <c r="I95" s="1137"/>
      <c r="J95" s="1137"/>
      <c r="K95" s="1137"/>
      <c r="L95" s="1137"/>
      <c r="M95" s="1137"/>
      <c r="N95" s="1137"/>
      <c r="O95" s="1137"/>
      <c r="P95" s="1137"/>
      <c r="Q95" s="1137"/>
      <c r="R95" s="1137"/>
      <c r="S95" s="1137"/>
      <c r="T95" s="1137"/>
      <c r="U95" s="1137"/>
      <c r="V95" s="1137"/>
      <c r="W95" s="1137"/>
      <c r="X95" s="1137"/>
      <c r="Y95" s="1137"/>
      <c r="Z95" s="1137"/>
      <c r="AA95" s="1137"/>
      <c r="AB95" s="1137"/>
      <c r="AC95" s="1137"/>
      <c r="AD95" s="1137"/>
      <c r="AE95" s="1137"/>
      <c r="AF95" s="1137"/>
      <c r="AG95" s="1137"/>
      <c r="AH95" s="1137"/>
      <c r="AI95" s="1137"/>
      <c r="AJ95" s="1137"/>
      <c r="AK95" s="1137"/>
      <c r="AL95" s="1137"/>
      <c r="AM95" s="1137"/>
      <c r="AN95" s="1137"/>
      <c r="AO95" s="1137"/>
      <c r="AP95" s="1137"/>
      <c r="AQ95" s="1137"/>
      <c r="AR95" s="1137"/>
      <c r="AS95" s="1137"/>
      <c r="AT95" s="1137"/>
      <c r="AU95" s="1137"/>
      <c r="AV95" s="1137"/>
      <c r="AW95" s="1137"/>
      <c r="AX95" s="1137"/>
      <c r="AY95" s="1137"/>
      <c r="AZ95" s="1137"/>
      <c r="BA95" s="1137"/>
      <c r="BB95" s="1137"/>
      <c r="BC95" s="1137"/>
      <c r="BD95" s="1137"/>
      <c r="BE95" s="1137"/>
      <c r="BF95" s="1137"/>
      <c r="BG95" s="1137"/>
      <c r="BH95" s="1145">
        <f t="shared" ref="BH95:BP95" si="97">+SUM(BH102,BH103)/$D$81</f>
        <v>0</v>
      </c>
      <c r="BI95" s="1145">
        <f t="shared" si="97"/>
        <v>16.403574787212538</v>
      </c>
      <c r="BJ95" s="1145">
        <f t="shared" si="97"/>
        <v>15.099415018429562</v>
      </c>
      <c r="BK95" s="1145">
        <f t="shared" si="97"/>
        <v>14.04869785354459</v>
      </c>
      <c r="BL95" s="1145">
        <f t="shared" si="97"/>
        <v>15.482623144447155</v>
      </c>
      <c r="BM95" s="1145">
        <f t="shared" si="97"/>
        <v>15.973586435600737</v>
      </c>
      <c r="BN95" s="1145">
        <f t="shared" si="97"/>
        <v>15.564326015977468</v>
      </c>
      <c r="BO95" s="1145">
        <f t="shared" si="97"/>
        <v>15.790408729795642</v>
      </c>
      <c r="BP95" s="1145">
        <f t="shared" si="97"/>
        <v>15.785844140968683</v>
      </c>
      <c r="BQ95" s="1145">
        <f>+SUM(BQ102,BQ103)/$D$81</f>
        <v>15.320712062822283</v>
      </c>
      <c r="BR95" s="1145">
        <f t="shared" ref="BR95:BS95" si="98">+SUM(BR102,BR103)/$D$81</f>
        <v>15.480466087080604</v>
      </c>
      <c r="BS95" s="1145">
        <f t="shared" si="98"/>
        <v>15.846650642478149</v>
      </c>
      <c r="BT95" s="1145">
        <f t="shared" ref="BT95:BU95" si="99">+SUM(BT102,BT103)/$D$81</f>
        <v>14.420246035549383</v>
      </c>
      <c r="BU95" s="1145">
        <f t="shared" si="99"/>
        <v>15.916954770189124</v>
      </c>
      <c r="BV95" s="1145">
        <f t="shared" ref="BV95:BY95" si="100">+SUM(BV102,BV103)/$D$81</f>
        <v>16.799882391539267</v>
      </c>
      <c r="BW95" s="1145">
        <f t="shared" si="100"/>
        <v>16.924691875230714</v>
      </c>
      <c r="BX95" s="1145">
        <f t="shared" si="100"/>
        <v>16.231513147780475</v>
      </c>
      <c r="BY95" s="1145">
        <f t="shared" si="100"/>
        <v>15.72778970595782</v>
      </c>
      <c r="BZ95" s="704">
        <f t="shared" ref="BZ95:CZ95" si="101">+BZ94*$D$95</f>
        <v>16.924691875230714</v>
      </c>
      <c r="CA95" s="704">
        <f t="shared" si="101"/>
        <v>16.924691875230714</v>
      </c>
      <c r="CB95" s="704">
        <f t="shared" si="101"/>
        <v>16.924691875230714</v>
      </c>
      <c r="CC95" s="704">
        <f t="shared" si="101"/>
        <v>16.924691875230714</v>
      </c>
      <c r="CD95" s="704">
        <f t="shared" si="101"/>
        <v>16.924691875230714</v>
      </c>
      <c r="CE95" s="704">
        <f t="shared" si="101"/>
        <v>16.924691875230714</v>
      </c>
      <c r="CF95" s="704">
        <f t="shared" si="101"/>
        <v>19.678468528406444</v>
      </c>
      <c r="CG95" s="704">
        <f t="shared" si="101"/>
        <v>20.072037898974575</v>
      </c>
      <c r="CH95" s="704">
        <f t="shared" si="101"/>
        <v>20.072037898974575</v>
      </c>
      <c r="CI95" s="704">
        <f t="shared" si="101"/>
        <v>20.072037898974575</v>
      </c>
      <c r="CJ95" s="704">
        <f t="shared" si="101"/>
        <v>20.072037898974575</v>
      </c>
      <c r="CK95" s="704">
        <f t="shared" si="101"/>
        <v>20.072037898974575</v>
      </c>
      <c r="CL95" s="704">
        <f t="shared" si="101"/>
        <v>20.072037898974575</v>
      </c>
      <c r="CM95" s="704">
        <f t="shared" si="101"/>
        <v>20.072037898974575</v>
      </c>
      <c r="CN95" s="704">
        <f t="shared" si="101"/>
        <v>20.072037898974575</v>
      </c>
      <c r="CO95" s="704">
        <f t="shared" si="101"/>
        <v>20.072037898974575</v>
      </c>
      <c r="CP95" s="704">
        <f t="shared" si="101"/>
        <v>20.072037898974575</v>
      </c>
      <c r="CQ95" s="704">
        <f t="shared" si="101"/>
        <v>20.072037898974575</v>
      </c>
      <c r="CR95" s="704">
        <f t="shared" si="101"/>
        <v>20.072037898974575</v>
      </c>
      <c r="CS95" s="704">
        <f t="shared" si="101"/>
        <v>20.072037898974575</v>
      </c>
      <c r="CT95" s="704">
        <f t="shared" si="101"/>
        <v>20.072037898974575</v>
      </c>
      <c r="CU95" s="704">
        <f t="shared" si="101"/>
        <v>20.072037898974575</v>
      </c>
      <c r="CV95" s="704">
        <f t="shared" si="101"/>
        <v>20.072037898974575</v>
      </c>
      <c r="CW95" s="704">
        <f t="shared" si="101"/>
        <v>20.072037898974575</v>
      </c>
      <c r="CX95" s="704">
        <f t="shared" si="101"/>
        <v>20.072037898974575</v>
      </c>
      <c r="CY95" s="704">
        <f t="shared" si="101"/>
        <v>20.072037898974575</v>
      </c>
      <c r="CZ95" s="704">
        <f t="shared" si="101"/>
        <v>20.072037898974575</v>
      </c>
      <c r="DA95" s="704">
        <f t="shared" ref="DA95:DW95" si="102">+DA94*$D$95</f>
        <v>20.072037898974575</v>
      </c>
      <c r="DB95" s="704">
        <f t="shared" si="102"/>
        <v>20.072037898974575</v>
      </c>
      <c r="DC95" s="704">
        <f t="shared" si="102"/>
        <v>20.072037898974575</v>
      </c>
      <c r="DD95" s="704">
        <f t="shared" si="102"/>
        <v>20.072037898974575</v>
      </c>
      <c r="DE95" s="704">
        <f t="shared" si="102"/>
        <v>20.072037898974575</v>
      </c>
      <c r="DF95" s="704">
        <f t="shared" si="102"/>
        <v>20.072037898974575</v>
      </c>
      <c r="DG95" s="704">
        <f t="shared" si="102"/>
        <v>20.072037898974575</v>
      </c>
      <c r="DH95" s="704">
        <f t="shared" si="102"/>
        <v>20.072037898974575</v>
      </c>
      <c r="DI95" s="704">
        <f t="shared" si="102"/>
        <v>20.072037898974575</v>
      </c>
      <c r="DJ95" s="704">
        <f t="shared" si="102"/>
        <v>20.072037898974575</v>
      </c>
      <c r="DK95" s="704">
        <f t="shared" si="102"/>
        <v>20.072037898974575</v>
      </c>
      <c r="DL95" s="704">
        <f t="shared" si="102"/>
        <v>20.072037898974575</v>
      </c>
      <c r="DM95" s="704">
        <f t="shared" si="102"/>
        <v>20.072037898974575</v>
      </c>
      <c r="DN95" s="704">
        <f t="shared" si="102"/>
        <v>20.072037898974575</v>
      </c>
      <c r="DO95" s="704">
        <f t="shared" si="102"/>
        <v>20.072037898974575</v>
      </c>
      <c r="DP95" s="704">
        <f t="shared" si="102"/>
        <v>20.072037898974575</v>
      </c>
      <c r="DQ95" s="704">
        <f t="shared" si="102"/>
        <v>20.072037898974575</v>
      </c>
      <c r="DR95" s="704">
        <f t="shared" si="102"/>
        <v>20.072037898974575</v>
      </c>
      <c r="DS95" s="704">
        <f t="shared" si="102"/>
        <v>20.072037898974575</v>
      </c>
      <c r="DT95" s="704">
        <f t="shared" si="102"/>
        <v>20.072037898974575</v>
      </c>
      <c r="DU95" s="704">
        <f t="shared" si="102"/>
        <v>20.072037898974575</v>
      </c>
      <c r="DV95" s="704">
        <f t="shared" si="102"/>
        <v>20.072037898974575</v>
      </c>
      <c r="DW95" s="704">
        <f t="shared" si="102"/>
        <v>20.072037898974575</v>
      </c>
      <c r="DX95" s="704">
        <f t="shared" ref="DX95" si="103">+DX94*$D$95</f>
        <v>20.072037898974575</v>
      </c>
      <c r="DY95" s="704">
        <f t="shared" ref="DY95" si="104">+DY94*$D$95</f>
        <v>20.072037898974575</v>
      </c>
    </row>
    <row r="96" spans="1:130" s="3" customFormat="1" ht="11.7" customHeight="1" outlineLevel="1" x14ac:dyDescent="0.3">
      <c r="A96" s="85"/>
      <c r="B96" s="149" t="s">
        <v>788</v>
      </c>
      <c r="C96" s="149"/>
      <c r="D96" s="158"/>
      <c r="E96" s="159"/>
      <c r="F96" s="159"/>
      <c r="G96" s="127"/>
      <c r="H96" s="127"/>
      <c r="I96" s="160"/>
      <c r="J96" s="160"/>
      <c r="K96" s="160"/>
      <c r="L96" s="160"/>
      <c r="M96" s="160"/>
      <c r="N96" s="160"/>
      <c r="O96" s="160"/>
      <c r="P96" s="160"/>
      <c r="Q96" s="160"/>
      <c r="R96" s="160"/>
      <c r="S96" s="160"/>
      <c r="T96" s="160"/>
      <c r="U96" s="160"/>
      <c r="V96" s="160"/>
      <c r="W96" s="160"/>
      <c r="X96" s="160"/>
      <c r="Y96" s="160"/>
      <c r="Z96" s="160"/>
      <c r="AA96" s="160"/>
      <c r="AB96" s="160"/>
      <c r="AC96" s="160"/>
      <c r="AD96" s="160"/>
      <c r="AE96" s="160"/>
      <c r="AF96" s="160"/>
      <c r="AG96" s="160"/>
      <c r="AH96" s="160"/>
      <c r="AI96" s="160"/>
      <c r="AJ96" s="160"/>
      <c r="AK96" s="160"/>
      <c r="AL96" s="160"/>
      <c r="AM96" s="160"/>
      <c r="AN96" s="160"/>
      <c r="AO96" s="160"/>
      <c r="AP96" s="160"/>
      <c r="AQ96" s="160"/>
      <c r="AR96" s="160"/>
      <c r="AS96" s="160"/>
      <c r="AT96" s="160"/>
      <c r="AU96" s="160"/>
      <c r="AV96" s="160"/>
      <c r="AW96" s="160"/>
      <c r="AX96" s="160"/>
      <c r="AY96" s="160"/>
      <c r="AZ96" s="160"/>
      <c r="BA96" s="160"/>
      <c r="BB96" s="160"/>
      <c r="BC96" s="160"/>
      <c r="BD96" s="160"/>
      <c r="BE96" s="160"/>
      <c r="BF96" s="160"/>
      <c r="BG96" s="160"/>
      <c r="BH96" s="160"/>
      <c r="BI96" s="1185">
        <f>+AVERAGE(BI91:$BI$91)</f>
        <v>1.0995437422614256</v>
      </c>
      <c r="BJ96" s="1185">
        <f>+AVERAGE($BI91:BJ$91)</f>
        <v>1.055834345642821</v>
      </c>
      <c r="BK96" s="1185">
        <f>+AVERAGE($BI91:BK$91)</f>
        <v>1.0177877640458082</v>
      </c>
      <c r="BL96" s="1185">
        <f>+AVERAGE($BI91:BL$91)</f>
        <v>1.0227937412717236</v>
      </c>
      <c r="BM96" s="1185">
        <f>+AVERAGE($BI91:BM$91)</f>
        <v>1.0323792540650207</v>
      </c>
      <c r="BN96" s="1185">
        <f>+AVERAGE($BI91:BN$91)</f>
        <v>1.0341974245236327</v>
      </c>
      <c r="BO96" s="1185">
        <f>+AVERAGE($BI91:BO$91)</f>
        <v>1.0376610450526951</v>
      </c>
      <c r="BP96" s="1185">
        <f>+AVERAGE($BI91:BP$91)</f>
        <v>1.0402205144791332</v>
      </c>
      <c r="BQ96" s="1185">
        <f>+AVERAGE($BI91:BQ$91)</f>
        <v>1.0387469743676518</v>
      </c>
      <c r="BR96" s="1185">
        <f>+AVERAGE($BI91:BR$91)</f>
        <v>1.0386389853108722</v>
      </c>
      <c r="BS96" s="1185">
        <f>+AVERAGE($BI91:BS$91)</f>
        <v>1.0407820507556949</v>
      </c>
      <c r="BT96" s="1185">
        <f>+AVERAGE($BI91:BT$91)</f>
        <v>1.0346001923686965</v>
      </c>
      <c r="BU96" s="1185">
        <f>+AVERAGE($BI91:BU$91)</f>
        <v>1.0370867347132466</v>
      </c>
      <c r="BV96" s="1185">
        <f>+AVERAGE($BI91:BV$91)</f>
        <v>1.0434454346551489</v>
      </c>
      <c r="BW96" s="1185">
        <f>+AVERAGE($BI91:BW$91)</f>
        <v>1.0495140460675649</v>
      </c>
      <c r="BX96" s="1185">
        <f>+AVERAGE($BI91:BX$91)</f>
        <v>1.0519200634005559</v>
      </c>
      <c r="BY96" s="1185">
        <f>+AVERAGE($BI91:BY$91)</f>
        <v>1.0520568460696997</v>
      </c>
      <c r="BZ96" s="160"/>
      <c r="CA96" s="160"/>
      <c r="CB96" s="160"/>
      <c r="CC96" s="160"/>
      <c r="CD96" s="160"/>
      <c r="CE96" s="160"/>
      <c r="CF96" s="160"/>
      <c r="CG96" s="160"/>
      <c r="CH96" s="160"/>
      <c r="CI96" s="160"/>
      <c r="CJ96" s="160"/>
      <c r="CK96" s="160"/>
      <c r="CL96" s="160"/>
      <c r="CM96" s="160"/>
      <c r="CN96" s="160"/>
      <c r="CO96" s="160"/>
      <c r="CP96" s="160"/>
      <c r="CQ96" s="160"/>
      <c r="CR96" s="160"/>
      <c r="CS96" s="160"/>
      <c r="CT96" s="160"/>
      <c r="CU96" s="160"/>
      <c r="CV96" s="160"/>
      <c r="CW96" s="160"/>
      <c r="CX96" s="160"/>
      <c r="CY96" s="160"/>
      <c r="CZ96" s="160"/>
      <c r="DA96" s="160"/>
      <c r="DB96" s="160"/>
      <c r="DC96" s="160"/>
      <c r="DD96" s="160"/>
      <c r="DE96" s="160"/>
      <c r="DF96" s="160"/>
      <c r="DG96" s="160"/>
      <c r="DH96" s="160"/>
      <c r="DI96" s="160"/>
      <c r="DJ96" s="160"/>
      <c r="DK96" s="160"/>
      <c r="DL96" s="160"/>
      <c r="DM96" s="160"/>
      <c r="DN96" s="160"/>
      <c r="DO96" s="160"/>
      <c r="DP96" s="160"/>
      <c r="DQ96" s="160"/>
      <c r="DR96" s="160"/>
      <c r="DS96" s="160"/>
      <c r="DT96" s="160"/>
      <c r="DU96" s="160"/>
      <c r="DV96" s="160"/>
      <c r="DW96" s="160"/>
      <c r="DX96" s="160"/>
      <c r="DY96" s="160"/>
    </row>
    <row r="97" spans="1:129" s="3" customFormat="1" ht="11.7" customHeight="1" outlineLevel="1" x14ac:dyDescent="0.3">
      <c r="A97" s="85"/>
      <c r="B97" s="149"/>
      <c r="C97" s="149"/>
      <c r="D97" s="158"/>
      <c r="E97" s="159"/>
      <c r="F97" s="159"/>
      <c r="G97" s="127"/>
      <c r="H97" s="127"/>
      <c r="I97" s="160"/>
      <c r="J97" s="160"/>
      <c r="K97" s="160"/>
      <c r="L97" s="160"/>
      <c r="M97" s="160"/>
      <c r="N97" s="160"/>
      <c r="O97" s="160"/>
      <c r="P97" s="160"/>
      <c r="Q97" s="160"/>
      <c r="R97" s="160"/>
      <c r="S97" s="160"/>
      <c r="T97" s="160"/>
      <c r="U97" s="160"/>
      <c r="V97" s="160"/>
      <c r="W97" s="160"/>
      <c r="X97" s="160"/>
      <c r="Y97" s="160"/>
      <c r="Z97" s="160"/>
      <c r="AA97" s="160"/>
      <c r="AB97" s="160"/>
      <c r="AC97" s="160"/>
      <c r="AD97" s="160"/>
      <c r="AE97" s="160"/>
      <c r="AF97" s="160"/>
      <c r="AG97" s="160"/>
      <c r="AH97" s="160"/>
      <c r="AI97" s="160"/>
      <c r="AJ97" s="160"/>
      <c r="AK97" s="160"/>
      <c r="AL97" s="160"/>
      <c r="AM97" s="160"/>
      <c r="AN97" s="160"/>
      <c r="AO97" s="160"/>
      <c r="AP97" s="160"/>
      <c r="AQ97" s="160"/>
      <c r="AR97" s="160"/>
      <c r="AS97" s="160"/>
      <c r="AT97" s="160"/>
      <c r="AU97" s="160"/>
      <c r="AV97" s="160"/>
      <c r="AW97" s="160"/>
      <c r="AX97" s="160"/>
      <c r="AY97" s="160"/>
      <c r="AZ97" s="160"/>
      <c r="BA97" s="160"/>
      <c r="BB97" s="160"/>
      <c r="BC97" s="160"/>
      <c r="BD97" s="160"/>
      <c r="BE97" s="160"/>
      <c r="BF97" s="160"/>
      <c r="BG97" s="160"/>
      <c r="BH97" s="160"/>
      <c r="BI97" s="1128"/>
      <c r="BJ97" s="1128"/>
      <c r="BK97" s="1128"/>
      <c r="BL97" s="160"/>
      <c r="BM97" s="160"/>
      <c r="BN97" s="160"/>
      <c r="BO97" s="160"/>
      <c r="BP97" s="160"/>
      <c r="BQ97" s="160"/>
      <c r="BR97" s="160"/>
      <c r="BS97" s="160"/>
      <c r="BT97" s="160"/>
      <c r="BU97" s="160"/>
      <c r="BV97" s="160"/>
      <c r="BW97" s="160"/>
      <c r="BX97" s="160"/>
      <c r="BY97" s="160"/>
      <c r="BZ97" s="160"/>
      <c r="CA97" s="160"/>
      <c r="CB97" s="160"/>
      <c r="CC97" s="160"/>
      <c r="CD97" s="160"/>
      <c r="CE97" s="160"/>
      <c r="CF97" s="160"/>
      <c r="CG97" s="160"/>
      <c r="CH97" s="160"/>
      <c r="CI97" s="160"/>
      <c r="CJ97" s="160"/>
      <c r="CK97" s="160"/>
      <c r="CL97" s="160"/>
      <c r="CM97" s="160"/>
      <c r="CN97" s="160"/>
      <c r="CO97" s="160"/>
      <c r="CP97" s="160"/>
      <c r="CQ97" s="160"/>
      <c r="CR97" s="160"/>
      <c r="CS97" s="160"/>
      <c r="CT97" s="160"/>
      <c r="CU97" s="160"/>
      <c r="CV97" s="160"/>
      <c r="CW97" s="160"/>
      <c r="CX97" s="160"/>
      <c r="CY97" s="160"/>
      <c r="CZ97" s="160"/>
      <c r="DA97" s="160"/>
      <c r="DB97" s="160"/>
      <c r="DC97" s="160"/>
      <c r="DD97" s="160"/>
      <c r="DE97" s="160"/>
      <c r="DF97" s="160"/>
      <c r="DG97" s="160"/>
      <c r="DH97" s="160"/>
      <c r="DI97" s="160"/>
      <c r="DJ97" s="160"/>
      <c r="DK97" s="160"/>
      <c r="DL97" s="160"/>
      <c r="DM97" s="160"/>
      <c r="DN97" s="160"/>
      <c r="DO97" s="160"/>
      <c r="DP97" s="160"/>
      <c r="DQ97" s="160"/>
      <c r="DR97" s="160"/>
      <c r="DS97" s="160"/>
      <c r="DT97" s="160"/>
      <c r="DU97" s="160"/>
      <c r="DV97" s="160"/>
      <c r="DW97" s="160"/>
      <c r="DX97" s="160"/>
      <c r="DY97" s="160"/>
    </row>
    <row r="98" spans="1:129" s="3" customFormat="1" ht="11.7" customHeight="1" outlineLevel="1" x14ac:dyDescent="0.3">
      <c r="A98" s="85"/>
      <c r="B98" s="198"/>
      <c r="C98" s="198"/>
      <c r="D98" s="158"/>
      <c r="E98" s="159"/>
      <c r="F98" s="159"/>
      <c r="G98" s="127"/>
      <c r="H98" s="127"/>
      <c r="I98" s="160"/>
      <c r="J98" s="160"/>
      <c r="K98" s="160"/>
      <c r="L98" s="160"/>
      <c r="M98" s="160"/>
      <c r="N98" s="160"/>
      <c r="O98" s="160"/>
      <c r="P98" s="160"/>
      <c r="Q98" s="160"/>
      <c r="R98" s="160"/>
      <c r="S98" s="160"/>
      <c r="T98" s="160"/>
      <c r="U98" s="160"/>
      <c r="V98" s="160"/>
      <c r="W98" s="160"/>
      <c r="X98" s="160"/>
      <c r="Y98" s="160"/>
      <c r="Z98" s="160"/>
      <c r="AA98" s="160"/>
      <c r="AB98" s="160"/>
      <c r="AC98" s="160"/>
      <c r="AD98" s="160"/>
      <c r="AE98" s="160"/>
      <c r="AF98" s="160"/>
      <c r="AG98" s="160"/>
      <c r="AH98" s="160"/>
      <c r="AI98" s="160"/>
      <c r="AJ98" s="160"/>
      <c r="AK98" s="160"/>
      <c r="AL98" s="160"/>
      <c r="AM98" s="160"/>
      <c r="AN98" s="160"/>
      <c r="AO98" s="160"/>
      <c r="AP98" s="160"/>
      <c r="AQ98" s="160"/>
      <c r="AR98" s="160"/>
      <c r="AS98" s="160"/>
      <c r="AT98" s="160"/>
      <c r="AU98" s="160"/>
      <c r="AV98" s="160"/>
      <c r="AW98" s="160"/>
      <c r="AX98" s="160"/>
      <c r="AY98" s="160"/>
      <c r="AZ98" s="160"/>
      <c r="BA98" s="160"/>
      <c r="BB98" s="160"/>
      <c r="BC98" s="160"/>
      <c r="BD98" s="160"/>
      <c r="BE98" s="160"/>
      <c r="BF98" s="160"/>
      <c r="BG98" s="160"/>
      <c r="BH98" s="160"/>
      <c r="BI98" s="111"/>
      <c r="BJ98" s="160"/>
      <c r="BK98" s="160"/>
      <c r="BL98" s="160"/>
      <c r="BM98" s="160"/>
      <c r="BN98" s="160"/>
      <c r="BO98" s="160"/>
      <c r="BP98" s="160"/>
      <c r="BQ98" s="160"/>
      <c r="BR98" s="160"/>
      <c r="BS98" s="160"/>
      <c r="BT98" s="160"/>
      <c r="BU98" s="160"/>
      <c r="BV98" s="160"/>
      <c r="BW98" s="160"/>
      <c r="BX98" s="160"/>
      <c r="BY98" s="160"/>
      <c r="BZ98" s="160"/>
      <c r="CA98" s="160"/>
      <c r="CB98" s="160"/>
      <c r="CC98" s="160"/>
      <c r="CD98" s="160"/>
      <c r="CE98" s="160"/>
      <c r="CF98" s="160"/>
      <c r="CG98" s="160"/>
      <c r="CH98" s="160"/>
      <c r="CI98" s="160"/>
      <c r="CJ98" s="160"/>
      <c r="CK98" s="160"/>
      <c r="CL98" s="160"/>
      <c r="CM98" s="160"/>
      <c r="CN98" s="160"/>
      <c r="CO98" s="160"/>
      <c r="CP98" s="160"/>
      <c r="CQ98" s="160"/>
      <c r="CR98" s="160"/>
      <c r="CS98" s="160"/>
      <c r="CT98" s="160"/>
      <c r="CU98" s="160"/>
      <c r="CV98" s="160"/>
      <c r="CW98" s="160"/>
      <c r="CX98" s="160"/>
      <c r="CY98" s="160"/>
      <c r="CZ98" s="160"/>
      <c r="DA98" s="160"/>
      <c r="DB98" s="160"/>
      <c r="DC98" s="160"/>
      <c r="DD98" s="160"/>
      <c r="DE98" s="160"/>
      <c r="DF98" s="160"/>
      <c r="DG98" s="160"/>
      <c r="DH98" s="160"/>
      <c r="DI98" s="160"/>
      <c r="DJ98" s="160"/>
      <c r="DK98" s="160"/>
      <c r="DL98" s="160"/>
      <c r="DM98" s="160"/>
      <c r="DN98" s="160"/>
      <c r="DO98" s="160"/>
      <c r="DP98" s="160"/>
      <c r="DQ98" s="160"/>
      <c r="DR98" s="160"/>
      <c r="DS98" s="160"/>
      <c r="DT98" s="160"/>
      <c r="DU98" s="160"/>
      <c r="DV98" s="160"/>
      <c r="DW98" s="160"/>
      <c r="DX98" s="160"/>
      <c r="DY98" s="160"/>
    </row>
    <row r="99" spans="1:129" s="3" customFormat="1" ht="11.7" customHeight="1" outlineLevel="1" x14ac:dyDescent="0.3">
      <c r="A99" s="85"/>
      <c r="B99" s="198"/>
      <c r="C99" s="198"/>
      <c r="D99" s="158"/>
      <c r="E99" s="159"/>
      <c r="F99" s="159"/>
      <c r="G99" s="127"/>
      <c r="H99" s="127"/>
      <c r="I99" s="160"/>
      <c r="J99" s="160"/>
      <c r="K99" s="160"/>
      <c r="L99" s="160"/>
      <c r="M99" s="160"/>
      <c r="N99" s="160"/>
      <c r="O99" s="160"/>
      <c r="P99" s="160"/>
      <c r="Q99" s="160"/>
      <c r="R99" s="160"/>
      <c r="S99" s="160"/>
      <c r="T99" s="160"/>
      <c r="U99" s="160"/>
      <c r="V99" s="160"/>
      <c r="W99" s="160"/>
      <c r="X99" s="160"/>
      <c r="Y99" s="160"/>
      <c r="Z99" s="160"/>
      <c r="AA99" s="160"/>
      <c r="AB99" s="160"/>
      <c r="AC99" s="160"/>
      <c r="AD99" s="160"/>
      <c r="AE99" s="160"/>
      <c r="AF99" s="160"/>
      <c r="AG99" s="160"/>
      <c r="AH99" s="160"/>
      <c r="AI99" s="160"/>
      <c r="AJ99" s="160"/>
      <c r="AK99" s="160"/>
      <c r="AL99" s="160"/>
      <c r="AM99" s="160"/>
      <c r="AN99" s="160"/>
      <c r="AO99" s="160"/>
      <c r="AP99" s="160"/>
      <c r="AQ99" s="160"/>
      <c r="AR99" s="160"/>
      <c r="AS99" s="160"/>
      <c r="AT99" s="160"/>
      <c r="AU99" s="160"/>
      <c r="AV99" s="160"/>
      <c r="AW99" s="160"/>
      <c r="AX99" s="160"/>
      <c r="AY99" s="160"/>
      <c r="AZ99" s="160"/>
      <c r="BA99" s="160"/>
      <c r="BB99" s="160"/>
      <c r="BC99" s="160"/>
      <c r="BD99" s="160"/>
      <c r="BE99" s="160"/>
      <c r="BF99" s="160"/>
      <c r="BG99" s="160"/>
      <c r="BH99" s="160"/>
      <c r="BI99" s="1140">
        <f>+'Monthly USD Model'!BH20</f>
        <v>31212.65</v>
      </c>
      <c r="BJ99" s="1140">
        <f>+'Monthly USD Model'!BI20</f>
        <v>31539.200000000001</v>
      </c>
      <c r="BK99" s="1140">
        <f>+'Monthly USD Model'!BJ20</f>
        <v>31727.74</v>
      </c>
      <c r="BL99" s="1140">
        <f>+'Monthly USD Model'!BK20</f>
        <v>32176.49</v>
      </c>
      <c r="BM99" s="1140">
        <f>+'Monthly USD Model'!BL20</f>
        <v>32679.54</v>
      </c>
      <c r="BN99" s="1140">
        <f>+'Monthly USD Model'!BM20</f>
        <v>33086.83</v>
      </c>
      <c r="BO99" s="1140">
        <f>+'Monthly USD Model'!BN20</f>
        <v>33417.26</v>
      </c>
      <c r="BP99" s="1140">
        <f>+'Monthly USD Model'!BO20</f>
        <v>33836.51</v>
      </c>
      <c r="BQ99" s="1140">
        <f>+'Monthly USD Model'!BP20</f>
        <v>34258.230000000003</v>
      </c>
      <c r="BR99" s="1140">
        <f>+'Monthly USD Model'!BQ20</f>
        <v>34600.35</v>
      </c>
      <c r="BS99" s="1140">
        <f>+'Monthly USD Model'!BR20</f>
        <v>34811.800000000003</v>
      </c>
      <c r="BT99" s="1140">
        <f>+'Monthly USD Model'!BS20</f>
        <v>35110.980000000003</v>
      </c>
      <c r="BU99" s="1140">
        <f>+'Monthly USD Model'!BT20</f>
        <v>35110.980000000003</v>
      </c>
      <c r="BV99" s="1140">
        <f>+'Monthly USD Model'!BU20</f>
        <v>35509.68</v>
      </c>
      <c r="BW99" s="1140">
        <f>+'Monthly USD Model'!BV20</f>
        <v>35575.480000000003</v>
      </c>
      <c r="BX99" s="1140">
        <f>+'Monthly USD Model'!BW20</f>
        <v>35838.550000000003</v>
      </c>
      <c r="BY99" s="1140">
        <f>+'Monthly USD Model'!BX20</f>
        <v>36032.89</v>
      </c>
      <c r="BZ99" s="160"/>
      <c r="CA99" s="160"/>
      <c r="CB99" s="160"/>
      <c r="CC99" s="160"/>
      <c r="CD99" s="160"/>
      <c r="CE99" s="160"/>
      <c r="CF99" s="160"/>
      <c r="CG99" s="160"/>
      <c r="CH99" s="160"/>
      <c r="CI99" s="160"/>
      <c r="CJ99" s="160"/>
      <c r="CK99" s="160"/>
      <c r="CL99" s="160"/>
      <c r="CM99" s="160"/>
      <c r="CN99" s="160"/>
      <c r="CO99" s="160"/>
      <c r="CP99" s="160"/>
      <c r="CQ99" s="160"/>
      <c r="CR99" s="160"/>
      <c r="CS99" s="160"/>
      <c r="CT99" s="160"/>
      <c r="CU99" s="160"/>
      <c r="CV99" s="160"/>
      <c r="CW99" s="160"/>
      <c r="CX99" s="160"/>
      <c r="CY99" s="160"/>
      <c r="CZ99" s="160"/>
      <c r="DA99" s="160"/>
      <c r="DB99" s="160"/>
      <c r="DC99" s="160"/>
      <c r="DD99" s="160"/>
      <c r="DE99" s="160"/>
      <c r="DF99" s="160"/>
      <c r="DG99" s="160"/>
      <c r="DH99" s="160"/>
      <c r="DI99" s="160"/>
      <c r="DJ99" s="160"/>
      <c r="DK99" s="160"/>
      <c r="DL99" s="160"/>
      <c r="DM99" s="160"/>
      <c r="DN99" s="160"/>
      <c r="DO99" s="160"/>
      <c r="DP99" s="160"/>
      <c r="DQ99" s="160"/>
      <c r="DR99" s="160"/>
      <c r="DS99" s="160"/>
      <c r="DT99" s="160"/>
      <c r="DU99" s="160"/>
      <c r="DV99" s="160"/>
      <c r="DW99" s="160"/>
      <c r="DX99" s="160"/>
      <c r="DY99" s="160"/>
    </row>
    <row r="100" spans="1:129" s="3" customFormat="1" ht="11.7" customHeight="1" outlineLevel="1" x14ac:dyDescent="0.3">
      <c r="A100" s="85"/>
      <c r="B100" s="195" t="s">
        <v>116</v>
      </c>
      <c r="C100" s="195"/>
      <c r="D100" s="158"/>
      <c r="E100" s="159"/>
      <c r="F100" s="159"/>
      <c r="G100" s="127"/>
      <c r="H100" s="127"/>
      <c r="I100" s="160"/>
      <c r="J100" s="160"/>
      <c r="K100" s="160"/>
      <c r="L100" s="160"/>
      <c r="M100" s="160"/>
      <c r="N100" s="160"/>
      <c r="O100" s="160"/>
      <c r="P100" s="160"/>
      <c r="Q100" s="160"/>
      <c r="R100" s="160"/>
      <c r="S100" s="160"/>
      <c r="T100" s="160"/>
      <c r="U100" s="160"/>
      <c r="V100" s="160"/>
      <c r="W100" s="160"/>
      <c r="X100" s="160"/>
      <c r="Y100" s="160"/>
      <c r="Z100" s="160"/>
      <c r="AA100" s="160"/>
      <c r="AB100" s="160"/>
      <c r="AC100" s="160"/>
      <c r="AD100" s="160"/>
      <c r="AE100" s="160"/>
      <c r="AF100" s="160"/>
      <c r="AG100" s="160"/>
      <c r="AH100" s="160"/>
      <c r="AI100" s="160"/>
      <c r="AJ100" s="160"/>
      <c r="AK100" s="160"/>
      <c r="AL100" s="160"/>
      <c r="AM100" s="160"/>
      <c r="AN100" s="160"/>
      <c r="AO100" s="160"/>
      <c r="AP100" s="160"/>
      <c r="AQ100" s="160"/>
      <c r="AR100" s="160"/>
      <c r="AS100" s="160"/>
      <c r="AT100" s="160"/>
      <c r="AU100" s="160"/>
      <c r="AV100" s="160"/>
      <c r="AW100" s="160"/>
      <c r="AX100" s="160"/>
      <c r="AY100" s="160"/>
      <c r="AZ100" s="160"/>
      <c r="BA100" s="160"/>
      <c r="BB100" s="160"/>
      <c r="BC100" s="160"/>
      <c r="BD100" s="160"/>
      <c r="BE100" s="160"/>
      <c r="BF100" s="160"/>
      <c r="BG100" s="160"/>
      <c r="BH100" s="160"/>
      <c r="BI100" s="160"/>
      <c r="BJ100" s="160"/>
      <c r="BK100" s="160"/>
      <c r="BL100" s="160"/>
      <c r="BM100" s="160"/>
      <c r="BN100" s="160"/>
      <c r="BO100" s="160"/>
      <c r="BP100" s="160"/>
      <c r="BQ100" s="160"/>
      <c r="BR100" s="160"/>
      <c r="BS100" s="160"/>
      <c r="BT100" s="160"/>
      <c r="BU100" s="160"/>
      <c r="BV100" s="160"/>
      <c r="BW100" s="160"/>
      <c r="BX100" s="160"/>
      <c r="BY100" s="160"/>
      <c r="BZ100" s="160"/>
      <c r="CA100" s="160"/>
      <c r="CB100" s="160"/>
      <c r="CC100" s="160"/>
      <c r="CD100" s="160"/>
      <c r="CE100" s="160"/>
      <c r="CF100" s="160"/>
      <c r="CG100" s="160"/>
      <c r="CH100" s="160"/>
      <c r="CI100" s="160"/>
      <c r="CJ100" s="160"/>
      <c r="CK100" s="160"/>
      <c r="CL100" s="160"/>
      <c r="CM100" s="160"/>
      <c r="CN100" s="160"/>
      <c r="CO100" s="160"/>
      <c r="CP100" s="160"/>
      <c r="CQ100" s="160"/>
      <c r="CR100" s="160"/>
      <c r="CS100" s="160"/>
      <c r="CT100" s="160"/>
      <c r="CU100" s="160"/>
      <c r="CV100" s="160"/>
      <c r="CW100" s="160"/>
      <c r="CX100" s="160"/>
      <c r="CY100" s="160"/>
      <c r="CZ100" s="160"/>
      <c r="DA100" s="160"/>
      <c r="DB100" s="160"/>
      <c r="DC100" s="160"/>
      <c r="DD100" s="160"/>
      <c r="DE100" s="160"/>
      <c r="DF100" s="160"/>
      <c r="DG100" s="160"/>
      <c r="DH100" s="160"/>
      <c r="DI100" s="160"/>
      <c r="DJ100" s="160"/>
      <c r="DK100" s="160"/>
      <c r="DL100" s="160"/>
      <c r="DM100" s="160"/>
      <c r="DN100" s="160"/>
      <c r="DO100" s="160"/>
      <c r="DP100" s="160"/>
      <c r="DQ100" s="160"/>
      <c r="DR100" s="160"/>
      <c r="DS100" s="160"/>
      <c r="DT100" s="160"/>
      <c r="DU100" s="160"/>
      <c r="DV100" s="160"/>
      <c r="DW100" s="160"/>
      <c r="DX100" s="160"/>
      <c r="DY100" s="160"/>
    </row>
    <row r="101" spans="1:129" s="3" customFormat="1" ht="11.7" customHeight="1" outlineLevel="1" x14ac:dyDescent="0.3">
      <c r="A101" s="85"/>
      <c r="B101" s="195" t="s">
        <v>643</v>
      </c>
      <c r="C101" s="195"/>
      <c r="D101" s="158"/>
      <c r="E101" s="159"/>
      <c r="F101" s="159"/>
      <c r="G101" s="127"/>
      <c r="H101" s="127"/>
      <c r="I101" s="160"/>
      <c r="J101" s="160"/>
      <c r="K101" s="160"/>
      <c r="L101" s="160"/>
      <c r="M101" s="160"/>
      <c r="N101" s="160"/>
      <c r="O101" s="160"/>
      <c r="P101" s="160"/>
      <c r="Q101" s="160"/>
      <c r="R101" s="160"/>
      <c r="S101" s="160"/>
      <c r="T101" s="160"/>
      <c r="U101" s="160"/>
      <c r="V101" s="160"/>
      <c r="W101" s="160"/>
      <c r="X101" s="160"/>
      <c r="Y101" s="160"/>
      <c r="Z101" s="160"/>
      <c r="AA101" s="160"/>
      <c r="AB101" s="160"/>
      <c r="AC101" s="160"/>
      <c r="AD101" s="160"/>
      <c r="AE101" s="160"/>
      <c r="AF101" s="160"/>
      <c r="AG101" s="160"/>
      <c r="AH101" s="160"/>
      <c r="AI101" s="160"/>
      <c r="AJ101" s="160"/>
      <c r="AK101" s="160"/>
      <c r="AL101" s="160"/>
      <c r="AM101" s="160"/>
      <c r="AN101" s="160"/>
      <c r="AO101" s="160"/>
      <c r="AP101" s="160"/>
      <c r="AQ101" s="160"/>
      <c r="AR101" s="160"/>
      <c r="AS101" s="160"/>
      <c r="AT101" s="160"/>
      <c r="AU101" s="160"/>
      <c r="AV101" s="160"/>
      <c r="AW101" s="160"/>
      <c r="AX101" s="160"/>
      <c r="AY101" s="160"/>
      <c r="AZ101" s="160"/>
      <c r="BA101" s="160"/>
      <c r="BB101" s="160"/>
      <c r="BC101" s="160"/>
      <c r="BD101" s="160"/>
      <c r="BE101" s="160"/>
      <c r="BF101" s="160"/>
      <c r="BG101" s="160"/>
      <c r="BH101" s="160"/>
      <c r="BI101" s="1128"/>
      <c r="BJ101" s="160"/>
      <c r="BK101" s="160"/>
      <c r="BL101" s="1139"/>
      <c r="BM101" s="1139"/>
      <c r="BN101" s="160"/>
      <c r="BO101" s="160"/>
      <c r="BP101" s="160"/>
      <c r="BQ101" s="160"/>
      <c r="BR101" s="160"/>
      <c r="BS101" s="160"/>
      <c r="BT101" s="160"/>
      <c r="BU101" s="160"/>
      <c r="BV101" s="160"/>
      <c r="BW101" s="160"/>
      <c r="BX101" s="160"/>
      <c r="BY101" s="160"/>
      <c r="BZ101" s="160"/>
      <c r="CA101" s="160"/>
      <c r="CB101" s="160"/>
      <c r="CC101" s="160"/>
      <c r="CD101" s="160"/>
      <c r="CE101" s="160"/>
      <c r="CF101" s="160"/>
      <c r="CG101" s="160"/>
      <c r="CH101" s="160"/>
      <c r="CI101" s="160"/>
      <c r="CJ101" s="160"/>
      <c r="CK101" s="160"/>
      <c r="CL101" s="160"/>
      <c r="CM101" s="160"/>
      <c r="CN101" s="160"/>
      <c r="CO101" s="160"/>
      <c r="CP101" s="160"/>
      <c r="CQ101" s="160"/>
      <c r="CR101" s="160"/>
      <c r="CS101" s="160"/>
      <c r="CT101" s="160"/>
      <c r="CU101" s="160"/>
      <c r="CV101" s="160"/>
      <c r="CW101" s="160"/>
      <c r="CX101" s="160"/>
      <c r="CY101" s="160"/>
      <c r="CZ101" s="160"/>
      <c r="DA101" s="160"/>
      <c r="DB101" s="160"/>
      <c r="DC101" s="160"/>
      <c r="DD101" s="160"/>
      <c r="DE101" s="160"/>
      <c r="DF101" s="160"/>
      <c r="DG101" s="160"/>
      <c r="DH101" s="160"/>
      <c r="DI101" s="160"/>
      <c r="DJ101" s="160"/>
      <c r="DK101" s="160"/>
      <c r="DL101" s="160"/>
      <c r="DM101" s="160"/>
      <c r="DN101" s="160"/>
      <c r="DO101" s="160"/>
      <c r="DP101" s="160"/>
      <c r="DQ101" s="160"/>
      <c r="DR101" s="160"/>
      <c r="DS101" s="160"/>
      <c r="DT101" s="160"/>
      <c r="DU101" s="160"/>
      <c r="DV101" s="160"/>
      <c r="DW101" s="160"/>
      <c r="DX101" s="160"/>
      <c r="DY101" s="160"/>
    </row>
    <row r="102" spans="1:129" s="3" customFormat="1" ht="11.7" customHeight="1" outlineLevel="1" x14ac:dyDescent="0.3">
      <c r="A102" s="85"/>
      <c r="B102" s="113" t="s">
        <v>763</v>
      </c>
      <c r="C102" s="113"/>
      <c r="E102" s="161"/>
      <c r="F102" s="127"/>
      <c r="G102" s="127"/>
      <c r="H102" s="290">
        <f t="shared" ref="H102:H129" si="105">+SUM(I102:DY102)</f>
        <v>175871.97460846844</v>
      </c>
      <c r="I102" s="1019">
        <v>0</v>
      </c>
      <c r="J102" s="1019">
        <v>0</v>
      </c>
      <c r="K102" s="1019">
        <v>0</v>
      </c>
      <c r="L102" s="1019">
        <v>0</v>
      </c>
      <c r="M102" s="1019">
        <v>0</v>
      </c>
      <c r="N102" s="1019">
        <v>0</v>
      </c>
      <c r="O102" s="1019">
        <v>0</v>
      </c>
      <c r="P102" s="1019">
        <v>0</v>
      </c>
      <c r="Q102" s="1019">
        <v>0</v>
      </c>
      <c r="R102" s="1019">
        <v>0</v>
      </c>
      <c r="S102" s="1019">
        <v>0</v>
      </c>
      <c r="T102" s="1019">
        <v>0</v>
      </c>
      <c r="U102" s="1019">
        <v>0</v>
      </c>
      <c r="V102" s="1019">
        <v>0</v>
      </c>
      <c r="W102" s="1019">
        <v>0</v>
      </c>
      <c r="X102" s="1019">
        <v>0</v>
      </c>
      <c r="Y102" s="1019">
        <v>0</v>
      </c>
      <c r="Z102" s="1019">
        <v>0</v>
      </c>
      <c r="AA102" s="1019">
        <v>0</v>
      </c>
      <c r="AB102" s="1019">
        <v>0</v>
      </c>
      <c r="AC102" s="1019">
        <v>0</v>
      </c>
      <c r="AD102" s="1019">
        <v>0</v>
      </c>
      <c r="AE102" s="1019">
        <v>0</v>
      </c>
      <c r="AF102" s="1019">
        <v>0</v>
      </c>
      <c r="AG102" s="1019">
        <v>0</v>
      </c>
      <c r="AH102" s="1019">
        <v>0</v>
      </c>
      <c r="AI102" s="1019">
        <v>0</v>
      </c>
      <c r="AJ102" s="1019">
        <v>0</v>
      </c>
      <c r="AK102" s="1019">
        <v>0</v>
      </c>
      <c r="AL102" s="1019">
        <v>0</v>
      </c>
      <c r="AM102" s="1019">
        <v>0</v>
      </c>
      <c r="AN102" s="1019">
        <v>0</v>
      </c>
      <c r="AO102" s="1019">
        <v>0</v>
      </c>
      <c r="AP102" s="1019">
        <v>0</v>
      </c>
      <c r="AQ102" s="1019">
        <v>0</v>
      </c>
      <c r="AR102" s="1019">
        <v>0</v>
      </c>
      <c r="AS102" s="1019">
        <v>0</v>
      </c>
      <c r="AT102" s="1019">
        <v>0</v>
      </c>
      <c r="AU102" s="1019">
        <v>0</v>
      </c>
      <c r="AV102" s="1019">
        <v>0</v>
      </c>
      <c r="AW102" s="1019">
        <v>0</v>
      </c>
      <c r="AX102" s="1019">
        <v>0</v>
      </c>
      <c r="AY102" s="1019">
        <v>0</v>
      </c>
      <c r="AZ102" s="1019">
        <v>0</v>
      </c>
      <c r="BA102" s="1019">
        <v>0</v>
      </c>
      <c r="BB102" s="1019">
        <v>0</v>
      </c>
      <c r="BC102" s="1019">
        <v>0</v>
      </c>
      <c r="BD102" s="1019">
        <v>0</v>
      </c>
      <c r="BE102" s="1019">
        <v>0</v>
      </c>
      <c r="BF102" s="1019">
        <v>0</v>
      </c>
      <c r="BG102" s="1019">
        <v>0</v>
      </c>
      <c r="BH102" s="1019">
        <v>0</v>
      </c>
      <c r="BI102" s="1019">
        <f>69080552.21/31212.65</f>
        <v>2213.222914747706</v>
      </c>
      <c r="BJ102" s="1019">
        <f>69383384/31539.2</f>
        <v>2199.909446022727</v>
      </c>
      <c r="BK102" s="1019">
        <f>69383384/31727.74</f>
        <v>2186.8366293974923</v>
      </c>
      <c r="BL102" s="1019">
        <f>69383384/32176.49</f>
        <v>2156.3378727760546</v>
      </c>
      <c r="BM102" s="1019">
        <f>69383384/BM99</f>
        <v>2123.1444506256821</v>
      </c>
      <c r="BN102" s="1019">
        <f>69383384/BN99</f>
        <v>2097.0091120847778</v>
      </c>
      <c r="BO102" s="1019">
        <f>69383384/BO99</f>
        <v>2076.2738776309006</v>
      </c>
      <c r="BP102" s="1019">
        <f>69307537/BP99</f>
        <v>2048.3063117325041</v>
      </c>
      <c r="BQ102" s="1019">
        <f>(69383384-148851)/BQ99</f>
        <v>2020.9605983730039</v>
      </c>
      <c r="BR102" s="1019">
        <f>(69383384+148851)/BR99</f>
        <v>2009.581839490063</v>
      </c>
      <c r="BS102" s="1019">
        <f>(69383384)/BS99</f>
        <v>1993.0995811764974</v>
      </c>
      <c r="BT102" s="1019">
        <f>(69383384)/BT99</f>
        <v>1976.1164171435828</v>
      </c>
      <c r="BU102" s="1019">
        <f>96095039/BU99</f>
        <v>2736.8942422000182</v>
      </c>
      <c r="BV102" s="1019">
        <f>96095039/BV99</f>
        <v>2706.164600751119</v>
      </c>
      <c r="BW102" s="1019">
        <f>96095039/BW99</f>
        <v>2701.1593097268114</v>
      </c>
      <c r="BX102" s="1019">
        <f>96095039/BX99</f>
        <v>2681.3316665992343</v>
      </c>
      <c r="BY102" s="1019">
        <f>96095039/BY99</f>
        <v>2666.8701566818536</v>
      </c>
      <c r="BZ102" s="14">
        <f>+BZ95*$D$81*(BZ13&lt;1)*(BZ7&gt;=Inputs!$L$76)</f>
        <v>2267.9087112809157</v>
      </c>
      <c r="CA102" s="14">
        <f>+CA95*$D$81*(CA13&lt;1)*(CA7&gt;=Inputs!$L$76)</f>
        <v>2267.9087112809157</v>
      </c>
      <c r="CB102" s="14">
        <f>+CB95*$D$81*(CB13&lt;1)*(CB7&gt;=Inputs!$L$76)</f>
        <v>2267.9087112809157</v>
      </c>
      <c r="CC102" s="14">
        <f>+CC95*$D$81*(CC13&lt;1)*(CC7&gt;=Inputs!$L$76)</f>
        <v>2267.9087112809157</v>
      </c>
      <c r="CD102" s="14">
        <f>+CD95*$D$81*(CD13&lt;1)*(CD7&gt;=Inputs!$L$76)</f>
        <v>2267.9087112809157</v>
      </c>
      <c r="CE102" s="14">
        <f>+CE95*$D$81*(CE13&lt;1)*(CE7&gt;=Inputs!$L$76)</f>
        <v>2267.9087112809157</v>
      </c>
      <c r="CF102" s="14">
        <f>+CF95*$D$81*(CF13&lt;1)*(CF7&gt;=Inputs!$L$76)</f>
        <v>2636.9147828064633</v>
      </c>
      <c r="CG102" s="14">
        <f>+CG95*$D$81*(CG13&lt;1)*(CG7&gt;=Inputs!$L$76)</f>
        <v>2689.6530784625929</v>
      </c>
      <c r="CH102" s="14">
        <f>+CH95*$D$81*(CH13&lt;1)*(CH7&gt;=Inputs!$L$76)</f>
        <v>2689.6530784625929</v>
      </c>
      <c r="CI102" s="14">
        <f>+CI95*$D$81*(CI13&lt;1)*(CI7&gt;=Inputs!$L$76)</f>
        <v>2689.6530784625929</v>
      </c>
      <c r="CJ102" s="14">
        <f>+CJ95*$D$81*(CJ13&lt;1)*(CJ7&gt;=Inputs!$L$76)</f>
        <v>2689.6530784625929</v>
      </c>
      <c r="CK102" s="14">
        <f>+CK95*$D$81*(CK13&lt;1)*(CK7&gt;=Inputs!$L$76)</f>
        <v>2689.6530784625929</v>
      </c>
      <c r="CL102" s="14">
        <f>+CL95*$D$81*(CL13&lt;1)*(CL7&gt;=Inputs!$L$76)</f>
        <v>2689.6530784625929</v>
      </c>
      <c r="CM102" s="14">
        <f>+CM95*$D$81*(CM13&lt;1)*(CM7&gt;=Inputs!$L$76)</f>
        <v>2689.6530784625929</v>
      </c>
      <c r="CN102" s="14">
        <f>+CN95*$D$81*(CN13&lt;1)*(CN7&gt;=Inputs!$L$76)</f>
        <v>2689.6530784625929</v>
      </c>
      <c r="CO102" s="14">
        <f>+CO95*$D$81*(CO13&lt;1)*(CO7&gt;=Inputs!$L$76)</f>
        <v>2689.6530784625929</v>
      </c>
      <c r="CP102" s="14">
        <f>+CP95*$D$81*(CP13&lt;1)*(CP7&gt;=Inputs!$L$76)</f>
        <v>2689.6530784625929</v>
      </c>
      <c r="CQ102" s="14">
        <f>+CQ95*$D$81*(CQ13&lt;1)*(CQ7&gt;=Inputs!$L$76)</f>
        <v>2689.6530784625929</v>
      </c>
      <c r="CR102" s="14">
        <f>+CR95*$D$81*(CR13&lt;1)*(CR7&gt;=Inputs!$L$76)</f>
        <v>2689.6530784625929</v>
      </c>
      <c r="CS102" s="14">
        <f>+CS95*$D$81*(CS13&lt;1)*(CS7&gt;=Inputs!$L$76)</f>
        <v>2689.6530784625929</v>
      </c>
      <c r="CT102" s="14">
        <f>+CT95*$D$81*(CT13&lt;1)*(CT7&gt;=Inputs!$L$76)</f>
        <v>2689.6530784625929</v>
      </c>
      <c r="CU102" s="14">
        <f>+CU95*$D$81*(CU13&lt;1)*(CU7&gt;=Inputs!$L$76)</f>
        <v>2689.6530784625929</v>
      </c>
      <c r="CV102" s="14">
        <f>+CV95*$D$81*(CV13&lt;1)*(CV7&gt;=Inputs!$L$76)</f>
        <v>2689.6530784625929</v>
      </c>
      <c r="CW102" s="14">
        <f>+CW95*$D$81*(CW13&lt;1)*(CW7&gt;=Inputs!$L$76)</f>
        <v>2689.6530784625929</v>
      </c>
      <c r="CX102" s="14">
        <f>+CX95*$D$81*(CX13&lt;1)*(CX7&gt;=Inputs!$L$76)</f>
        <v>2689.6530784625929</v>
      </c>
      <c r="CY102" s="14">
        <f>+CY95*$D$81*(CY13&lt;1)*(CY7&gt;=Inputs!$L$76)</f>
        <v>2689.6530784625929</v>
      </c>
      <c r="CZ102" s="14">
        <f>+CZ95*$D$81*(CZ13&lt;1)*(CZ7&gt;=Inputs!$L$76)</f>
        <v>2689.6530784625929</v>
      </c>
      <c r="DA102" s="14">
        <f>+DA95*$D$81*(DA13&lt;1)*(DA7&gt;=Inputs!$L$76)</f>
        <v>2689.6530784625929</v>
      </c>
      <c r="DB102" s="14">
        <f>+DB95*$D$81*(DB13&lt;1)*(DB7&gt;=Inputs!$L$76)</f>
        <v>2689.6530784625929</v>
      </c>
      <c r="DC102" s="14">
        <f>+DC95*$D$81*(DC13&lt;1)*(DC7&gt;=Inputs!$L$76)</f>
        <v>2689.6530784625929</v>
      </c>
      <c r="DD102" s="14">
        <f>+DD95*$D$81*(DD13&lt;1)*(DD7&gt;=Inputs!$L$76)</f>
        <v>2689.6530784625929</v>
      </c>
      <c r="DE102" s="14">
        <f>+DE95*$D$81*(DE13&lt;1)*(DE7&gt;=Inputs!$L$76)</f>
        <v>2689.6530784625929</v>
      </c>
      <c r="DF102" s="14">
        <f>+DF95*$D$81*(DF13&lt;1)*(DF7&gt;=Inputs!$L$76)</f>
        <v>2689.6530784625929</v>
      </c>
      <c r="DG102" s="14">
        <f>+DG95*$D$81*(DG13&lt;1)*(DG7&gt;=Inputs!$L$76)</f>
        <v>2689.6530784625929</v>
      </c>
      <c r="DH102" s="14">
        <f>+DH95*$D$81*(DH13&lt;1)*(DH7&gt;=Inputs!$L$76)</f>
        <v>2689.6530784625929</v>
      </c>
      <c r="DI102" s="14">
        <f>+DI95*$D$81*(DI13&lt;1)*(DI7&gt;=Inputs!$L$76)</f>
        <v>2689.6530784625929</v>
      </c>
      <c r="DJ102" s="14">
        <f>+DJ95*$D$81*(DJ13&lt;1)*(DJ7&gt;=Inputs!$L$76)</f>
        <v>2689.6530784625929</v>
      </c>
      <c r="DK102" s="14">
        <f>+DK95*$D$81*(DK13&lt;1)*(DK7&gt;=Inputs!$L$76)</f>
        <v>2689.6530784625929</v>
      </c>
      <c r="DL102" s="14">
        <f>+DL95*$D$81*(DL13&lt;1)*(DL7&gt;=Inputs!$L$76)</f>
        <v>2689.6530784625929</v>
      </c>
      <c r="DM102" s="14">
        <f>+DM95*$D$81*(DM13&lt;1)*(DM7&gt;=Inputs!$L$76)</f>
        <v>2689.6530784625929</v>
      </c>
      <c r="DN102" s="14">
        <f>+DN95*$D$81*(DN13&lt;1)*(DN7&gt;=Inputs!$L$76)</f>
        <v>2689.6530784625929</v>
      </c>
      <c r="DO102" s="14">
        <f>+DO95*$D$81*(DO13&lt;1)*(DO7&gt;=Inputs!$L$76)</f>
        <v>2689.6530784625929</v>
      </c>
      <c r="DP102" s="14">
        <f>+DP95*$D$81*(DP13&lt;1)*(DP7&gt;=Inputs!$L$76)</f>
        <v>2689.6530784625929</v>
      </c>
      <c r="DQ102" s="14">
        <f>+DQ95*$D$81*(DQ13&lt;1)*(DQ7&gt;=Inputs!$L$76)</f>
        <v>2689.6530784625929</v>
      </c>
      <c r="DR102" s="14">
        <f>+DR95*$D$81*(DR13&lt;1)*(DR7&gt;=Inputs!$L$76)</f>
        <v>2689.6530784625929</v>
      </c>
      <c r="DS102" s="14">
        <f>+DS95*$D$81*(DS13&lt;1)*(DS7&gt;=Inputs!$L$76)</f>
        <v>2689.6530784625929</v>
      </c>
      <c r="DT102" s="14">
        <f>+DT95*$D$81*(DT13&lt;1)*(DT7&gt;=Inputs!$L$76)</f>
        <v>2689.6530784625929</v>
      </c>
      <c r="DU102" s="14">
        <f>+DU95*$D$81*(DU13&lt;1)*(DU7&gt;=Inputs!$L$76)</f>
        <v>2689.6530784625929</v>
      </c>
      <c r="DV102" s="14">
        <f>+DV95*$D$81*(DV13&lt;1)*(DV7&gt;=Inputs!$L$76)</f>
        <v>2689.6530784625929</v>
      </c>
      <c r="DW102" s="14">
        <f>+DW95*$D$81*(DW13&lt;1)*(DW7&gt;=Inputs!$L$76)</f>
        <v>2689.6530784625929</v>
      </c>
      <c r="DX102" s="14">
        <f>+DX95*$D$81*(DX13&lt;1)*(DX7&gt;=Inputs!$L$76)</f>
        <v>2689.6530784625929</v>
      </c>
      <c r="DY102" s="14">
        <f>+DY95*$D$81*(DY13&lt;1)*(DY7&gt;=Inputs!$L$76)</f>
        <v>2689.6530784625929</v>
      </c>
    </row>
    <row r="103" spans="1:129" s="3" customFormat="1" ht="11.7" customHeight="1" outlineLevel="1" x14ac:dyDescent="0.3">
      <c r="A103" s="85"/>
      <c r="B103" s="113" t="s">
        <v>674</v>
      </c>
      <c r="C103" s="113"/>
      <c r="E103" s="161"/>
      <c r="F103" s="127"/>
      <c r="G103" s="127"/>
      <c r="H103" s="290">
        <f t="shared" si="105"/>
        <v>-2839.6897259830657</v>
      </c>
      <c r="I103" s="1019">
        <v>0</v>
      </c>
      <c r="J103" s="1019">
        <v>0</v>
      </c>
      <c r="K103" s="1019">
        <v>0</v>
      </c>
      <c r="L103" s="1019">
        <v>0</v>
      </c>
      <c r="M103" s="1019">
        <v>0</v>
      </c>
      <c r="N103" s="1019">
        <v>0</v>
      </c>
      <c r="O103" s="1019">
        <v>0</v>
      </c>
      <c r="P103" s="1019">
        <v>0</v>
      </c>
      <c r="Q103" s="1019">
        <v>0</v>
      </c>
      <c r="R103" s="1019">
        <v>0</v>
      </c>
      <c r="S103" s="1019">
        <v>0</v>
      </c>
      <c r="T103" s="1019">
        <v>0</v>
      </c>
      <c r="U103" s="1019">
        <v>0</v>
      </c>
      <c r="V103" s="1019">
        <v>0</v>
      </c>
      <c r="W103" s="1019">
        <v>0</v>
      </c>
      <c r="X103" s="1019">
        <v>0</v>
      </c>
      <c r="Y103" s="1019">
        <v>0</v>
      </c>
      <c r="Z103" s="1019">
        <v>0</v>
      </c>
      <c r="AA103" s="1019">
        <v>0</v>
      </c>
      <c r="AB103" s="1019">
        <v>0</v>
      </c>
      <c r="AC103" s="1019">
        <v>0</v>
      </c>
      <c r="AD103" s="1019">
        <v>0</v>
      </c>
      <c r="AE103" s="1019">
        <v>0</v>
      </c>
      <c r="AF103" s="1019">
        <v>0</v>
      </c>
      <c r="AG103" s="1019">
        <v>0</v>
      </c>
      <c r="AH103" s="1019">
        <v>0</v>
      </c>
      <c r="AI103" s="1019">
        <v>0</v>
      </c>
      <c r="AJ103" s="1019">
        <v>0</v>
      </c>
      <c r="AK103" s="1019">
        <v>0</v>
      </c>
      <c r="AL103" s="1019">
        <v>0</v>
      </c>
      <c r="AM103" s="1019">
        <v>0</v>
      </c>
      <c r="AN103" s="1019">
        <v>0</v>
      </c>
      <c r="AO103" s="1019">
        <v>0</v>
      </c>
      <c r="AP103" s="1019">
        <v>0</v>
      </c>
      <c r="AQ103" s="1019">
        <v>0</v>
      </c>
      <c r="AR103" s="1019">
        <v>0</v>
      </c>
      <c r="AS103" s="1019">
        <v>0</v>
      </c>
      <c r="AT103" s="1019">
        <v>0</v>
      </c>
      <c r="AU103" s="1019">
        <v>0</v>
      </c>
      <c r="AV103" s="1019">
        <v>0</v>
      </c>
      <c r="AW103" s="1019">
        <v>0</v>
      </c>
      <c r="AX103" s="1019">
        <v>0</v>
      </c>
      <c r="AY103" s="1019">
        <v>0</v>
      </c>
      <c r="AZ103" s="1019">
        <v>0</v>
      </c>
      <c r="BA103" s="1019">
        <v>0</v>
      </c>
      <c r="BB103" s="1019">
        <v>0</v>
      </c>
      <c r="BC103" s="1019">
        <v>0</v>
      </c>
      <c r="BD103" s="1019">
        <v>0</v>
      </c>
      <c r="BE103" s="1019">
        <v>0</v>
      </c>
      <c r="BF103" s="1019">
        <v>0</v>
      </c>
      <c r="BG103" s="1019">
        <v>0</v>
      </c>
      <c r="BH103" s="1019">
        <v>0</v>
      </c>
      <c r="BI103" s="1019">
        <f>-472681.04/31212.65</f>
        <v>-15.143893261225816</v>
      </c>
      <c r="BJ103" s="1019">
        <f>-5569439/31539.2</f>
        <v>-176.58783355316558</v>
      </c>
      <c r="BK103" s="1019">
        <f>-9655104/31727.74</f>
        <v>-304.31111702251718</v>
      </c>
      <c r="BL103" s="1019">
        <f>-2627738/32176.5</f>
        <v>-81.666371420135818</v>
      </c>
      <c r="BM103" s="1019">
        <f>565883.22/BM99</f>
        <v>17.316131744816481</v>
      </c>
      <c r="BN103" s="1019">
        <f>-376840/BN99</f>
        <v>-11.389425943796972</v>
      </c>
      <c r="BO103" s="1019">
        <f>1324690/BO99</f>
        <v>39.640892161715229</v>
      </c>
      <c r="BP103" s="1019">
        <f>2266938/BP99</f>
        <v>66.99680315729961</v>
      </c>
      <c r="BQ103" s="1019">
        <f>1096771/BQ99</f>
        <v>32.014818045182132</v>
      </c>
      <c r="BR103" s="1019">
        <f>2242124/BR99</f>
        <v>64.800616178738082</v>
      </c>
      <c r="BS103" s="1019">
        <f>4537774/BS99</f>
        <v>130.3516049155746</v>
      </c>
      <c r="BT103" s="1019">
        <f>-1537982/BT99</f>
        <v>-43.803448379965467</v>
      </c>
      <c r="BU103" s="1019">
        <f>-21207815/BU99</f>
        <v>-604.02230299467567</v>
      </c>
      <c r="BV103" s="1019">
        <f>-16156207/BV99</f>
        <v>-454.98036028485751</v>
      </c>
      <c r="BW103" s="1019">
        <f>-15413098/BW99</f>
        <v>-433.25059844589583</v>
      </c>
      <c r="BX103" s="1019">
        <f>-18145377/BX99</f>
        <v>-506.30890479665049</v>
      </c>
      <c r="BY103" s="1019">
        <f>-20154865/BY99</f>
        <v>-559.34633608350589</v>
      </c>
      <c r="BZ103" s="1019">
        <v>0</v>
      </c>
      <c r="CA103" s="1019">
        <v>0</v>
      </c>
      <c r="CB103" s="1019">
        <v>0</v>
      </c>
      <c r="CC103" s="1019">
        <v>0</v>
      </c>
      <c r="CD103" s="1019">
        <v>0</v>
      </c>
      <c r="CE103" s="1019">
        <v>0</v>
      </c>
      <c r="CF103" s="1019">
        <v>0</v>
      </c>
      <c r="CG103" s="1019">
        <v>0</v>
      </c>
      <c r="CH103" s="1019">
        <v>0</v>
      </c>
      <c r="CI103" s="1019">
        <v>0</v>
      </c>
      <c r="CJ103" s="1019">
        <v>0</v>
      </c>
      <c r="CK103" s="1019">
        <v>0</v>
      </c>
      <c r="CL103" s="1019">
        <v>0</v>
      </c>
      <c r="CM103" s="1019">
        <v>0</v>
      </c>
      <c r="CN103" s="1019">
        <v>0</v>
      </c>
      <c r="CO103" s="1019">
        <v>0</v>
      </c>
      <c r="CP103" s="1019">
        <v>0</v>
      </c>
      <c r="CQ103" s="1019">
        <v>0</v>
      </c>
      <c r="CR103" s="1019">
        <v>0</v>
      </c>
      <c r="CS103" s="1019">
        <v>0</v>
      </c>
      <c r="CT103" s="1019">
        <v>0</v>
      </c>
      <c r="CU103" s="1019">
        <v>0</v>
      </c>
      <c r="CV103" s="1019">
        <v>0</v>
      </c>
      <c r="CW103" s="1019">
        <v>0</v>
      </c>
      <c r="CX103" s="1019">
        <v>0</v>
      </c>
      <c r="CY103" s="1019">
        <v>0</v>
      </c>
      <c r="CZ103" s="1019">
        <v>0</v>
      </c>
      <c r="DA103" s="1019">
        <v>0</v>
      </c>
      <c r="DB103" s="1019">
        <v>0</v>
      </c>
      <c r="DC103" s="1019">
        <v>0</v>
      </c>
      <c r="DD103" s="1019">
        <v>0</v>
      </c>
      <c r="DE103" s="1019">
        <v>0</v>
      </c>
      <c r="DF103" s="1019">
        <v>0</v>
      </c>
      <c r="DG103" s="1019">
        <v>0</v>
      </c>
      <c r="DH103" s="1019">
        <v>0</v>
      </c>
      <c r="DI103" s="1019">
        <v>0</v>
      </c>
      <c r="DJ103" s="1019">
        <v>0</v>
      </c>
      <c r="DK103" s="1019">
        <v>0</v>
      </c>
      <c r="DL103" s="1019">
        <v>0</v>
      </c>
      <c r="DM103" s="1019">
        <v>0</v>
      </c>
      <c r="DN103" s="1019">
        <v>0</v>
      </c>
      <c r="DO103" s="1019">
        <v>0</v>
      </c>
      <c r="DP103" s="1019">
        <v>0</v>
      </c>
      <c r="DQ103" s="1019">
        <v>0</v>
      </c>
      <c r="DR103" s="1019">
        <v>0</v>
      </c>
      <c r="DS103" s="1019">
        <v>0</v>
      </c>
      <c r="DT103" s="1019">
        <v>0</v>
      </c>
      <c r="DU103" s="1019">
        <v>0</v>
      </c>
      <c r="DV103" s="1019">
        <v>0</v>
      </c>
      <c r="DW103" s="1019">
        <v>0</v>
      </c>
      <c r="DX103" s="1019">
        <v>0</v>
      </c>
      <c r="DY103" s="1019">
        <v>0</v>
      </c>
    </row>
    <row r="104" spans="1:129" s="3" customFormat="1" ht="11.7" customHeight="1" outlineLevel="1" x14ac:dyDescent="0.3">
      <c r="A104" s="85"/>
      <c r="B104" s="113" t="s">
        <v>767</v>
      </c>
      <c r="C104" s="113"/>
      <c r="D104" s="335">
        <f>+Inputs!$G$100</f>
        <v>2.5000000000000001E-2</v>
      </c>
      <c r="F104" s="127"/>
      <c r="G104" s="127"/>
      <c r="H104" s="290">
        <f t="shared" ref="H104:H112" ca="1" si="106">+SUM(I104:DY104)</f>
        <v>-14734.033206828663</v>
      </c>
      <c r="I104" s="1019">
        <v>0</v>
      </c>
      <c r="J104" s="1019">
        <v>0</v>
      </c>
      <c r="K104" s="1019">
        <v>0</v>
      </c>
      <c r="L104" s="1019">
        <v>0</v>
      </c>
      <c r="M104" s="1019">
        <v>0</v>
      </c>
      <c r="N104" s="1019">
        <v>0</v>
      </c>
      <c r="O104" s="1019">
        <v>0</v>
      </c>
      <c r="P104" s="1019">
        <v>0</v>
      </c>
      <c r="Q104" s="1019">
        <v>0</v>
      </c>
      <c r="R104" s="1019">
        <v>0</v>
      </c>
      <c r="S104" s="1019">
        <v>0</v>
      </c>
      <c r="T104" s="1019">
        <v>0</v>
      </c>
      <c r="U104" s="1019">
        <v>0</v>
      </c>
      <c r="V104" s="1019">
        <v>0</v>
      </c>
      <c r="W104" s="1019">
        <v>0</v>
      </c>
      <c r="X104" s="1019">
        <v>0</v>
      </c>
      <c r="Y104" s="1019">
        <v>0</v>
      </c>
      <c r="Z104" s="1019">
        <v>0</v>
      </c>
      <c r="AA104" s="1019">
        <v>0</v>
      </c>
      <c r="AB104" s="1019">
        <v>0</v>
      </c>
      <c r="AC104" s="1019">
        <v>0</v>
      </c>
      <c r="AD104" s="1019">
        <v>0</v>
      </c>
      <c r="AE104" s="1019">
        <v>0</v>
      </c>
      <c r="AF104" s="1019">
        <v>0</v>
      </c>
      <c r="AG104" s="1019">
        <v>0</v>
      </c>
      <c r="AH104" s="1019">
        <v>0</v>
      </c>
      <c r="AI104" s="1019">
        <v>0</v>
      </c>
      <c r="AJ104" s="1019">
        <v>0</v>
      </c>
      <c r="AK104" s="1019">
        <v>0</v>
      </c>
      <c r="AL104" s="1019">
        <v>0</v>
      </c>
      <c r="AM104" s="1019">
        <v>0</v>
      </c>
      <c r="AN104" s="1019">
        <v>0</v>
      </c>
      <c r="AO104" s="1019">
        <v>0</v>
      </c>
      <c r="AP104" s="1019">
        <v>0</v>
      </c>
      <c r="AQ104" s="1019">
        <v>0</v>
      </c>
      <c r="AR104" s="1019">
        <v>0</v>
      </c>
      <c r="AS104" s="1019">
        <v>0</v>
      </c>
      <c r="AT104" s="1019">
        <v>0</v>
      </c>
      <c r="AU104" s="1019">
        <v>0</v>
      </c>
      <c r="AV104" s="1019">
        <v>0</v>
      </c>
      <c r="AW104" s="1019">
        <v>0</v>
      </c>
      <c r="AX104" s="1019">
        <v>0</v>
      </c>
      <c r="AY104" s="1019">
        <v>0</v>
      </c>
      <c r="AZ104" s="1019">
        <v>0</v>
      </c>
      <c r="BA104" s="1019">
        <v>0</v>
      </c>
      <c r="BB104" s="1019">
        <v>0</v>
      </c>
      <c r="BC104" s="1019">
        <v>0</v>
      </c>
      <c r="BD104" s="1019">
        <v>0</v>
      </c>
      <c r="BE104" s="1019">
        <v>0</v>
      </c>
      <c r="BF104" s="1019">
        <v>0</v>
      </c>
      <c r="BG104" s="1019">
        <v>0</v>
      </c>
      <c r="BH104" s="1019">
        <v>0</v>
      </c>
      <c r="BI104" s="1019">
        <f>-65172715.28/31212.65</f>
        <v>-2088.0224934441644</v>
      </c>
      <c r="BJ104" s="1019">
        <f>-51995694/31539.2</f>
        <v>-1648.605354606331</v>
      </c>
      <c r="BK104" s="1019">
        <f>-27067342/31727.74</f>
        <v>-853.11282808041165</v>
      </c>
      <c r="BL104" s="1019">
        <f>-22547600/32176.5</f>
        <v>-700.74743990179172</v>
      </c>
      <c r="BM104" s="1019">
        <f>-21802161.93/BM99</f>
        <v>-667.15020866266775</v>
      </c>
      <c r="BN104" s="1019">
        <f>-20423017/BN99</f>
        <v>-617.25517373528976</v>
      </c>
      <c r="BO104" s="1019">
        <f>-19992919/BO99</f>
        <v>-598.2812175504514</v>
      </c>
      <c r="BP104" s="1019">
        <f>-19245868/BP99</f>
        <v>-568.78998454627856</v>
      </c>
      <c r="BQ104" s="1019">
        <f>-17320119/BQ99</f>
        <v>-505.57541939557291</v>
      </c>
      <c r="BR104" s="1019">
        <f>-16304009/BR99</f>
        <v>-471.20936637924183</v>
      </c>
      <c r="BS104" s="1019">
        <f>-13297038/BS99</f>
        <v>-381.96927478613571</v>
      </c>
      <c r="BT104" s="1019">
        <f>-11343775/BT99</f>
        <v>-323.08340581778117</v>
      </c>
      <c r="BU104" s="1019">
        <f>-17212313/BU99</f>
        <v>-490.22593502089654</v>
      </c>
      <c r="BV104" s="1019">
        <f>-21137631/BV99</f>
        <v>-595.26391113634361</v>
      </c>
      <c r="BW104" s="1019">
        <f>-11175509/BW99</f>
        <v>-314.13515713631972</v>
      </c>
      <c r="BX104" s="1019">
        <f>-10185914/BX99</f>
        <v>-284.21668845419248</v>
      </c>
      <c r="BY104" s="1019">
        <f>-7005531/BY99</f>
        <v>-194.42045864209061</v>
      </c>
      <c r="BZ104" s="14">
        <f t="shared" ref="BZ104:CU104" ca="1" si="107">-BZ102*BZ84</f>
        <v>-56.697717782022892</v>
      </c>
      <c r="CA104" s="14">
        <f t="shared" ca="1" si="107"/>
        <v>-56.697717782022892</v>
      </c>
      <c r="CB104" s="14">
        <f t="shared" ca="1" si="107"/>
        <v>-56.697717782022892</v>
      </c>
      <c r="CC104" s="14">
        <f t="shared" ca="1" si="107"/>
        <v>-56.697717782022892</v>
      </c>
      <c r="CD104" s="14">
        <f t="shared" ca="1" si="107"/>
        <v>-56.697717782022892</v>
      </c>
      <c r="CE104" s="14">
        <f t="shared" ca="1" si="107"/>
        <v>-56.697717782022892</v>
      </c>
      <c r="CF104" s="14">
        <f t="shared" ca="1" si="107"/>
        <v>-65.922869570161581</v>
      </c>
      <c r="CG104" s="14">
        <f t="shared" ca="1" si="107"/>
        <v>-67.241326961564823</v>
      </c>
      <c r="CH104" s="14">
        <f t="shared" ca="1" si="107"/>
        <v>-67.241326961564823</v>
      </c>
      <c r="CI104" s="14">
        <f t="shared" ca="1" si="107"/>
        <v>-67.241326961564823</v>
      </c>
      <c r="CJ104" s="14">
        <f t="shared" ca="1" si="107"/>
        <v>-67.241326961564823</v>
      </c>
      <c r="CK104" s="14">
        <f t="shared" ca="1" si="107"/>
        <v>-67.241326961564823</v>
      </c>
      <c r="CL104" s="14">
        <f t="shared" ca="1" si="107"/>
        <v>-67.241326961564823</v>
      </c>
      <c r="CM104" s="14">
        <f t="shared" ca="1" si="107"/>
        <v>-67.241326961564823</v>
      </c>
      <c r="CN104" s="14">
        <f t="shared" ca="1" si="107"/>
        <v>-67.241326961564823</v>
      </c>
      <c r="CO104" s="14">
        <f t="shared" ca="1" si="107"/>
        <v>-67.241326961564823</v>
      </c>
      <c r="CP104" s="14">
        <f t="shared" ca="1" si="107"/>
        <v>-67.241326961564823</v>
      </c>
      <c r="CQ104" s="14">
        <f t="shared" ca="1" si="107"/>
        <v>-67.241326961564823</v>
      </c>
      <c r="CR104" s="14">
        <f t="shared" ca="1" si="107"/>
        <v>-67.241326961564823</v>
      </c>
      <c r="CS104" s="14">
        <f t="shared" ca="1" si="107"/>
        <v>-67.241326961564823</v>
      </c>
      <c r="CT104" s="14">
        <f t="shared" ca="1" si="107"/>
        <v>-67.241326961564823</v>
      </c>
      <c r="CU104" s="14">
        <f t="shared" ca="1" si="107"/>
        <v>-67.241326961564823</v>
      </c>
      <c r="CV104" s="14">
        <f t="shared" ref="CV104:DY104" ca="1" si="108">-CV102*CV84</f>
        <v>-67.241326961564823</v>
      </c>
      <c r="CW104" s="14">
        <f t="shared" ca="1" si="108"/>
        <v>-67.241326961564823</v>
      </c>
      <c r="CX104" s="14">
        <f t="shared" ca="1" si="108"/>
        <v>-67.241326961564823</v>
      </c>
      <c r="CY104" s="14">
        <f t="shared" ca="1" si="108"/>
        <v>-67.241326961564823</v>
      </c>
      <c r="CZ104" s="14">
        <f t="shared" ca="1" si="108"/>
        <v>-67.241326961564823</v>
      </c>
      <c r="DA104" s="14">
        <f t="shared" ca="1" si="108"/>
        <v>-67.241326961564823</v>
      </c>
      <c r="DB104" s="14">
        <f t="shared" ca="1" si="108"/>
        <v>-67.241326961564823</v>
      </c>
      <c r="DC104" s="14">
        <f t="shared" ca="1" si="108"/>
        <v>-67.241326961564823</v>
      </c>
      <c r="DD104" s="14">
        <f t="shared" ca="1" si="108"/>
        <v>-67.241326961564823</v>
      </c>
      <c r="DE104" s="14">
        <f t="shared" ca="1" si="108"/>
        <v>-67.241326961564823</v>
      </c>
      <c r="DF104" s="14">
        <f t="shared" ca="1" si="108"/>
        <v>-67.241326961564823</v>
      </c>
      <c r="DG104" s="14">
        <f t="shared" ca="1" si="108"/>
        <v>-67.241326961564823</v>
      </c>
      <c r="DH104" s="14">
        <f t="shared" ca="1" si="108"/>
        <v>-67.241326961564823</v>
      </c>
      <c r="DI104" s="14">
        <f t="shared" ca="1" si="108"/>
        <v>-67.241326961564823</v>
      </c>
      <c r="DJ104" s="14">
        <f t="shared" ca="1" si="108"/>
        <v>-67.241326961564823</v>
      </c>
      <c r="DK104" s="14">
        <f t="shared" ca="1" si="108"/>
        <v>-67.241326961564823</v>
      </c>
      <c r="DL104" s="14">
        <f t="shared" ca="1" si="108"/>
        <v>-67.241326961564823</v>
      </c>
      <c r="DM104" s="14">
        <f t="shared" ca="1" si="108"/>
        <v>-67.241326961564823</v>
      </c>
      <c r="DN104" s="14">
        <f t="shared" ca="1" si="108"/>
        <v>-67.241326961564823</v>
      </c>
      <c r="DO104" s="14">
        <f t="shared" ca="1" si="108"/>
        <v>-67.241326961564823</v>
      </c>
      <c r="DP104" s="14">
        <f t="shared" ca="1" si="108"/>
        <v>-67.241326961564823</v>
      </c>
      <c r="DQ104" s="14">
        <f t="shared" ca="1" si="108"/>
        <v>-67.241326961564823</v>
      </c>
      <c r="DR104" s="14">
        <f t="shared" ca="1" si="108"/>
        <v>-67.241326961564823</v>
      </c>
      <c r="DS104" s="14">
        <f t="shared" ca="1" si="108"/>
        <v>-67.241326961564823</v>
      </c>
      <c r="DT104" s="14">
        <f t="shared" ca="1" si="108"/>
        <v>-67.241326961564823</v>
      </c>
      <c r="DU104" s="14">
        <f t="shared" ca="1" si="108"/>
        <v>-67.241326961564823</v>
      </c>
      <c r="DV104" s="14">
        <f t="shared" ca="1" si="108"/>
        <v>-67.241326961564823</v>
      </c>
      <c r="DW104" s="14">
        <f t="shared" ca="1" si="108"/>
        <v>-67.241326961564823</v>
      </c>
      <c r="DX104" s="14">
        <f t="shared" ca="1" si="108"/>
        <v>-67.241326961564823</v>
      </c>
      <c r="DY104" s="14">
        <f t="shared" ca="1" si="108"/>
        <v>-67.241326961564823</v>
      </c>
    </row>
    <row r="105" spans="1:129" s="3" customFormat="1" ht="11.7" customHeight="1" outlineLevel="1" x14ac:dyDescent="0.3">
      <c r="A105" s="85"/>
      <c r="B105" s="113" t="s">
        <v>668</v>
      </c>
      <c r="C105" s="113"/>
      <c r="F105" s="127"/>
      <c r="G105" s="127"/>
      <c r="H105" s="290">
        <f t="shared" ca="1" si="106"/>
        <v>-1944.8220591390673</v>
      </c>
      <c r="I105" s="1019">
        <v>0</v>
      </c>
      <c r="J105" s="1019">
        <v>0</v>
      </c>
      <c r="K105" s="1019">
        <v>0</v>
      </c>
      <c r="L105" s="1019">
        <v>0</v>
      </c>
      <c r="M105" s="1019">
        <v>0</v>
      </c>
      <c r="N105" s="1019">
        <v>0</v>
      </c>
      <c r="O105" s="1019">
        <v>0</v>
      </c>
      <c r="P105" s="1019">
        <v>0</v>
      </c>
      <c r="Q105" s="1019">
        <v>0</v>
      </c>
      <c r="R105" s="1019">
        <v>0</v>
      </c>
      <c r="S105" s="1019">
        <v>0</v>
      </c>
      <c r="T105" s="1019">
        <v>0</v>
      </c>
      <c r="U105" s="1019">
        <v>0</v>
      </c>
      <c r="V105" s="1019">
        <v>0</v>
      </c>
      <c r="W105" s="1019">
        <v>0</v>
      </c>
      <c r="X105" s="1019">
        <v>0</v>
      </c>
      <c r="Y105" s="1019">
        <v>0</v>
      </c>
      <c r="Z105" s="1019">
        <v>0</v>
      </c>
      <c r="AA105" s="1019">
        <v>0</v>
      </c>
      <c r="AB105" s="1019">
        <v>0</v>
      </c>
      <c r="AC105" s="1019">
        <v>0</v>
      </c>
      <c r="AD105" s="1019">
        <v>0</v>
      </c>
      <c r="AE105" s="1019">
        <v>0</v>
      </c>
      <c r="AF105" s="1019">
        <v>0</v>
      </c>
      <c r="AG105" s="1019">
        <v>0</v>
      </c>
      <c r="AH105" s="1019">
        <v>0</v>
      </c>
      <c r="AI105" s="1019">
        <v>0</v>
      </c>
      <c r="AJ105" s="1019">
        <v>0</v>
      </c>
      <c r="AK105" s="1019">
        <v>0</v>
      </c>
      <c r="AL105" s="1019">
        <v>0</v>
      </c>
      <c r="AM105" s="1019">
        <v>0</v>
      </c>
      <c r="AN105" s="1019">
        <v>0</v>
      </c>
      <c r="AO105" s="1019">
        <v>0</v>
      </c>
      <c r="AP105" s="1019">
        <v>0</v>
      </c>
      <c r="AQ105" s="1019">
        <v>0</v>
      </c>
      <c r="AR105" s="1019">
        <v>0</v>
      </c>
      <c r="AS105" s="1019">
        <v>0</v>
      </c>
      <c r="AT105" s="1019">
        <v>0</v>
      </c>
      <c r="AU105" s="1019">
        <v>0</v>
      </c>
      <c r="AV105" s="1019">
        <v>0</v>
      </c>
      <c r="AW105" s="1019">
        <v>0</v>
      </c>
      <c r="AX105" s="1019">
        <v>0</v>
      </c>
      <c r="AY105" s="1019">
        <v>0</v>
      </c>
      <c r="AZ105" s="1019">
        <v>0</v>
      </c>
      <c r="BA105" s="1019">
        <v>0</v>
      </c>
      <c r="BB105" s="1019">
        <v>0</v>
      </c>
      <c r="BC105" s="1019">
        <v>0</v>
      </c>
      <c r="BD105" s="1019">
        <v>0</v>
      </c>
      <c r="BE105" s="1019">
        <v>0</v>
      </c>
      <c r="BF105" s="1019">
        <v>0</v>
      </c>
      <c r="BG105" s="1019">
        <v>0</v>
      </c>
      <c r="BH105" s="1019">
        <v>0</v>
      </c>
      <c r="BI105" s="1019">
        <v>0</v>
      </c>
      <c r="BJ105" s="1019">
        <f>-6435070/31539.2</f>
        <v>-204.03402749594156</v>
      </c>
      <c r="BK105" s="1019">
        <f>-9283483/31727.74</f>
        <v>-292.59830671834806</v>
      </c>
      <c r="BL105" s="1019">
        <f>-343897/32176.5</f>
        <v>-10.687831181141517</v>
      </c>
      <c r="BM105" s="1019">
        <v>0</v>
      </c>
      <c r="BN105" s="1019">
        <f>-6797989/BN99</f>
        <v>-205.45906029680086</v>
      </c>
      <c r="BO105" s="1019">
        <f>-2545432/BO99</f>
        <v>-76.171176212532089</v>
      </c>
      <c r="BP105" s="1019">
        <f>-552320/BP99</f>
        <v>-16.323196452589229</v>
      </c>
      <c r="BQ105" s="1019">
        <f>-3753349/BQ99</f>
        <v>-109.56050560697385</v>
      </c>
      <c r="BR105" s="1019">
        <f>-1742462/BR99</f>
        <v>-50.359663991838232</v>
      </c>
      <c r="BS105" s="1019">
        <f>-847007/BS99</f>
        <v>-24.331031431870802</v>
      </c>
      <c r="BT105" s="1019">
        <f>-1539807/BT99</f>
        <v>-43.855426422161955</v>
      </c>
      <c r="BU105" s="1019">
        <f>-11194470/BU99</f>
        <v>-318.83103234372834</v>
      </c>
      <c r="BV105" s="1019">
        <f>-6793394/BV99</f>
        <v>-191.31104532623218</v>
      </c>
      <c r="BW105" s="1019">
        <f>-9812003/BW99</f>
        <v>-275.80802845105671</v>
      </c>
      <c r="BX105" s="1019">
        <f>-9121755/BX99</f>
        <v>-254.52355075749435</v>
      </c>
      <c r="BY105" s="1019">
        <f>-4763796/BY99</f>
        <v>-132.20688099122773</v>
      </c>
      <c r="BZ105" s="14">
        <f t="shared" ref="BZ105" ca="1" si="109">-((BZ102+BZ104)-(BY102+BY104))</f>
        <v>261.23870454087</v>
      </c>
      <c r="CA105" s="14">
        <f t="shared" ref="CA105" ca="1" si="110">-((CA102+CA104)-(BZ102+BZ104))</f>
        <v>0</v>
      </c>
      <c r="CB105" s="14">
        <f t="shared" ref="CB105" ca="1" si="111">-((CB102+CB104)-(CA102+CA104))</f>
        <v>0</v>
      </c>
      <c r="CC105" s="14">
        <f t="shared" ref="CC105" ca="1" si="112">-((CC102+CC104)-(CB102+CB104))</f>
        <v>0</v>
      </c>
      <c r="CD105" s="1019">
        <v>0</v>
      </c>
      <c r="CE105" s="1019">
        <v>0</v>
      </c>
      <c r="CF105" s="1019">
        <v>0</v>
      </c>
      <c r="CG105" s="1019">
        <v>0</v>
      </c>
      <c r="CH105" s="1019">
        <v>0</v>
      </c>
      <c r="CI105" s="1019">
        <v>0</v>
      </c>
      <c r="CJ105" s="1019">
        <v>0</v>
      </c>
      <c r="CK105" s="1019">
        <v>0</v>
      </c>
      <c r="CL105" s="1019">
        <v>0</v>
      </c>
      <c r="CM105" s="1019">
        <v>0</v>
      </c>
      <c r="CN105" s="1019">
        <v>0</v>
      </c>
      <c r="CO105" s="1019">
        <v>0</v>
      </c>
      <c r="CP105" s="1019">
        <v>0</v>
      </c>
      <c r="CQ105" s="1019">
        <v>0</v>
      </c>
      <c r="CR105" s="1019">
        <v>0</v>
      </c>
      <c r="CS105" s="1019">
        <v>0</v>
      </c>
      <c r="CT105" s="1019">
        <v>0</v>
      </c>
      <c r="CU105" s="1019">
        <v>0</v>
      </c>
      <c r="CV105" s="1019">
        <v>0</v>
      </c>
      <c r="CW105" s="1019">
        <v>0</v>
      </c>
      <c r="CX105" s="1019">
        <v>0</v>
      </c>
      <c r="CY105" s="1019">
        <v>0</v>
      </c>
      <c r="CZ105" s="1019">
        <v>0</v>
      </c>
      <c r="DA105" s="1019">
        <v>0</v>
      </c>
      <c r="DB105" s="1019">
        <v>0</v>
      </c>
      <c r="DC105" s="1019">
        <v>0</v>
      </c>
      <c r="DD105" s="1019">
        <v>0</v>
      </c>
      <c r="DE105" s="1019">
        <v>0</v>
      </c>
      <c r="DF105" s="1019">
        <v>0</v>
      </c>
      <c r="DG105" s="1019">
        <v>0</v>
      </c>
      <c r="DH105" s="1019">
        <v>0</v>
      </c>
      <c r="DI105" s="1019">
        <v>0</v>
      </c>
      <c r="DJ105" s="1019">
        <v>0</v>
      </c>
      <c r="DK105" s="1019">
        <v>0</v>
      </c>
      <c r="DL105" s="1019">
        <v>0</v>
      </c>
      <c r="DM105" s="1019">
        <v>0</v>
      </c>
      <c r="DN105" s="1019">
        <v>0</v>
      </c>
      <c r="DO105" s="1019">
        <v>0</v>
      </c>
      <c r="DP105" s="1019">
        <v>0</v>
      </c>
      <c r="DQ105" s="1019">
        <v>0</v>
      </c>
      <c r="DR105" s="1019">
        <v>0</v>
      </c>
      <c r="DS105" s="1019">
        <v>0</v>
      </c>
      <c r="DT105" s="1019">
        <v>0</v>
      </c>
      <c r="DU105" s="1019">
        <v>0</v>
      </c>
      <c r="DV105" s="1019">
        <v>0</v>
      </c>
      <c r="DW105" s="1019">
        <v>0</v>
      </c>
      <c r="DX105" s="1019">
        <v>0</v>
      </c>
      <c r="DY105" s="1019">
        <v>0</v>
      </c>
    </row>
    <row r="106" spans="1:129" s="3" customFormat="1" ht="11.7" customHeight="1" outlineLevel="1" x14ac:dyDescent="0.25">
      <c r="A106" s="85"/>
      <c r="B106" s="113" t="s">
        <v>768</v>
      </c>
      <c r="C106" s="113"/>
      <c r="D106" s="452">
        <f>+Inputs!$G$97</f>
        <v>0</v>
      </c>
      <c r="E106" s="1189">
        <f>+D106/$D$81</f>
        <v>0</v>
      </c>
      <c r="F106" s="127"/>
      <c r="G106" s="127"/>
      <c r="H106" s="290">
        <f t="shared" si="106"/>
        <v>-501.97567623086053</v>
      </c>
      <c r="I106" s="1019">
        <v>0</v>
      </c>
      <c r="J106" s="1019">
        <v>0</v>
      </c>
      <c r="K106" s="1019">
        <v>0</v>
      </c>
      <c r="L106" s="1019">
        <v>0</v>
      </c>
      <c r="M106" s="1019">
        <v>0</v>
      </c>
      <c r="N106" s="1019">
        <v>0</v>
      </c>
      <c r="O106" s="1019">
        <v>0</v>
      </c>
      <c r="P106" s="1019">
        <v>0</v>
      </c>
      <c r="Q106" s="1019">
        <v>0</v>
      </c>
      <c r="R106" s="1019">
        <v>0</v>
      </c>
      <c r="S106" s="1019">
        <v>0</v>
      </c>
      <c r="T106" s="1019">
        <v>0</v>
      </c>
      <c r="U106" s="1019">
        <v>0</v>
      </c>
      <c r="V106" s="1019">
        <v>0</v>
      </c>
      <c r="W106" s="1019">
        <v>0</v>
      </c>
      <c r="X106" s="1019">
        <v>0</v>
      </c>
      <c r="Y106" s="1019">
        <v>0</v>
      </c>
      <c r="Z106" s="1019">
        <v>0</v>
      </c>
      <c r="AA106" s="1019">
        <v>0</v>
      </c>
      <c r="AB106" s="1019">
        <v>0</v>
      </c>
      <c r="AC106" s="1019">
        <v>0</v>
      </c>
      <c r="AD106" s="1019">
        <v>0</v>
      </c>
      <c r="AE106" s="1019">
        <v>0</v>
      </c>
      <c r="AF106" s="1019">
        <v>0</v>
      </c>
      <c r="AG106" s="1019">
        <v>0</v>
      </c>
      <c r="AH106" s="1019">
        <v>0</v>
      </c>
      <c r="AI106" s="1019">
        <v>0</v>
      </c>
      <c r="AJ106" s="1019">
        <v>0</v>
      </c>
      <c r="AK106" s="1019">
        <v>0</v>
      </c>
      <c r="AL106" s="1019">
        <v>0</v>
      </c>
      <c r="AM106" s="1019">
        <v>0</v>
      </c>
      <c r="AN106" s="1019">
        <v>0</v>
      </c>
      <c r="AO106" s="1019">
        <v>0</v>
      </c>
      <c r="AP106" s="1019">
        <v>0</v>
      </c>
      <c r="AQ106" s="1019">
        <v>0</v>
      </c>
      <c r="AR106" s="1019">
        <v>0</v>
      </c>
      <c r="AS106" s="1019">
        <v>0</v>
      </c>
      <c r="AT106" s="1019">
        <v>0</v>
      </c>
      <c r="AU106" s="1019">
        <v>0</v>
      </c>
      <c r="AV106" s="1019">
        <v>0</v>
      </c>
      <c r="AW106" s="1019">
        <v>0</v>
      </c>
      <c r="AX106" s="1019">
        <v>0</v>
      </c>
      <c r="AY106" s="1019">
        <v>0</v>
      </c>
      <c r="AZ106" s="1019">
        <v>0</v>
      </c>
      <c r="BA106" s="1019">
        <v>0</v>
      </c>
      <c r="BB106" s="1019">
        <v>0</v>
      </c>
      <c r="BC106" s="1019">
        <v>0</v>
      </c>
      <c r="BD106" s="1019">
        <v>0</v>
      </c>
      <c r="BE106" s="1019">
        <v>0</v>
      </c>
      <c r="BF106" s="1019">
        <v>0</v>
      </c>
      <c r="BG106" s="1019">
        <v>0</v>
      </c>
      <c r="BH106" s="1019">
        <v>0</v>
      </c>
      <c r="BI106" s="1019">
        <f>-1629082.11/31212.65</f>
        <v>-52.193008603883364</v>
      </c>
      <c r="BJ106" s="1019">
        <f>-947562/31539.2</f>
        <v>-30.0439453125</v>
      </c>
      <c r="BK106" s="1019">
        <f>-947562/31727.74</f>
        <v>-29.865411151251237</v>
      </c>
      <c r="BL106" s="1019">
        <f>-947562/32176.5</f>
        <v>-29.448883501934642</v>
      </c>
      <c r="BM106" s="1019">
        <f t="shared" ref="BM106:BS106" si="113">-947562/BM99</f>
        <v>-28.995573377103838</v>
      </c>
      <c r="BN106" s="1019">
        <f t="shared" si="113"/>
        <v>-28.638645648434739</v>
      </c>
      <c r="BO106" s="1019">
        <f t="shared" si="113"/>
        <v>-28.355466606178961</v>
      </c>
      <c r="BP106" s="1019">
        <f t="shared" si="113"/>
        <v>-28.004129267468777</v>
      </c>
      <c r="BQ106" s="1019">
        <f t="shared" si="113"/>
        <v>-27.659397464492471</v>
      </c>
      <c r="BR106" s="1019">
        <f t="shared" si="113"/>
        <v>-27.385907946017888</v>
      </c>
      <c r="BS106" s="1019">
        <f t="shared" si="113"/>
        <v>-27.219563481348278</v>
      </c>
      <c r="BT106" s="1019">
        <f>-947562/BT99</f>
        <v>-26.987626093034141</v>
      </c>
      <c r="BU106" s="1019">
        <f>-1321244/BU99</f>
        <v>-37.630507607591696</v>
      </c>
      <c r="BV106" s="1019">
        <f>-1321244/BV99</f>
        <v>-37.207995115698026</v>
      </c>
      <c r="BW106" s="1019">
        <f>-744224/BW99</f>
        <v>-20.919577191931069</v>
      </c>
      <c r="BX106" s="1019">
        <f>-744224/BX99</f>
        <v>-20.766018714484819</v>
      </c>
      <c r="BY106" s="1019">
        <f>-744224/BY99</f>
        <v>-20.654019147506627</v>
      </c>
      <c r="BZ106" s="7">
        <f t="shared" ref="BZ106:DQ106" si="114">-BZ102*$E$106</f>
        <v>0</v>
      </c>
      <c r="CA106" s="7">
        <f t="shared" si="114"/>
        <v>0</v>
      </c>
      <c r="CB106" s="7">
        <f t="shared" si="114"/>
        <v>0</v>
      </c>
      <c r="CC106" s="7">
        <f t="shared" si="114"/>
        <v>0</v>
      </c>
      <c r="CD106" s="7">
        <f t="shared" si="114"/>
        <v>0</v>
      </c>
      <c r="CE106" s="7">
        <f t="shared" si="114"/>
        <v>0</v>
      </c>
      <c r="CF106" s="7">
        <f t="shared" si="114"/>
        <v>0</v>
      </c>
      <c r="CG106" s="7">
        <f t="shared" si="114"/>
        <v>0</v>
      </c>
      <c r="CH106" s="7">
        <f t="shared" si="114"/>
        <v>0</v>
      </c>
      <c r="CI106" s="7">
        <f t="shared" si="114"/>
        <v>0</v>
      </c>
      <c r="CJ106" s="7">
        <f t="shared" si="114"/>
        <v>0</v>
      </c>
      <c r="CK106" s="7">
        <f t="shared" si="114"/>
        <v>0</v>
      </c>
      <c r="CL106" s="7">
        <f t="shared" si="114"/>
        <v>0</v>
      </c>
      <c r="CM106" s="7">
        <f t="shared" si="114"/>
        <v>0</v>
      </c>
      <c r="CN106" s="7">
        <f t="shared" si="114"/>
        <v>0</v>
      </c>
      <c r="CO106" s="7">
        <f t="shared" si="114"/>
        <v>0</v>
      </c>
      <c r="CP106" s="7">
        <f t="shared" si="114"/>
        <v>0</v>
      </c>
      <c r="CQ106" s="7">
        <f t="shared" si="114"/>
        <v>0</v>
      </c>
      <c r="CR106" s="7">
        <f t="shared" si="114"/>
        <v>0</v>
      </c>
      <c r="CS106" s="7">
        <f t="shared" si="114"/>
        <v>0</v>
      </c>
      <c r="CT106" s="7">
        <f t="shared" si="114"/>
        <v>0</v>
      </c>
      <c r="CU106" s="7">
        <f t="shared" si="114"/>
        <v>0</v>
      </c>
      <c r="CV106" s="7">
        <f t="shared" si="114"/>
        <v>0</v>
      </c>
      <c r="CW106" s="7">
        <f t="shared" si="114"/>
        <v>0</v>
      </c>
      <c r="CX106" s="7">
        <f t="shared" si="114"/>
        <v>0</v>
      </c>
      <c r="CY106" s="7">
        <f t="shared" si="114"/>
        <v>0</v>
      </c>
      <c r="CZ106" s="7">
        <f t="shared" si="114"/>
        <v>0</v>
      </c>
      <c r="DA106" s="7">
        <f t="shared" si="114"/>
        <v>0</v>
      </c>
      <c r="DB106" s="7">
        <f t="shared" si="114"/>
        <v>0</v>
      </c>
      <c r="DC106" s="7">
        <f t="shared" si="114"/>
        <v>0</v>
      </c>
      <c r="DD106" s="7">
        <f t="shared" si="114"/>
        <v>0</v>
      </c>
      <c r="DE106" s="7">
        <f t="shared" si="114"/>
        <v>0</v>
      </c>
      <c r="DF106" s="7">
        <f t="shared" si="114"/>
        <v>0</v>
      </c>
      <c r="DG106" s="7">
        <f t="shared" si="114"/>
        <v>0</v>
      </c>
      <c r="DH106" s="7">
        <f t="shared" si="114"/>
        <v>0</v>
      </c>
      <c r="DI106" s="7">
        <f t="shared" si="114"/>
        <v>0</v>
      </c>
      <c r="DJ106" s="7">
        <f t="shared" si="114"/>
        <v>0</v>
      </c>
      <c r="DK106" s="7">
        <f t="shared" si="114"/>
        <v>0</v>
      </c>
      <c r="DL106" s="7">
        <f t="shared" si="114"/>
        <v>0</v>
      </c>
      <c r="DM106" s="7">
        <f t="shared" si="114"/>
        <v>0</v>
      </c>
      <c r="DN106" s="7">
        <f t="shared" si="114"/>
        <v>0</v>
      </c>
      <c r="DO106" s="7">
        <f t="shared" si="114"/>
        <v>0</v>
      </c>
      <c r="DP106" s="7">
        <f t="shared" si="114"/>
        <v>0</v>
      </c>
      <c r="DQ106" s="7">
        <f t="shared" si="114"/>
        <v>0</v>
      </c>
      <c r="DR106" s="7">
        <f t="shared" ref="DR106:DY106" si="115">-DR102*$E$106</f>
        <v>0</v>
      </c>
      <c r="DS106" s="7">
        <f t="shared" si="115"/>
        <v>0</v>
      </c>
      <c r="DT106" s="7">
        <f t="shared" si="115"/>
        <v>0</v>
      </c>
      <c r="DU106" s="7">
        <f t="shared" si="115"/>
        <v>0</v>
      </c>
      <c r="DV106" s="7">
        <f t="shared" si="115"/>
        <v>0</v>
      </c>
      <c r="DW106" s="7">
        <f t="shared" si="115"/>
        <v>0</v>
      </c>
      <c r="DX106" s="7">
        <f t="shared" si="115"/>
        <v>0</v>
      </c>
      <c r="DY106" s="7">
        <f t="shared" si="115"/>
        <v>0</v>
      </c>
    </row>
    <row r="107" spans="1:129" s="3" customFormat="1" ht="11.7" customHeight="1" outlineLevel="1" x14ac:dyDescent="0.3">
      <c r="A107" s="85"/>
      <c r="B107" s="113" t="s">
        <v>769</v>
      </c>
      <c r="C107" s="113"/>
      <c r="D107" s="1188">
        <f>+Inputs!$G$98</f>
        <v>1E-3</v>
      </c>
      <c r="E107" s="1190">
        <f>-SUM(BL107:BW107)/SUM(BL129:BW129)</f>
        <v>1.776495765816628E-2</v>
      </c>
      <c r="F107" s="127"/>
      <c r="G107" s="127"/>
      <c r="H107" s="312">
        <f t="shared" ca="1" si="106"/>
        <v>-1065.1830999182744</v>
      </c>
      <c r="I107" s="1019">
        <v>0</v>
      </c>
      <c r="J107" s="1019">
        <v>0</v>
      </c>
      <c r="K107" s="1019">
        <v>0</v>
      </c>
      <c r="L107" s="1019">
        <v>0</v>
      </c>
      <c r="M107" s="1019">
        <v>0</v>
      </c>
      <c r="N107" s="1019">
        <v>0</v>
      </c>
      <c r="O107" s="1019">
        <v>0</v>
      </c>
      <c r="P107" s="1019">
        <v>0</v>
      </c>
      <c r="Q107" s="1019">
        <v>0</v>
      </c>
      <c r="R107" s="1019">
        <v>0</v>
      </c>
      <c r="S107" s="1019">
        <v>0</v>
      </c>
      <c r="T107" s="1019">
        <v>0</v>
      </c>
      <c r="U107" s="1019">
        <v>0</v>
      </c>
      <c r="V107" s="1019">
        <v>0</v>
      </c>
      <c r="W107" s="1019">
        <v>0</v>
      </c>
      <c r="X107" s="1019">
        <v>0</v>
      </c>
      <c r="Y107" s="1019">
        <v>0</v>
      </c>
      <c r="Z107" s="1019">
        <v>0</v>
      </c>
      <c r="AA107" s="1019">
        <v>0</v>
      </c>
      <c r="AB107" s="1019">
        <v>0</v>
      </c>
      <c r="AC107" s="1019">
        <v>0</v>
      </c>
      <c r="AD107" s="1019">
        <v>0</v>
      </c>
      <c r="AE107" s="1019">
        <v>0</v>
      </c>
      <c r="AF107" s="1019">
        <v>0</v>
      </c>
      <c r="AG107" s="1019">
        <v>0</v>
      </c>
      <c r="AH107" s="1019">
        <v>0</v>
      </c>
      <c r="AI107" s="1019">
        <v>0</v>
      </c>
      <c r="AJ107" s="1019">
        <v>0</v>
      </c>
      <c r="AK107" s="1019">
        <v>0</v>
      </c>
      <c r="AL107" s="1019">
        <v>0</v>
      </c>
      <c r="AM107" s="1019">
        <v>0</v>
      </c>
      <c r="AN107" s="1019">
        <v>0</v>
      </c>
      <c r="AO107" s="1019">
        <v>0</v>
      </c>
      <c r="AP107" s="1019">
        <v>0</v>
      </c>
      <c r="AQ107" s="1019">
        <v>0</v>
      </c>
      <c r="AR107" s="1019">
        <v>0</v>
      </c>
      <c r="AS107" s="1019">
        <v>0</v>
      </c>
      <c r="AT107" s="1019">
        <v>0</v>
      </c>
      <c r="AU107" s="1019">
        <v>0</v>
      </c>
      <c r="AV107" s="1019">
        <v>0</v>
      </c>
      <c r="AW107" s="1019">
        <v>0</v>
      </c>
      <c r="AX107" s="1019">
        <v>0</v>
      </c>
      <c r="AY107" s="1019">
        <v>0</v>
      </c>
      <c r="AZ107" s="1019">
        <v>0</v>
      </c>
      <c r="BA107" s="1019">
        <v>0</v>
      </c>
      <c r="BB107" s="1019">
        <v>0</v>
      </c>
      <c r="BC107" s="1019">
        <v>0</v>
      </c>
      <c r="BD107" s="1019">
        <v>0</v>
      </c>
      <c r="BE107" s="1019">
        <v>0</v>
      </c>
      <c r="BF107" s="1019">
        <v>0</v>
      </c>
      <c r="BG107" s="1019">
        <v>0</v>
      </c>
      <c r="BH107" s="1019">
        <v>0</v>
      </c>
      <c r="BI107" s="1019">
        <v>0</v>
      </c>
      <c r="BJ107" s="1019">
        <v>0</v>
      </c>
      <c r="BK107" s="1019">
        <v>0</v>
      </c>
      <c r="BL107" s="1019">
        <v>0</v>
      </c>
      <c r="BM107" s="1019">
        <v>0</v>
      </c>
      <c r="BN107" s="1019">
        <v>0</v>
      </c>
      <c r="BO107" s="1019">
        <v>0</v>
      </c>
      <c r="BP107" s="1019">
        <v>0</v>
      </c>
      <c r="BQ107" s="1019">
        <v>0</v>
      </c>
      <c r="BR107" s="1019">
        <v>0</v>
      </c>
      <c r="BS107" s="1019">
        <v>0</v>
      </c>
      <c r="BT107" s="1019">
        <f>-10605583/BT99</f>
        <v>-302.05887161224206</v>
      </c>
      <c r="BU107" s="1019">
        <f>1542414/BU99</f>
        <v>43.929676699425649</v>
      </c>
      <c r="BV107" s="1019">
        <f>-5281140/BV99</f>
        <v>-148.72395358110802</v>
      </c>
      <c r="BW107" s="1019">
        <f>151430/BW99</f>
        <v>4.2565834670396576</v>
      </c>
      <c r="BX107" s="1019">
        <v>0</v>
      </c>
      <c r="BY107" s="1019">
        <f>-19042608/BY99</f>
        <v>-528.47850949507517</v>
      </c>
      <c r="BZ107" s="14">
        <f t="shared" ref="BZ107:DQ107" ca="1" si="116">-SUM(BZ102:BZ106)*$D$107</f>
        <v>-2.472449698039763</v>
      </c>
      <c r="CA107" s="14">
        <f t="shared" ca="1" si="116"/>
        <v>-2.2112109934988928</v>
      </c>
      <c r="CB107" s="14">
        <f t="shared" ca="1" si="116"/>
        <v>-2.2112109934988928</v>
      </c>
      <c r="CC107" s="14">
        <f t="shared" ca="1" si="116"/>
        <v>-2.2112109934988928</v>
      </c>
      <c r="CD107" s="14">
        <f t="shared" ca="1" si="116"/>
        <v>-2.2112109934988928</v>
      </c>
      <c r="CE107" s="14">
        <f t="shared" ca="1" si="116"/>
        <v>-2.2112109934988928</v>
      </c>
      <c r="CF107" s="14">
        <f t="shared" ca="1" si="116"/>
        <v>-2.5709919132363015</v>
      </c>
      <c r="CG107" s="14">
        <f t="shared" ca="1" si="116"/>
        <v>-2.6224117515010281</v>
      </c>
      <c r="CH107" s="14">
        <f t="shared" ca="1" si="116"/>
        <v>-2.6224117515010281</v>
      </c>
      <c r="CI107" s="14">
        <f t="shared" ca="1" si="116"/>
        <v>-2.6224117515010281</v>
      </c>
      <c r="CJ107" s="14">
        <f t="shared" ca="1" si="116"/>
        <v>-2.6224117515010281</v>
      </c>
      <c r="CK107" s="14">
        <f t="shared" ca="1" si="116"/>
        <v>-2.6224117515010281</v>
      </c>
      <c r="CL107" s="14">
        <f t="shared" ca="1" si="116"/>
        <v>-2.6224117515010281</v>
      </c>
      <c r="CM107" s="14">
        <f t="shared" ca="1" si="116"/>
        <v>-2.6224117515010281</v>
      </c>
      <c r="CN107" s="14">
        <f t="shared" ca="1" si="116"/>
        <v>-2.6224117515010281</v>
      </c>
      <c r="CO107" s="14">
        <f t="shared" ca="1" si="116"/>
        <v>-2.6224117515010281</v>
      </c>
      <c r="CP107" s="14">
        <f t="shared" ca="1" si="116"/>
        <v>-2.6224117515010281</v>
      </c>
      <c r="CQ107" s="14">
        <f t="shared" ca="1" si="116"/>
        <v>-2.6224117515010281</v>
      </c>
      <c r="CR107" s="14">
        <f t="shared" ca="1" si="116"/>
        <v>-2.6224117515010281</v>
      </c>
      <c r="CS107" s="14">
        <f t="shared" ca="1" si="116"/>
        <v>-2.6224117515010281</v>
      </c>
      <c r="CT107" s="14">
        <f t="shared" ca="1" si="116"/>
        <v>-2.6224117515010281</v>
      </c>
      <c r="CU107" s="14">
        <f t="shared" ca="1" si="116"/>
        <v>-2.6224117515010281</v>
      </c>
      <c r="CV107" s="14">
        <f t="shared" ca="1" si="116"/>
        <v>-2.6224117515010281</v>
      </c>
      <c r="CW107" s="14">
        <f t="shared" ca="1" si="116"/>
        <v>-2.6224117515010281</v>
      </c>
      <c r="CX107" s="14">
        <f t="shared" ca="1" si="116"/>
        <v>-2.6224117515010281</v>
      </c>
      <c r="CY107" s="14">
        <f t="shared" ca="1" si="116"/>
        <v>-2.6224117515010281</v>
      </c>
      <c r="CZ107" s="14">
        <f t="shared" ca="1" si="116"/>
        <v>-2.6224117515010281</v>
      </c>
      <c r="DA107" s="14">
        <f t="shared" ca="1" si="116"/>
        <v>-2.6224117515010281</v>
      </c>
      <c r="DB107" s="14">
        <f t="shared" ca="1" si="116"/>
        <v>-2.6224117515010281</v>
      </c>
      <c r="DC107" s="14">
        <f t="shared" ca="1" si="116"/>
        <v>-2.6224117515010281</v>
      </c>
      <c r="DD107" s="14">
        <f t="shared" ca="1" si="116"/>
        <v>-2.6224117515010281</v>
      </c>
      <c r="DE107" s="14">
        <f t="shared" ca="1" si="116"/>
        <v>-2.6224117515010281</v>
      </c>
      <c r="DF107" s="14">
        <f t="shared" ca="1" si="116"/>
        <v>-2.6224117515010281</v>
      </c>
      <c r="DG107" s="14">
        <f t="shared" ca="1" si="116"/>
        <v>-2.6224117515010281</v>
      </c>
      <c r="DH107" s="14">
        <f t="shared" ca="1" si="116"/>
        <v>-2.6224117515010281</v>
      </c>
      <c r="DI107" s="14">
        <f t="shared" ca="1" si="116"/>
        <v>-2.6224117515010281</v>
      </c>
      <c r="DJ107" s="14">
        <f t="shared" ca="1" si="116"/>
        <v>-2.6224117515010281</v>
      </c>
      <c r="DK107" s="14">
        <f t="shared" ca="1" si="116"/>
        <v>-2.6224117515010281</v>
      </c>
      <c r="DL107" s="14">
        <f t="shared" ca="1" si="116"/>
        <v>-2.6224117515010281</v>
      </c>
      <c r="DM107" s="14">
        <f t="shared" ca="1" si="116"/>
        <v>-2.6224117515010281</v>
      </c>
      <c r="DN107" s="14">
        <f t="shared" ca="1" si="116"/>
        <v>-2.6224117515010281</v>
      </c>
      <c r="DO107" s="14">
        <f t="shared" ca="1" si="116"/>
        <v>-2.6224117515010281</v>
      </c>
      <c r="DP107" s="14">
        <f t="shared" ca="1" si="116"/>
        <v>-2.6224117515010281</v>
      </c>
      <c r="DQ107" s="14">
        <f t="shared" ca="1" si="116"/>
        <v>-2.6224117515010281</v>
      </c>
      <c r="DR107" s="14">
        <f t="shared" ref="DR107:DY107" ca="1" si="117">-SUM(DR102:DR106)*$D$107</f>
        <v>-2.6224117515010281</v>
      </c>
      <c r="DS107" s="14">
        <f t="shared" ca="1" si="117"/>
        <v>-2.6224117515010281</v>
      </c>
      <c r="DT107" s="14">
        <f t="shared" ca="1" si="117"/>
        <v>-2.6224117515010281</v>
      </c>
      <c r="DU107" s="14">
        <f t="shared" ca="1" si="117"/>
        <v>-2.6224117515010281</v>
      </c>
      <c r="DV107" s="14">
        <f t="shared" ca="1" si="117"/>
        <v>-2.6224117515010281</v>
      </c>
      <c r="DW107" s="14">
        <f t="shared" ca="1" si="117"/>
        <v>-2.6224117515010281</v>
      </c>
      <c r="DX107" s="14">
        <f t="shared" ca="1" si="117"/>
        <v>-2.6224117515010281</v>
      </c>
      <c r="DY107" s="14">
        <f t="shared" ca="1" si="117"/>
        <v>-2.6224117515010281</v>
      </c>
    </row>
    <row r="108" spans="1:129" s="3" customFormat="1" ht="11.7" customHeight="1" outlineLevel="1" x14ac:dyDescent="0.3">
      <c r="A108" s="85"/>
      <c r="B108" s="1087" t="s">
        <v>641</v>
      </c>
      <c r="C108" s="1087"/>
      <c r="D108" s="1086"/>
      <c r="F108" s="127"/>
      <c r="G108" s="127"/>
      <c r="H108" s="312">
        <f t="shared" ca="1" si="106"/>
        <v>154786.27084036852</v>
      </c>
      <c r="I108" s="165">
        <f>+SUM(I102:I107)</f>
        <v>0</v>
      </c>
      <c r="J108" s="165">
        <f t="shared" ref="J108:BU108" si="118">+SUM(J102:J107)</f>
        <v>0</v>
      </c>
      <c r="K108" s="165">
        <f t="shared" si="118"/>
        <v>0</v>
      </c>
      <c r="L108" s="165">
        <f t="shared" si="118"/>
        <v>0</v>
      </c>
      <c r="M108" s="165">
        <f t="shared" si="118"/>
        <v>0</v>
      </c>
      <c r="N108" s="165">
        <f t="shared" si="118"/>
        <v>0</v>
      </c>
      <c r="O108" s="165">
        <f t="shared" si="118"/>
        <v>0</v>
      </c>
      <c r="P108" s="165">
        <f t="shared" si="118"/>
        <v>0</v>
      </c>
      <c r="Q108" s="165">
        <f t="shared" si="118"/>
        <v>0</v>
      </c>
      <c r="R108" s="165">
        <f t="shared" si="118"/>
        <v>0</v>
      </c>
      <c r="S108" s="165">
        <f t="shared" si="118"/>
        <v>0</v>
      </c>
      <c r="T108" s="165">
        <f t="shared" si="118"/>
        <v>0</v>
      </c>
      <c r="U108" s="165">
        <f t="shared" si="118"/>
        <v>0</v>
      </c>
      <c r="V108" s="165">
        <f t="shared" si="118"/>
        <v>0</v>
      </c>
      <c r="W108" s="165">
        <f t="shared" si="118"/>
        <v>0</v>
      </c>
      <c r="X108" s="165">
        <f t="shared" si="118"/>
        <v>0</v>
      </c>
      <c r="Y108" s="165">
        <f t="shared" si="118"/>
        <v>0</v>
      </c>
      <c r="Z108" s="165">
        <f t="shared" si="118"/>
        <v>0</v>
      </c>
      <c r="AA108" s="165">
        <f t="shared" si="118"/>
        <v>0</v>
      </c>
      <c r="AB108" s="165">
        <f t="shared" si="118"/>
        <v>0</v>
      </c>
      <c r="AC108" s="165">
        <f t="shared" si="118"/>
        <v>0</v>
      </c>
      <c r="AD108" s="165">
        <f t="shared" si="118"/>
        <v>0</v>
      </c>
      <c r="AE108" s="165">
        <f t="shared" si="118"/>
        <v>0</v>
      </c>
      <c r="AF108" s="165">
        <f t="shared" si="118"/>
        <v>0</v>
      </c>
      <c r="AG108" s="165">
        <f t="shared" si="118"/>
        <v>0</v>
      </c>
      <c r="AH108" s="165">
        <f t="shared" si="118"/>
        <v>0</v>
      </c>
      <c r="AI108" s="165">
        <f t="shared" si="118"/>
        <v>0</v>
      </c>
      <c r="AJ108" s="165">
        <f t="shared" si="118"/>
        <v>0</v>
      </c>
      <c r="AK108" s="165">
        <f t="shared" si="118"/>
        <v>0</v>
      </c>
      <c r="AL108" s="165">
        <f t="shared" si="118"/>
        <v>0</v>
      </c>
      <c r="AM108" s="165">
        <f t="shared" si="118"/>
        <v>0</v>
      </c>
      <c r="AN108" s="165">
        <f t="shared" si="118"/>
        <v>0</v>
      </c>
      <c r="AO108" s="165">
        <f t="shared" si="118"/>
        <v>0</v>
      </c>
      <c r="AP108" s="165">
        <f t="shared" si="118"/>
        <v>0</v>
      </c>
      <c r="AQ108" s="165">
        <f t="shared" si="118"/>
        <v>0</v>
      </c>
      <c r="AR108" s="165">
        <f t="shared" si="118"/>
        <v>0</v>
      </c>
      <c r="AS108" s="165">
        <f t="shared" si="118"/>
        <v>0</v>
      </c>
      <c r="AT108" s="165">
        <f t="shared" si="118"/>
        <v>0</v>
      </c>
      <c r="AU108" s="165">
        <f t="shared" si="118"/>
        <v>0</v>
      </c>
      <c r="AV108" s="165">
        <f t="shared" si="118"/>
        <v>0</v>
      </c>
      <c r="AW108" s="165">
        <f t="shared" si="118"/>
        <v>0</v>
      </c>
      <c r="AX108" s="165">
        <f t="shared" si="118"/>
        <v>0</v>
      </c>
      <c r="AY108" s="165">
        <f t="shared" si="118"/>
        <v>0</v>
      </c>
      <c r="AZ108" s="165">
        <f t="shared" si="118"/>
        <v>0</v>
      </c>
      <c r="BA108" s="165">
        <f t="shared" si="118"/>
        <v>0</v>
      </c>
      <c r="BB108" s="165">
        <f t="shared" si="118"/>
        <v>0</v>
      </c>
      <c r="BC108" s="165">
        <f t="shared" si="118"/>
        <v>0</v>
      </c>
      <c r="BD108" s="165">
        <f t="shared" si="118"/>
        <v>0</v>
      </c>
      <c r="BE108" s="165">
        <f t="shared" si="118"/>
        <v>0</v>
      </c>
      <c r="BF108" s="165">
        <f t="shared" si="118"/>
        <v>0</v>
      </c>
      <c r="BG108" s="165">
        <f t="shared" si="118"/>
        <v>0</v>
      </c>
      <c r="BH108" s="165">
        <f t="shared" si="118"/>
        <v>0</v>
      </c>
      <c r="BI108" s="165">
        <f t="shared" si="118"/>
        <v>57.863519438432313</v>
      </c>
      <c r="BJ108" s="165">
        <f t="shared" si="118"/>
        <v>140.63828505478878</v>
      </c>
      <c r="BK108" s="165">
        <f t="shared" si="118"/>
        <v>706.94896642496406</v>
      </c>
      <c r="BL108" s="165">
        <f t="shared" si="118"/>
        <v>1333.7873467710508</v>
      </c>
      <c r="BM108" s="165">
        <f t="shared" si="118"/>
        <v>1444.3148003307269</v>
      </c>
      <c r="BN108" s="165">
        <f t="shared" si="118"/>
        <v>1234.2668064604557</v>
      </c>
      <c r="BO108" s="165">
        <f t="shared" si="118"/>
        <v>1413.1069094234535</v>
      </c>
      <c r="BP108" s="165">
        <f t="shared" si="118"/>
        <v>1502.1858046234672</v>
      </c>
      <c r="BQ108" s="165">
        <f t="shared" si="118"/>
        <v>1410.1800939511465</v>
      </c>
      <c r="BR108" s="165">
        <f t="shared" si="118"/>
        <v>1525.427517351703</v>
      </c>
      <c r="BS108" s="165">
        <f t="shared" si="118"/>
        <v>1689.9313163927172</v>
      </c>
      <c r="BT108" s="165">
        <f t="shared" si="118"/>
        <v>1236.3276388183981</v>
      </c>
      <c r="BU108" s="165">
        <f t="shared" si="118"/>
        <v>1330.1141409325519</v>
      </c>
      <c r="BV108" s="165">
        <f t="shared" ref="BV108:DY108" si="119">+SUM(BV102:BV107)</f>
        <v>1278.6773353068797</v>
      </c>
      <c r="BW108" s="165">
        <f t="shared" si="119"/>
        <v>1661.3025319686478</v>
      </c>
      <c r="BX108" s="165">
        <f t="shared" si="119"/>
        <v>1615.5165038764121</v>
      </c>
      <c r="BY108" s="165">
        <f t="shared" si="119"/>
        <v>1231.7639523224475</v>
      </c>
      <c r="BZ108" s="165">
        <f t="shared" ca="1" si="119"/>
        <v>2469.9772483417232</v>
      </c>
      <c r="CA108" s="165">
        <f t="shared" ca="1" si="119"/>
        <v>2208.9997825053943</v>
      </c>
      <c r="CB108" s="165">
        <f t="shared" ca="1" si="119"/>
        <v>2208.9997825053943</v>
      </c>
      <c r="CC108" s="165">
        <f t="shared" ca="1" si="119"/>
        <v>2208.9997825053943</v>
      </c>
      <c r="CD108" s="165">
        <f t="shared" ca="1" si="119"/>
        <v>2208.9997825053943</v>
      </c>
      <c r="CE108" s="165">
        <f t="shared" ca="1" si="119"/>
        <v>2208.9997825053943</v>
      </c>
      <c r="CF108" s="165">
        <f t="shared" ca="1" si="119"/>
        <v>2568.4209213230652</v>
      </c>
      <c r="CG108" s="165">
        <f t="shared" ca="1" si="119"/>
        <v>2619.7893397495268</v>
      </c>
      <c r="CH108" s="165">
        <f t="shared" ca="1" si="119"/>
        <v>2619.7893397495268</v>
      </c>
      <c r="CI108" s="165">
        <f t="shared" ca="1" si="119"/>
        <v>2619.7893397495268</v>
      </c>
      <c r="CJ108" s="165">
        <f t="shared" ca="1" si="119"/>
        <v>2619.7893397495268</v>
      </c>
      <c r="CK108" s="165">
        <f t="shared" ca="1" si="119"/>
        <v>2619.7893397495268</v>
      </c>
      <c r="CL108" s="165">
        <f t="shared" ca="1" si="119"/>
        <v>2619.7893397495268</v>
      </c>
      <c r="CM108" s="165">
        <f t="shared" ca="1" si="119"/>
        <v>2619.7893397495268</v>
      </c>
      <c r="CN108" s="165">
        <f t="shared" ca="1" si="119"/>
        <v>2619.7893397495268</v>
      </c>
      <c r="CO108" s="165">
        <f t="shared" ca="1" si="119"/>
        <v>2619.7893397495268</v>
      </c>
      <c r="CP108" s="165">
        <f t="shared" ca="1" si="119"/>
        <v>2619.7893397495268</v>
      </c>
      <c r="CQ108" s="165">
        <f t="shared" ca="1" si="119"/>
        <v>2619.7893397495268</v>
      </c>
      <c r="CR108" s="165">
        <f t="shared" ca="1" si="119"/>
        <v>2619.7893397495268</v>
      </c>
      <c r="CS108" s="165">
        <f t="shared" ca="1" si="119"/>
        <v>2619.7893397495268</v>
      </c>
      <c r="CT108" s="165">
        <f t="shared" ca="1" si="119"/>
        <v>2619.7893397495268</v>
      </c>
      <c r="CU108" s="165">
        <f t="shared" ca="1" si="119"/>
        <v>2619.7893397495268</v>
      </c>
      <c r="CV108" s="165">
        <f t="shared" ca="1" si="119"/>
        <v>2619.7893397495268</v>
      </c>
      <c r="CW108" s="165">
        <f t="shared" ca="1" si="119"/>
        <v>2619.7893397495268</v>
      </c>
      <c r="CX108" s="165">
        <f t="shared" ca="1" si="119"/>
        <v>2619.7893397495268</v>
      </c>
      <c r="CY108" s="165">
        <f t="shared" ca="1" si="119"/>
        <v>2619.7893397495268</v>
      </c>
      <c r="CZ108" s="165">
        <f t="shared" ca="1" si="119"/>
        <v>2619.7893397495268</v>
      </c>
      <c r="DA108" s="165">
        <f t="shared" ca="1" si="119"/>
        <v>2619.7893397495268</v>
      </c>
      <c r="DB108" s="165">
        <f t="shared" ca="1" si="119"/>
        <v>2619.7893397495268</v>
      </c>
      <c r="DC108" s="165">
        <f t="shared" ca="1" si="119"/>
        <v>2619.7893397495268</v>
      </c>
      <c r="DD108" s="165">
        <f t="shared" ca="1" si="119"/>
        <v>2619.7893397495268</v>
      </c>
      <c r="DE108" s="165">
        <f t="shared" ca="1" si="119"/>
        <v>2619.7893397495268</v>
      </c>
      <c r="DF108" s="165">
        <f t="shared" ca="1" si="119"/>
        <v>2619.7893397495268</v>
      </c>
      <c r="DG108" s="165">
        <f t="shared" ca="1" si="119"/>
        <v>2619.7893397495268</v>
      </c>
      <c r="DH108" s="165">
        <f t="shared" ca="1" si="119"/>
        <v>2619.7893397495268</v>
      </c>
      <c r="DI108" s="165">
        <f t="shared" ca="1" si="119"/>
        <v>2619.7893397495268</v>
      </c>
      <c r="DJ108" s="165">
        <f t="shared" ca="1" si="119"/>
        <v>2619.7893397495268</v>
      </c>
      <c r="DK108" s="165">
        <f t="shared" ca="1" si="119"/>
        <v>2619.7893397495268</v>
      </c>
      <c r="DL108" s="165">
        <f t="shared" ca="1" si="119"/>
        <v>2619.7893397495268</v>
      </c>
      <c r="DM108" s="165">
        <f t="shared" ca="1" si="119"/>
        <v>2619.7893397495268</v>
      </c>
      <c r="DN108" s="165">
        <f t="shared" ca="1" si="119"/>
        <v>2619.7893397495268</v>
      </c>
      <c r="DO108" s="165">
        <f t="shared" ca="1" si="119"/>
        <v>2619.7893397495268</v>
      </c>
      <c r="DP108" s="165">
        <f t="shared" ca="1" si="119"/>
        <v>2619.7893397495268</v>
      </c>
      <c r="DQ108" s="165">
        <f t="shared" ca="1" si="119"/>
        <v>2619.7893397495268</v>
      </c>
      <c r="DR108" s="165">
        <f t="shared" ca="1" si="119"/>
        <v>2619.7893397495268</v>
      </c>
      <c r="DS108" s="165">
        <f t="shared" ca="1" si="119"/>
        <v>2619.7893397495268</v>
      </c>
      <c r="DT108" s="165">
        <f t="shared" ca="1" si="119"/>
        <v>2619.7893397495268</v>
      </c>
      <c r="DU108" s="165">
        <f t="shared" ca="1" si="119"/>
        <v>2619.7893397495268</v>
      </c>
      <c r="DV108" s="165">
        <f t="shared" ca="1" si="119"/>
        <v>2619.7893397495268</v>
      </c>
      <c r="DW108" s="165">
        <f t="shared" ca="1" si="119"/>
        <v>2619.7893397495268</v>
      </c>
      <c r="DX108" s="165">
        <f t="shared" ca="1" si="119"/>
        <v>2619.7893397495268</v>
      </c>
      <c r="DY108" s="165">
        <f t="shared" ca="1" si="119"/>
        <v>2619.7893397495268</v>
      </c>
    </row>
    <row r="109" spans="1:129" s="3" customFormat="1" ht="11.7" customHeight="1" outlineLevel="1" x14ac:dyDescent="0.25">
      <c r="A109" s="85"/>
      <c r="B109" s="113" t="s">
        <v>774</v>
      </c>
      <c r="C109" s="113"/>
      <c r="D109" s="324">
        <f>+Inputs!$F$89/(1+Inputs!$L$126)</f>
        <v>0</v>
      </c>
      <c r="F109" s="127"/>
      <c r="G109" s="127"/>
      <c r="H109" s="312">
        <f t="shared" si="106"/>
        <v>22.327116782853196</v>
      </c>
      <c r="I109" s="1019">
        <v>0</v>
      </c>
      <c r="J109" s="1019">
        <v>0</v>
      </c>
      <c r="K109" s="1019">
        <v>0</v>
      </c>
      <c r="L109" s="1019">
        <v>0</v>
      </c>
      <c r="M109" s="1019">
        <v>0</v>
      </c>
      <c r="N109" s="1019">
        <v>0</v>
      </c>
      <c r="O109" s="1019">
        <v>0</v>
      </c>
      <c r="P109" s="1019">
        <v>0</v>
      </c>
      <c r="Q109" s="1019">
        <v>0</v>
      </c>
      <c r="R109" s="1019">
        <v>0</v>
      </c>
      <c r="S109" s="1019">
        <v>0</v>
      </c>
      <c r="T109" s="1019">
        <v>0</v>
      </c>
      <c r="U109" s="1019">
        <v>0</v>
      </c>
      <c r="V109" s="1019">
        <v>0</v>
      </c>
      <c r="W109" s="1019">
        <v>0</v>
      </c>
      <c r="X109" s="1019">
        <v>0</v>
      </c>
      <c r="Y109" s="1019">
        <v>0</v>
      </c>
      <c r="Z109" s="1019">
        <v>0</v>
      </c>
      <c r="AA109" s="1019">
        <v>0</v>
      </c>
      <c r="AB109" s="1019">
        <v>0</v>
      </c>
      <c r="AC109" s="1019">
        <v>0</v>
      </c>
      <c r="AD109" s="1019">
        <v>0</v>
      </c>
      <c r="AE109" s="1019">
        <v>0</v>
      </c>
      <c r="AF109" s="1019">
        <v>0</v>
      </c>
      <c r="AG109" s="1019">
        <v>0</v>
      </c>
      <c r="AH109" s="1019">
        <v>0</v>
      </c>
      <c r="AI109" s="1019">
        <v>0</v>
      </c>
      <c r="AJ109" s="1019">
        <v>0</v>
      </c>
      <c r="AK109" s="1019">
        <v>0</v>
      </c>
      <c r="AL109" s="1019">
        <v>0</v>
      </c>
      <c r="AM109" s="1019">
        <v>0</v>
      </c>
      <c r="AN109" s="1019">
        <v>0</v>
      </c>
      <c r="AO109" s="1019">
        <v>0</v>
      </c>
      <c r="AP109" s="1019">
        <v>0</v>
      </c>
      <c r="AQ109" s="1019">
        <v>0</v>
      </c>
      <c r="AR109" s="1019">
        <v>0</v>
      </c>
      <c r="AS109" s="1019">
        <v>0</v>
      </c>
      <c r="AT109" s="1019">
        <v>0</v>
      </c>
      <c r="AU109" s="1019">
        <v>0</v>
      </c>
      <c r="AV109" s="1019">
        <v>0</v>
      </c>
      <c r="AW109" s="1019">
        <v>0</v>
      </c>
      <c r="AX109" s="1019">
        <v>0</v>
      </c>
      <c r="AY109" s="1019">
        <v>0</v>
      </c>
      <c r="AZ109" s="1019">
        <v>0</v>
      </c>
      <c r="BA109" s="1019">
        <v>0</v>
      </c>
      <c r="BB109" s="1019">
        <v>0</v>
      </c>
      <c r="BC109" s="1019">
        <v>0</v>
      </c>
      <c r="BD109" s="1019">
        <v>0</v>
      </c>
      <c r="BE109" s="1019">
        <v>0</v>
      </c>
      <c r="BF109" s="1019">
        <v>0</v>
      </c>
      <c r="BG109" s="1019">
        <v>0</v>
      </c>
      <c r="BH109" s="1019">
        <f>+$D$109*BH91*(BH102&gt;0)</f>
        <v>0</v>
      </c>
      <c r="BI109" s="1019">
        <v>0</v>
      </c>
      <c r="BJ109" s="1019">
        <v>0</v>
      </c>
      <c r="BK109" s="1019">
        <v>0</v>
      </c>
      <c r="BL109" s="1019">
        <v>0</v>
      </c>
      <c r="BM109" s="1019">
        <v>0</v>
      </c>
      <c r="BN109" s="1019">
        <v>0</v>
      </c>
      <c r="BO109" s="1019">
        <v>0</v>
      </c>
      <c r="BP109" s="1019">
        <v>0</v>
      </c>
      <c r="BQ109" s="1019">
        <v>0</v>
      </c>
      <c r="BR109" s="1019">
        <v>0</v>
      </c>
      <c r="BS109" s="1019">
        <f>23315/BS99</f>
        <v>0.66974416720767094</v>
      </c>
      <c r="BT109" s="1019">
        <v>0</v>
      </c>
      <c r="BU109" s="1019">
        <f>37812/BU99</f>
        <v>1.0769280720731804</v>
      </c>
      <c r="BV109" s="1019">
        <f>730805/BV99</f>
        <v>20.580444543572344</v>
      </c>
      <c r="BW109" s="1019">
        <v>0</v>
      </c>
      <c r="BX109" s="1019">
        <v>0</v>
      </c>
      <c r="BY109" s="1019">
        <v>0</v>
      </c>
      <c r="BZ109" s="14">
        <f t="shared" ref="BZ109:CU109" si="120">+$D$109*BZ91*(BZ102&gt;0)</f>
        <v>0</v>
      </c>
      <c r="CA109" s="14">
        <f t="shared" si="120"/>
        <v>0</v>
      </c>
      <c r="CB109" s="14">
        <f t="shared" si="120"/>
        <v>0</v>
      </c>
      <c r="CC109" s="14">
        <f t="shared" si="120"/>
        <v>0</v>
      </c>
      <c r="CD109" s="14">
        <f t="shared" si="120"/>
        <v>0</v>
      </c>
      <c r="CE109" s="14">
        <f t="shared" si="120"/>
        <v>0</v>
      </c>
      <c r="CF109" s="14">
        <f t="shared" si="120"/>
        <v>0</v>
      </c>
      <c r="CG109" s="14">
        <f t="shared" si="120"/>
        <v>0</v>
      </c>
      <c r="CH109" s="14">
        <f t="shared" si="120"/>
        <v>0</v>
      </c>
      <c r="CI109" s="14">
        <f t="shared" si="120"/>
        <v>0</v>
      </c>
      <c r="CJ109" s="14">
        <f t="shared" si="120"/>
        <v>0</v>
      </c>
      <c r="CK109" s="14">
        <f t="shared" si="120"/>
        <v>0</v>
      </c>
      <c r="CL109" s="14">
        <f t="shared" si="120"/>
        <v>0</v>
      </c>
      <c r="CM109" s="14">
        <f t="shared" si="120"/>
        <v>0</v>
      </c>
      <c r="CN109" s="14">
        <f t="shared" si="120"/>
        <v>0</v>
      </c>
      <c r="CO109" s="14">
        <f t="shared" si="120"/>
        <v>0</v>
      </c>
      <c r="CP109" s="14">
        <f t="shared" si="120"/>
        <v>0</v>
      </c>
      <c r="CQ109" s="14">
        <f t="shared" si="120"/>
        <v>0</v>
      </c>
      <c r="CR109" s="14">
        <f t="shared" si="120"/>
        <v>0</v>
      </c>
      <c r="CS109" s="14">
        <f t="shared" si="120"/>
        <v>0</v>
      </c>
      <c r="CT109" s="14">
        <f t="shared" si="120"/>
        <v>0</v>
      </c>
      <c r="CU109" s="14">
        <f t="shared" si="120"/>
        <v>0</v>
      </c>
      <c r="CV109" s="14">
        <f t="shared" ref="CV109:DY109" si="121">+$D$109*CV91*(CV102&gt;0)</f>
        <v>0</v>
      </c>
      <c r="CW109" s="14">
        <f t="shared" si="121"/>
        <v>0</v>
      </c>
      <c r="CX109" s="14">
        <f t="shared" si="121"/>
        <v>0</v>
      </c>
      <c r="CY109" s="14">
        <f t="shared" si="121"/>
        <v>0</v>
      </c>
      <c r="CZ109" s="14">
        <f t="shared" si="121"/>
        <v>0</v>
      </c>
      <c r="DA109" s="14">
        <f t="shared" si="121"/>
        <v>0</v>
      </c>
      <c r="DB109" s="14">
        <f t="shared" si="121"/>
        <v>0</v>
      </c>
      <c r="DC109" s="14">
        <f t="shared" si="121"/>
        <v>0</v>
      </c>
      <c r="DD109" s="14">
        <f t="shared" si="121"/>
        <v>0</v>
      </c>
      <c r="DE109" s="14">
        <f t="shared" si="121"/>
        <v>0</v>
      </c>
      <c r="DF109" s="14">
        <f t="shared" si="121"/>
        <v>0</v>
      </c>
      <c r="DG109" s="14">
        <f t="shared" si="121"/>
        <v>0</v>
      </c>
      <c r="DH109" s="14">
        <f t="shared" si="121"/>
        <v>0</v>
      </c>
      <c r="DI109" s="14">
        <f t="shared" si="121"/>
        <v>0</v>
      </c>
      <c r="DJ109" s="14">
        <f t="shared" si="121"/>
        <v>0</v>
      </c>
      <c r="DK109" s="14">
        <f t="shared" si="121"/>
        <v>0</v>
      </c>
      <c r="DL109" s="14">
        <f t="shared" si="121"/>
        <v>0</v>
      </c>
      <c r="DM109" s="14">
        <f t="shared" si="121"/>
        <v>0</v>
      </c>
      <c r="DN109" s="14">
        <f t="shared" si="121"/>
        <v>0</v>
      </c>
      <c r="DO109" s="14">
        <f t="shared" si="121"/>
        <v>0</v>
      </c>
      <c r="DP109" s="14">
        <f t="shared" si="121"/>
        <v>0</v>
      </c>
      <c r="DQ109" s="14">
        <f t="shared" si="121"/>
        <v>0</v>
      </c>
      <c r="DR109" s="14">
        <f t="shared" si="121"/>
        <v>0</v>
      </c>
      <c r="DS109" s="14">
        <f t="shared" si="121"/>
        <v>0</v>
      </c>
      <c r="DT109" s="14">
        <f t="shared" si="121"/>
        <v>0</v>
      </c>
      <c r="DU109" s="14">
        <f t="shared" si="121"/>
        <v>0</v>
      </c>
      <c r="DV109" s="14">
        <f t="shared" si="121"/>
        <v>0</v>
      </c>
      <c r="DW109" s="14">
        <f t="shared" si="121"/>
        <v>0</v>
      </c>
      <c r="DX109" s="14">
        <f t="shared" si="121"/>
        <v>0</v>
      </c>
      <c r="DY109" s="14">
        <f t="shared" si="121"/>
        <v>0</v>
      </c>
    </row>
    <row r="110" spans="1:129" s="3" customFormat="1" ht="11.7" customHeight="1" outlineLevel="1" x14ac:dyDescent="0.3">
      <c r="A110" s="85"/>
      <c r="B110" s="113" t="s">
        <v>767</v>
      </c>
      <c r="C110" s="113"/>
      <c r="D110" s="1086"/>
      <c r="F110" s="127"/>
      <c r="G110" s="127"/>
      <c r="H110" s="312">
        <f t="shared" ca="1" si="106"/>
        <v>0</v>
      </c>
      <c r="I110" s="1019">
        <v>0</v>
      </c>
      <c r="J110" s="1019">
        <v>0</v>
      </c>
      <c r="K110" s="1019">
        <v>0</v>
      </c>
      <c r="L110" s="1019">
        <v>0</v>
      </c>
      <c r="M110" s="1019">
        <v>0</v>
      </c>
      <c r="N110" s="1019">
        <v>0</v>
      </c>
      <c r="O110" s="1019">
        <v>0</v>
      </c>
      <c r="P110" s="1019">
        <v>0</v>
      </c>
      <c r="Q110" s="1019">
        <v>0</v>
      </c>
      <c r="R110" s="1019">
        <v>0</v>
      </c>
      <c r="S110" s="1019">
        <v>0</v>
      </c>
      <c r="T110" s="1019">
        <v>0</v>
      </c>
      <c r="U110" s="1019">
        <v>0</v>
      </c>
      <c r="V110" s="1019">
        <v>0</v>
      </c>
      <c r="W110" s="1019">
        <v>0</v>
      </c>
      <c r="X110" s="1019">
        <v>0</v>
      </c>
      <c r="Y110" s="1019">
        <v>0</v>
      </c>
      <c r="Z110" s="1019">
        <v>0</v>
      </c>
      <c r="AA110" s="1019">
        <v>0</v>
      </c>
      <c r="AB110" s="1019">
        <v>0</v>
      </c>
      <c r="AC110" s="1019">
        <v>0</v>
      </c>
      <c r="AD110" s="1019">
        <v>0</v>
      </c>
      <c r="AE110" s="1019">
        <v>0</v>
      </c>
      <c r="AF110" s="1019">
        <v>0</v>
      </c>
      <c r="AG110" s="1019">
        <v>0</v>
      </c>
      <c r="AH110" s="1019">
        <v>0</v>
      </c>
      <c r="AI110" s="1019">
        <v>0</v>
      </c>
      <c r="AJ110" s="1019">
        <v>0</v>
      </c>
      <c r="AK110" s="1019">
        <v>0</v>
      </c>
      <c r="AL110" s="1019">
        <v>0</v>
      </c>
      <c r="AM110" s="1019">
        <v>0</v>
      </c>
      <c r="AN110" s="1019">
        <v>0</v>
      </c>
      <c r="AO110" s="1019">
        <v>0</v>
      </c>
      <c r="AP110" s="1019">
        <v>0</v>
      </c>
      <c r="AQ110" s="1019">
        <v>0</v>
      </c>
      <c r="AR110" s="1019">
        <v>0</v>
      </c>
      <c r="AS110" s="1019">
        <v>0</v>
      </c>
      <c r="AT110" s="1019">
        <v>0</v>
      </c>
      <c r="AU110" s="1019">
        <v>0</v>
      </c>
      <c r="AV110" s="1019">
        <v>0</v>
      </c>
      <c r="AW110" s="1019">
        <v>0</v>
      </c>
      <c r="AX110" s="1019">
        <v>0</v>
      </c>
      <c r="AY110" s="1019">
        <v>0</v>
      </c>
      <c r="AZ110" s="1019">
        <v>0</v>
      </c>
      <c r="BA110" s="1019">
        <v>0</v>
      </c>
      <c r="BB110" s="1019">
        <v>0</v>
      </c>
      <c r="BC110" s="1019">
        <v>0</v>
      </c>
      <c r="BD110" s="1019">
        <v>0</v>
      </c>
      <c r="BE110" s="1019">
        <v>0</v>
      </c>
      <c r="BF110" s="1019">
        <v>0</v>
      </c>
      <c r="BG110" s="1019">
        <v>0</v>
      </c>
      <c r="BH110" s="1019">
        <v>0</v>
      </c>
      <c r="BI110" s="1019">
        <v>0</v>
      </c>
      <c r="BJ110" s="1019">
        <v>0</v>
      </c>
      <c r="BK110" s="1019">
        <v>0</v>
      </c>
      <c r="BL110" s="1019">
        <v>0</v>
      </c>
      <c r="BM110" s="1019">
        <v>0</v>
      </c>
      <c r="BN110" s="1019">
        <v>0</v>
      </c>
      <c r="BO110" s="1019">
        <v>0</v>
      </c>
      <c r="BP110" s="1019">
        <v>0</v>
      </c>
      <c r="BQ110" s="1019">
        <v>0</v>
      </c>
      <c r="BR110" s="1019">
        <v>0</v>
      </c>
      <c r="BS110" s="1019">
        <v>0</v>
      </c>
      <c r="BT110" s="1019">
        <v>0</v>
      </c>
      <c r="BU110" s="1019">
        <v>0</v>
      </c>
      <c r="BV110" s="1019">
        <v>0</v>
      </c>
      <c r="BW110" s="1019">
        <v>0</v>
      </c>
      <c r="BX110" s="1019">
        <v>0</v>
      </c>
      <c r="BY110" s="1019">
        <v>0</v>
      </c>
      <c r="BZ110" s="14">
        <f t="shared" ref="BZ110:CU110" ca="1" si="122">-BZ109*BZ84</f>
        <v>0</v>
      </c>
      <c r="CA110" s="14">
        <f t="shared" ca="1" si="122"/>
        <v>0</v>
      </c>
      <c r="CB110" s="14">
        <f t="shared" ca="1" si="122"/>
        <v>0</v>
      </c>
      <c r="CC110" s="14">
        <f t="shared" ca="1" si="122"/>
        <v>0</v>
      </c>
      <c r="CD110" s="14">
        <f t="shared" ca="1" si="122"/>
        <v>0</v>
      </c>
      <c r="CE110" s="14">
        <f t="shared" ca="1" si="122"/>
        <v>0</v>
      </c>
      <c r="CF110" s="14">
        <f t="shared" ca="1" si="122"/>
        <v>0</v>
      </c>
      <c r="CG110" s="14">
        <f t="shared" ca="1" si="122"/>
        <v>0</v>
      </c>
      <c r="CH110" s="14">
        <f t="shared" ca="1" si="122"/>
        <v>0</v>
      </c>
      <c r="CI110" s="14">
        <f t="shared" ca="1" si="122"/>
        <v>0</v>
      </c>
      <c r="CJ110" s="14">
        <f t="shared" ca="1" si="122"/>
        <v>0</v>
      </c>
      <c r="CK110" s="14">
        <f t="shared" ca="1" si="122"/>
        <v>0</v>
      </c>
      <c r="CL110" s="14">
        <f t="shared" ca="1" si="122"/>
        <v>0</v>
      </c>
      <c r="CM110" s="14">
        <f t="shared" ca="1" si="122"/>
        <v>0</v>
      </c>
      <c r="CN110" s="14">
        <f t="shared" ca="1" si="122"/>
        <v>0</v>
      </c>
      <c r="CO110" s="14">
        <f t="shared" ca="1" si="122"/>
        <v>0</v>
      </c>
      <c r="CP110" s="14">
        <f t="shared" ca="1" si="122"/>
        <v>0</v>
      </c>
      <c r="CQ110" s="14">
        <f t="shared" ca="1" si="122"/>
        <v>0</v>
      </c>
      <c r="CR110" s="14">
        <f t="shared" ca="1" si="122"/>
        <v>0</v>
      </c>
      <c r="CS110" s="14">
        <f t="shared" ca="1" si="122"/>
        <v>0</v>
      </c>
      <c r="CT110" s="14">
        <f t="shared" ca="1" si="122"/>
        <v>0</v>
      </c>
      <c r="CU110" s="14">
        <f t="shared" ca="1" si="122"/>
        <v>0</v>
      </c>
      <c r="CV110" s="14">
        <f t="shared" ref="CV110:DY110" ca="1" si="123">-CV109*CV84</f>
        <v>0</v>
      </c>
      <c r="CW110" s="14">
        <f t="shared" ca="1" si="123"/>
        <v>0</v>
      </c>
      <c r="CX110" s="14">
        <f t="shared" ca="1" si="123"/>
        <v>0</v>
      </c>
      <c r="CY110" s="14">
        <f t="shared" ca="1" si="123"/>
        <v>0</v>
      </c>
      <c r="CZ110" s="14">
        <f t="shared" ca="1" si="123"/>
        <v>0</v>
      </c>
      <c r="DA110" s="14">
        <f t="shared" ca="1" si="123"/>
        <v>0</v>
      </c>
      <c r="DB110" s="14">
        <f t="shared" ca="1" si="123"/>
        <v>0</v>
      </c>
      <c r="DC110" s="14">
        <f t="shared" ca="1" si="123"/>
        <v>0</v>
      </c>
      <c r="DD110" s="14">
        <f t="shared" ca="1" si="123"/>
        <v>0</v>
      </c>
      <c r="DE110" s="14">
        <f t="shared" ca="1" si="123"/>
        <v>0</v>
      </c>
      <c r="DF110" s="14">
        <f t="shared" ca="1" si="123"/>
        <v>0</v>
      </c>
      <c r="DG110" s="14">
        <f t="shared" ca="1" si="123"/>
        <v>0</v>
      </c>
      <c r="DH110" s="14">
        <f t="shared" ca="1" si="123"/>
        <v>0</v>
      </c>
      <c r="DI110" s="14">
        <f t="shared" ca="1" si="123"/>
        <v>0</v>
      </c>
      <c r="DJ110" s="14">
        <f t="shared" ca="1" si="123"/>
        <v>0</v>
      </c>
      <c r="DK110" s="14">
        <f t="shared" ca="1" si="123"/>
        <v>0</v>
      </c>
      <c r="DL110" s="14">
        <f t="shared" ca="1" si="123"/>
        <v>0</v>
      </c>
      <c r="DM110" s="14">
        <f t="shared" ca="1" si="123"/>
        <v>0</v>
      </c>
      <c r="DN110" s="14">
        <f t="shared" ca="1" si="123"/>
        <v>0</v>
      </c>
      <c r="DO110" s="14">
        <f t="shared" ca="1" si="123"/>
        <v>0</v>
      </c>
      <c r="DP110" s="14">
        <f t="shared" ca="1" si="123"/>
        <v>0</v>
      </c>
      <c r="DQ110" s="14">
        <f t="shared" ca="1" si="123"/>
        <v>0</v>
      </c>
      <c r="DR110" s="14">
        <f t="shared" ca="1" si="123"/>
        <v>0</v>
      </c>
      <c r="DS110" s="14">
        <f t="shared" ca="1" si="123"/>
        <v>0</v>
      </c>
      <c r="DT110" s="14">
        <f t="shared" ca="1" si="123"/>
        <v>0</v>
      </c>
      <c r="DU110" s="14">
        <f t="shared" ca="1" si="123"/>
        <v>0</v>
      </c>
      <c r="DV110" s="14">
        <f t="shared" ca="1" si="123"/>
        <v>0</v>
      </c>
      <c r="DW110" s="14">
        <f t="shared" ca="1" si="123"/>
        <v>0</v>
      </c>
      <c r="DX110" s="14">
        <f t="shared" ca="1" si="123"/>
        <v>0</v>
      </c>
      <c r="DY110" s="14">
        <f t="shared" ca="1" si="123"/>
        <v>0</v>
      </c>
    </row>
    <row r="111" spans="1:129" s="3" customFormat="1" ht="11.7" customHeight="1" outlineLevel="1" x14ac:dyDescent="0.3">
      <c r="A111" s="85"/>
      <c r="B111" s="1087" t="s">
        <v>642</v>
      </c>
      <c r="C111" s="1087"/>
      <c r="D111" s="1086"/>
      <c r="F111" s="127"/>
      <c r="G111" s="127"/>
      <c r="H111" s="312">
        <f t="shared" ca="1" si="106"/>
        <v>22.327116782853196</v>
      </c>
      <c r="I111" s="165">
        <f>+SUM(I109:I110)</f>
        <v>0</v>
      </c>
      <c r="J111" s="165">
        <f t="shared" ref="J111:BU111" si="124">+SUM(J109:J110)</f>
        <v>0</v>
      </c>
      <c r="K111" s="165">
        <f t="shared" si="124"/>
        <v>0</v>
      </c>
      <c r="L111" s="165">
        <f t="shared" si="124"/>
        <v>0</v>
      </c>
      <c r="M111" s="165">
        <f t="shared" si="124"/>
        <v>0</v>
      </c>
      <c r="N111" s="165">
        <f t="shared" si="124"/>
        <v>0</v>
      </c>
      <c r="O111" s="165">
        <f t="shared" si="124"/>
        <v>0</v>
      </c>
      <c r="P111" s="165">
        <f t="shared" si="124"/>
        <v>0</v>
      </c>
      <c r="Q111" s="165">
        <f t="shared" si="124"/>
        <v>0</v>
      </c>
      <c r="R111" s="165">
        <f t="shared" si="124"/>
        <v>0</v>
      </c>
      <c r="S111" s="165">
        <f t="shared" si="124"/>
        <v>0</v>
      </c>
      <c r="T111" s="165">
        <f t="shared" si="124"/>
        <v>0</v>
      </c>
      <c r="U111" s="165">
        <f t="shared" si="124"/>
        <v>0</v>
      </c>
      <c r="V111" s="165">
        <f t="shared" si="124"/>
        <v>0</v>
      </c>
      <c r="W111" s="165">
        <f t="shared" si="124"/>
        <v>0</v>
      </c>
      <c r="X111" s="165">
        <f t="shared" si="124"/>
        <v>0</v>
      </c>
      <c r="Y111" s="165">
        <f t="shared" si="124"/>
        <v>0</v>
      </c>
      <c r="Z111" s="165">
        <f t="shared" si="124"/>
        <v>0</v>
      </c>
      <c r="AA111" s="165">
        <f t="shared" si="124"/>
        <v>0</v>
      </c>
      <c r="AB111" s="165">
        <f t="shared" si="124"/>
        <v>0</v>
      </c>
      <c r="AC111" s="165">
        <f t="shared" si="124"/>
        <v>0</v>
      </c>
      <c r="AD111" s="165">
        <f t="shared" si="124"/>
        <v>0</v>
      </c>
      <c r="AE111" s="165">
        <f t="shared" si="124"/>
        <v>0</v>
      </c>
      <c r="AF111" s="165">
        <f t="shared" si="124"/>
        <v>0</v>
      </c>
      <c r="AG111" s="165">
        <f t="shared" si="124"/>
        <v>0</v>
      </c>
      <c r="AH111" s="165">
        <f t="shared" si="124"/>
        <v>0</v>
      </c>
      <c r="AI111" s="165">
        <f t="shared" si="124"/>
        <v>0</v>
      </c>
      <c r="AJ111" s="165">
        <f t="shared" si="124"/>
        <v>0</v>
      </c>
      <c r="AK111" s="165">
        <f t="shared" si="124"/>
        <v>0</v>
      </c>
      <c r="AL111" s="165">
        <f t="shared" si="124"/>
        <v>0</v>
      </c>
      <c r="AM111" s="165">
        <f t="shared" si="124"/>
        <v>0</v>
      </c>
      <c r="AN111" s="165">
        <f t="shared" si="124"/>
        <v>0</v>
      </c>
      <c r="AO111" s="165">
        <f t="shared" si="124"/>
        <v>0</v>
      </c>
      <c r="AP111" s="165">
        <f t="shared" si="124"/>
        <v>0</v>
      </c>
      <c r="AQ111" s="165">
        <f t="shared" si="124"/>
        <v>0</v>
      </c>
      <c r="AR111" s="165">
        <f t="shared" si="124"/>
        <v>0</v>
      </c>
      <c r="AS111" s="165">
        <f t="shared" si="124"/>
        <v>0</v>
      </c>
      <c r="AT111" s="165">
        <f t="shared" si="124"/>
        <v>0</v>
      </c>
      <c r="AU111" s="165">
        <f t="shared" si="124"/>
        <v>0</v>
      </c>
      <c r="AV111" s="165">
        <f t="shared" si="124"/>
        <v>0</v>
      </c>
      <c r="AW111" s="165">
        <f t="shared" si="124"/>
        <v>0</v>
      </c>
      <c r="AX111" s="165">
        <f t="shared" si="124"/>
        <v>0</v>
      </c>
      <c r="AY111" s="165">
        <f t="shared" si="124"/>
        <v>0</v>
      </c>
      <c r="AZ111" s="165">
        <f t="shared" si="124"/>
        <v>0</v>
      </c>
      <c r="BA111" s="165">
        <f t="shared" si="124"/>
        <v>0</v>
      </c>
      <c r="BB111" s="165">
        <f t="shared" si="124"/>
        <v>0</v>
      </c>
      <c r="BC111" s="165">
        <f t="shared" si="124"/>
        <v>0</v>
      </c>
      <c r="BD111" s="165">
        <f t="shared" si="124"/>
        <v>0</v>
      </c>
      <c r="BE111" s="165">
        <f t="shared" si="124"/>
        <v>0</v>
      </c>
      <c r="BF111" s="165">
        <f t="shared" si="124"/>
        <v>0</v>
      </c>
      <c r="BG111" s="165">
        <f t="shared" si="124"/>
        <v>0</v>
      </c>
      <c r="BH111" s="165">
        <f t="shared" si="124"/>
        <v>0</v>
      </c>
      <c r="BI111" s="165">
        <f t="shared" si="124"/>
        <v>0</v>
      </c>
      <c r="BJ111" s="165">
        <f t="shared" si="124"/>
        <v>0</v>
      </c>
      <c r="BK111" s="165">
        <f t="shared" si="124"/>
        <v>0</v>
      </c>
      <c r="BL111" s="165">
        <f t="shared" si="124"/>
        <v>0</v>
      </c>
      <c r="BM111" s="165">
        <f t="shared" si="124"/>
        <v>0</v>
      </c>
      <c r="BN111" s="165">
        <f t="shared" si="124"/>
        <v>0</v>
      </c>
      <c r="BO111" s="165">
        <f t="shared" si="124"/>
        <v>0</v>
      </c>
      <c r="BP111" s="165">
        <f t="shared" ref="BP111" si="125">+SUM(BP109:BP110)</f>
        <v>0</v>
      </c>
      <c r="BQ111" s="165">
        <f t="shared" si="124"/>
        <v>0</v>
      </c>
      <c r="BR111" s="165">
        <f t="shared" si="124"/>
        <v>0</v>
      </c>
      <c r="BS111" s="165">
        <f t="shared" si="124"/>
        <v>0.66974416720767094</v>
      </c>
      <c r="BT111" s="165">
        <f t="shared" si="124"/>
        <v>0</v>
      </c>
      <c r="BU111" s="165">
        <f t="shared" si="124"/>
        <v>1.0769280720731804</v>
      </c>
      <c r="BV111" s="165">
        <f>+SUM(BV109:BV110)</f>
        <v>20.580444543572344</v>
      </c>
      <c r="BW111" s="165">
        <f t="shared" ref="BW111:DY111" si="126">+SUM(BW109:BW110)</f>
        <v>0</v>
      </c>
      <c r="BX111" s="165">
        <f t="shared" si="126"/>
        <v>0</v>
      </c>
      <c r="BY111" s="165">
        <f t="shared" si="126"/>
        <v>0</v>
      </c>
      <c r="BZ111" s="165">
        <f t="shared" ca="1" si="126"/>
        <v>0</v>
      </c>
      <c r="CA111" s="165">
        <f t="shared" ca="1" si="126"/>
        <v>0</v>
      </c>
      <c r="CB111" s="165">
        <f t="shared" ca="1" si="126"/>
        <v>0</v>
      </c>
      <c r="CC111" s="165">
        <f t="shared" ca="1" si="126"/>
        <v>0</v>
      </c>
      <c r="CD111" s="165">
        <f t="shared" ca="1" si="126"/>
        <v>0</v>
      </c>
      <c r="CE111" s="165">
        <f t="shared" ca="1" si="126"/>
        <v>0</v>
      </c>
      <c r="CF111" s="165">
        <f t="shared" ca="1" si="126"/>
        <v>0</v>
      </c>
      <c r="CG111" s="165">
        <f t="shared" ca="1" si="126"/>
        <v>0</v>
      </c>
      <c r="CH111" s="165">
        <f t="shared" ca="1" si="126"/>
        <v>0</v>
      </c>
      <c r="CI111" s="165">
        <f t="shared" ca="1" si="126"/>
        <v>0</v>
      </c>
      <c r="CJ111" s="165">
        <f t="shared" ca="1" si="126"/>
        <v>0</v>
      </c>
      <c r="CK111" s="165">
        <f t="shared" ca="1" si="126"/>
        <v>0</v>
      </c>
      <c r="CL111" s="165">
        <f t="shared" ca="1" si="126"/>
        <v>0</v>
      </c>
      <c r="CM111" s="165">
        <f t="shared" ca="1" si="126"/>
        <v>0</v>
      </c>
      <c r="CN111" s="165">
        <f t="shared" ca="1" si="126"/>
        <v>0</v>
      </c>
      <c r="CO111" s="165">
        <f t="shared" ca="1" si="126"/>
        <v>0</v>
      </c>
      <c r="CP111" s="165">
        <f t="shared" ca="1" si="126"/>
        <v>0</v>
      </c>
      <c r="CQ111" s="165">
        <f t="shared" ca="1" si="126"/>
        <v>0</v>
      </c>
      <c r="CR111" s="165">
        <f t="shared" ca="1" si="126"/>
        <v>0</v>
      </c>
      <c r="CS111" s="165">
        <f t="shared" ca="1" si="126"/>
        <v>0</v>
      </c>
      <c r="CT111" s="165">
        <f t="shared" ca="1" si="126"/>
        <v>0</v>
      </c>
      <c r="CU111" s="165">
        <f t="shared" ca="1" si="126"/>
        <v>0</v>
      </c>
      <c r="CV111" s="165">
        <f t="shared" ca="1" si="126"/>
        <v>0</v>
      </c>
      <c r="CW111" s="165">
        <f t="shared" ca="1" si="126"/>
        <v>0</v>
      </c>
      <c r="CX111" s="165">
        <f t="shared" ca="1" si="126"/>
        <v>0</v>
      </c>
      <c r="CY111" s="165">
        <f t="shared" ca="1" si="126"/>
        <v>0</v>
      </c>
      <c r="CZ111" s="165">
        <f t="shared" ca="1" si="126"/>
        <v>0</v>
      </c>
      <c r="DA111" s="165">
        <f t="shared" ca="1" si="126"/>
        <v>0</v>
      </c>
      <c r="DB111" s="165">
        <f t="shared" ca="1" si="126"/>
        <v>0</v>
      </c>
      <c r="DC111" s="165">
        <f t="shared" ca="1" si="126"/>
        <v>0</v>
      </c>
      <c r="DD111" s="165">
        <f t="shared" ca="1" si="126"/>
        <v>0</v>
      </c>
      <c r="DE111" s="165">
        <f t="shared" ca="1" si="126"/>
        <v>0</v>
      </c>
      <c r="DF111" s="165">
        <f t="shared" ca="1" si="126"/>
        <v>0</v>
      </c>
      <c r="DG111" s="165">
        <f t="shared" ca="1" si="126"/>
        <v>0</v>
      </c>
      <c r="DH111" s="165">
        <f t="shared" ca="1" si="126"/>
        <v>0</v>
      </c>
      <c r="DI111" s="165">
        <f t="shared" ca="1" si="126"/>
        <v>0</v>
      </c>
      <c r="DJ111" s="165">
        <f t="shared" ca="1" si="126"/>
        <v>0</v>
      </c>
      <c r="DK111" s="165">
        <f t="shared" ca="1" si="126"/>
        <v>0</v>
      </c>
      <c r="DL111" s="165">
        <f t="shared" ca="1" si="126"/>
        <v>0</v>
      </c>
      <c r="DM111" s="165">
        <f t="shared" ca="1" si="126"/>
        <v>0</v>
      </c>
      <c r="DN111" s="165">
        <f t="shared" ca="1" si="126"/>
        <v>0</v>
      </c>
      <c r="DO111" s="165">
        <f t="shared" ca="1" si="126"/>
        <v>0</v>
      </c>
      <c r="DP111" s="165">
        <f t="shared" ca="1" si="126"/>
        <v>0</v>
      </c>
      <c r="DQ111" s="165">
        <f t="shared" ca="1" si="126"/>
        <v>0</v>
      </c>
      <c r="DR111" s="165">
        <f t="shared" ca="1" si="126"/>
        <v>0</v>
      </c>
      <c r="DS111" s="165">
        <f t="shared" ca="1" si="126"/>
        <v>0</v>
      </c>
      <c r="DT111" s="165">
        <f t="shared" ca="1" si="126"/>
        <v>0</v>
      </c>
      <c r="DU111" s="165">
        <f t="shared" ca="1" si="126"/>
        <v>0</v>
      </c>
      <c r="DV111" s="165">
        <f t="shared" ca="1" si="126"/>
        <v>0</v>
      </c>
      <c r="DW111" s="165">
        <f t="shared" ca="1" si="126"/>
        <v>0</v>
      </c>
      <c r="DX111" s="165">
        <f t="shared" ca="1" si="126"/>
        <v>0</v>
      </c>
      <c r="DY111" s="165">
        <f t="shared" ca="1" si="126"/>
        <v>0</v>
      </c>
    </row>
    <row r="112" spans="1:129" s="3" customFormat="1" ht="11.7" customHeight="1" outlineLevel="1" x14ac:dyDescent="0.3">
      <c r="A112" s="85"/>
      <c r="B112" s="1087" t="s">
        <v>643</v>
      </c>
      <c r="C112" s="1087"/>
      <c r="D112" s="1086"/>
      <c r="F112" s="127"/>
      <c r="G112" s="127"/>
      <c r="H112" s="312">
        <f t="shared" ca="1" si="106"/>
        <v>154808.59795715139</v>
      </c>
      <c r="I112" s="165">
        <f>+SUM(I108,I111)</f>
        <v>0</v>
      </c>
      <c r="J112" s="165">
        <f t="shared" ref="J112:BU112" si="127">+SUM(J108,J111)</f>
        <v>0</v>
      </c>
      <c r="K112" s="165">
        <f t="shared" si="127"/>
        <v>0</v>
      </c>
      <c r="L112" s="165">
        <f t="shared" si="127"/>
        <v>0</v>
      </c>
      <c r="M112" s="165">
        <f t="shared" si="127"/>
        <v>0</v>
      </c>
      <c r="N112" s="165">
        <f t="shared" si="127"/>
        <v>0</v>
      </c>
      <c r="O112" s="165">
        <f t="shared" si="127"/>
        <v>0</v>
      </c>
      <c r="P112" s="165">
        <f t="shared" si="127"/>
        <v>0</v>
      </c>
      <c r="Q112" s="165">
        <f t="shared" si="127"/>
        <v>0</v>
      </c>
      <c r="R112" s="165">
        <f t="shared" si="127"/>
        <v>0</v>
      </c>
      <c r="S112" s="165">
        <f t="shared" si="127"/>
        <v>0</v>
      </c>
      <c r="T112" s="165">
        <f t="shared" si="127"/>
        <v>0</v>
      </c>
      <c r="U112" s="165">
        <f t="shared" si="127"/>
        <v>0</v>
      </c>
      <c r="V112" s="165">
        <f t="shared" si="127"/>
        <v>0</v>
      </c>
      <c r="W112" s="165">
        <f t="shared" si="127"/>
        <v>0</v>
      </c>
      <c r="X112" s="165">
        <f t="shared" si="127"/>
        <v>0</v>
      </c>
      <c r="Y112" s="165">
        <f t="shared" si="127"/>
        <v>0</v>
      </c>
      <c r="Z112" s="165">
        <f t="shared" si="127"/>
        <v>0</v>
      </c>
      <c r="AA112" s="165">
        <f t="shared" si="127"/>
        <v>0</v>
      </c>
      <c r="AB112" s="165">
        <f t="shared" si="127"/>
        <v>0</v>
      </c>
      <c r="AC112" s="165">
        <f t="shared" si="127"/>
        <v>0</v>
      </c>
      <c r="AD112" s="165">
        <f t="shared" si="127"/>
        <v>0</v>
      </c>
      <c r="AE112" s="165">
        <f t="shared" si="127"/>
        <v>0</v>
      </c>
      <c r="AF112" s="165">
        <f t="shared" si="127"/>
        <v>0</v>
      </c>
      <c r="AG112" s="165">
        <f t="shared" si="127"/>
        <v>0</v>
      </c>
      <c r="AH112" s="165">
        <f t="shared" si="127"/>
        <v>0</v>
      </c>
      <c r="AI112" s="165">
        <f t="shared" si="127"/>
        <v>0</v>
      </c>
      <c r="AJ112" s="165">
        <f t="shared" si="127"/>
        <v>0</v>
      </c>
      <c r="AK112" s="165">
        <f t="shared" si="127"/>
        <v>0</v>
      </c>
      <c r="AL112" s="165">
        <f t="shared" si="127"/>
        <v>0</v>
      </c>
      <c r="AM112" s="165">
        <f t="shared" si="127"/>
        <v>0</v>
      </c>
      <c r="AN112" s="165">
        <f t="shared" si="127"/>
        <v>0</v>
      </c>
      <c r="AO112" s="165">
        <f t="shared" si="127"/>
        <v>0</v>
      </c>
      <c r="AP112" s="165">
        <f t="shared" si="127"/>
        <v>0</v>
      </c>
      <c r="AQ112" s="165">
        <f t="shared" si="127"/>
        <v>0</v>
      </c>
      <c r="AR112" s="165">
        <f t="shared" si="127"/>
        <v>0</v>
      </c>
      <c r="AS112" s="165">
        <f t="shared" si="127"/>
        <v>0</v>
      </c>
      <c r="AT112" s="165">
        <f t="shared" si="127"/>
        <v>0</v>
      </c>
      <c r="AU112" s="165">
        <f t="shared" si="127"/>
        <v>0</v>
      </c>
      <c r="AV112" s="165">
        <f t="shared" si="127"/>
        <v>0</v>
      </c>
      <c r="AW112" s="165">
        <f t="shared" si="127"/>
        <v>0</v>
      </c>
      <c r="AX112" s="165">
        <f t="shared" si="127"/>
        <v>0</v>
      </c>
      <c r="AY112" s="165">
        <f t="shared" si="127"/>
        <v>0</v>
      </c>
      <c r="AZ112" s="165">
        <f t="shared" si="127"/>
        <v>0</v>
      </c>
      <c r="BA112" s="165">
        <f t="shared" si="127"/>
        <v>0</v>
      </c>
      <c r="BB112" s="165">
        <f t="shared" si="127"/>
        <v>0</v>
      </c>
      <c r="BC112" s="165">
        <f t="shared" si="127"/>
        <v>0</v>
      </c>
      <c r="BD112" s="165">
        <f t="shared" si="127"/>
        <v>0</v>
      </c>
      <c r="BE112" s="165">
        <f t="shared" si="127"/>
        <v>0</v>
      </c>
      <c r="BF112" s="165">
        <f t="shared" si="127"/>
        <v>0</v>
      </c>
      <c r="BG112" s="165">
        <f t="shared" si="127"/>
        <v>0</v>
      </c>
      <c r="BH112" s="165">
        <f t="shared" si="127"/>
        <v>0</v>
      </c>
      <c r="BI112" s="165">
        <f t="shared" si="127"/>
        <v>57.863519438432313</v>
      </c>
      <c r="BJ112" s="165">
        <f t="shared" si="127"/>
        <v>140.63828505478878</v>
      </c>
      <c r="BK112" s="165">
        <f t="shared" si="127"/>
        <v>706.94896642496406</v>
      </c>
      <c r="BL112" s="165">
        <f t="shared" si="127"/>
        <v>1333.7873467710508</v>
      </c>
      <c r="BM112" s="165">
        <f t="shared" si="127"/>
        <v>1444.3148003307269</v>
      </c>
      <c r="BN112" s="165">
        <f t="shared" si="127"/>
        <v>1234.2668064604557</v>
      </c>
      <c r="BO112" s="165">
        <f t="shared" si="127"/>
        <v>1413.1069094234535</v>
      </c>
      <c r="BP112" s="165">
        <f t="shared" si="127"/>
        <v>1502.1858046234672</v>
      </c>
      <c r="BQ112" s="165">
        <f t="shared" si="127"/>
        <v>1410.1800939511465</v>
      </c>
      <c r="BR112" s="165">
        <f t="shared" si="127"/>
        <v>1525.427517351703</v>
      </c>
      <c r="BS112" s="165">
        <f t="shared" si="127"/>
        <v>1690.6010605599249</v>
      </c>
      <c r="BT112" s="165">
        <f t="shared" si="127"/>
        <v>1236.3276388183981</v>
      </c>
      <c r="BU112" s="165">
        <f t="shared" si="127"/>
        <v>1331.191069004625</v>
      </c>
      <c r="BV112" s="165">
        <f>+SUM(BV108,BV111)</f>
        <v>1299.2577798504522</v>
      </c>
      <c r="BW112" s="165">
        <f t="shared" ref="BW112:DY112" si="128">+SUM(BW108,BW111)</f>
        <v>1661.3025319686478</v>
      </c>
      <c r="BX112" s="165">
        <f t="shared" si="128"/>
        <v>1615.5165038764121</v>
      </c>
      <c r="BY112" s="165">
        <f t="shared" si="128"/>
        <v>1231.7639523224475</v>
      </c>
      <c r="BZ112" s="165">
        <f t="shared" ca="1" si="128"/>
        <v>2469.9772483417232</v>
      </c>
      <c r="CA112" s="165">
        <f t="shared" ca="1" si="128"/>
        <v>2208.9997825053943</v>
      </c>
      <c r="CB112" s="165">
        <f t="shared" ca="1" si="128"/>
        <v>2208.9997825053943</v>
      </c>
      <c r="CC112" s="165">
        <f t="shared" ca="1" si="128"/>
        <v>2208.9997825053943</v>
      </c>
      <c r="CD112" s="165">
        <f t="shared" ca="1" si="128"/>
        <v>2208.9997825053943</v>
      </c>
      <c r="CE112" s="165">
        <f t="shared" ca="1" si="128"/>
        <v>2208.9997825053943</v>
      </c>
      <c r="CF112" s="165">
        <f t="shared" ca="1" si="128"/>
        <v>2568.4209213230652</v>
      </c>
      <c r="CG112" s="165">
        <f t="shared" ca="1" si="128"/>
        <v>2619.7893397495268</v>
      </c>
      <c r="CH112" s="165">
        <f t="shared" ca="1" si="128"/>
        <v>2619.7893397495268</v>
      </c>
      <c r="CI112" s="165">
        <f t="shared" ca="1" si="128"/>
        <v>2619.7893397495268</v>
      </c>
      <c r="CJ112" s="165">
        <f t="shared" ca="1" si="128"/>
        <v>2619.7893397495268</v>
      </c>
      <c r="CK112" s="165">
        <f t="shared" ca="1" si="128"/>
        <v>2619.7893397495268</v>
      </c>
      <c r="CL112" s="165">
        <f t="shared" ca="1" si="128"/>
        <v>2619.7893397495268</v>
      </c>
      <c r="CM112" s="165">
        <f t="shared" ca="1" si="128"/>
        <v>2619.7893397495268</v>
      </c>
      <c r="CN112" s="165">
        <f t="shared" ca="1" si="128"/>
        <v>2619.7893397495268</v>
      </c>
      <c r="CO112" s="165">
        <f t="shared" ca="1" si="128"/>
        <v>2619.7893397495268</v>
      </c>
      <c r="CP112" s="165">
        <f t="shared" ca="1" si="128"/>
        <v>2619.7893397495268</v>
      </c>
      <c r="CQ112" s="165">
        <f t="shared" ca="1" si="128"/>
        <v>2619.7893397495268</v>
      </c>
      <c r="CR112" s="165">
        <f t="shared" ca="1" si="128"/>
        <v>2619.7893397495268</v>
      </c>
      <c r="CS112" s="165">
        <f t="shared" ca="1" si="128"/>
        <v>2619.7893397495268</v>
      </c>
      <c r="CT112" s="165">
        <f t="shared" ca="1" si="128"/>
        <v>2619.7893397495268</v>
      </c>
      <c r="CU112" s="165">
        <f t="shared" ca="1" si="128"/>
        <v>2619.7893397495268</v>
      </c>
      <c r="CV112" s="165">
        <f t="shared" ca="1" si="128"/>
        <v>2619.7893397495268</v>
      </c>
      <c r="CW112" s="165">
        <f t="shared" ca="1" si="128"/>
        <v>2619.7893397495268</v>
      </c>
      <c r="CX112" s="165">
        <f t="shared" ca="1" si="128"/>
        <v>2619.7893397495268</v>
      </c>
      <c r="CY112" s="165">
        <f t="shared" ca="1" si="128"/>
        <v>2619.7893397495268</v>
      </c>
      <c r="CZ112" s="165">
        <f t="shared" ca="1" si="128"/>
        <v>2619.7893397495268</v>
      </c>
      <c r="DA112" s="165">
        <f t="shared" ca="1" si="128"/>
        <v>2619.7893397495268</v>
      </c>
      <c r="DB112" s="165">
        <f t="shared" ca="1" si="128"/>
        <v>2619.7893397495268</v>
      </c>
      <c r="DC112" s="165">
        <f t="shared" ca="1" si="128"/>
        <v>2619.7893397495268</v>
      </c>
      <c r="DD112" s="165">
        <f t="shared" ca="1" si="128"/>
        <v>2619.7893397495268</v>
      </c>
      <c r="DE112" s="165">
        <f t="shared" ca="1" si="128"/>
        <v>2619.7893397495268</v>
      </c>
      <c r="DF112" s="165">
        <f t="shared" ca="1" si="128"/>
        <v>2619.7893397495268</v>
      </c>
      <c r="DG112" s="165">
        <f t="shared" ca="1" si="128"/>
        <v>2619.7893397495268</v>
      </c>
      <c r="DH112" s="165">
        <f t="shared" ca="1" si="128"/>
        <v>2619.7893397495268</v>
      </c>
      <c r="DI112" s="165">
        <f t="shared" ca="1" si="128"/>
        <v>2619.7893397495268</v>
      </c>
      <c r="DJ112" s="165">
        <f t="shared" ca="1" si="128"/>
        <v>2619.7893397495268</v>
      </c>
      <c r="DK112" s="165">
        <f t="shared" ca="1" si="128"/>
        <v>2619.7893397495268</v>
      </c>
      <c r="DL112" s="165">
        <f t="shared" ca="1" si="128"/>
        <v>2619.7893397495268</v>
      </c>
      <c r="DM112" s="165">
        <f t="shared" ca="1" si="128"/>
        <v>2619.7893397495268</v>
      </c>
      <c r="DN112" s="165">
        <f t="shared" ca="1" si="128"/>
        <v>2619.7893397495268</v>
      </c>
      <c r="DO112" s="165">
        <f t="shared" ca="1" si="128"/>
        <v>2619.7893397495268</v>
      </c>
      <c r="DP112" s="165">
        <f t="shared" ca="1" si="128"/>
        <v>2619.7893397495268</v>
      </c>
      <c r="DQ112" s="165">
        <f t="shared" ca="1" si="128"/>
        <v>2619.7893397495268</v>
      </c>
      <c r="DR112" s="165">
        <f t="shared" ca="1" si="128"/>
        <v>2619.7893397495268</v>
      </c>
      <c r="DS112" s="165">
        <f t="shared" ca="1" si="128"/>
        <v>2619.7893397495268</v>
      </c>
      <c r="DT112" s="165">
        <f t="shared" ca="1" si="128"/>
        <v>2619.7893397495268</v>
      </c>
      <c r="DU112" s="165">
        <f t="shared" ca="1" si="128"/>
        <v>2619.7893397495268</v>
      </c>
      <c r="DV112" s="165">
        <f t="shared" ca="1" si="128"/>
        <v>2619.7893397495268</v>
      </c>
      <c r="DW112" s="165">
        <f t="shared" ca="1" si="128"/>
        <v>2619.7893397495268</v>
      </c>
      <c r="DX112" s="165">
        <f t="shared" ca="1" si="128"/>
        <v>2619.7893397495268</v>
      </c>
      <c r="DY112" s="165">
        <f t="shared" ca="1" si="128"/>
        <v>2619.7893397495268</v>
      </c>
    </row>
    <row r="113" spans="1:129" s="3" customFormat="1" ht="11.7" customHeight="1" outlineLevel="1" x14ac:dyDescent="0.3">
      <c r="A113" s="85"/>
      <c r="B113" s="1087"/>
      <c r="C113" s="1087"/>
      <c r="D113" s="1086"/>
      <c r="F113" s="127"/>
      <c r="G113" s="127"/>
      <c r="H113" s="127"/>
      <c r="I113" s="165"/>
      <c r="J113" s="165"/>
      <c r="K113" s="165"/>
      <c r="L113" s="165"/>
      <c r="M113" s="165"/>
      <c r="N113" s="165"/>
      <c r="O113" s="165"/>
      <c r="P113" s="165"/>
      <c r="Q113" s="165"/>
      <c r="R113" s="165"/>
      <c r="S113" s="165"/>
      <c r="T113" s="165"/>
      <c r="U113" s="165"/>
      <c r="V113" s="165"/>
      <c r="W113" s="165"/>
      <c r="X113" s="165"/>
      <c r="Y113" s="165"/>
      <c r="Z113" s="165"/>
      <c r="AA113" s="165"/>
      <c r="AB113" s="165"/>
      <c r="AC113" s="165"/>
      <c r="AD113" s="165"/>
      <c r="AE113" s="165"/>
      <c r="AF113" s="165"/>
      <c r="AG113" s="165"/>
      <c r="AH113" s="165"/>
      <c r="AI113" s="165"/>
      <c r="AJ113" s="165"/>
      <c r="AK113" s="165"/>
      <c r="AL113" s="165"/>
      <c r="AM113" s="165"/>
      <c r="AN113" s="165"/>
      <c r="AO113" s="165"/>
      <c r="AP113" s="165"/>
      <c r="AQ113" s="165"/>
      <c r="AR113" s="165"/>
      <c r="AS113" s="165"/>
      <c r="AT113" s="165"/>
      <c r="AU113" s="165"/>
      <c r="AV113" s="165"/>
      <c r="AW113" s="165"/>
      <c r="AX113" s="165"/>
      <c r="AY113" s="165"/>
      <c r="AZ113" s="165"/>
      <c r="BA113" s="165"/>
      <c r="BB113" s="165"/>
      <c r="BC113" s="165"/>
      <c r="BD113" s="165"/>
      <c r="BE113" s="165"/>
      <c r="BF113" s="165"/>
      <c r="BG113" s="165"/>
      <c r="BH113" s="165"/>
      <c r="BI113" s="165"/>
      <c r="BJ113" s="165"/>
      <c r="BK113" s="165"/>
      <c r="BL113" s="165"/>
      <c r="BM113" s="165"/>
      <c r="BN113" s="165"/>
      <c r="BO113" s="165"/>
      <c r="BP113" s="165"/>
      <c r="BQ113" s="165"/>
      <c r="BR113" s="165"/>
      <c r="BS113" s="165"/>
      <c r="BT113" s="165"/>
      <c r="BU113" s="165"/>
      <c r="BV113" s="165"/>
      <c r="BW113" s="165"/>
      <c r="BX113" s="165"/>
      <c r="BY113" s="165"/>
      <c r="BZ113" s="165"/>
      <c r="CA113" s="165"/>
      <c r="CB113" s="165"/>
      <c r="CC113" s="165"/>
      <c r="CD113" s="165"/>
      <c r="CE113" s="165"/>
      <c r="CF113" s="165"/>
      <c r="CG113" s="165"/>
      <c r="CH113" s="165"/>
      <c r="CI113" s="165"/>
      <c r="CJ113" s="165"/>
      <c r="CK113" s="165"/>
      <c r="CL113" s="165"/>
      <c r="CM113" s="165"/>
      <c r="CN113" s="165"/>
      <c r="CO113" s="165"/>
      <c r="CP113" s="165"/>
      <c r="CQ113" s="165"/>
      <c r="CR113" s="165"/>
      <c r="CS113" s="165"/>
      <c r="CT113" s="165"/>
      <c r="CU113" s="165"/>
      <c r="CV113" s="165"/>
      <c r="CW113" s="165"/>
      <c r="CX113" s="165"/>
      <c r="CY113" s="165"/>
      <c r="CZ113" s="165"/>
      <c r="DA113" s="165"/>
      <c r="DB113" s="165"/>
      <c r="DC113" s="165"/>
      <c r="DD113" s="165"/>
      <c r="DE113" s="165"/>
      <c r="DF113" s="165"/>
      <c r="DG113" s="165"/>
      <c r="DH113" s="165"/>
      <c r="DI113" s="165"/>
      <c r="DJ113" s="165"/>
      <c r="DK113" s="165"/>
      <c r="DL113" s="165"/>
      <c r="DM113" s="165"/>
      <c r="DN113" s="165"/>
      <c r="DO113" s="165"/>
      <c r="DP113" s="165"/>
      <c r="DQ113" s="165"/>
      <c r="DR113" s="165"/>
      <c r="DS113" s="165"/>
      <c r="DT113" s="165"/>
      <c r="DU113" s="165"/>
      <c r="DV113" s="165"/>
      <c r="DW113" s="165"/>
      <c r="DX113" s="165"/>
      <c r="DY113" s="165"/>
    </row>
    <row r="114" spans="1:129" s="3" customFormat="1" ht="11.7" customHeight="1" outlineLevel="1" x14ac:dyDescent="0.3">
      <c r="A114" s="85"/>
      <c r="B114" s="195" t="s">
        <v>644</v>
      </c>
      <c r="C114" s="195"/>
      <c r="E114" s="161"/>
      <c r="F114" s="127"/>
      <c r="G114" s="127"/>
      <c r="H114" s="35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c r="AS114" s="14"/>
      <c r="AT114" s="14"/>
      <c r="AU114" s="14"/>
      <c r="AV114" s="14"/>
      <c r="AW114" s="14"/>
      <c r="AX114" s="14"/>
      <c r="AY114" s="14"/>
      <c r="AZ114" s="14"/>
      <c r="BA114" s="14"/>
      <c r="BB114" s="14"/>
      <c r="BC114" s="14"/>
      <c r="BD114" s="14"/>
      <c r="BE114" s="14"/>
      <c r="BF114" s="14"/>
      <c r="BG114" s="14"/>
      <c r="BH114" s="14"/>
      <c r="BI114" s="14"/>
      <c r="BJ114" s="14"/>
      <c r="BK114" s="14"/>
      <c r="BL114" s="14"/>
      <c r="BM114" s="14"/>
      <c r="BN114" s="14"/>
      <c r="BO114" s="14"/>
      <c r="BP114" s="14"/>
      <c r="BQ114" s="14"/>
      <c r="BR114" s="14"/>
      <c r="BS114" s="14"/>
      <c r="BT114" s="14"/>
      <c r="BU114" s="14"/>
      <c r="BV114" s="14"/>
      <c r="BW114" s="14"/>
      <c r="BX114" s="14"/>
      <c r="BY114" s="14"/>
      <c r="BZ114" s="14"/>
      <c r="CA114" s="14"/>
      <c r="CB114" s="14"/>
      <c r="CC114" s="14"/>
      <c r="CD114" s="14"/>
      <c r="CE114" s="14"/>
      <c r="CF114" s="14"/>
      <c r="CG114" s="14"/>
      <c r="CH114" s="14"/>
      <c r="CI114" s="14"/>
      <c r="CJ114" s="14"/>
      <c r="CK114" s="14"/>
      <c r="CL114" s="14"/>
      <c r="CM114" s="14"/>
      <c r="CN114" s="14"/>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row>
    <row r="115" spans="1:129" s="3" customFormat="1" ht="11.7" customHeight="1" outlineLevel="1" x14ac:dyDescent="0.25">
      <c r="A115" s="85"/>
      <c r="B115" s="113" t="s">
        <v>764</v>
      </c>
      <c r="C115" s="113"/>
      <c r="D115" s="324">
        <f>+Inputs!$F$183</f>
        <v>297.5</v>
      </c>
      <c r="F115" s="127"/>
      <c r="G115" s="127"/>
      <c r="H115" s="290">
        <f t="shared" ca="1" si="105"/>
        <v>16334.646156658195</v>
      </c>
      <c r="I115" s="1019">
        <v>0</v>
      </c>
      <c r="J115" s="1019">
        <v>0</v>
      </c>
      <c r="K115" s="1019">
        <v>0</v>
      </c>
      <c r="L115" s="1019">
        <v>0</v>
      </c>
      <c r="M115" s="1019">
        <v>0</v>
      </c>
      <c r="N115" s="1019">
        <v>0</v>
      </c>
      <c r="O115" s="1019">
        <v>0</v>
      </c>
      <c r="P115" s="1019">
        <v>0</v>
      </c>
      <c r="Q115" s="1019">
        <v>0</v>
      </c>
      <c r="R115" s="1019">
        <v>0</v>
      </c>
      <c r="S115" s="1019">
        <v>0</v>
      </c>
      <c r="T115" s="1019">
        <v>0</v>
      </c>
      <c r="U115" s="1019">
        <v>0</v>
      </c>
      <c r="V115" s="1019">
        <v>0</v>
      </c>
      <c r="W115" s="1019">
        <v>0</v>
      </c>
      <c r="X115" s="1019">
        <v>0</v>
      </c>
      <c r="Y115" s="1019">
        <v>0</v>
      </c>
      <c r="Z115" s="1019">
        <v>0</v>
      </c>
      <c r="AA115" s="1019">
        <v>0</v>
      </c>
      <c r="AB115" s="1019">
        <v>0</v>
      </c>
      <c r="AC115" s="1019">
        <v>0</v>
      </c>
      <c r="AD115" s="1019">
        <v>0</v>
      </c>
      <c r="AE115" s="1019">
        <v>0</v>
      </c>
      <c r="AF115" s="1019">
        <v>0</v>
      </c>
      <c r="AG115" s="1019">
        <v>0</v>
      </c>
      <c r="AH115" s="1019">
        <v>0</v>
      </c>
      <c r="AI115" s="1019">
        <v>0</v>
      </c>
      <c r="AJ115" s="1019">
        <v>0</v>
      </c>
      <c r="AK115" s="1019">
        <v>0</v>
      </c>
      <c r="AL115" s="1019">
        <v>0</v>
      </c>
      <c r="AM115" s="1019">
        <v>0</v>
      </c>
      <c r="AN115" s="1019">
        <v>0</v>
      </c>
      <c r="AO115" s="1019">
        <v>0</v>
      </c>
      <c r="AP115" s="1019">
        <v>0</v>
      </c>
      <c r="AQ115" s="1019">
        <v>0</v>
      </c>
      <c r="AR115" s="1019">
        <v>0</v>
      </c>
      <c r="AS115" s="1019">
        <v>0</v>
      </c>
      <c r="AT115" s="1019">
        <v>0</v>
      </c>
      <c r="AU115" s="1019">
        <v>0</v>
      </c>
      <c r="AV115" s="1019">
        <v>0</v>
      </c>
      <c r="AW115" s="1019">
        <v>0</v>
      </c>
      <c r="AX115" s="1019">
        <v>0</v>
      </c>
      <c r="AY115" s="1019">
        <v>0</v>
      </c>
      <c r="AZ115" s="1019">
        <v>0</v>
      </c>
      <c r="BA115" s="1019">
        <v>0</v>
      </c>
      <c r="BB115" s="1019">
        <v>0</v>
      </c>
      <c r="BC115" s="1019">
        <v>0</v>
      </c>
      <c r="BD115" s="1019">
        <v>0</v>
      </c>
      <c r="BE115" s="1019">
        <v>0</v>
      </c>
      <c r="BF115" s="1019">
        <v>0</v>
      </c>
      <c r="BG115" s="1019">
        <v>0</v>
      </c>
      <c r="BH115" s="1019">
        <v>0</v>
      </c>
      <c r="BI115" s="1019">
        <f>129575.2/31212.65</f>
        <v>4.1513681151712527</v>
      </c>
      <c r="BJ115" s="1019">
        <f>430271/31539.2</f>
        <v>13.642419592126624</v>
      </c>
      <c r="BK115" s="1019">
        <f>641908/31727.74</f>
        <v>20.231759337412623</v>
      </c>
      <c r="BL115" s="1019">
        <f>962257/32176.5</f>
        <v>29.905583267291345</v>
      </c>
      <c r="BM115" s="1019">
        <f>979610.62/BM99</f>
        <v>29.976267107798947</v>
      </c>
      <c r="BN115" s="1019">
        <f>1069876/BN99</f>
        <v>32.335403542738909</v>
      </c>
      <c r="BO115" s="1019">
        <f>1119749/BO99</f>
        <v>33.508103297517508</v>
      </c>
      <c r="BP115" s="1019">
        <f>(84033+1243889)/BP99</f>
        <v>39.245241308870206</v>
      </c>
      <c r="BQ115" s="1019">
        <f>(1235134)/BQ99</f>
        <v>36.053643168371508</v>
      </c>
      <c r="BR115" s="1019">
        <f>(163865+1293670)/BR99</f>
        <v>42.124862898785707</v>
      </c>
      <c r="BS115" s="1019">
        <f>(490593+1359265)/BS99</f>
        <v>53.138820744690015</v>
      </c>
      <c r="BT115" s="1019">
        <f>(336135+1462944-79023)/BT99</f>
        <v>48.989119642915121</v>
      </c>
      <c r="BU115" s="1019">
        <f>(218486+2137123-426007)/BU99</f>
        <v>54.957224207356212</v>
      </c>
      <c r="BV115" s="1019">
        <f>(126052+1763769-337049)/BV99</f>
        <v>43.728132723246169</v>
      </c>
      <c r="BW115" s="1019">
        <f>(235296+1252658)/BW99</f>
        <v>41.825268415211823</v>
      </c>
      <c r="BX115" s="1019">
        <f>(277311+2625634-1661727)/BX99</f>
        <v>34.63359985267261</v>
      </c>
      <c r="BY115" s="1019">
        <f>(180673+2594495-1149732)/BY99</f>
        <v>45.109787197196781</v>
      </c>
      <c r="BZ115" s="7">
        <f t="shared" ref="BZ115:CU115" ca="1" si="129">+$D$115*BZ83*BZ91*(BZ102&gt;0)</f>
        <v>290.83955223880599</v>
      </c>
      <c r="CA115" s="7">
        <f t="shared" ca="1" si="129"/>
        <v>297.5</v>
      </c>
      <c r="CB115" s="7">
        <f t="shared" ca="1" si="129"/>
        <v>297.5</v>
      </c>
      <c r="CC115" s="7">
        <f t="shared" ca="1" si="129"/>
        <v>297.5</v>
      </c>
      <c r="CD115" s="7">
        <f t="shared" ca="1" si="129"/>
        <v>297.5</v>
      </c>
      <c r="CE115" s="7">
        <f t="shared" ca="1" si="129"/>
        <v>297.5</v>
      </c>
      <c r="CF115" s="7">
        <f t="shared" ca="1" si="129"/>
        <v>297.5</v>
      </c>
      <c r="CG115" s="7">
        <f t="shared" ca="1" si="129"/>
        <v>303.45</v>
      </c>
      <c r="CH115" s="7">
        <f t="shared" ca="1" si="129"/>
        <v>303.45</v>
      </c>
      <c r="CI115" s="7">
        <f t="shared" ca="1" si="129"/>
        <v>303.45</v>
      </c>
      <c r="CJ115" s="7">
        <f t="shared" ca="1" si="129"/>
        <v>303.45</v>
      </c>
      <c r="CK115" s="7">
        <f t="shared" ca="1" si="129"/>
        <v>303.45</v>
      </c>
      <c r="CL115" s="7">
        <f t="shared" ca="1" si="129"/>
        <v>303.45</v>
      </c>
      <c r="CM115" s="7">
        <f t="shared" ca="1" si="129"/>
        <v>303.45</v>
      </c>
      <c r="CN115" s="7">
        <f t="shared" ca="1" si="129"/>
        <v>303.45</v>
      </c>
      <c r="CO115" s="7">
        <f t="shared" ca="1" si="129"/>
        <v>303.45</v>
      </c>
      <c r="CP115" s="7">
        <f t="shared" ca="1" si="129"/>
        <v>303.45</v>
      </c>
      <c r="CQ115" s="7">
        <f t="shared" ca="1" si="129"/>
        <v>303.45</v>
      </c>
      <c r="CR115" s="7">
        <f t="shared" ca="1" si="129"/>
        <v>303.45</v>
      </c>
      <c r="CS115" s="7">
        <f t="shared" ca="1" si="129"/>
        <v>303.45</v>
      </c>
      <c r="CT115" s="7">
        <f t="shared" ca="1" si="129"/>
        <v>303.45</v>
      </c>
      <c r="CU115" s="7">
        <f t="shared" ca="1" si="129"/>
        <v>303.45</v>
      </c>
      <c r="CV115" s="7">
        <f t="shared" ref="CV115:DY115" ca="1" si="130">+$D$115*CV83*CV91*(CV102&gt;0)</f>
        <v>303.45</v>
      </c>
      <c r="CW115" s="7">
        <f t="shared" ca="1" si="130"/>
        <v>303.45</v>
      </c>
      <c r="CX115" s="7">
        <f t="shared" ca="1" si="130"/>
        <v>303.45</v>
      </c>
      <c r="CY115" s="7">
        <f t="shared" ca="1" si="130"/>
        <v>303.45</v>
      </c>
      <c r="CZ115" s="7">
        <f t="shared" ca="1" si="130"/>
        <v>303.45</v>
      </c>
      <c r="DA115" s="7">
        <f t="shared" ca="1" si="130"/>
        <v>303.45</v>
      </c>
      <c r="DB115" s="7">
        <f t="shared" ca="1" si="130"/>
        <v>303.45</v>
      </c>
      <c r="DC115" s="7">
        <f t="shared" ca="1" si="130"/>
        <v>303.45</v>
      </c>
      <c r="DD115" s="7">
        <f t="shared" ca="1" si="130"/>
        <v>303.45</v>
      </c>
      <c r="DE115" s="7">
        <f t="shared" ca="1" si="130"/>
        <v>303.45</v>
      </c>
      <c r="DF115" s="7">
        <f t="shared" ca="1" si="130"/>
        <v>303.45</v>
      </c>
      <c r="DG115" s="7">
        <f t="shared" ca="1" si="130"/>
        <v>303.45</v>
      </c>
      <c r="DH115" s="7">
        <f t="shared" ca="1" si="130"/>
        <v>303.45</v>
      </c>
      <c r="DI115" s="7">
        <f t="shared" ca="1" si="130"/>
        <v>303.45</v>
      </c>
      <c r="DJ115" s="7">
        <f t="shared" ca="1" si="130"/>
        <v>303.45</v>
      </c>
      <c r="DK115" s="7">
        <f t="shared" ca="1" si="130"/>
        <v>303.45</v>
      </c>
      <c r="DL115" s="7">
        <f t="shared" ca="1" si="130"/>
        <v>303.45</v>
      </c>
      <c r="DM115" s="7">
        <f t="shared" ca="1" si="130"/>
        <v>303.45</v>
      </c>
      <c r="DN115" s="7">
        <f t="shared" ca="1" si="130"/>
        <v>303.45</v>
      </c>
      <c r="DO115" s="7">
        <f t="shared" ca="1" si="130"/>
        <v>303.45</v>
      </c>
      <c r="DP115" s="7">
        <f t="shared" ca="1" si="130"/>
        <v>303.45</v>
      </c>
      <c r="DQ115" s="7">
        <f t="shared" ca="1" si="130"/>
        <v>303.45</v>
      </c>
      <c r="DR115" s="7">
        <f t="shared" ca="1" si="130"/>
        <v>303.45</v>
      </c>
      <c r="DS115" s="7">
        <f t="shared" ca="1" si="130"/>
        <v>303.45</v>
      </c>
      <c r="DT115" s="7">
        <f t="shared" ca="1" si="130"/>
        <v>303.45</v>
      </c>
      <c r="DU115" s="7">
        <f t="shared" ca="1" si="130"/>
        <v>303.45</v>
      </c>
      <c r="DV115" s="7">
        <f t="shared" ca="1" si="130"/>
        <v>303.45</v>
      </c>
      <c r="DW115" s="7">
        <f t="shared" ca="1" si="130"/>
        <v>303.45</v>
      </c>
      <c r="DX115" s="7">
        <f t="shared" ca="1" si="130"/>
        <v>303.45</v>
      </c>
      <c r="DY115" s="7">
        <f t="shared" ca="1" si="130"/>
        <v>303.45</v>
      </c>
    </row>
    <row r="116" spans="1:129" s="3" customFormat="1" ht="11.7" customHeight="1" outlineLevel="1" x14ac:dyDescent="0.25">
      <c r="A116" s="85"/>
      <c r="B116" s="113" t="s">
        <v>765</v>
      </c>
      <c r="C116" s="113"/>
      <c r="D116" s="324">
        <f>+Inputs!$F$70</f>
        <v>69.95999999999998</v>
      </c>
      <c r="F116" s="127"/>
      <c r="G116" s="127"/>
      <c r="H116" s="290">
        <f t="shared" ca="1" si="105"/>
        <v>3755.1743324631511</v>
      </c>
      <c r="I116" s="1019">
        <v>0</v>
      </c>
      <c r="J116" s="1019">
        <v>0</v>
      </c>
      <c r="K116" s="1019">
        <v>0</v>
      </c>
      <c r="L116" s="1019">
        <v>0</v>
      </c>
      <c r="M116" s="1019">
        <v>0</v>
      </c>
      <c r="N116" s="1019">
        <v>0</v>
      </c>
      <c r="O116" s="1019">
        <v>0</v>
      </c>
      <c r="P116" s="1019">
        <v>0</v>
      </c>
      <c r="Q116" s="1019">
        <v>0</v>
      </c>
      <c r="R116" s="1019">
        <v>0</v>
      </c>
      <c r="S116" s="1019">
        <v>0</v>
      </c>
      <c r="T116" s="1019">
        <v>0</v>
      </c>
      <c r="U116" s="1019">
        <v>0</v>
      </c>
      <c r="V116" s="1019">
        <v>0</v>
      </c>
      <c r="W116" s="1019">
        <v>0</v>
      </c>
      <c r="X116" s="1019">
        <v>0</v>
      </c>
      <c r="Y116" s="1019">
        <v>0</v>
      </c>
      <c r="Z116" s="1019">
        <v>0</v>
      </c>
      <c r="AA116" s="1019">
        <v>0</v>
      </c>
      <c r="AB116" s="1019">
        <v>0</v>
      </c>
      <c r="AC116" s="1019">
        <v>0</v>
      </c>
      <c r="AD116" s="1019">
        <v>0</v>
      </c>
      <c r="AE116" s="1019">
        <v>0</v>
      </c>
      <c r="AF116" s="1019">
        <v>0</v>
      </c>
      <c r="AG116" s="1019">
        <v>0</v>
      </c>
      <c r="AH116" s="1019">
        <v>0</v>
      </c>
      <c r="AI116" s="1019">
        <v>0</v>
      </c>
      <c r="AJ116" s="1019">
        <v>0</v>
      </c>
      <c r="AK116" s="1019">
        <v>0</v>
      </c>
      <c r="AL116" s="1019">
        <v>0</v>
      </c>
      <c r="AM116" s="1019">
        <v>0</v>
      </c>
      <c r="AN116" s="1019">
        <v>0</v>
      </c>
      <c r="AO116" s="1019">
        <v>0</v>
      </c>
      <c r="AP116" s="1019">
        <v>0</v>
      </c>
      <c r="AQ116" s="1019">
        <v>0</v>
      </c>
      <c r="AR116" s="1019">
        <v>0</v>
      </c>
      <c r="AS116" s="1019">
        <v>0</v>
      </c>
      <c r="AT116" s="1019">
        <v>0</v>
      </c>
      <c r="AU116" s="1019">
        <v>0</v>
      </c>
      <c r="AV116" s="1019">
        <v>0</v>
      </c>
      <c r="AW116" s="1019">
        <v>0</v>
      </c>
      <c r="AX116" s="1019">
        <v>0</v>
      </c>
      <c r="AY116" s="1019">
        <v>0</v>
      </c>
      <c r="AZ116" s="1019">
        <v>0</v>
      </c>
      <c r="BA116" s="1019">
        <v>0</v>
      </c>
      <c r="BB116" s="1019">
        <v>0</v>
      </c>
      <c r="BC116" s="1019">
        <v>0</v>
      </c>
      <c r="BD116" s="1019">
        <v>0</v>
      </c>
      <c r="BE116" s="1019">
        <v>0</v>
      </c>
      <c r="BF116" s="1019">
        <v>0</v>
      </c>
      <c r="BG116" s="1019">
        <v>0</v>
      </c>
      <c r="BH116" s="1019">
        <v>0</v>
      </c>
      <c r="BI116" s="1019">
        <v>0</v>
      </c>
      <c r="BJ116" s="1019">
        <v>0</v>
      </c>
      <c r="BK116" s="1019">
        <v>0</v>
      </c>
      <c r="BL116" s="1019">
        <v>0</v>
      </c>
      <c r="BM116" s="1019">
        <f>11511/BM99</f>
        <v>0.35223874020258544</v>
      </c>
      <c r="BN116" s="1019">
        <f>69847/BN99</f>
        <v>2.1110212129720494</v>
      </c>
      <c r="BO116" s="1019">
        <f>76461/BO99</f>
        <v>2.2880690996209743</v>
      </c>
      <c r="BP116" s="1019">
        <f>106682/BP99</f>
        <v>3.1528665338121455</v>
      </c>
      <c r="BQ116" s="1019">
        <f>160047/BQ99</f>
        <v>4.6717825176607191</v>
      </c>
      <c r="BR116" s="1019">
        <f>134174/BR99</f>
        <v>3.8778220451527226</v>
      </c>
      <c r="BS116" s="1019">
        <f>209789/BS99</f>
        <v>6.026376113846454</v>
      </c>
      <c r="BT116" s="1019">
        <f>107917/BT99</f>
        <v>3.0735969203935634</v>
      </c>
      <c r="BU116" s="1019">
        <f>107917/BU99</f>
        <v>3.0735969203935634</v>
      </c>
      <c r="BV116" s="1019">
        <f>149681/BV99</f>
        <v>4.2152168084871509</v>
      </c>
      <c r="BW116" s="1019">
        <f>285014/BW99</f>
        <v>8.011529289274522</v>
      </c>
      <c r="BX116" s="1019">
        <f>411955/BX99</f>
        <v>11.494745183608153</v>
      </c>
      <c r="BY116" s="1019">
        <f>126394/BY99</f>
        <v>3.5077397344481667</v>
      </c>
      <c r="BZ116" s="7">
        <f t="shared" ref="BZ116:CU116" ca="1" si="131">$D$116*BZ83*BZ91*(BZ102&gt;0)</f>
        <v>68.393731343283562</v>
      </c>
      <c r="CA116" s="7">
        <f t="shared" ca="1" si="131"/>
        <v>69.95999999999998</v>
      </c>
      <c r="CB116" s="7">
        <f t="shared" ca="1" si="131"/>
        <v>69.95999999999998</v>
      </c>
      <c r="CC116" s="7">
        <f t="shared" ca="1" si="131"/>
        <v>69.95999999999998</v>
      </c>
      <c r="CD116" s="7">
        <f t="shared" ca="1" si="131"/>
        <v>69.95999999999998</v>
      </c>
      <c r="CE116" s="7">
        <f t="shared" ca="1" si="131"/>
        <v>69.95999999999998</v>
      </c>
      <c r="CF116" s="7">
        <f t="shared" ca="1" si="131"/>
        <v>69.95999999999998</v>
      </c>
      <c r="CG116" s="7">
        <f t="shared" ca="1" si="131"/>
        <v>71.359199999999987</v>
      </c>
      <c r="CH116" s="7">
        <f t="shared" ca="1" si="131"/>
        <v>71.359199999999987</v>
      </c>
      <c r="CI116" s="7">
        <f t="shared" ca="1" si="131"/>
        <v>71.359199999999987</v>
      </c>
      <c r="CJ116" s="7">
        <f t="shared" ca="1" si="131"/>
        <v>71.359199999999987</v>
      </c>
      <c r="CK116" s="7">
        <f t="shared" ca="1" si="131"/>
        <v>71.359199999999987</v>
      </c>
      <c r="CL116" s="7">
        <f t="shared" ca="1" si="131"/>
        <v>71.359199999999987</v>
      </c>
      <c r="CM116" s="7">
        <f t="shared" ca="1" si="131"/>
        <v>71.359199999999987</v>
      </c>
      <c r="CN116" s="7">
        <f t="shared" ca="1" si="131"/>
        <v>71.359199999999987</v>
      </c>
      <c r="CO116" s="7">
        <f t="shared" ca="1" si="131"/>
        <v>71.359199999999987</v>
      </c>
      <c r="CP116" s="7">
        <f t="shared" ca="1" si="131"/>
        <v>71.359199999999987</v>
      </c>
      <c r="CQ116" s="7">
        <f t="shared" ca="1" si="131"/>
        <v>71.359199999999987</v>
      </c>
      <c r="CR116" s="7">
        <f t="shared" ca="1" si="131"/>
        <v>71.359199999999987</v>
      </c>
      <c r="CS116" s="7">
        <f t="shared" ca="1" si="131"/>
        <v>71.359199999999987</v>
      </c>
      <c r="CT116" s="7">
        <f t="shared" ca="1" si="131"/>
        <v>71.359199999999987</v>
      </c>
      <c r="CU116" s="7">
        <f t="shared" ca="1" si="131"/>
        <v>71.359199999999987</v>
      </c>
      <c r="CV116" s="7">
        <f t="shared" ref="CV116:DY116" ca="1" si="132">$D$116*CV83*CV91*(CV102&gt;0)</f>
        <v>71.359199999999987</v>
      </c>
      <c r="CW116" s="7">
        <f t="shared" ca="1" si="132"/>
        <v>71.359199999999987</v>
      </c>
      <c r="CX116" s="7">
        <f t="shared" ca="1" si="132"/>
        <v>71.359199999999987</v>
      </c>
      <c r="CY116" s="7">
        <f t="shared" ca="1" si="132"/>
        <v>71.359199999999987</v>
      </c>
      <c r="CZ116" s="7">
        <f t="shared" ca="1" si="132"/>
        <v>71.359199999999987</v>
      </c>
      <c r="DA116" s="7">
        <f t="shared" ca="1" si="132"/>
        <v>71.359199999999987</v>
      </c>
      <c r="DB116" s="7">
        <f t="shared" ca="1" si="132"/>
        <v>71.359199999999987</v>
      </c>
      <c r="DC116" s="7">
        <f t="shared" ca="1" si="132"/>
        <v>71.359199999999987</v>
      </c>
      <c r="DD116" s="7">
        <f t="shared" ca="1" si="132"/>
        <v>71.359199999999987</v>
      </c>
      <c r="DE116" s="7">
        <f t="shared" ca="1" si="132"/>
        <v>71.359199999999987</v>
      </c>
      <c r="DF116" s="7">
        <f t="shared" ca="1" si="132"/>
        <v>71.359199999999987</v>
      </c>
      <c r="DG116" s="7">
        <f t="shared" ca="1" si="132"/>
        <v>71.359199999999987</v>
      </c>
      <c r="DH116" s="7">
        <f t="shared" ca="1" si="132"/>
        <v>71.359199999999987</v>
      </c>
      <c r="DI116" s="7">
        <f t="shared" ca="1" si="132"/>
        <v>71.359199999999987</v>
      </c>
      <c r="DJ116" s="7">
        <f t="shared" ca="1" si="132"/>
        <v>71.359199999999987</v>
      </c>
      <c r="DK116" s="7">
        <f t="shared" ca="1" si="132"/>
        <v>71.359199999999987</v>
      </c>
      <c r="DL116" s="7">
        <f t="shared" ca="1" si="132"/>
        <v>71.359199999999987</v>
      </c>
      <c r="DM116" s="7">
        <f t="shared" ca="1" si="132"/>
        <v>71.359199999999987</v>
      </c>
      <c r="DN116" s="7">
        <f t="shared" ca="1" si="132"/>
        <v>71.359199999999987</v>
      </c>
      <c r="DO116" s="7">
        <f t="shared" ca="1" si="132"/>
        <v>71.359199999999987</v>
      </c>
      <c r="DP116" s="7">
        <f t="shared" ca="1" si="132"/>
        <v>71.359199999999987</v>
      </c>
      <c r="DQ116" s="7">
        <f t="shared" ca="1" si="132"/>
        <v>71.359199999999987</v>
      </c>
      <c r="DR116" s="7">
        <f t="shared" ca="1" si="132"/>
        <v>71.359199999999987</v>
      </c>
      <c r="DS116" s="7">
        <f t="shared" ca="1" si="132"/>
        <v>71.359199999999987</v>
      </c>
      <c r="DT116" s="7">
        <f t="shared" ca="1" si="132"/>
        <v>71.359199999999987</v>
      </c>
      <c r="DU116" s="7">
        <f t="shared" ca="1" si="132"/>
        <v>71.359199999999987</v>
      </c>
      <c r="DV116" s="7">
        <f t="shared" ca="1" si="132"/>
        <v>71.359199999999987</v>
      </c>
      <c r="DW116" s="7">
        <f t="shared" ca="1" si="132"/>
        <v>71.359199999999987</v>
      </c>
      <c r="DX116" s="7">
        <f t="shared" ca="1" si="132"/>
        <v>71.359199999999987</v>
      </c>
      <c r="DY116" s="7">
        <f t="shared" ca="1" si="132"/>
        <v>71.359199999999987</v>
      </c>
    </row>
    <row r="117" spans="1:129" s="3" customFormat="1" ht="11.7" customHeight="1" outlineLevel="1" x14ac:dyDescent="0.25">
      <c r="A117" s="85"/>
      <c r="B117" s="113" t="s">
        <v>766</v>
      </c>
      <c r="C117" s="113"/>
      <c r="D117" s="324">
        <f>+Inputs!$F$93</f>
        <v>200</v>
      </c>
      <c r="F117" s="127"/>
      <c r="G117" s="127"/>
      <c r="H117" s="290">
        <f t="shared" si="105"/>
        <v>11010.719392944684</v>
      </c>
      <c r="I117" s="1019">
        <v>0</v>
      </c>
      <c r="J117" s="1019">
        <v>0</v>
      </c>
      <c r="K117" s="1019">
        <v>0</v>
      </c>
      <c r="L117" s="1019">
        <v>0</v>
      </c>
      <c r="M117" s="1019">
        <v>0</v>
      </c>
      <c r="N117" s="1019">
        <v>0</v>
      </c>
      <c r="O117" s="1019">
        <v>0</v>
      </c>
      <c r="P117" s="1019">
        <v>0</v>
      </c>
      <c r="Q117" s="1019">
        <v>0</v>
      </c>
      <c r="R117" s="1019">
        <v>0</v>
      </c>
      <c r="S117" s="1019">
        <v>0</v>
      </c>
      <c r="T117" s="1019">
        <v>0</v>
      </c>
      <c r="U117" s="1019">
        <v>0</v>
      </c>
      <c r="V117" s="1019">
        <v>0</v>
      </c>
      <c r="W117" s="1019">
        <v>0</v>
      </c>
      <c r="X117" s="1019">
        <v>0</v>
      </c>
      <c r="Y117" s="1019">
        <v>0</v>
      </c>
      <c r="Z117" s="1019">
        <v>0</v>
      </c>
      <c r="AA117" s="1019">
        <v>0</v>
      </c>
      <c r="AB117" s="1019">
        <v>0</v>
      </c>
      <c r="AC117" s="1019">
        <v>0</v>
      </c>
      <c r="AD117" s="1019">
        <v>0</v>
      </c>
      <c r="AE117" s="1019">
        <v>0</v>
      </c>
      <c r="AF117" s="1019">
        <v>0</v>
      </c>
      <c r="AG117" s="1019">
        <v>0</v>
      </c>
      <c r="AH117" s="1019">
        <v>0</v>
      </c>
      <c r="AI117" s="1019">
        <v>0</v>
      </c>
      <c r="AJ117" s="1019">
        <v>0</v>
      </c>
      <c r="AK117" s="1019">
        <v>0</v>
      </c>
      <c r="AL117" s="1019">
        <v>0</v>
      </c>
      <c r="AM117" s="1019">
        <v>0</v>
      </c>
      <c r="AN117" s="1019">
        <v>0</v>
      </c>
      <c r="AO117" s="1019">
        <v>0</v>
      </c>
      <c r="AP117" s="1019">
        <v>0</v>
      </c>
      <c r="AQ117" s="1019">
        <v>0</v>
      </c>
      <c r="AR117" s="1019">
        <v>0</v>
      </c>
      <c r="AS117" s="1019">
        <v>0</v>
      </c>
      <c r="AT117" s="1019">
        <v>0</v>
      </c>
      <c r="AU117" s="1019">
        <v>0</v>
      </c>
      <c r="AV117" s="1019">
        <v>0</v>
      </c>
      <c r="AW117" s="1019">
        <v>0</v>
      </c>
      <c r="AX117" s="1019">
        <v>0</v>
      </c>
      <c r="AY117" s="1019">
        <v>0</v>
      </c>
      <c r="AZ117" s="1019">
        <v>0</v>
      </c>
      <c r="BA117" s="1019">
        <v>0</v>
      </c>
      <c r="BB117" s="1019">
        <v>0</v>
      </c>
      <c r="BC117" s="1019">
        <v>0</v>
      </c>
      <c r="BD117" s="1019">
        <v>0</v>
      </c>
      <c r="BE117" s="1019">
        <v>0</v>
      </c>
      <c r="BF117" s="1019">
        <v>0</v>
      </c>
      <c r="BG117" s="1019">
        <v>0</v>
      </c>
      <c r="BH117" s="1019">
        <v>0</v>
      </c>
      <c r="BI117" s="1019">
        <f>378151.2/31212.65</f>
        <v>12.115318628825172</v>
      </c>
      <c r="BJ117" s="1019">
        <f>(621849+7311)/31539.2</f>
        <v>19.948508522727273</v>
      </c>
      <c r="BK117" s="1019">
        <f>+(823529+17929)/31727.74</f>
        <v>26.521208254984437</v>
      </c>
      <c r="BL117" s="1019">
        <f>(50420+23798)/32176.5</f>
        <v>2.3065902133544669</v>
      </c>
      <c r="BM117" s="1019">
        <f>+(100840.32+35431+24147.51)/BM99</f>
        <v>4.9088460241484428</v>
      </c>
      <c r="BN117" s="1019">
        <f>+(50420+24520)/BN99</f>
        <v>2.2649495282564089</v>
      </c>
      <c r="BO117" s="1019">
        <f>+(67227+24825+226888)/BO99</f>
        <v>9.5441696895556358</v>
      </c>
      <c r="BP117" s="1019">
        <f>+(35000+151260+14450-19838+96638)/BP99</f>
        <v>8.2014959580642319</v>
      </c>
      <c r="BQ117" s="1019">
        <f>+(16806+168067+16918+105040)/BQ99</f>
        <v>8.9564171879282721</v>
      </c>
      <c r="BR117" s="1019">
        <f>+(287857+67227+5+124791+17136+147058)/BR99</f>
        <v>18.614667192672908</v>
      </c>
      <c r="BS117" s="1019">
        <f>+(1679002+302521+94538+17300+105040)/BS99</f>
        <v>63.151029248703018</v>
      </c>
      <c r="BT117" s="1019">
        <f>+(4202+151260+377246-66568+142856)/BT99</f>
        <v>17.344887553694029</v>
      </c>
      <c r="BU117" s="1019">
        <f>+(42015+8403+117491+377246+245500+19292+243696)/BU99</f>
        <v>30.008931678922089</v>
      </c>
      <c r="BV117" s="1019">
        <f>+(1708746+16806+21009+302521+188628+202692+2055+130252)/BV99</f>
        <v>72.450920425078451</v>
      </c>
      <c r="BW117" s="1019">
        <f>+(16806+106556+16807+386555+10653+50420)/BW99</f>
        <v>16.522531811236277</v>
      </c>
      <c r="BX117" s="1019">
        <f>+(25210+67227+87227+607895+48027+147058)/BX99</f>
        <v>27.41863161316515</v>
      </c>
      <c r="BY117" s="1019">
        <f>+(36613+25211+50420+332421+2564081+48399+201680)/BY99</f>
        <v>90.440289413366514</v>
      </c>
      <c r="BZ117" s="7">
        <f t="shared" ref="BZ117:CU117" si="133">+$D$117*BZ91*(BZ102&gt;0)</f>
        <v>200</v>
      </c>
      <c r="CA117" s="7">
        <f t="shared" si="133"/>
        <v>200</v>
      </c>
      <c r="CB117" s="7">
        <f t="shared" si="133"/>
        <v>200</v>
      </c>
      <c r="CC117" s="7">
        <f t="shared" si="133"/>
        <v>200</v>
      </c>
      <c r="CD117" s="7">
        <f t="shared" si="133"/>
        <v>200</v>
      </c>
      <c r="CE117" s="7">
        <f t="shared" si="133"/>
        <v>200</v>
      </c>
      <c r="CF117" s="7">
        <f t="shared" si="133"/>
        <v>200</v>
      </c>
      <c r="CG117" s="7">
        <f t="shared" si="133"/>
        <v>204</v>
      </c>
      <c r="CH117" s="7">
        <f t="shared" si="133"/>
        <v>204</v>
      </c>
      <c r="CI117" s="7">
        <f t="shared" si="133"/>
        <v>204</v>
      </c>
      <c r="CJ117" s="7">
        <f t="shared" si="133"/>
        <v>204</v>
      </c>
      <c r="CK117" s="7">
        <f t="shared" si="133"/>
        <v>204</v>
      </c>
      <c r="CL117" s="7">
        <f t="shared" si="133"/>
        <v>204</v>
      </c>
      <c r="CM117" s="7">
        <f t="shared" si="133"/>
        <v>204</v>
      </c>
      <c r="CN117" s="7">
        <f t="shared" si="133"/>
        <v>204</v>
      </c>
      <c r="CO117" s="7">
        <f t="shared" si="133"/>
        <v>204</v>
      </c>
      <c r="CP117" s="7">
        <f t="shared" si="133"/>
        <v>204</v>
      </c>
      <c r="CQ117" s="7">
        <f t="shared" si="133"/>
        <v>204</v>
      </c>
      <c r="CR117" s="7">
        <f t="shared" si="133"/>
        <v>204</v>
      </c>
      <c r="CS117" s="7">
        <f t="shared" si="133"/>
        <v>204</v>
      </c>
      <c r="CT117" s="7">
        <f t="shared" si="133"/>
        <v>204</v>
      </c>
      <c r="CU117" s="7">
        <f t="shared" si="133"/>
        <v>204</v>
      </c>
      <c r="CV117" s="7">
        <f t="shared" ref="CV117:DY117" si="134">+$D$117*CV91*(CV102&gt;0)</f>
        <v>204</v>
      </c>
      <c r="CW117" s="7">
        <f t="shared" si="134"/>
        <v>204</v>
      </c>
      <c r="CX117" s="7">
        <f t="shared" si="134"/>
        <v>204</v>
      </c>
      <c r="CY117" s="7">
        <f t="shared" si="134"/>
        <v>204</v>
      </c>
      <c r="CZ117" s="7">
        <f t="shared" si="134"/>
        <v>204</v>
      </c>
      <c r="DA117" s="7">
        <f t="shared" si="134"/>
        <v>204</v>
      </c>
      <c r="DB117" s="7">
        <f t="shared" si="134"/>
        <v>204</v>
      </c>
      <c r="DC117" s="7">
        <f t="shared" si="134"/>
        <v>204</v>
      </c>
      <c r="DD117" s="7">
        <f t="shared" si="134"/>
        <v>204</v>
      </c>
      <c r="DE117" s="7">
        <f t="shared" si="134"/>
        <v>204</v>
      </c>
      <c r="DF117" s="7">
        <f t="shared" si="134"/>
        <v>204</v>
      </c>
      <c r="DG117" s="7">
        <f t="shared" si="134"/>
        <v>204</v>
      </c>
      <c r="DH117" s="7">
        <f t="shared" si="134"/>
        <v>204</v>
      </c>
      <c r="DI117" s="7">
        <f t="shared" si="134"/>
        <v>204</v>
      </c>
      <c r="DJ117" s="7">
        <f t="shared" si="134"/>
        <v>204</v>
      </c>
      <c r="DK117" s="7">
        <f t="shared" si="134"/>
        <v>204</v>
      </c>
      <c r="DL117" s="7">
        <f t="shared" si="134"/>
        <v>204</v>
      </c>
      <c r="DM117" s="7">
        <f t="shared" si="134"/>
        <v>204</v>
      </c>
      <c r="DN117" s="7">
        <f t="shared" si="134"/>
        <v>204</v>
      </c>
      <c r="DO117" s="7">
        <f t="shared" si="134"/>
        <v>204</v>
      </c>
      <c r="DP117" s="7">
        <f t="shared" si="134"/>
        <v>204</v>
      </c>
      <c r="DQ117" s="7">
        <f t="shared" si="134"/>
        <v>204</v>
      </c>
      <c r="DR117" s="7">
        <f t="shared" si="134"/>
        <v>204</v>
      </c>
      <c r="DS117" s="7">
        <f t="shared" si="134"/>
        <v>204</v>
      </c>
      <c r="DT117" s="7">
        <f t="shared" si="134"/>
        <v>204</v>
      </c>
      <c r="DU117" s="7">
        <f t="shared" si="134"/>
        <v>204</v>
      </c>
      <c r="DV117" s="7">
        <f t="shared" si="134"/>
        <v>204</v>
      </c>
      <c r="DW117" s="7">
        <f t="shared" si="134"/>
        <v>204</v>
      </c>
      <c r="DX117" s="7">
        <f t="shared" si="134"/>
        <v>204</v>
      </c>
      <c r="DY117" s="7">
        <f t="shared" si="134"/>
        <v>204</v>
      </c>
    </row>
    <row r="118" spans="1:129" s="3" customFormat="1" ht="11.7" customHeight="1" outlineLevel="1" x14ac:dyDescent="0.25">
      <c r="A118" s="85"/>
      <c r="B118" s="113" t="s">
        <v>767</v>
      </c>
      <c r="C118" s="113"/>
      <c r="D118" s="622"/>
      <c r="F118" s="127"/>
      <c r="G118" s="127"/>
      <c r="H118" s="290">
        <f t="shared" ca="1" si="105"/>
        <v>-750.26018208955259</v>
      </c>
      <c r="I118" s="1019">
        <v>0</v>
      </c>
      <c r="J118" s="1019">
        <v>0</v>
      </c>
      <c r="K118" s="1019">
        <v>0</v>
      </c>
      <c r="L118" s="1019">
        <v>0</v>
      </c>
      <c r="M118" s="1019">
        <v>0</v>
      </c>
      <c r="N118" s="1019">
        <v>0</v>
      </c>
      <c r="O118" s="1019">
        <v>0</v>
      </c>
      <c r="P118" s="1019">
        <v>0</v>
      </c>
      <c r="Q118" s="1019">
        <v>0</v>
      </c>
      <c r="R118" s="1019">
        <v>0</v>
      </c>
      <c r="S118" s="1019">
        <v>0</v>
      </c>
      <c r="T118" s="1019">
        <v>0</v>
      </c>
      <c r="U118" s="1019">
        <v>0</v>
      </c>
      <c r="V118" s="1019">
        <v>0</v>
      </c>
      <c r="W118" s="1019">
        <v>0</v>
      </c>
      <c r="X118" s="1019">
        <v>0</v>
      </c>
      <c r="Y118" s="1019">
        <v>0</v>
      </c>
      <c r="Z118" s="1019">
        <v>0</v>
      </c>
      <c r="AA118" s="1019">
        <v>0</v>
      </c>
      <c r="AB118" s="1019">
        <v>0</v>
      </c>
      <c r="AC118" s="1019">
        <v>0</v>
      </c>
      <c r="AD118" s="1019">
        <v>0</v>
      </c>
      <c r="AE118" s="1019">
        <v>0</v>
      </c>
      <c r="AF118" s="1019">
        <v>0</v>
      </c>
      <c r="AG118" s="1019">
        <v>0</v>
      </c>
      <c r="AH118" s="1019">
        <v>0</v>
      </c>
      <c r="AI118" s="1019">
        <v>0</v>
      </c>
      <c r="AJ118" s="1019">
        <v>0</v>
      </c>
      <c r="AK118" s="1019">
        <v>0</v>
      </c>
      <c r="AL118" s="1019">
        <v>0</v>
      </c>
      <c r="AM118" s="1019">
        <v>0</v>
      </c>
      <c r="AN118" s="1019">
        <v>0</v>
      </c>
      <c r="AO118" s="1019">
        <v>0</v>
      </c>
      <c r="AP118" s="1019">
        <v>0</v>
      </c>
      <c r="AQ118" s="1019">
        <v>0</v>
      </c>
      <c r="AR118" s="1019">
        <v>0</v>
      </c>
      <c r="AS118" s="1019">
        <v>0</v>
      </c>
      <c r="AT118" s="1019">
        <v>0</v>
      </c>
      <c r="AU118" s="1019">
        <v>0</v>
      </c>
      <c r="AV118" s="1019">
        <v>0</v>
      </c>
      <c r="AW118" s="1019">
        <v>0</v>
      </c>
      <c r="AX118" s="1019">
        <v>0</v>
      </c>
      <c r="AY118" s="1019">
        <v>0</v>
      </c>
      <c r="AZ118" s="1019">
        <v>0</v>
      </c>
      <c r="BA118" s="1019">
        <v>0</v>
      </c>
      <c r="BB118" s="1019">
        <v>0</v>
      </c>
      <c r="BC118" s="1019">
        <v>0</v>
      </c>
      <c r="BD118" s="1019">
        <v>0</v>
      </c>
      <c r="BE118" s="1019">
        <v>0</v>
      </c>
      <c r="BF118" s="1019">
        <v>0</v>
      </c>
      <c r="BG118" s="1019">
        <v>0</v>
      </c>
      <c r="BH118" s="1019">
        <v>0</v>
      </c>
      <c r="BI118" s="1019">
        <v>0</v>
      </c>
      <c r="BJ118" s="1019">
        <v>0</v>
      </c>
      <c r="BK118" s="1019">
        <v>0</v>
      </c>
      <c r="BL118" s="1019">
        <v>0</v>
      </c>
      <c r="BM118" s="1019">
        <v>0</v>
      </c>
      <c r="BN118" s="1019">
        <v>0</v>
      </c>
      <c r="BO118" s="1019">
        <v>0</v>
      </c>
      <c r="BP118" s="1019">
        <v>0</v>
      </c>
      <c r="BQ118" s="1019">
        <v>0</v>
      </c>
      <c r="BR118" s="1019">
        <v>0</v>
      </c>
      <c r="BS118" s="1019">
        <v>0</v>
      </c>
      <c r="BT118" s="1019">
        <v>0</v>
      </c>
      <c r="BU118" s="1019">
        <v>0</v>
      </c>
      <c r="BV118" s="1019">
        <v>0</v>
      </c>
      <c r="BW118" s="1019">
        <v>0</v>
      </c>
      <c r="BX118" s="1019">
        <v>0</v>
      </c>
      <c r="BY118" s="1019">
        <v>0</v>
      </c>
      <c r="BZ118" s="7">
        <f t="shared" ref="BZ118:CU118" ca="1" si="135">-SUM(BZ115:BZ117)*BZ84</f>
        <v>-13.980832089552241</v>
      </c>
      <c r="CA118" s="7">
        <f t="shared" ca="1" si="135"/>
        <v>-14.186500000000002</v>
      </c>
      <c r="CB118" s="7">
        <f t="shared" ca="1" si="135"/>
        <v>-14.186500000000002</v>
      </c>
      <c r="CC118" s="7">
        <f t="shared" ca="1" si="135"/>
        <v>-14.186500000000002</v>
      </c>
      <c r="CD118" s="7">
        <f t="shared" ca="1" si="135"/>
        <v>-14.186500000000002</v>
      </c>
      <c r="CE118" s="7">
        <f t="shared" ca="1" si="135"/>
        <v>-14.186500000000002</v>
      </c>
      <c r="CF118" s="7">
        <f t="shared" ca="1" si="135"/>
        <v>-14.186500000000002</v>
      </c>
      <c r="CG118" s="7">
        <f t="shared" ca="1" si="135"/>
        <v>-14.470229999999999</v>
      </c>
      <c r="CH118" s="7">
        <f t="shared" ca="1" si="135"/>
        <v>-14.470229999999999</v>
      </c>
      <c r="CI118" s="7">
        <f t="shared" ca="1" si="135"/>
        <v>-14.470229999999999</v>
      </c>
      <c r="CJ118" s="7">
        <f t="shared" ca="1" si="135"/>
        <v>-14.470229999999999</v>
      </c>
      <c r="CK118" s="7">
        <f t="shared" ca="1" si="135"/>
        <v>-14.470229999999999</v>
      </c>
      <c r="CL118" s="7">
        <f t="shared" ca="1" si="135"/>
        <v>-14.470229999999999</v>
      </c>
      <c r="CM118" s="7">
        <f t="shared" ca="1" si="135"/>
        <v>-14.470229999999999</v>
      </c>
      <c r="CN118" s="7">
        <f t="shared" ca="1" si="135"/>
        <v>-14.470229999999999</v>
      </c>
      <c r="CO118" s="7">
        <f t="shared" ca="1" si="135"/>
        <v>-14.470229999999999</v>
      </c>
      <c r="CP118" s="7">
        <f t="shared" ca="1" si="135"/>
        <v>-14.470229999999999</v>
      </c>
      <c r="CQ118" s="7">
        <f t="shared" ca="1" si="135"/>
        <v>-14.470229999999999</v>
      </c>
      <c r="CR118" s="7">
        <f t="shared" ca="1" si="135"/>
        <v>-14.470229999999999</v>
      </c>
      <c r="CS118" s="7">
        <f t="shared" ca="1" si="135"/>
        <v>-14.470229999999999</v>
      </c>
      <c r="CT118" s="7">
        <f t="shared" ca="1" si="135"/>
        <v>-14.470229999999999</v>
      </c>
      <c r="CU118" s="7">
        <f t="shared" ca="1" si="135"/>
        <v>-14.470229999999999</v>
      </c>
      <c r="CV118" s="7">
        <f t="shared" ref="CV118:DY118" ca="1" si="136">-SUM(CV115:CV117)*CV84</f>
        <v>-14.470229999999999</v>
      </c>
      <c r="CW118" s="7">
        <f t="shared" ca="1" si="136"/>
        <v>-14.470229999999999</v>
      </c>
      <c r="CX118" s="7">
        <f t="shared" ca="1" si="136"/>
        <v>-14.470229999999999</v>
      </c>
      <c r="CY118" s="7">
        <f t="shared" ca="1" si="136"/>
        <v>-14.470229999999999</v>
      </c>
      <c r="CZ118" s="7">
        <f t="shared" ca="1" si="136"/>
        <v>-14.470229999999999</v>
      </c>
      <c r="DA118" s="7">
        <f t="shared" ca="1" si="136"/>
        <v>-14.470229999999999</v>
      </c>
      <c r="DB118" s="7">
        <f t="shared" ca="1" si="136"/>
        <v>-14.470229999999999</v>
      </c>
      <c r="DC118" s="7">
        <f t="shared" ca="1" si="136"/>
        <v>-14.470229999999999</v>
      </c>
      <c r="DD118" s="7">
        <f t="shared" ca="1" si="136"/>
        <v>-14.470229999999999</v>
      </c>
      <c r="DE118" s="7">
        <f t="shared" ca="1" si="136"/>
        <v>-14.470229999999999</v>
      </c>
      <c r="DF118" s="7">
        <f t="shared" ca="1" si="136"/>
        <v>-14.470229999999999</v>
      </c>
      <c r="DG118" s="7">
        <f t="shared" ca="1" si="136"/>
        <v>-14.470229999999999</v>
      </c>
      <c r="DH118" s="7">
        <f t="shared" ca="1" si="136"/>
        <v>-14.470229999999999</v>
      </c>
      <c r="DI118" s="7">
        <f t="shared" ca="1" si="136"/>
        <v>-14.470229999999999</v>
      </c>
      <c r="DJ118" s="7">
        <f t="shared" ca="1" si="136"/>
        <v>-14.470229999999999</v>
      </c>
      <c r="DK118" s="7">
        <f t="shared" ca="1" si="136"/>
        <v>-14.470229999999999</v>
      </c>
      <c r="DL118" s="7">
        <f t="shared" ca="1" si="136"/>
        <v>-14.470229999999999</v>
      </c>
      <c r="DM118" s="7">
        <f t="shared" ca="1" si="136"/>
        <v>-14.470229999999999</v>
      </c>
      <c r="DN118" s="7">
        <f t="shared" ca="1" si="136"/>
        <v>-14.470229999999999</v>
      </c>
      <c r="DO118" s="7">
        <f t="shared" ca="1" si="136"/>
        <v>-14.470229999999999</v>
      </c>
      <c r="DP118" s="7">
        <f t="shared" ca="1" si="136"/>
        <v>-14.470229999999999</v>
      </c>
      <c r="DQ118" s="7">
        <f t="shared" ca="1" si="136"/>
        <v>-14.470229999999999</v>
      </c>
      <c r="DR118" s="7">
        <f t="shared" ca="1" si="136"/>
        <v>-14.470229999999999</v>
      </c>
      <c r="DS118" s="7">
        <f t="shared" ca="1" si="136"/>
        <v>-14.470229999999999</v>
      </c>
      <c r="DT118" s="7">
        <f t="shared" ca="1" si="136"/>
        <v>-14.470229999999999</v>
      </c>
      <c r="DU118" s="7">
        <f t="shared" ca="1" si="136"/>
        <v>-14.470229999999999</v>
      </c>
      <c r="DV118" s="7">
        <f t="shared" ca="1" si="136"/>
        <v>-14.470229999999999</v>
      </c>
      <c r="DW118" s="7">
        <f t="shared" ca="1" si="136"/>
        <v>-14.470229999999999</v>
      </c>
      <c r="DX118" s="7">
        <f t="shared" ca="1" si="136"/>
        <v>-14.470229999999999</v>
      </c>
      <c r="DY118" s="7">
        <f t="shared" ca="1" si="136"/>
        <v>-14.470229999999999</v>
      </c>
    </row>
    <row r="119" spans="1:129" s="3" customFormat="1" ht="11.7" customHeight="1" outlineLevel="1" x14ac:dyDescent="0.3">
      <c r="A119" s="85"/>
      <c r="B119" s="113" t="s">
        <v>769</v>
      </c>
      <c r="C119" s="113"/>
      <c r="D119" s="335">
        <f>+Inputs!$G$98</f>
        <v>1E-3</v>
      </c>
      <c r="F119" s="127"/>
      <c r="G119" s="127"/>
      <c r="H119" s="312">
        <f ca="1">+SUM(I119:DY119)</f>
        <v>-19.430407283582092</v>
      </c>
      <c r="I119" s="1019">
        <v>0</v>
      </c>
      <c r="J119" s="1019">
        <v>0</v>
      </c>
      <c r="K119" s="1019">
        <v>0</v>
      </c>
      <c r="L119" s="1019">
        <v>0</v>
      </c>
      <c r="M119" s="1019">
        <v>0</v>
      </c>
      <c r="N119" s="1019">
        <v>0</v>
      </c>
      <c r="O119" s="1019">
        <v>0</v>
      </c>
      <c r="P119" s="1019">
        <v>0</v>
      </c>
      <c r="Q119" s="1019">
        <v>0</v>
      </c>
      <c r="R119" s="1019">
        <v>0</v>
      </c>
      <c r="S119" s="1019">
        <v>0</v>
      </c>
      <c r="T119" s="1019">
        <v>0</v>
      </c>
      <c r="U119" s="1019">
        <v>0</v>
      </c>
      <c r="V119" s="1019">
        <v>0</v>
      </c>
      <c r="W119" s="1019">
        <v>0</v>
      </c>
      <c r="X119" s="1019">
        <v>0</v>
      </c>
      <c r="Y119" s="1019">
        <v>0</v>
      </c>
      <c r="Z119" s="1019">
        <v>0</v>
      </c>
      <c r="AA119" s="1019">
        <v>0</v>
      </c>
      <c r="AB119" s="1019">
        <v>0</v>
      </c>
      <c r="AC119" s="1019">
        <v>0</v>
      </c>
      <c r="AD119" s="1019">
        <v>0</v>
      </c>
      <c r="AE119" s="1019">
        <v>0</v>
      </c>
      <c r="AF119" s="1019">
        <v>0</v>
      </c>
      <c r="AG119" s="1019">
        <v>0</v>
      </c>
      <c r="AH119" s="1019">
        <v>0</v>
      </c>
      <c r="AI119" s="1019">
        <v>0</v>
      </c>
      <c r="AJ119" s="1019">
        <v>0</v>
      </c>
      <c r="AK119" s="1019">
        <v>0</v>
      </c>
      <c r="AL119" s="1019">
        <v>0</v>
      </c>
      <c r="AM119" s="1019">
        <v>0</v>
      </c>
      <c r="AN119" s="1019">
        <v>0</v>
      </c>
      <c r="AO119" s="1019">
        <v>0</v>
      </c>
      <c r="AP119" s="1019">
        <v>0</v>
      </c>
      <c r="AQ119" s="1019">
        <v>0</v>
      </c>
      <c r="AR119" s="1019">
        <v>0</v>
      </c>
      <c r="AS119" s="1019">
        <v>0</v>
      </c>
      <c r="AT119" s="1019">
        <v>0</v>
      </c>
      <c r="AU119" s="1019">
        <v>0</v>
      </c>
      <c r="AV119" s="1019">
        <v>0</v>
      </c>
      <c r="AW119" s="1019">
        <v>0</v>
      </c>
      <c r="AX119" s="1019">
        <v>0</v>
      </c>
      <c r="AY119" s="1019">
        <v>0</v>
      </c>
      <c r="AZ119" s="1019">
        <v>0</v>
      </c>
      <c r="BA119" s="1019">
        <v>0</v>
      </c>
      <c r="BB119" s="1019">
        <v>0</v>
      </c>
      <c r="BC119" s="1019">
        <v>0</v>
      </c>
      <c r="BD119" s="1019">
        <v>0</v>
      </c>
      <c r="BE119" s="1019">
        <v>0</v>
      </c>
      <c r="BF119" s="1019">
        <v>0</v>
      </c>
      <c r="BG119" s="1019">
        <v>0</v>
      </c>
      <c r="BH119" s="1019">
        <v>0</v>
      </c>
      <c r="BI119" s="1019">
        <v>0</v>
      </c>
      <c r="BJ119" s="1019">
        <v>0</v>
      </c>
      <c r="BK119" s="1019">
        <v>0</v>
      </c>
      <c r="BL119" s="1019">
        <v>0</v>
      </c>
      <c r="BM119" s="1019">
        <v>0</v>
      </c>
      <c r="BN119" s="1019">
        <v>0</v>
      </c>
      <c r="BO119" s="1019">
        <v>0</v>
      </c>
      <c r="BP119" s="1019">
        <v>0</v>
      </c>
      <c r="BQ119" s="1019">
        <v>0</v>
      </c>
      <c r="BR119" s="1019">
        <v>0</v>
      </c>
      <c r="BS119" s="1019">
        <v>0</v>
      </c>
      <c r="BT119" s="1019">
        <v>0</v>
      </c>
      <c r="BU119" s="1019">
        <v>0</v>
      </c>
      <c r="BV119" s="1019">
        <v>0</v>
      </c>
      <c r="BW119" s="1019">
        <v>0</v>
      </c>
      <c r="BX119" s="1019">
        <v>0</v>
      </c>
      <c r="BY119" s="1019">
        <v>0</v>
      </c>
      <c r="BZ119" s="14">
        <f t="shared" ref="BZ119:CP119" ca="1" si="137">-SUM(BZ115:BZ116)*$D$119</f>
        <v>-0.35923328358208956</v>
      </c>
      <c r="CA119" s="14">
        <f t="shared" ca="1" si="137"/>
        <v>-0.36746000000000001</v>
      </c>
      <c r="CB119" s="14">
        <f t="shared" ca="1" si="137"/>
        <v>-0.36746000000000001</v>
      </c>
      <c r="CC119" s="14">
        <f t="shared" ca="1" si="137"/>
        <v>-0.36746000000000001</v>
      </c>
      <c r="CD119" s="14">
        <f t="shared" ca="1" si="137"/>
        <v>-0.36746000000000001</v>
      </c>
      <c r="CE119" s="14">
        <f t="shared" ca="1" si="137"/>
        <v>-0.36746000000000001</v>
      </c>
      <c r="CF119" s="14">
        <f t="shared" ca="1" si="137"/>
        <v>-0.36746000000000001</v>
      </c>
      <c r="CG119" s="14">
        <f t="shared" ca="1" si="137"/>
        <v>-0.37480920000000001</v>
      </c>
      <c r="CH119" s="14">
        <f t="shared" ca="1" si="137"/>
        <v>-0.37480920000000001</v>
      </c>
      <c r="CI119" s="14">
        <f t="shared" ca="1" si="137"/>
        <v>-0.37480920000000001</v>
      </c>
      <c r="CJ119" s="14">
        <f t="shared" ca="1" si="137"/>
        <v>-0.37480920000000001</v>
      </c>
      <c r="CK119" s="14">
        <f t="shared" ca="1" si="137"/>
        <v>-0.37480920000000001</v>
      </c>
      <c r="CL119" s="14">
        <f t="shared" ca="1" si="137"/>
        <v>-0.37480920000000001</v>
      </c>
      <c r="CM119" s="14">
        <f t="shared" ca="1" si="137"/>
        <v>-0.37480920000000001</v>
      </c>
      <c r="CN119" s="14">
        <f t="shared" ca="1" si="137"/>
        <v>-0.37480920000000001</v>
      </c>
      <c r="CO119" s="14">
        <f t="shared" ca="1" si="137"/>
        <v>-0.37480920000000001</v>
      </c>
      <c r="CP119" s="14">
        <f t="shared" ca="1" si="137"/>
        <v>-0.37480920000000001</v>
      </c>
      <c r="CQ119" s="14">
        <f t="shared" ref="CQ119:DY119" ca="1" si="138">-SUM(CQ115:CQ116)*$D$119</f>
        <v>-0.37480920000000001</v>
      </c>
      <c r="CR119" s="14">
        <f t="shared" ca="1" si="138"/>
        <v>-0.37480920000000001</v>
      </c>
      <c r="CS119" s="14">
        <f t="shared" ca="1" si="138"/>
        <v>-0.37480920000000001</v>
      </c>
      <c r="CT119" s="14">
        <f t="shared" ca="1" si="138"/>
        <v>-0.37480920000000001</v>
      </c>
      <c r="CU119" s="14">
        <f t="shared" ca="1" si="138"/>
        <v>-0.37480920000000001</v>
      </c>
      <c r="CV119" s="14">
        <f t="shared" ca="1" si="138"/>
        <v>-0.37480920000000001</v>
      </c>
      <c r="CW119" s="14">
        <f t="shared" ca="1" si="138"/>
        <v>-0.37480920000000001</v>
      </c>
      <c r="CX119" s="14">
        <f t="shared" ca="1" si="138"/>
        <v>-0.37480920000000001</v>
      </c>
      <c r="CY119" s="14">
        <f t="shared" ca="1" si="138"/>
        <v>-0.37480920000000001</v>
      </c>
      <c r="CZ119" s="14">
        <f t="shared" ca="1" si="138"/>
        <v>-0.37480920000000001</v>
      </c>
      <c r="DA119" s="14">
        <f t="shared" ca="1" si="138"/>
        <v>-0.37480920000000001</v>
      </c>
      <c r="DB119" s="14">
        <f t="shared" ca="1" si="138"/>
        <v>-0.37480920000000001</v>
      </c>
      <c r="DC119" s="14">
        <f t="shared" ca="1" si="138"/>
        <v>-0.37480920000000001</v>
      </c>
      <c r="DD119" s="14">
        <f t="shared" ca="1" si="138"/>
        <v>-0.37480920000000001</v>
      </c>
      <c r="DE119" s="14">
        <f t="shared" ca="1" si="138"/>
        <v>-0.37480920000000001</v>
      </c>
      <c r="DF119" s="14">
        <f t="shared" ca="1" si="138"/>
        <v>-0.37480920000000001</v>
      </c>
      <c r="DG119" s="14">
        <f t="shared" ca="1" si="138"/>
        <v>-0.37480920000000001</v>
      </c>
      <c r="DH119" s="14">
        <f t="shared" ca="1" si="138"/>
        <v>-0.37480920000000001</v>
      </c>
      <c r="DI119" s="14">
        <f t="shared" ca="1" si="138"/>
        <v>-0.37480920000000001</v>
      </c>
      <c r="DJ119" s="14">
        <f t="shared" ca="1" si="138"/>
        <v>-0.37480920000000001</v>
      </c>
      <c r="DK119" s="14">
        <f t="shared" ca="1" si="138"/>
        <v>-0.37480920000000001</v>
      </c>
      <c r="DL119" s="14">
        <f t="shared" ca="1" si="138"/>
        <v>-0.37480920000000001</v>
      </c>
      <c r="DM119" s="14">
        <f t="shared" ca="1" si="138"/>
        <v>-0.37480920000000001</v>
      </c>
      <c r="DN119" s="14">
        <f t="shared" ca="1" si="138"/>
        <v>-0.37480920000000001</v>
      </c>
      <c r="DO119" s="14">
        <f t="shared" ca="1" si="138"/>
        <v>-0.37480920000000001</v>
      </c>
      <c r="DP119" s="14">
        <f t="shared" ca="1" si="138"/>
        <v>-0.37480920000000001</v>
      </c>
      <c r="DQ119" s="14">
        <f t="shared" ca="1" si="138"/>
        <v>-0.37480920000000001</v>
      </c>
      <c r="DR119" s="14">
        <f t="shared" ca="1" si="138"/>
        <v>-0.37480920000000001</v>
      </c>
      <c r="DS119" s="14">
        <f t="shared" ca="1" si="138"/>
        <v>-0.37480920000000001</v>
      </c>
      <c r="DT119" s="14">
        <f t="shared" ca="1" si="138"/>
        <v>-0.37480920000000001</v>
      </c>
      <c r="DU119" s="14">
        <f t="shared" ca="1" si="138"/>
        <v>-0.37480920000000001</v>
      </c>
      <c r="DV119" s="14">
        <f t="shared" ca="1" si="138"/>
        <v>-0.37480920000000001</v>
      </c>
      <c r="DW119" s="14">
        <f t="shared" ca="1" si="138"/>
        <v>-0.37480920000000001</v>
      </c>
      <c r="DX119" s="14">
        <f t="shared" ca="1" si="138"/>
        <v>-0.37480920000000001</v>
      </c>
      <c r="DY119" s="14">
        <f t="shared" ca="1" si="138"/>
        <v>-0.37480920000000001</v>
      </c>
    </row>
    <row r="120" spans="1:129" s="3" customFormat="1" ht="11.7" customHeight="1" outlineLevel="1" x14ac:dyDescent="0.3">
      <c r="A120" s="85"/>
      <c r="B120" s="1087" t="s">
        <v>644</v>
      </c>
      <c r="C120" s="1087"/>
      <c r="D120" s="1086"/>
      <c r="F120" s="127"/>
      <c r="G120" s="127"/>
      <c r="H120" s="312">
        <f ca="1">+SUM(I120:DY120)</f>
        <v>30330.849292692845</v>
      </c>
      <c r="I120" s="165">
        <f t="shared" ref="I120:AN120" si="139">+SUM(I115:I119)</f>
        <v>0</v>
      </c>
      <c r="J120" s="165">
        <f t="shared" si="139"/>
        <v>0</v>
      </c>
      <c r="K120" s="165">
        <f t="shared" si="139"/>
        <v>0</v>
      </c>
      <c r="L120" s="165">
        <f t="shared" si="139"/>
        <v>0</v>
      </c>
      <c r="M120" s="165">
        <f t="shared" si="139"/>
        <v>0</v>
      </c>
      <c r="N120" s="165">
        <f t="shared" si="139"/>
        <v>0</v>
      </c>
      <c r="O120" s="165">
        <f t="shared" si="139"/>
        <v>0</v>
      </c>
      <c r="P120" s="165">
        <f t="shared" si="139"/>
        <v>0</v>
      </c>
      <c r="Q120" s="165">
        <f t="shared" si="139"/>
        <v>0</v>
      </c>
      <c r="R120" s="165">
        <f t="shared" si="139"/>
        <v>0</v>
      </c>
      <c r="S120" s="165">
        <f t="shared" si="139"/>
        <v>0</v>
      </c>
      <c r="T120" s="165">
        <f t="shared" si="139"/>
        <v>0</v>
      </c>
      <c r="U120" s="165">
        <f t="shared" si="139"/>
        <v>0</v>
      </c>
      <c r="V120" s="165">
        <f t="shared" si="139"/>
        <v>0</v>
      </c>
      <c r="W120" s="165">
        <f t="shared" si="139"/>
        <v>0</v>
      </c>
      <c r="X120" s="165">
        <f t="shared" si="139"/>
        <v>0</v>
      </c>
      <c r="Y120" s="165">
        <f t="shared" si="139"/>
        <v>0</v>
      </c>
      <c r="Z120" s="165">
        <f t="shared" si="139"/>
        <v>0</v>
      </c>
      <c r="AA120" s="165">
        <f t="shared" si="139"/>
        <v>0</v>
      </c>
      <c r="AB120" s="165">
        <f t="shared" si="139"/>
        <v>0</v>
      </c>
      <c r="AC120" s="165">
        <f t="shared" si="139"/>
        <v>0</v>
      </c>
      <c r="AD120" s="165">
        <f t="shared" si="139"/>
        <v>0</v>
      </c>
      <c r="AE120" s="165">
        <f t="shared" si="139"/>
        <v>0</v>
      </c>
      <c r="AF120" s="165">
        <f t="shared" si="139"/>
        <v>0</v>
      </c>
      <c r="AG120" s="165">
        <f t="shared" si="139"/>
        <v>0</v>
      </c>
      <c r="AH120" s="165">
        <f t="shared" si="139"/>
        <v>0</v>
      </c>
      <c r="AI120" s="165">
        <f t="shared" si="139"/>
        <v>0</v>
      </c>
      <c r="AJ120" s="165">
        <f t="shared" si="139"/>
        <v>0</v>
      </c>
      <c r="AK120" s="165">
        <f t="shared" si="139"/>
        <v>0</v>
      </c>
      <c r="AL120" s="165">
        <f t="shared" si="139"/>
        <v>0</v>
      </c>
      <c r="AM120" s="165">
        <f t="shared" si="139"/>
        <v>0</v>
      </c>
      <c r="AN120" s="165">
        <f t="shared" si="139"/>
        <v>0</v>
      </c>
      <c r="AO120" s="165">
        <f t="shared" ref="AO120:BT120" si="140">+SUM(AO115:AO119)</f>
        <v>0</v>
      </c>
      <c r="AP120" s="165">
        <f t="shared" si="140"/>
        <v>0</v>
      </c>
      <c r="AQ120" s="165">
        <f t="shared" si="140"/>
        <v>0</v>
      </c>
      <c r="AR120" s="165">
        <f t="shared" si="140"/>
        <v>0</v>
      </c>
      <c r="AS120" s="165">
        <f t="shared" si="140"/>
        <v>0</v>
      </c>
      <c r="AT120" s="165">
        <f t="shared" si="140"/>
        <v>0</v>
      </c>
      <c r="AU120" s="165">
        <f t="shared" si="140"/>
        <v>0</v>
      </c>
      <c r="AV120" s="165">
        <f t="shared" si="140"/>
        <v>0</v>
      </c>
      <c r="AW120" s="165">
        <f t="shared" si="140"/>
        <v>0</v>
      </c>
      <c r="AX120" s="165">
        <f t="shared" si="140"/>
        <v>0</v>
      </c>
      <c r="AY120" s="165">
        <f t="shared" si="140"/>
        <v>0</v>
      </c>
      <c r="AZ120" s="165">
        <f t="shared" si="140"/>
        <v>0</v>
      </c>
      <c r="BA120" s="165">
        <f t="shared" si="140"/>
        <v>0</v>
      </c>
      <c r="BB120" s="165">
        <f t="shared" si="140"/>
        <v>0</v>
      </c>
      <c r="BC120" s="165">
        <f t="shared" si="140"/>
        <v>0</v>
      </c>
      <c r="BD120" s="165">
        <f t="shared" si="140"/>
        <v>0</v>
      </c>
      <c r="BE120" s="165">
        <f t="shared" si="140"/>
        <v>0</v>
      </c>
      <c r="BF120" s="165">
        <f t="shared" si="140"/>
        <v>0</v>
      </c>
      <c r="BG120" s="165">
        <f t="shared" si="140"/>
        <v>0</v>
      </c>
      <c r="BH120" s="165">
        <f t="shared" si="140"/>
        <v>0</v>
      </c>
      <c r="BI120" s="165">
        <f t="shared" si="140"/>
        <v>16.266686743996424</v>
      </c>
      <c r="BJ120" s="165">
        <f t="shared" si="140"/>
        <v>33.590928114853895</v>
      </c>
      <c r="BK120" s="165">
        <f>+SUM(BK115:BK119)</f>
        <v>46.752967592397056</v>
      </c>
      <c r="BL120" s="165">
        <f t="shared" si="140"/>
        <v>32.212173480645809</v>
      </c>
      <c r="BM120" s="165">
        <f t="shared" si="140"/>
        <v>35.237351872149979</v>
      </c>
      <c r="BN120" s="165">
        <f t="shared" si="140"/>
        <v>36.711374283967366</v>
      </c>
      <c r="BO120" s="165">
        <f t="shared" si="140"/>
        <v>45.340342086694122</v>
      </c>
      <c r="BP120" s="165">
        <f t="shared" si="140"/>
        <v>50.599603800746578</v>
      </c>
      <c r="BQ120" s="165">
        <f t="shared" si="140"/>
        <v>49.681842873960498</v>
      </c>
      <c r="BR120" s="165">
        <f t="shared" si="140"/>
        <v>64.617352136611345</v>
      </c>
      <c r="BS120" s="165">
        <f t="shared" si="140"/>
        <v>122.31622610723949</v>
      </c>
      <c r="BT120" s="165">
        <f t="shared" si="140"/>
        <v>69.407604117002705</v>
      </c>
      <c r="BU120" s="165">
        <f t="shared" ref="BU120:CZ120" si="141">+SUM(BU115:BU119)</f>
        <v>88.039752806671856</v>
      </c>
      <c r="BV120" s="165">
        <f t="shared" si="141"/>
        <v>120.39426995681177</v>
      </c>
      <c r="BW120" s="165">
        <f t="shared" si="141"/>
        <v>66.359329515722621</v>
      </c>
      <c r="BX120" s="165">
        <f t="shared" si="141"/>
        <v>73.546976649445909</v>
      </c>
      <c r="BY120" s="165">
        <f t="shared" si="141"/>
        <v>139.05781634501147</v>
      </c>
      <c r="BZ120" s="165">
        <f t="shared" ca="1" si="141"/>
        <v>544.89321820895532</v>
      </c>
      <c r="CA120" s="165">
        <f t="shared" ca="1" si="141"/>
        <v>552.90603999999996</v>
      </c>
      <c r="CB120" s="165">
        <f t="shared" ca="1" si="141"/>
        <v>552.90603999999996</v>
      </c>
      <c r="CC120" s="165">
        <f t="shared" ca="1" si="141"/>
        <v>552.90603999999996</v>
      </c>
      <c r="CD120" s="165">
        <f t="shared" ca="1" si="141"/>
        <v>552.90603999999996</v>
      </c>
      <c r="CE120" s="165">
        <f t="shared" ca="1" si="141"/>
        <v>552.90603999999996</v>
      </c>
      <c r="CF120" s="165">
        <f t="shared" ca="1" si="141"/>
        <v>552.90603999999996</v>
      </c>
      <c r="CG120" s="165">
        <f t="shared" ca="1" si="141"/>
        <v>563.96416079999995</v>
      </c>
      <c r="CH120" s="165">
        <f t="shared" ca="1" si="141"/>
        <v>563.96416079999995</v>
      </c>
      <c r="CI120" s="165">
        <f t="shared" ca="1" si="141"/>
        <v>563.96416079999995</v>
      </c>
      <c r="CJ120" s="165">
        <f t="shared" ca="1" si="141"/>
        <v>563.96416079999995</v>
      </c>
      <c r="CK120" s="165">
        <f t="shared" ca="1" si="141"/>
        <v>563.96416079999995</v>
      </c>
      <c r="CL120" s="165">
        <f t="shared" ca="1" si="141"/>
        <v>563.96416079999995</v>
      </c>
      <c r="CM120" s="165">
        <f t="shared" ca="1" si="141"/>
        <v>563.96416079999995</v>
      </c>
      <c r="CN120" s="165">
        <f t="shared" ca="1" si="141"/>
        <v>563.96416079999995</v>
      </c>
      <c r="CO120" s="165">
        <f t="shared" ca="1" si="141"/>
        <v>563.96416079999995</v>
      </c>
      <c r="CP120" s="165">
        <f t="shared" ca="1" si="141"/>
        <v>563.96416079999995</v>
      </c>
      <c r="CQ120" s="165">
        <f t="shared" ca="1" si="141"/>
        <v>563.96416079999995</v>
      </c>
      <c r="CR120" s="165">
        <f t="shared" ca="1" si="141"/>
        <v>563.96416079999995</v>
      </c>
      <c r="CS120" s="165">
        <f t="shared" ca="1" si="141"/>
        <v>563.96416079999995</v>
      </c>
      <c r="CT120" s="165">
        <f t="shared" ca="1" si="141"/>
        <v>563.96416079999995</v>
      </c>
      <c r="CU120" s="165">
        <f t="shared" ca="1" si="141"/>
        <v>563.96416079999995</v>
      </c>
      <c r="CV120" s="165">
        <f t="shared" ca="1" si="141"/>
        <v>563.96416079999995</v>
      </c>
      <c r="CW120" s="165">
        <f t="shared" ca="1" si="141"/>
        <v>563.96416079999995</v>
      </c>
      <c r="CX120" s="165">
        <f t="shared" ca="1" si="141"/>
        <v>563.96416079999995</v>
      </c>
      <c r="CY120" s="165">
        <f t="shared" ca="1" si="141"/>
        <v>563.96416079999995</v>
      </c>
      <c r="CZ120" s="165">
        <f t="shared" ca="1" si="141"/>
        <v>563.96416079999995</v>
      </c>
      <c r="DA120" s="165">
        <f t="shared" ref="DA120:DY120" ca="1" si="142">+SUM(DA115:DA119)</f>
        <v>563.96416079999995</v>
      </c>
      <c r="DB120" s="165">
        <f t="shared" ca="1" si="142"/>
        <v>563.96416079999995</v>
      </c>
      <c r="DC120" s="165">
        <f t="shared" ca="1" si="142"/>
        <v>563.96416079999995</v>
      </c>
      <c r="DD120" s="165">
        <f t="shared" ca="1" si="142"/>
        <v>563.96416079999995</v>
      </c>
      <c r="DE120" s="165">
        <f t="shared" ca="1" si="142"/>
        <v>563.96416079999995</v>
      </c>
      <c r="DF120" s="165">
        <f t="shared" ca="1" si="142"/>
        <v>563.96416079999995</v>
      </c>
      <c r="DG120" s="165">
        <f t="shared" ca="1" si="142"/>
        <v>563.96416079999995</v>
      </c>
      <c r="DH120" s="165">
        <f t="shared" ca="1" si="142"/>
        <v>563.96416079999995</v>
      </c>
      <c r="DI120" s="165">
        <f t="shared" ca="1" si="142"/>
        <v>563.96416079999995</v>
      </c>
      <c r="DJ120" s="165">
        <f t="shared" ca="1" si="142"/>
        <v>563.96416079999995</v>
      </c>
      <c r="DK120" s="165">
        <f t="shared" ca="1" si="142"/>
        <v>563.96416079999995</v>
      </c>
      <c r="DL120" s="165">
        <f t="shared" ca="1" si="142"/>
        <v>563.96416079999995</v>
      </c>
      <c r="DM120" s="165">
        <f t="shared" ca="1" si="142"/>
        <v>563.96416079999995</v>
      </c>
      <c r="DN120" s="165">
        <f t="shared" ca="1" si="142"/>
        <v>563.96416079999995</v>
      </c>
      <c r="DO120" s="165">
        <f t="shared" ca="1" si="142"/>
        <v>563.96416079999995</v>
      </c>
      <c r="DP120" s="165">
        <f t="shared" ca="1" si="142"/>
        <v>563.96416079999995</v>
      </c>
      <c r="DQ120" s="165">
        <f t="shared" ca="1" si="142"/>
        <v>563.96416079999995</v>
      </c>
      <c r="DR120" s="165">
        <f t="shared" ca="1" si="142"/>
        <v>563.96416079999995</v>
      </c>
      <c r="DS120" s="165">
        <f t="shared" ca="1" si="142"/>
        <v>563.96416079999995</v>
      </c>
      <c r="DT120" s="165">
        <f t="shared" ca="1" si="142"/>
        <v>563.96416079999995</v>
      </c>
      <c r="DU120" s="165">
        <f t="shared" ca="1" si="142"/>
        <v>563.96416079999995</v>
      </c>
      <c r="DV120" s="165">
        <f t="shared" ca="1" si="142"/>
        <v>563.96416079999995</v>
      </c>
      <c r="DW120" s="165">
        <f t="shared" ca="1" si="142"/>
        <v>563.96416079999995</v>
      </c>
      <c r="DX120" s="165">
        <f t="shared" ca="1" si="142"/>
        <v>563.96416079999995</v>
      </c>
      <c r="DY120" s="165">
        <f t="shared" ca="1" si="142"/>
        <v>563.96416079999995</v>
      </c>
    </row>
    <row r="121" spans="1:129" s="3" customFormat="1" ht="11.7" customHeight="1" outlineLevel="1" x14ac:dyDescent="0.25">
      <c r="A121" s="85"/>
      <c r="B121" s="113"/>
      <c r="C121" s="113"/>
      <c r="D121" s="622"/>
      <c r="F121" s="127"/>
      <c r="G121" s="12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c r="AI121" s="7"/>
      <c r="AJ121" s="7"/>
      <c r="AK121" s="7"/>
      <c r="AL121" s="7"/>
      <c r="AM121" s="7"/>
      <c r="AN121" s="7"/>
      <c r="AO121" s="7"/>
      <c r="AP121" s="7"/>
      <c r="AQ121" s="7"/>
      <c r="AR121" s="7"/>
      <c r="AS121" s="7"/>
      <c r="AT121" s="7"/>
      <c r="AU121" s="7"/>
      <c r="AV121" s="7"/>
      <c r="AW121" s="7"/>
      <c r="AX121" s="7"/>
      <c r="AY121" s="7"/>
      <c r="AZ121" s="7"/>
      <c r="BA121" s="7"/>
      <c r="BB121" s="7"/>
      <c r="BC121" s="7"/>
      <c r="BD121" s="7"/>
      <c r="BE121" s="7"/>
      <c r="BF121" s="7"/>
      <c r="BG121" s="7"/>
      <c r="BH121" s="7"/>
      <c r="BI121" s="7"/>
      <c r="BJ121" s="7"/>
      <c r="BK121" s="7"/>
      <c r="BL121" s="7"/>
      <c r="BM121" s="7"/>
      <c r="BN121" s="7"/>
      <c r="BO121" s="7"/>
      <c r="BP121" s="7"/>
      <c r="BQ121" s="7"/>
      <c r="BR121" s="7"/>
      <c r="BS121" s="7"/>
      <c r="BT121" s="7"/>
      <c r="BU121" s="7"/>
      <c r="BV121" s="7"/>
      <c r="BW121" s="7"/>
      <c r="BX121" s="7"/>
      <c r="BY121" s="7"/>
      <c r="BZ121" s="7"/>
      <c r="CA121" s="7"/>
      <c r="CB121" s="7"/>
      <c r="CC121" s="7"/>
      <c r="CD121" s="7"/>
      <c r="CE121" s="7"/>
      <c r="CF121" s="7"/>
      <c r="CG121" s="7"/>
      <c r="CH121" s="7"/>
      <c r="CI121" s="7"/>
      <c r="CJ121" s="7"/>
      <c r="CK121" s="7"/>
      <c r="CL121" s="7"/>
      <c r="CM121" s="7"/>
      <c r="CN121" s="7"/>
      <c r="CO121" s="7"/>
      <c r="CP121" s="7"/>
      <c r="CQ121" s="7"/>
      <c r="CR121" s="7"/>
      <c r="CS121" s="7"/>
      <c r="CT121" s="7"/>
      <c r="CU121" s="7"/>
      <c r="CV121" s="7"/>
      <c r="CW121" s="7"/>
      <c r="CX121" s="7"/>
      <c r="CY121" s="7"/>
      <c r="CZ121" s="7"/>
      <c r="DA121" s="7"/>
      <c r="DB121" s="7"/>
      <c r="DC121" s="7"/>
      <c r="DD121" s="7"/>
      <c r="DE121" s="7"/>
      <c r="DF121" s="7"/>
      <c r="DG121" s="7"/>
      <c r="DH121" s="7"/>
      <c r="DI121" s="7"/>
      <c r="DJ121" s="7"/>
      <c r="DK121" s="7"/>
      <c r="DL121" s="7"/>
      <c r="DM121" s="7"/>
      <c r="DN121" s="7"/>
      <c r="DO121" s="7"/>
      <c r="DP121" s="7"/>
      <c r="DQ121" s="7"/>
      <c r="DR121" s="7"/>
      <c r="DS121" s="7"/>
      <c r="DT121" s="7"/>
      <c r="DU121" s="7"/>
      <c r="DV121" s="7"/>
      <c r="DW121" s="7"/>
      <c r="DX121" s="7"/>
      <c r="DY121" s="7"/>
    </row>
    <row r="122" spans="1:129" s="3" customFormat="1" ht="11.7" customHeight="1" outlineLevel="1" x14ac:dyDescent="0.3">
      <c r="A122" s="85"/>
      <c r="B122" s="195" t="s">
        <v>453</v>
      </c>
      <c r="C122" s="195"/>
      <c r="F122" s="127"/>
      <c r="G122" s="127"/>
    </row>
    <row r="123" spans="1:129" s="3" customFormat="1" ht="11.7" customHeight="1" outlineLevel="1" x14ac:dyDescent="0.3">
      <c r="A123" s="85"/>
      <c r="B123" s="113" t="s">
        <v>402</v>
      </c>
      <c r="C123" s="113"/>
      <c r="F123" s="127"/>
      <c r="G123" s="127"/>
      <c r="H123" s="290">
        <f>+SUM(I123:DY123)</f>
        <v>30591.211196741733</v>
      </c>
      <c r="I123" s="1019">
        <v>0</v>
      </c>
      <c r="J123" s="1019">
        <v>0</v>
      </c>
      <c r="K123" s="1019">
        <v>0</v>
      </c>
      <c r="L123" s="1019">
        <v>0</v>
      </c>
      <c r="M123" s="1019">
        <v>0</v>
      </c>
      <c r="N123" s="1019">
        <v>0</v>
      </c>
      <c r="O123" s="1019">
        <v>0</v>
      </c>
      <c r="P123" s="1019">
        <v>0</v>
      </c>
      <c r="Q123" s="1019">
        <v>0</v>
      </c>
      <c r="R123" s="1019">
        <v>0</v>
      </c>
      <c r="S123" s="1019">
        <v>0</v>
      </c>
      <c r="T123" s="1019">
        <v>0</v>
      </c>
      <c r="U123" s="1019">
        <v>0</v>
      </c>
      <c r="V123" s="1019">
        <v>0</v>
      </c>
      <c r="W123" s="1019">
        <v>0</v>
      </c>
      <c r="X123" s="1019">
        <v>0</v>
      </c>
      <c r="Y123" s="1019">
        <v>0</v>
      </c>
      <c r="Z123" s="1019">
        <v>0</v>
      </c>
      <c r="AA123" s="1019">
        <v>0</v>
      </c>
      <c r="AB123" s="1019">
        <v>0</v>
      </c>
      <c r="AC123" s="1019">
        <v>0</v>
      </c>
      <c r="AD123" s="1019">
        <v>0</v>
      </c>
      <c r="AE123" s="1019">
        <v>0</v>
      </c>
      <c r="AF123" s="1019">
        <v>0</v>
      </c>
      <c r="AG123" s="1019">
        <v>0</v>
      </c>
      <c r="AH123" s="1019">
        <v>0</v>
      </c>
      <c r="AI123" s="1019">
        <v>0</v>
      </c>
      <c r="AJ123" s="1019">
        <v>0</v>
      </c>
      <c r="AK123" s="1019">
        <v>0</v>
      </c>
      <c r="AL123" s="1019">
        <v>0</v>
      </c>
      <c r="AM123" s="1019">
        <v>0</v>
      </c>
      <c r="AN123" s="1019">
        <v>0</v>
      </c>
      <c r="AO123" s="1019">
        <v>0</v>
      </c>
      <c r="AP123" s="1019">
        <v>0</v>
      </c>
      <c r="AQ123" s="1019">
        <v>0</v>
      </c>
      <c r="AR123" s="1019">
        <v>0</v>
      </c>
      <c r="AS123" s="1019">
        <v>0</v>
      </c>
      <c r="AT123" s="1019">
        <v>0</v>
      </c>
      <c r="AU123" s="1019">
        <v>0</v>
      </c>
      <c r="AV123" s="1019">
        <v>0</v>
      </c>
      <c r="AW123" s="1019">
        <v>0</v>
      </c>
      <c r="AX123" s="1019">
        <v>0</v>
      </c>
      <c r="AY123" s="1019">
        <v>0</v>
      </c>
      <c r="AZ123" s="1019">
        <v>0</v>
      </c>
      <c r="BA123" s="1019">
        <v>0</v>
      </c>
      <c r="BB123" s="1019">
        <v>0</v>
      </c>
      <c r="BC123" s="1019">
        <v>0</v>
      </c>
      <c r="BD123" s="1019">
        <v>0</v>
      </c>
      <c r="BE123" s="1019">
        <v>0</v>
      </c>
      <c r="BF123" s="1019">
        <v>0</v>
      </c>
      <c r="BG123" s="1019">
        <v>0</v>
      </c>
      <c r="BH123" s="1019">
        <v>0</v>
      </c>
      <c r="BI123" s="1019">
        <f>376564/31212.65</f>
        <v>12.064467451498031</v>
      </c>
      <c r="BJ123" s="1019">
        <f>(2369991+57891)/31539.2</f>
        <v>76.979821935876615</v>
      </c>
      <c r="BK123" s="1019">
        <f>6615545/31727.74</f>
        <v>208.50980876671329</v>
      </c>
      <c r="BL123" s="1019">
        <f>(9786884+1000677)/32176.5</f>
        <v>335.26210122294219</v>
      </c>
      <c r="BM123" s="1019">
        <f>+(9309482.2+1589361)/BM99</f>
        <v>333.50662830627357</v>
      </c>
      <c r="BN123" s="1019">
        <f>+(10213633+1993920)/BN99</f>
        <v>368.95504948645726</v>
      </c>
      <c r="BO123" s="1019">
        <f>+(10283176+2845984)/BO99</f>
        <v>392.88559265481371</v>
      </c>
      <c r="BP123" s="1019">
        <f>+(10486993+8249033)/BP99</f>
        <v>553.72217761228922</v>
      </c>
      <c r="BQ123" s="1019">
        <f>+(11094190+5598521)/BQ99</f>
        <v>487.26133837037111</v>
      </c>
      <c r="BR123" s="1019">
        <f>+(10610992+1472169)/BR99</f>
        <v>349.22077377829993</v>
      </c>
      <c r="BS123" s="1019">
        <f>+(11320830+381438)/BS99</f>
        <v>336.15808432772792</v>
      </c>
      <c r="BT123" s="1019">
        <f>+(12759390+5084588)/BT99</f>
        <v>508.21646106146846</v>
      </c>
      <c r="BU123" s="1019">
        <f>+(10218514+3387808)/BU99</f>
        <v>387.52327619451233</v>
      </c>
      <c r="BV123" s="1019">
        <f>+(9471904+2550101)/BV99</f>
        <v>338.55571213257906</v>
      </c>
      <c r="BW123" s="1019">
        <f>+(12295831+2228413)/BW99</f>
        <v>408.2655806752291</v>
      </c>
      <c r="BX123" s="1019">
        <f>+(11351312+2488780)/BX99</f>
        <v>386.17890511753404</v>
      </c>
      <c r="BY123" s="1019">
        <f>+(11694624+3384335)/BY99</f>
        <v>418.47764639472439</v>
      </c>
      <c r="BZ123" s="7">
        <f t="shared" ref="BZ123:DY123" si="143">-BZ132</f>
        <v>474.79745713946909</v>
      </c>
      <c r="CA123" s="7">
        <f t="shared" si="143"/>
        <v>474.79745713946909</v>
      </c>
      <c r="CB123" s="7">
        <f t="shared" si="143"/>
        <v>474.79745713946909</v>
      </c>
      <c r="CC123" s="7">
        <f t="shared" si="143"/>
        <v>474.79745713946909</v>
      </c>
      <c r="CD123" s="7">
        <f t="shared" si="143"/>
        <v>474.79745713946909</v>
      </c>
      <c r="CE123" s="7">
        <f t="shared" si="143"/>
        <v>474.79745713946909</v>
      </c>
      <c r="CF123" s="7">
        <f t="shared" si="143"/>
        <v>474.79745713946909</v>
      </c>
      <c r="CG123" s="7">
        <f t="shared" si="143"/>
        <v>474.79745713946909</v>
      </c>
      <c r="CH123" s="7">
        <f t="shared" si="143"/>
        <v>474.79745713946909</v>
      </c>
      <c r="CI123" s="7">
        <f t="shared" si="143"/>
        <v>474.79745713946909</v>
      </c>
      <c r="CJ123" s="7">
        <f t="shared" si="143"/>
        <v>474.79745713946909</v>
      </c>
      <c r="CK123" s="7">
        <f t="shared" si="143"/>
        <v>474.79745713946909</v>
      </c>
      <c r="CL123" s="7">
        <f t="shared" si="143"/>
        <v>474.79745713946909</v>
      </c>
      <c r="CM123" s="7">
        <f t="shared" si="143"/>
        <v>474.79745713946909</v>
      </c>
      <c r="CN123" s="7">
        <f t="shared" si="143"/>
        <v>474.79745713946909</v>
      </c>
      <c r="CO123" s="7">
        <f t="shared" si="143"/>
        <v>474.79745713946909</v>
      </c>
      <c r="CP123" s="7">
        <f t="shared" si="143"/>
        <v>474.79745713946909</v>
      </c>
      <c r="CQ123" s="7">
        <f t="shared" si="143"/>
        <v>474.79745713946909</v>
      </c>
      <c r="CR123" s="7">
        <f t="shared" si="143"/>
        <v>474.79745713946909</v>
      </c>
      <c r="CS123" s="7">
        <f t="shared" si="143"/>
        <v>474.79745713946909</v>
      </c>
      <c r="CT123" s="7">
        <f t="shared" si="143"/>
        <v>474.79745713946909</v>
      </c>
      <c r="CU123" s="7">
        <f t="shared" si="143"/>
        <v>474.79745713946909</v>
      </c>
      <c r="CV123" s="7">
        <f t="shared" si="143"/>
        <v>474.79745713946909</v>
      </c>
      <c r="CW123" s="7">
        <f t="shared" si="143"/>
        <v>474.79745713946909</v>
      </c>
      <c r="CX123" s="7">
        <f t="shared" si="143"/>
        <v>474.79745713946909</v>
      </c>
      <c r="CY123" s="7">
        <f t="shared" si="143"/>
        <v>474.79745713946909</v>
      </c>
      <c r="CZ123" s="7">
        <f t="shared" si="143"/>
        <v>474.79745713946909</v>
      </c>
      <c r="DA123" s="7">
        <f t="shared" si="143"/>
        <v>474.79745713946909</v>
      </c>
      <c r="DB123" s="7">
        <f t="shared" si="143"/>
        <v>474.79745713946909</v>
      </c>
      <c r="DC123" s="7">
        <f t="shared" si="143"/>
        <v>474.79745713946909</v>
      </c>
      <c r="DD123" s="7">
        <f t="shared" si="143"/>
        <v>474.79745713946909</v>
      </c>
      <c r="DE123" s="7">
        <f t="shared" si="143"/>
        <v>474.79745713946909</v>
      </c>
      <c r="DF123" s="7">
        <f t="shared" si="143"/>
        <v>474.79745713946909</v>
      </c>
      <c r="DG123" s="7">
        <f t="shared" si="143"/>
        <v>474.79745713946909</v>
      </c>
      <c r="DH123" s="7">
        <f t="shared" si="143"/>
        <v>474.79745713946909</v>
      </c>
      <c r="DI123" s="7">
        <f t="shared" si="143"/>
        <v>474.79745713946909</v>
      </c>
      <c r="DJ123" s="7">
        <f t="shared" si="143"/>
        <v>474.79745713946909</v>
      </c>
      <c r="DK123" s="7">
        <f t="shared" si="143"/>
        <v>474.79745713946909</v>
      </c>
      <c r="DL123" s="7">
        <f t="shared" si="143"/>
        <v>474.79745713946909</v>
      </c>
      <c r="DM123" s="7">
        <f t="shared" si="143"/>
        <v>474.79745713946909</v>
      </c>
      <c r="DN123" s="7">
        <f t="shared" si="143"/>
        <v>474.79745713946909</v>
      </c>
      <c r="DO123" s="7">
        <f t="shared" si="143"/>
        <v>474.79745713946909</v>
      </c>
      <c r="DP123" s="7">
        <f t="shared" si="143"/>
        <v>474.79745713946909</v>
      </c>
      <c r="DQ123" s="7">
        <f t="shared" si="143"/>
        <v>474.79745713946909</v>
      </c>
      <c r="DR123" s="7">
        <f t="shared" si="143"/>
        <v>474.79745713946909</v>
      </c>
      <c r="DS123" s="7">
        <f t="shared" si="143"/>
        <v>474.79745713946909</v>
      </c>
      <c r="DT123" s="7">
        <f t="shared" si="143"/>
        <v>474.79745713946909</v>
      </c>
      <c r="DU123" s="7">
        <f t="shared" si="143"/>
        <v>474.79745713946909</v>
      </c>
      <c r="DV123" s="7">
        <f t="shared" si="143"/>
        <v>474.79745713946909</v>
      </c>
      <c r="DW123" s="7">
        <f t="shared" si="143"/>
        <v>474.79745713946909</v>
      </c>
      <c r="DX123" s="7">
        <f t="shared" si="143"/>
        <v>474.79745713946909</v>
      </c>
      <c r="DY123" s="7">
        <f t="shared" si="143"/>
        <v>474.79745713946909</v>
      </c>
    </row>
    <row r="124" spans="1:129" s="3" customFormat="1" ht="11.7" customHeight="1" outlineLevel="1" x14ac:dyDescent="0.3">
      <c r="A124" s="85"/>
      <c r="B124" s="113" t="s">
        <v>767</v>
      </c>
      <c r="C124" s="113"/>
      <c r="D124" s="335">
        <f>+Inputs!$G$100</f>
        <v>2.5000000000000001E-2</v>
      </c>
      <c r="F124" s="127"/>
      <c r="G124" s="127"/>
      <c r="H124" s="290">
        <f ca="1">+SUM(I124:DY124)</f>
        <v>-617.23669428130984</v>
      </c>
      <c r="I124" s="1019">
        <v>0</v>
      </c>
      <c r="J124" s="1019">
        <v>0</v>
      </c>
      <c r="K124" s="1019">
        <v>0</v>
      </c>
      <c r="L124" s="1019">
        <v>0</v>
      </c>
      <c r="M124" s="1019">
        <v>0</v>
      </c>
      <c r="N124" s="1019">
        <v>0</v>
      </c>
      <c r="O124" s="1019">
        <v>0</v>
      </c>
      <c r="P124" s="1019">
        <v>0</v>
      </c>
      <c r="Q124" s="1019">
        <v>0</v>
      </c>
      <c r="R124" s="1019">
        <v>0</v>
      </c>
      <c r="S124" s="1019">
        <v>0</v>
      </c>
      <c r="T124" s="1019">
        <v>0</v>
      </c>
      <c r="U124" s="1019">
        <v>0</v>
      </c>
      <c r="V124" s="1019">
        <v>0</v>
      </c>
      <c r="W124" s="1019">
        <v>0</v>
      </c>
      <c r="X124" s="1019">
        <v>0</v>
      </c>
      <c r="Y124" s="1019">
        <v>0</v>
      </c>
      <c r="Z124" s="1019">
        <v>0</v>
      </c>
      <c r="AA124" s="1019">
        <v>0</v>
      </c>
      <c r="AB124" s="1019">
        <v>0</v>
      </c>
      <c r="AC124" s="1019">
        <v>0</v>
      </c>
      <c r="AD124" s="1019">
        <v>0</v>
      </c>
      <c r="AE124" s="1019">
        <v>0</v>
      </c>
      <c r="AF124" s="1019">
        <v>0</v>
      </c>
      <c r="AG124" s="1019">
        <v>0</v>
      </c>
      <c r="AH124" s="1019">
        <v>0</v>
      </c>
      <c r="AI124" s="1019">
        <v>0</v>
      </c>
      <c r="AJ124" s="1019">
        <v>0</v>
      </c>
      <c r="AK124" s="1019">
        <v>0</v>
      </c>
      <c r="AL124" s="1019">
        <v>0</v>
      </c>
      <c r="AM124" s="1019">
        <v>0</v>
      </c>
      <c r="AN124" s="1019">
        <v>0</v>
      </c>
      <c r="AO124" s="1019">
        <v>0</v>
      </c>
      <c r="AP124" s="1019">
        <v>0</v>
      </c>
      <c r="AQ124" s="1019">
        <v>0</v>
      </c>
      <c r="AR124" s="1019">
        <v>0</v>
      </c>
      <c r="AS124" s="1019">
        <v>0</v>
      </c>
      <c r="AT124" s="1019">
        <v>0</v>
      </c>
      <c r="AU124" s="1019">
        <v>0</v>
      </c>
      <c r="AV124" s="1019">
        <v>0</v>
      </c>
      <c r="AW124" s="1019">
        <v>0</v>
      </c>
      <c r="AX124" s="1019">
        <v>0</v>
      </c>
      <c r="AY124" s="1019">
        <v>0</v>
      </c>
      <c r="AZ124" s="1019">
        <v>0</v>
      </c>
      <c r="BA124" s="1019">
        <v>0</v>
      </c>
      <c r="BB124" s="1019">
        <v>0</v>
      </c>
      <c r="BC124" s="1019">
        <v>0</v>
      </c>
      <c r="BD124" s="1019">
        <v>0</v>
      </c>
      <c r="BE124" s="1019">
        <v>0</v>
      </c>
      <c r="BF124" s="1019">
        <v>0</v>
      </c>
      <c r="BG124" s="1019">
        <v>0</v>
      </c>
      <c r="BH124" s="1019">
        <v>0</v>
      </c>
      <c r="BI124" s="1019">
        <v>0</v>
      </c>
      <c r="BJ124" s="1019">
        <v>0</v>
      </c>
      <c r="BK124" s="1019">
        <v>0</v>
      </c>
      <c r="BL124" s="1019">
        <v>0</v>
      </c>
      <c r="BM124" s="1019">
        <v>0</v>
      </c>
      <c r="BN124" s="1019">
        <v>0</v>
      </c>
      <c r="BO124" s="1019">
        <v>0</v>
      </c>
      <c r="BP124" s="1019">
        <v>0</v>
      </c>
      <c r="BQ124" s="1019">
        <v>0</v>
      </c>
      <c r="BR124" s="1019">
        <v>0</v>
      </c>
      <c r="BS124" s="1019">
        <v>0</v>
      </c>
      <c r="BT124" s="1019">
        <v>0</v>
      </c>
      <c r="BU124" s="1019">
        <v>0</v>
      </c>
      <c r="BV124" s="1019">
        <v>0</v>
      </c>
      <c r="BW124" s="1019">
        <v>0</v>
      </c>
      <c r="BX124" s="1019">
        <v>0</v>
      </c>
      <c r="BY124" s="1019">
        <v>0</v>
      </c>
      <c r="BZ124" s="14">
        <f t="shared" ref="BZ124:CU124" ca="1" si="144">-BZ123*BZ84</f>
        <v>-11.869936428486728</v>
      </c>
      <c r="CA124" s="14">
        <f t="shared" ca="1" si="144"/>
        <v>-11.869936428486728</v>
      </c>
      <c r="CB124" s="14">
        <f t="shared" ca="1" si="144"/>
        <v>-11.869936428486728</v>
      </c>
      <c r="CC124" s="14">
        <f t="shared" ca="1" si="144"/>
        <v>-11.869936428486728</v>
      </c>
      <c r="CD124" s="14">
        <f t="shared" ca="1" si="144"/>
        <v>-11.869936428486728</v>
      </c>
      <c r="CE124" s="14">
        <f t="shared" ca="1" si="144"/>
        <v>-11.869936428486728</v>
      </c>
      <c r="CF124" s="14">
        <f t="shared" ca="1" si="144"/>
        <v>-11.869936428486728</v>
      </c>
      <c r="CG124" s="14">
        <f t="shared" ca="1" si="144"/>
        <v>-11.869936428486728</v>
      </c>
      <c r="CH124" s="14">
        <f t="shared" ca="1" si="144"/>
        <v>-11.869936428486728</v>
      </c>
      <c r="CI124" s="14">
        <f t="shared" ca="1" si="144"/>
        <v>-11.869936428486728</v>
      </c>
      <c r="CJ124" s="14">
        <f t="shared" ca="1" si="144"/>
        <v>-11.869936428486728</v>
      </c>
      <c r="CK124" s="14">
        <f t="shared" ca="1" si="144"/>
        <v>-11.869936428486728</v>
      </c>
      <c r="CL124" s="14">
        <f t="shared" ca="1" si="144"/>
        <v>-11.869936428486728</v>
      </c>
      <c r="CM124" s="14">
        <f t="shared" ca="1" si="144"/>
        <v>-11.869936428486728</v>
      </c>
      <c r="CN124" s="14">
        <f t="shared" ca="1" si="144"/>
        <v>-11.869936428486728</v>
      </c>
      <c r="CO124" s="14">
        <f t="shared" ca="1" si="144"/>
        <v>-11.869936428486728</v>
      </c>
      <c r="CP124" s="14">
        <f t="shared" ca="1" si="144"/>
        <v>-11.869936428486728</v>
      </c>
      <c r="CQ124" s="14">
        <f t="shared" ca="1" si="144"/>
        <v>-11.869936428486728</v>
      </c>
      <c r="CR124" s="14">
        <f t="shared" ca="1" si="144"/>
        <v>-11.869936428486728</v>
      </c>
      <c r="CS124" s="14">
        <f t="shared" ca="1" si="144"/>
        <v>-11.869936428486728</v>
      </c>
      <c r="CT124" s="14">
        <f t="shared" ca="1" si="144"/>
        <v>-11.869936428486728</v>
      </c>
      <c r="CU124" s="14">
        <f t="shared" ca="1" si="144"/>
        <v>-11.869936428486728</v>
      </c>
      <c r="CV124" s="14">
        <f t="shared" ref="CV124:DY124" ca="1" si="145">-CV123*CV84</f>
        <v>-11.869936428486728</v>
      </c>
      <c r="CW124" s="14">
        <f t="shared" ca="1" si="145"/>
        <v>-11.869936428486728</v>
      </c>
      <c r="CX124" s="14">
        <f t="shared" ca="1" si="145"/>
        <v>-11.869936428486728</v>
      </c>
      <c r="CY124" s="14">
        <f t="shared" ca="1" si="145"/>
        <v>-11.869936428486728</v>
      </c>
      <c r="CZ124" s="14">
        <f t="shared" ca="1" si="145"/>
        <v>-11.869936428486728</v>
      </c>
      <c r="DA124" s="14">
        <f t="shared" ca="1" si="145"/>
        <v>-11.869936428486728</v>
      </c>
      <c r="DB124" s="14">
        <f t="shared" ca="1" si="145"/>
        <v>-11.869936428486728</v>
      </c>
      <c r="DC124" s="14">
        <f t="shared" ca="1" si="145"/>
        <v>-11.869936428486728</v>
      </c>
      <c r="DD124" s="14">
        <f t="shared" ca="1" si="145"/>
        <v>-11.869936428486728</v>
      </c>
      <c r="DE124" s="14">
        <f t="shared" ca="1" si="145"/>
        <v>-11.869936428486728</v>
      </c>
      <c r="DF124" s="14">
        <f t="shared" ca="1" si="145"/>
        <v>-11.869936428486728</v>
      </c>
      <c r="DG124" s="14">
        <f t="shared" ca="1" si="145"/>
        <v>-11.869936428486728</v>
      </c>
      <c r="DH124" s="14">
        <f t="shared" ca="1" si="145"/>
        <v>-11.869936428486728</v>
      </c>
      <c r="DI124" s="14">
        <f t="shared" ca="1" si="145"/>
        <v>-11.869936428486728</v>
      </c>
      <c r="DJ124" s="14">
        <f t="shared" ca="1" si="145"/>
        <v>-11.869936428486728</v>
      </c>
      <c r="DK124" s="14">
        <f t="shared" ca="1" si="145"/>
        <v>-11.869936428486728</v>
      </c>
      <c r="DL124" s="14">
        <f t="shared" ca="1" si="145"/>
        <v>-11.869936428486728</v>
      </c>
      <c r="DM124" s="14">
        <f t="shared" ca="1" si="145"/>
        <v>-11.869936428486728</v>
      </c>
      <c r="DN124" s="14">
        <f t="shared" ca="1" si="145"/>
        <v>-11.869936428486728</v>
      </c>
      <c r="DO124" s="14">
        <f t="shared" ca="1" si="145"/>
        <v>-11.869936428486728</v>
      </c>
      <c r="DP124" s="14">
        <f t="shared" ca="1" si="145"/>
        <v>-11.869936428486728</v>
      </c>
      <c r="DQ124" s="14">
        <f t="shared" ca="1" si="145"/>
        <v>-11.869936428486728</v>
      </c>
      <c r="DR124" s="14">
        <f t="shared" ca="1" si="145"/>
        <v>-11.869936428486728</v>
      </c>
      <c r="DS124" s="14">
        <f t="shared" ca="1" si="145"/>
        <v>-11.869936428486728</v>
      </c>
      <c r="DT124" s="14">
        <f t="shared" ca="1" si="145"/>
        <v>-11.869936428486728</v>
      </c>
      <c r="DU124" s="14">
        <f t="shared" ca="1" si="145"/>
        <v>-11.869936428486728</v>
      </c>
      <c r="DV124" s="14">
        <f t="shared" ca="1" si="145"/>
        <v>-11.869936428486728</v>
      </c>
      <c r="DW124" s="14">
        <f t="shared" ca="1" si="145"/>
        <v>-11.869936428486728</v>
      </c>
      <c r="DX124" s="14">
        <f t="shared" ca="1" si="145"/>
        <v>-11.869936428486728</v>
      </c>
      <c r="DY124" s="14">
        <f t="shared" ca="1" si="145"/>
        <v>-11.869936428486728</v>
      </c>
    </row>
    <row r="125" spans="1:129" s="3" customFormat="1" ht="11.7" customHeight="1" outlineLevel="1" x14ac:dyDescent="0.25">
      <c r="A125" s="85"/>
      <c r="B125" s="113" t="s">
        <v>768</v>
      </c>
      <c r="C125" s="113"/>
      <c r="D125" s="452">
        <f>+Inputs!$G$97</f>
        <v>0</v>
      </c>
      <c r="E125" s="923">
        <f>+D125/$D$81</f>
        <v>0</v>
      </c>
      <c r="F125" s="127"/>
      <c r="G125" s="127"/>
      <c r="H125" s="290">
        <f>+SUM(I125:DY125)</f>
        <v>0</v>
      </c>
      <c r="I125" s="1019">
        <v>0</v>
      </c>
      <c r="J125" s="1019">
        <v>0</v>
      </c>
      <c r="K125" s="1019">
        <v>0</v>
      </c>
      <c r="L125" s="1019">
        <v>0</v>
      </c>
      <c r="M125" s="1019">
        <v>0</v>
      </c>
      <c r="N125" s="1019">
        <v>0</v>
      </c>
      <c r="O125" s="1019">
        <v>0</v>
      </c>
      <c r="P125" s="1019">
        <v>0</v>
      </c>
      <c r="Q125" s="1019">
        <v>0</v>
      </c>
      <c r="R125" s="1019">
        <v>0</v>
      </c>
      <c r="S125" s="1019">
        <v>0</v>
      </c>
      <c r="T125" s="1019">
        <v>0</v>
      </c>
      <c r="U125" s="1019">
        <v>0</v>
      </c>
      <c r="V125" s="1019">
        <v>0</v>
      </c>
      <c r="W125" s="1019">
        <v>0</v>
      </c>
      <c r="X125" s="1019">
        <v>0</v>
      </c>
      <c r="Y125" s="1019">
        <v>0</v>
      </c>
      <c r="Z125" s="1019">
        <v>0</v>
      </c>
      <c r="AA125" s="1019">
        <v>0</v>
      </c>
      <c r="AB125" s="1019">
        <v>0</v>
      </c>
      <c r="AC125" s="1019">
        <v>0</v>
      </c>
      <c r="AD125" s="1019">
        <v>0</v>
      </c>
      <c r="AE125" s="1019">
        <v>0</v>
      </c>
      <c r="AF125" s="1019">
        <v>0</v>
      </c>
      <c r="AG125" s="1019">
        <v>0</v>
      </c>
      <c r="AH125" s="1019">
        <v>0</v>
      </c>
      <c r="AI125" s="1019">
        <v>0</v>
      </c>
      <c r="AJ125" s="1019">
        <v>0</v>
      </c>
      <c r="AK125" s="1019">
        <v>0</v>
      </c>
      <c r="AL125" s="1019">
        <v>0</v>
      </c>
      <c r="AM125" s="1019">
        <v>0</v>
      </c>
      <c r="AN125" s="1019">
        <v>0</v>
      </c>
      <c r="AO125" s="1019">
        <v>0</v>
      </c>
      <c r="AP125" s="1019">
        <v>0</v>
      </c>
      <c r="AQ125" s="1019">
        <v>0</v>
      </c>
      <c r="AR125" s="1019">
        <v>0</v>
      </c>
      <c r="AS125" s="1019">
        <v>0</v>
      </c>
      <c r="AT125" s="1019">
        <v>0</v>
      </c>
      <c r="AU125" s="1019">
        <v>0</v>
      </c>
      <c r="AV125" s="1019">
        <v>0</v>
      </c>
      <c r="AW125" s="1019">
        <v>0</v>
      </c>
      <c r="AX125" s="1019">
        <v>0</v>
      </c>
      <c r="AY125" s="1019">
        <v>0</v>
      </c>
      <c r="AZ125" s="1019">
        <v>0</v>
      </c>
      <c r="BA125" s="1019">
        <v>0</v>
      </c>
      <c r="BB125" s="1019">
        <v>0</v>
      </c>
      <c r="BC125" s="1019">
        <v>0</v>
      </c>
      <c r="BD125" s="1019">
        <v>0</v>
      </c>
      <c r="BE125" s="1019">
        <v>0</v>
      </c>
      <c r="BF125" s="1019">
        <v>0</v>
      </c>
      <c r="BG125" s="1019">
        <v>0</v>
      </c>
      <c r="BH125" s="1019">
        <v>0</v>
      </c>
      <c r="BI125" s="1019">
        <v>0</v>
      </c>
      <c r="BJ125" s="1019">
        <v>0</v>
      </c>
      <c r="BK125" s="1019">
        <v>0</v>
      </c>
      <c r="BL125" s="1019">
        <v>0</v>
      </c>
      <c r="BM125" s="1019">
        <v>0</v>
      </c>
      <c r="BN125" s="1019">
        <v>0</v>
      </c>
      <c r="BO125" s="1019">
        <v>0</v>
      </c>
      <c r="BP125" s="1019">
        <v>0</v>
      </c>
      <c r="BQ125" s="1019">
        <v>0</v>
      </c>
      <c r="BR125" s="1019">
        <v>0</v>
      </c>
      <c r="BS125" s="1019">
        <v>0</v>
      </c>
      <c r="BT125" s="1019">
        <v>0</v>
      </c>
      <c r="BU125" s="1019">
        <v>0</v>
      </c>
      <c r="BV125" s="1019">
        <v>0</v>
      </c>
      <c r="BW125" s="1019">
        <v>0</v>
      </c>
      <c r="BX125" s="1019">
        <v>0</v>
      </c>
      <c r="BY125" s="1019">
        <v>0</v>
      </c>
      <c r="BZ125" s="7">
        <f t="shared" ref="BZ125:CZ125" si="146">-BZ123*$E$106</f>
        <v>0</v>
      </c>
      <c r="CA125" s="7">
        <f t="shared" si="146"/>
        <v>0</v>
      </c>
      <c r="CB125" s="7">
        <f t="shared" si="146"/>
        <v>0</v>
      </c>
      <c r="CC125" s="7">
        <f t="shared" si="146"/>
        <v>0</v>
      </c>
      <c r="CD125" s="7">
        <f t="shared" si="146"/>
        <v>0</v>
      </c>
      <c r="CE125" s="7">
        <f t="shared" si="146"/>
        <v>0</v>
      </c>
      <c r="CF125" s="7">
        <f t="shared" si="146"/>
        <v>0</v>
      </c>
      <c r="CG125" s="7">
        <f t="shared" si="146"/>
        <v>0</v>
      </c>
      <c r="CH125" s="7">
        <f t="shared" si="146"/>
        <v>0</v>
      </c>
      <c r="CI125" s="7">
        <f t="shared" si="146"/>
        <v>0</v>
      </c>
      <c r="CJ125" s="7">
        <f t="shared" si="146"/>
        <v>0</v>
      </c>
      <c r="CK125" s="7">
        <f t="shared" si="146"/>
        <v>0</v>
      </c>
      <c r="CL125" s="7">
        <f t="shared" si="146"/>
        <v>0</v>
      </c>
      <c r="CM125" s="7">
        <f t="shared" si="146"/>
        <v>0</v>
      </c>
      <c r="CN125" s="7">
        <f t="shared" si="146"/>
        <v>0</v>
      </c>
      <c r="CO125" s="7">
        <f t="shared" si="146"/>
        <v>0</v>
      </c>
      <c r="CP125" s="7">
        <f t="shared" si="146"/>
        <v>0</v>
      </c>
      <c r="CQ125" s="7">
        <f t="shared" si="146"/>
        <v>0</v>
      </c>
      <c r="CR125" s="7">
        <f t="shared" si="146"/>
        <v>0</v>
      </c>
      <c r="CS125" s="7">
        <f t="shared" si="146"/>
        <v>0</v>
      </c>
      <c r="CT125" s="7">
        <f t="shared" si="146"/>
        <v>0</v>
      </c>
      <c r="CU125" s="7">
        <f t="shared" si="146"/>
        <v>0</v>
      </c>
      <c r="CV125" s="7">
        <f t="shared" si="146"/>
        <v>0</v>
      </c>
      <c r="CW125" s="7">
        <f t="shared" si="146"/>
        <v>0</v>
      </c>
      <c r="CX125" s="7">
        <f t="shared" si="146"/>
        <v>0</v>
      </c>
      <c r="CY125" s="7">
        <f t="shared" si="146"/>
        <v>0</v>
      </c>
      <c r="CZ125" s="7">
        <f t="shared" si="146"/>
        <v>0</v>
      </c>
      <c r="DA125" s="7">
        <f t="shared" ref="DA125:DY125" si="147">-DA123*$E$106</f>
        <v>0</v>
      </c>
      <c r="DB125" s="7">
        <f t="shared" si="147"/>
        <v>0</v>
      </c>
      <c r="DC125" s="7">
        <f t="shared" si="147"/>
        <v>0</v>
      </c>
      <c r="DD125" s="7">
        <f t="shared" si="147"/>
        <v>0</v>
      </c>
      <c r="DE125" s="7">
        <f t="shared" si="147"/>
        <v>0</v>
      </c>
      <c r="DF125" s="7">
        <f t="shared" si="147"/>
        <v>0</v>
      </c>
      <c r="DG125" s="7">
        <f t="shared" si="147"/>
        <v>0</v>
      </c>
      <c r="DH125" s="7">
        <f t="shared" si="147"/>
        <v>0</v>
      </c>
      <c r="DI125" s="7">
        <f t="shared" si="147"/>
        <v>0</v>
      </c>
      <c r="DJ125" s="7">
        <f t="shared" si="147"/>
        <v>0</v>
      </c>
      <c r="DK125" s="7">
        <f t="shared" si="147"/>
        <v>0</v>
      </c>
      <c r="DL125" s="7">
        <f t="shared" si="147"/>
        <v>0</v>
      </c>
      <c r="DM125" s="7">
        <f t="shared" si="147"/>
        <v>0</v>
      </c>
      <c r="DN125" s="7">
        <f t="shared" si="147"/>
        <v>0</v>
      </c>
      <c r="DO125" s="7">
        <f t="shared" si="147"/>
        <v>0</v>
      </c>
      <c r="DP125" s="7">
        <f t="shared" si="147"/>
        <v>0</v>
      </c>
      <c r="DQ125" s="7">
        <f t="shared" si="147"/>
        <v>0</v>
      </c>
      <c r="DR125" s="7">
        <f t="shared" si="147"/>
        <v>0</v>
      </c>
      <c r="DS125" s="7">
        <f t="shared" si="147"/>
        <v>0</v>
      </c>
      <c r="DT125" s="7">
        <f t="shared" si="147"/>
        <v>0</v>
      </c>
      <c r="DU125" s="7">
        <f t="shared" si="147"/>
        <v>0</v>
      </c>
      <c r="DV125" s="7">
        <f t="shared" si="147"/>
        <v>0</v>
      </c>
      <c r="DW125" s="7">
        <f t="shared" si="147"/>
        <v>0</v>
      </c>
      <c r="DX125" s="7">
        <f t="shared" si="147"/>
        <v>0</v>
      </c>
      <c r="DY125" s="7">
        <f t="shared" si="147"/>
        <v>0</v>
      </c>
    </row>
    <row r="126" spans="1:129" s="3" customFormat="1" ht="11.7" customHeight="1" outlineLevel="1" x14ac:dyDescent="0.3">
      <c r="A126" s="85"/>
      <c r="B126" s="113" t="s">
        <v>769</v>
      </c>
      <c r="C126" s="113"/>
      <c r="D126" s="457">
        <f>+Inputs!$G$98</f>
        <v>1E-3</v>
      </c>
      <c r="F126" s="127"/>
      <c r="G126" s="127"/>
      <c r="H126" s="312">
        <f ca="1">+SUM(I126:DY126)</f>
        <v>-24.072231076971054</v>
      </c>
      <c r="I126" s="1019">
        <v>0</v>
      </c>
      <c r="J126" s="1019">
        <v>0</v>
      </c>
      <c r="K126" s="1019">
        <v>0</v>
      </c>
      <c r="L126" s="1019">
        <v>0</v>
      </c>
      <c r="M126" s="1019">
        <v>0</v>
      </c>
      <c r="N126" s="1019">
        <v>0</v>
      </c>
      <c r="O126" s="1019">
        <v>0</v>
      </c>
      <c r="P126" s="1019">
        <v>0</v>
      </c>
      <c r="Q126" s="1019">
        <v>0</v>
      </c>
      <c r="R126" s="1019">
        <v>0</v>
      </c>
      <c r="S126" s="1019">
        <v>0</v>
      </c>
      <c r="T126" s="1019">
        <v>0</v>
      </c>
      <c r="U126" s="1019">
        <v>0</v>
      </c>
      <c r="V126" s="1019">
        <v>0</v>
      </c>
      <c r="W126" s="1019">
        <v>0</v>
      </c>
      <c r="X126" s="1019">
        <v>0</v>
      </c>
      <c r="Y126" s="1019">
        <v>0</v>
      </c>
      <c r="Z126" s="1019">
        <v>0</v>
      </c>
      <c r="AA126" s="1019">
        <v>0</v>
      </c>
      <c r="AB126" s="1019">
        <v>0</v>
      </c>
      <c r="AC126" s="1019">
        <v>0</v>
      </c>
      <c r="AD126" s="1019">
        <v>0</v>
      </c>
      <c r="AE126" s="1019">
        <v>0</v>
      </c>
      <c r="AF126" s="1019">
        <v>0</v>
      </c>
      <c r="AG126" s="1019">
        <v>0</v>
      </c>
      <c r="AH126" s="1019">
        <v>0</v>
      </c>
      <c r="AI126" s="1019">
        <v>0</v>
      </c>
      <c r="AJ126" s="1019">
        <v>0</v>
      </c>
      <c r="AK126" s="1019">
        <v>0</v>
      </c>
      <c r="AL126" s="1019">
        <v>0</v>
      </c>
      <c r="AM126" s="1019">
        <v>0</v>
      </c>
      <c r="AN126" s="1019">
        <v>0</v>
      </c>
      <c r="AO126" s="1019">
        <v>0</v>
      </c>
      <c r="AP126" s="1019">
        <v>0</v>
      </c>
      <c r="AQ126" s="1019">
        <v>0</v>
      </c>
      <c r="AR126" s="1019">
        <v>0</v>
      </c>
      <c r="AS126" s="1019">
        <v>0</v>
      </c>
      <c r="AT126" s="1019">
        <v>0</v>
      </c>
      <c r="AU126" s="1019">
        <v>0</v>
      </c>
      <c r="AV126" s="1019">
        <v>0</v>
      </c>
      <c r="AW126" s="1019">
        <v>0</v>
      </c>
      <c r="AX126" s="1019">
        <v>0</v>
      </c>
      <c r="AY126" s="1019">
        <v>0</v>
      </c>
      <c r="AZ126" s="1019">
        <v>0</v>
      </c>
      <c r="BA126" s="1019">
        <v>0</v>
      </c>
      <c r="BB126" s="1019">
        <v>0</v>
      </c>
      <c r="BC126" s="1019">
        <v>0</v>
      </c>
      <c r="BD126" s="1019">
        <v>0</v>
      </c>
      <c r="BE126" s="1019">
        <v>0</v>
      </c>
      <c r="BF126" s="1019">
        <v>0</v>
      </c>
      <c r="BG126" s="1019">
        <v>0</v>
      </c>
      <c r="BH126" s="1019">
        <v>0</v>
      </c>
      <c r="BI126" s="1019">
        <v>0</v>
      </c>
      <c r="BJ126" s="1019">
        <v>0</v>
      </c>
      <c r="BK126" s="1019">
        <v>0</v>
      </c>
      <c r="BL126" s="1019">
        <v>0</v>
      </c>
      <c r="BM126" s="1019">
        <v>0</v>
      </c>
      <c r="BN126" s="1019">
        <v>0</v>
      </c>
      <c r="BO126" s="1019">
        <v>0</v>
      </c>
      <c r="BP126" s="1019">
        <v>0</v>
      </c>
      <c r="BQ126" s="1019">
        <v>0</v>
      </c>
      <c r="BR126" s="1019">
        <v>0</v>
      </c>
      <c r="BS126" s="1019">
        <v>0</v>
      </c>
      <c r="BT126" s="1019">
        <v>0</v>
      </c>
      <c r="BU126" s="1019">
        <v>0</v>
      </c>
      <c r="BV126" s="1019">
        <v>0</v>
      </c>
      <c r="BW126" s="1019">
        <v>0</v>
      </c>
      <c r="BX126" s="1019">
        <v>0</v>
      </c>
      <c r="BY126" s="1019">
        <v>0</v>
      </c>
      <c r="BZ126" s="14">
        <f t="shared" ref="BZ126:DT126" ca="1" si="148">-SUM(BZ123:BZ124)*$D$107</f>
        <v>-0.46292752071098237</v>
      </c>
      <c r="CA126" s="14">
        <f t="shared" ca="1" si="148"/>
        <v>-0.46292752071098237</v>
      </c>
      <c r="CB126" s="14">
        <f t="shared" ca="1" si="148"/>
        <v>-0.46292752071098237</v>
      </c>
      <c r="CC126" s="14">
        <f t="shared" ca="1" si="148"/>
        <v>-0.46292752071098237</v>
      </c>
      <c r="CD126" s="14">
        <f t="shared" ca="1" si="148"/>
        <v>-0.46292752071098237</v>
      </c>
      <c r="CE126" s="14">
        <f t="shared" ca="1" si="148"/>
        <v>-0.46292752071098237</v>
      </c>
      <c r="CF126" s="14">
        <f t="shared" ca="1" si="148"/>
        <v>-0.46292752071098237</v>
      </c>
      <c r="CG126" s="14">
        <f t="shared" ca="1" si="148"/>
        <v>-0.46292752071098237</v>
      </c>
      <c r="CH126" s="14">
        <f t="shared" ca="1" si="148"/>
        <v>-0.46292752071098237</v>
      </c>
      <c r="CI126" s="14">
        <f t="shared" ca="1" si="148"/>
        <v>-0.46292752071098237</v>
      </c>
      <c r="CJ126" s="14">
        <f t="shared" ca="1" si="148"/>
        <v>-0.46292752071098237</v>
      </c>
      <c r="CK126" s="14">
        <f t="shared" ca="1" si="148"/>
        <v>-0.46292752071098237</v>
      </c>
      <c r="CL126" s="14">
        <f t="shared" ca="1" si="148"/>
        <v>-0.46292752071098237</v>
      </c>
      <c r="CM126" s="14">
        <f t="shared" ca="1" si="148"/>
        <v>-0.46292752071098237</v>
      </c>
      <c r="CN126" s="14">
        <f t="shared" ca="1" si="148"/>
        <v>-0.46292752071098237</v>
      </c>
      <c r="CO126" s="14">
        <f t="shared" ca="1" si="148"/>
        <v>-0.46292752071098237</v>
      </c>
      <c r="CP126" s="14">
        <f t="shared" ca="1" si="148"/>
        <v>-0.46292752071098237</v>
      </c>
      <c r="CQ126" s="14">
        <f t="shared" ca="1" si="148"/>
        <v>-0.46292752071098237</v>
      </c>
      <c r="CR126" s="14">
        <f t="shared" ca="1" si="148"/>
        <v>-0.46292752071098237</v>
      </c>
      <c r="CS126" s="14">
        <f t="shared" ca="1" si="148"/>
        <v>-0.46292752071098237</v>
      </c>
      <c r="CT126" s="14">
        <f t="shared" ca="1" si="148"/>
        <v>-0.46292752071098237</v>
      </c>
      <c r="CU126" s="14">
        <f t="shared" ca="1" si="148"/>
        <v>-0.46292752071098237</v>
      </c>
      <c r="CV126" s="14">
        <f t="shared" ca="1" si="148"/>
        <v>-0.46292752071098237</v>
      </c>
      <c r="CW126" s="14">
        <f t="shared" ca="1" si="148"/>
        <v>-0.46292752071098237</v>
      </c>
      <c r="CX126" s="14">
        <f t="shared" ca="1" si="148"/>
        <v>-0.46292752071098237</v>
      </c>
      <c r="CY126" s="14">
        <f t="shared" ca="1" si="148"/>
        <v>-0.46292752071098237</v>
      </c>
      <c r="CZ126" s="14">
        <f t="shared" ca="1" si="148"/>
        <v>-0.46292752071098237</v>
      </c>
      <c r="DA126" s="14">
        <f t="shared" ca="1" si="148"/>
        <v>-0.46292752071098237</v>
      </c>
      <c r="DB126" s="14">
        <f t="shared" ca="1" si="148"/>
        <v>-0.46292752071098237</v>
      </c>
      <c r="DC126" s="14">
        <f t="shared" ca="1" si="148"/>
        <v>-0.46292752071098237</v>
      </c>
      <c r="DD126" s="14">
        <f t="shared" ca="1" si="148"/>
        <v>-0.46292752071098237</v>
      </c>
      <c r="DE126" s="14">
        <f t="shared" ca="1" si="148"/>
        <v>-0.46292752071098237</v>
      </c>
      <c r="DF126" s="14">
        <f t="shared" ca="1" si="148"/>
        <v>-0.46292752071098237</v>
      </c>
      <c r="DG126" s="14">
        <f t="shared" ca="1" si="148"/>
        <v>-0.46292752071098237</v>
      </c>
      <c r="DH126" s="14">
        <f t="shared" ca="1" si="148"/>
        <v>-0.46292752071098237</v>
      </c>
      <c r="DI126" s="14">
        <f t="shared" ca="1" si="148"/>
        <v>-0.46292752071098237</v>
      </c>
      <c r="DJ126" s="14">
        <f t="shared" ca="1" si="148"/>
        <v>-0.46292752071098237</v>
      </c>
      <c r="DK126" s="14">
        <f t="shared" ca="1" si="148"/>
        <v>-0.46292752071098237</v>
      </c>
      <c r="DL126" s="14">
        <f t="shared" ca="1" si="148"/>
        <v>-0.46292752071098237</v>
      </c>
      <c r="DM126" s="14">
        <f t="shared" ca="1" si="148"/>
        <v>-0.46292752071098237</v>
      </c>
      <c r="DN126" s="14">
        <f t="shared" ca="1" si="148"/>
        <v>-0.46292752071098237</v>
      </c>
      <c r="DO126" s="14">
        <f t="shared" ca="1" si="148"/>
        <v>-0.46292752071098237</v>
      </c>
      <c r="DP126" s="14">
        <f t="shared" ca="1" si="148"/>
        <v>-0.46292752071098237</v>
      </c>
      <c r="DQ126" s="14">
        <f t="shared" ca="1" si="148"/>
        <v>-0.46292752071098237</v>
      </c>
      <c r="DR126" s="14">
        <f t="shared" ca="1" si="148"/>
        <v>-0.46292752071098237</v>
      </c>
      <c r="DS126" s="14">
        <f t="shared" ca="1" si="148"/>
        <v>-0.46292752071098237</v>
      </c>
      <c r="DT126" s="14">
        <f t="shared" ca="1" si="148"/>
        <v>-0.46292752071098237</v>
      </c>
      <c r="DU126" s="14">
        <f t="shared" ref="DU126:DY126" ca="1" si="149">-SUM(DU123:DU124)*$D$107</f>
        <v>-0.46292752071098237</v>
      </c>
      <c r="DV126" s="14">
        <f t="shared" ca="1" si="149"/>
        <v>-0.46292752071098237</v>
      </c>
      <c r="DW126" s="14">
        <f t="shared" ca="1" si="149"/>
        <v>-0.46292752071098237</v>
      </c>
      <c r="DX126" s="14">
        <f t="shared" ca="1" si="149"/>
        <v>-0.46292752071098237</v>
      </c>
      <c r="DY126" s="14">
        <f t="shared" ca="1" si="149"/>
        <v>-0.46292752071098237</v>
      </c>
    </row>
    <row r="127" spans="1:129" s="3" customFormat="1" ht="11.7" customHeight="1" outlineLevel="1" x14ac:dyDescent="0.3">
      <c r="A127" s="85"/>
      <c r="B127" s="1087" t="s">
        <v>453</v>
      </c>
      <c r="C127" s="1087"/>
      <c r="D127" s="1086"/>
      <c r="F127" s="127"/>
      <c r="G127" s="127"/>
      <c r="H127" s="312">
        <f ca="1">+SUM(I127:DY127)</f>
        <v>29949.902271383384</v>
      </c>
      <c r="I127" s="165">
        <f>+SUM(I123:I126)</f>
        <v>0</v>
      </c>
      <c r="J127" s="165">
        <f t="shared" ref="J127:BU127" si="150">+SUM(J123:J126)</f>
        <v>0</v>
      </c>
      <c r="K127" s="165">
        <f t="shared" si="150"/>
        <v>0</v>
      </c>
      <c r="L127" s="165">
        <f t="shared" si="150"/>
        <v>0</v>
      </c>
      <c r="M127" s="165">
        <f t="shared" si="150"/>
        <v>0</v>
      </c>
      <c r="N127" s="165">
        <f t="shared" si="150"/>
        <v>0</v>
      </c>
      <c r="O127" s="165">
        <f t="shared" si="150"/>
        <v>0</v>
      </c>
      <c r="P127" s="165">
        <f t="shared" si="150"/>
        <v>0</v>
      </c>
      <c r="Q127" s="165">
        <f t="shared" si="150"/>
        <v>0</v>
      </c>
      <c r="R127" s="165">
        <f t="shared" si="150"/>
        <v>0</v>
      </c>
      <c r="S127" s="165">
        <f t="shared" si="150"/>
        <v>0</v>
      </c>
      <c r="T127" s="165">
        <f t="shared" si="150"/>
        <v>0</v>
      </c>
      <c r="U127" s="165">
        <f t="shared" si="150"/>
        <v>0</v>
      </c>
      <c r="V127" s="165">
        <f t="shared" si="150"/>
        <v>0</v>
      </c>
      <c r="W127" s="165">
        <f t="shared" si="150"/>
        <v>0</v>
      </c>
      <c r="X127" s="165">
        <f t="shared" si="150"/>
        <v>0</v>
      </c>
      <c r="Y127" s="165">
        <f t="shared" si="150"/>
        <v>0</v>
      </c>
      <c r="Z127" s="165">
        <f t="shared" si="150"/>
        <v>0</v>
      </c>
      <c r="AA127" s="165">
        <f t="shared" si="150"/>
        <v>0</v>
      </c>
      <c r="AB127" s="165">
        <f t="shared" si="150"/>
        <v>0</v>
      </c>
      <c r="AC127" s="165">
        <f t="shared" si="150"/>
        <v>0</v>
      </c>
      <c r="AD127" s="165">
        <f t="shared" si="150"/>
        <v>0</v>
      </c>
      <c r="AE127" s="165">
        <f t="shared" si="150"/>
        <v>0</v>
      </c>
      <c r="AF127" s="165">
        <f t="shared" si="150"/>
        <v>0</v>
      </c>
      <c r="AG127" s="165">
        <f t="shared" si="150"/>
        <v>0</v>
      </c>
      <c r="AH127" s="165">
        <f t="shared" si="150"/>
        <v>0</v>
      </c>
      <c r="AI127" s="165">
        <f t="shared" si="150"/>
        <v>0</v>
      </c>
      <c r="AJ127" s="165">
        <f t="shared" si="150"/>
        <v>0</v>
      </c>
      <c r="AK127" s="165">
        <f t="shared" si="150"/>
        <v>0</v>
      </c>
      <c r="AL127" s="165">
        <f t="shared" si="150"/>
        <v>0</v>
      </c>
      <c r="AM127" s="165">
        <f t="shared" si="150"/>
        <v>0</v>
      </c>
      <c r="AN127" s="165">
        <f t="shared" si="150"/>
        <v>0</v>
      </c>
      <c r="AO127" s="165">
        <f t="shared" si="150"/>
        <v>0</v>
      </c>
      <c r="AP127" s="165">
        <f t="shared" si="150"/>
        <v>0</v>
      </c>
      <c r="AQ127" s="165">
        <f t="shared" si="150"/>
        <v>0</v>
      </c>
      <c r="AR127" s="165">
        <f t="shared" si="150"/>
        <v>0</v>
      </c>
      <c r="AS127" s="165">
        <f t="shared" si="150"/>
        <v>0</v>
      </c>
      <c r="AT127" s="165">
        <f t="shared" si="150"/>
        <v>0</v>
      </c>
      <c r="AU127" s="165">
        <f t="shared" si="150"/>
        <v>0</v>
      </c>
      <c r="AV127" s="165">
        <f t="shared" si="150"/>
        <v>0</v>
      </c>
      <c r="AW127" s="165">
        <f t="shared" si="150"/>
        <v>0</v>
      </c>
      <c r="AX127" s="165">
        <f t="shared" si="150"/>
        <v>0</v>
      </c>
      <c r="AY127" s="165">
        <f t="shared" si="150"/>
        <v>0</v>
      </c>
      <c r="AZ127" s="165">
        <f t="shared" si="150"/>
        <v>0</v>
      </c>
      <c r="BA127" s="165">
        <f t="shared" si="150"/>
        <v>0</v>
      </c>
      <c r="BB127" s="165">
        <f t="shared" si="150"/>
        <v>0</v>
      </c>
      <c r="BC127" s="165">
        <f t="shared" si="150"/>
        <v>0</v>
      </c>
      <c r="BD127" s="165">
        <f t="shared" si="150"/>
        <v>0</v>
      </c>
      <c r="BE127" s="165">
        <f t="shared" si="150"/>
        <v>0</v>
      </c>
      <c r="BF127" s="165">
        <f t="shared" si="150"/>
        <v>0</v>
      </c>
      <c r="BG127" s="165">
        <f t="shared" si="150"/>
        <v>0</v>
      </c>
      <c r="BH127" s="165">
        <f t="shared" si="150"/>
        <v>0</v>
      </c>
      <c r="BI127" s="165">
        <f t="shared" si="150"/>
        <v>12.064467451498031</v>
      </c>
      <c r="BJ127" s="165">
        <f t="shared" si="150"/>
        <v>76.979821935876615</v>
      </c>
      <c r="BK127" s="165">
        <f t="shared" si="150"/>
        <v>208.50980876671329</v>
      </c>
      <c r="BL127" s="165">
        <f t="shared" si="150"/>
        <v>335.26210122294219</v>
      </c>
      <c r="BM127" s="165">
        <f t="shared" si="150"/>
        <v>333.50662830627357</v>
      </c>
      <c r="BN127" s="165">
        <f t="shared" si="150"/>
        <v>368.95504948645726</v>
      </c>
      <c r="BO127" s="165">
        <f t="shared" si="150"/>
        <v>392.88559265481371</v>
      </c>
      <c r="BP127" s="165">
        <f t="shared" si="150"/>
        <v>553.72217761228922</v>
      </c>
      <c r="BQ127" s="165">
        <f>+SUM(BQ123:BQ126)</f>
        <v>487.26133837037111</v>
      </c>
      <c r="BR127" s="165">
        <f t="shared" si="150"/>
        <v>349.22077377829993</v>
      </c>
      <c r="BS127" s="165">
        <f t="shared" si="150"/>
        <v>336.15808432772792</v>
      </c>
      <c r="BT127" s="165">
        <f t="shared" si="150"/>
        <v>508.21646106146846</v>
      </c>
      <c r="BU127" s="165">
        <f t="shared" si="150"/>
        <v>387.52327619451233</v>
      </c>
      <c r="BV127" s="165">
        <f t="shared" ref="BV127:DY127" si="151">+SUM(BV123:BV126)</f>
        <v>338.55571213257906</v>
      </c>
      <c r="BW127" s="165">
        <f t="shared" si="151"/>
        <v>408.2655806752291</v>
      </c>
      <c r="BX127" s="165">
        <f t="shared" si="151"/>
        <v>386.17890511753404</v>
      </c>
      <c r="BY127" s="165">
        <f t="shared" si="151"/>
        <v>418.47764639472439</v>
      </c>
      <c r="BZ127" s="165">
        <f t="shared" ca="1" si="151"/>
        <v>462.46459319027139</v>
      </c>
      <c r="CA127" s="165">
        <f t="shared" ca="1" si="151"/>
        <v>462.46459319027139</v>
      </c>
      <c r="CB127" s="165">
        <f t="shared" ca="1" si="151"/>
        <v>462.46459319027139</v>
      </c>
      <c r="CC127" s="165">
        <f t="shared" ca="1" si="151"/>
        <v>462.46459319027139</v>
      </c>
      <c r="CD127" s="165">
        <f t="shared" ca="1" si="151"/>
        <v>462.46459319027139</v>
      </c>
      <c r="CE127" s="165">
        <f t="shared" ca="1" si="151"/>
        <v>462.46459319027139</v>
      </c>
      <c r="CF127" s="165">
        <f t="shared" ca="1" si="151"/>
        <v>462.46459319027139</v>
      </c>
      <c r="CG127" s="165">
        <f t="shared" ca="1" si="151"/>
        <v>462.46459319027139</v>
      </c>
      <c r="CH127" s="165">
        <f t="shared" ca="1" si="151"/>
        <v>462.46459319027139</v>
      </c>
      <c r="CI127" s="165">
        <f t="shared" ca="1" si="151"/>
        <v>462.46459319027139</v>
      </c>
      <c r="CJ127" s="165">
        <f t="shared" ca="1" si="151"/>
        <v>462.46459319027139</v>
      </c>
      <c r="CK127" s="165">
        <f t="shared" ca="1" si="151"/>
        <v>462.46459319027139</v>
      </c>
      <c r="CL127" s="165">
        <f t="shared" ca="1" si="151"/>
        <v>462.46459319027139</v>
      </c>
      <c r="CM127" s="165">
        <f t="shared" ca="1" si="151"/>
        <v>462.46459319027139</v>
      </c>
      <c r="CN127" s="165">
        <f t="shared" ca="1" si="151"/>
        <v>462.46459319027139</v>
      </c>
      <c r="CO127" s="165">
        <f t="shared" ca="1" si="151"/>
        <v>462.46459319027139</v>
      </c>
      <c r="CP127" s="165">
        <f t="shared" ca="1" si="151"/>
        <v>462.46459319027139</v>
      </c>
      <c r="CQ127" s="165">
        <f t="shared" ca="1" si="151"/>
        <v>462.46459319027139</v>
      </c>
      <c r="CR127" s="165">
        <f t="shared" ca="1" si="151"/>
        <v>462.46459319027139</v>
      </c>
      <c r="CS127" s="165">
        <f t="shared" ca="1" si="151"/>
        <v>462.46459319027139</v>
      </c>
      <c r="CT127" s="165">
        <f t="shared" ca="1" si="151"/>
        <v>462.46459319027139</v>
      </c>
      <c r="CU127" s="165">
        <f t="shared" ca="1" si="151"/>
        <v>462.46459319027139</v>
      </c>
      <c r="CV127" s="165">
        <f t="shared" ca="1" si="151"/>
        <v>462.46459319027139</v>
      </c>
      <c r="CW127" s="165">
        <f t="shared" ca="1" si="151"/>
        <v>462.46459319027139</v>
      </c>
      <c r="CX127" s="165">
        <f t="shared" ca="1" si="151"/>
        <v>462.46459319027139</v>
      </c>
      <c r="CY127" s="165">
        <f t="shared" ca="1" si="151"/>
        <v>462.46459319027139</v>
      </c>
      <c r="CZ127" s="165">
        <f t="shared" ca="1" si="151"/>
        <v>462.46459319027139</v>
      </c>
      <c r="DA127" s="165">
        <f t="shared" ca="1" si="151"/>
        <v>462.46459319027139</v>
      </c>
      <c r="DB127" s="165">
        <f t="shared" ca="1" si="151"/>
        <v>462.46459319027139</v>
      </c>
      <c r="DC127" s="165">
        <f t="shared" ca="1" si="151"/>
        <v>462.46459319027139</v>
      </c>
      <c r="DD127" s="165">
        <f t="shared" ca="1" si="151"/>
        <v>462.46459319027139</v>
      </c>
      <c r="DE127" s="165">
        <f t="shared" ca="1" si="151"/>
        <v>462.46459319027139</v>
      </c>
      <c r="DF127" s="165">
        <f t="shared" ca="1" si="151"/>
        <v>462.46459319027139</v>
      </c>
      <c r="DG127" s="165">
        <f t="shared" ca="1" si="151"/>
        <v>462.46459319027139</v>
      </c>
      <c r="DH127" s="165">
        <f t="shared" ca="1" si="151"/>
        <v>462.46459319027139</v>
      </c>
      <c r="DI127" s="165">
        <f t="shared" ca="1" si="151"/>
        <v>462.46459319027139</v>
      </c>
      <c r="DJ127" s="165">
        <f t="shared" ca="1" si="151"/>
        <v>462.46459319027139</v>
      </c>
      <c r="DK127" s="165">
        <f t="shared" ca="1" si="151"/>
        <v>462.46459319027139</v>
      </c>
      <c r="DL127" s="165">
        <f t="shared" ca="1" si="151"/>
        <v>462.46459319027139</v>
      </c>
      <c r="DM127" s="165">
        <f t="shared" ca="1" si="151"/>
        <v>462.46459319027139</v>
      </c>
      <c r="DN127" s="165">
        <f t="shared" ca="1" si="151"/>
        <v>462.46459319027139</v>
      </c>
      <c r="DO127" s="165">
        <f t="shared" ca="1" si="151"/>
        <v>462.46459319027139</v>
      </c>
      <c r="DP127" s="165">
        <f t="shared" ca="1" si="151"/>
        <v>462.46459319027139</v>
      </c>
      <c r="DQ127" s="165">
        <f t="shared" ca="1" si="151"/>
        <v>462.46459319027139</v>
      </c>
      <c r="DR127" s="165">
        <f t="shared" ca="1" si="151"/>
        <v>462.46459319027139</v>
      </c>
      <c r="DS127" s="165">
        <f t="shared" ca="1" si="151"/>
        <v>462.46459319027139</v>
      </c>
      <c r="DT127" s="165">
        <f t="shared" ca="1" si="151"/>
        <v>462.46459319027139</v>
      </c>
      <c r="DU127" s="165">
        <f t="shared" ca="1" si="151"/>
        <v>462.46459319027139</v>
      </c>
      <c r="DV127" s="165">
        <f t="shared" ca="1" si="151"/>
        <v>462.46459319027139</v>
      </c>
      <c r="DW127" s="165">
        <f t="shared" ca="1" si="151"/>
        <v>462.46459319027139</v>
      </c>
      <c r="DX127" s="165">
        <f t="shared" ca="1" si="151"/>
        <v>462.46459319027139</v>
      </c>
      <c r="DY127" s="165">
        <f t="shared" ca="1" si="151"/>
        <v>462.46459319027139</v>
      </c>
    </row>
    <row r="128" spans="1:129" ht="11.7" customHeight="1" outlineLevel="1" x14ac:dyDescent="0.3"/>
    <row r="129" spans="1:130" s="3" customFormat="1" ht="11.7" customHeight="1" outlineLevel="1" x14ac:dyDescent="0.3">
      <c r="A129" s="85"/>
      <c r="B129" s="200" t="s">
        <v>15</v>
      </c>
      <c r="C129" s="200"/>
      <c r="D129" s="169"/>
      <c r="E129" s="169"/>
      <c r="F129" s="170"/>
      <c r="G129" s="170"/>
      <c r="H129" s="290">
        <f t="shared" ca="1" si="105"/>
        <v>215089.3495212277</v>
      </c>
      <c r="I129" s="171">
        <f t="shared" ref="I129:AN129" si="152">+SUM(I112,I120,I127)</f>
        <v>0</v>
      </c>
      <c r="J129" s="171">
        <f t="shared" si="152"/>
        <v>0</v>
      </c>
      <c r="K129" s="171">
        <f t="shared" si="152"/>
        <v>0</v>
      </c>
      <c r="L129" s="171">
        <f t="shared" si="152"/>
        <v>0</v>
      </c>
      <c r="M129" s="171">
        <f t="shared" si="152"/>
        <v>0</v>
      </c>
      <c r="N129" s="171">
        <f t="shared" si="152"/>
        <v>0</v>
      </c>
      <c r="O129" s="171">
        <f t="shared" si="152"/>
        <v>0</v>
      </c>
      <c r="P129" s="171">
        <f t="shared" si="152"/>
        <v>0</v>
      </c>
      <c r="Q129" s="171">
        <f t="shared" si="152"/>
        <v>0</v>
      </c>
      <c r="R129" s="171">
        <f t="shared" si="152"/>
        <v>0</v>
      </c>
      <c r="S129" s="171">
        <f t="shared" si="152"/>
        <v>0</v>
      </c>
      <c r="T129" s="171">
        <f t="shared" si="152"/>
        <v>0</v>
      </c>
      <c r="U129" s="171">
        <f t="shared" si="152"/>
        <v>0</v>
      </c>
      <c r="V129" s="171">
        <f t="shared" si="152"/>
        <v>0</v>
      </c>
      <c r="W129" s="171">
        <f t="shared" si="152"/>
        <v>0</v>
      </c>
      <c r="X129" s="171">
        <f t="shared" si="152"/>
        <v>0</v>
      </c>
      <c r="Y129" s="171">
        <f t="shared" si="152"/>
        <v>0</v>
      </c>
      <c r="Z129" s="171">
        <f t="shared" si="152"/>
        <v>0</v>
      </c>
      <c r="AA129" s="171">
        <f t="shared" si="152"/>
        <v>0</v>
      </c>
      <c r="AB129" s="171">
        <f t="shared" si="152"/>
        <v>0</v>
      </c>
      <c r="AC129" s="171">
        <f t="shared" si="152"/>
        <v>0</v>
      </c>
      <c r="AD129" s="171">
        <f t="shared" si="152"/>
        <v>0</v>
      </c>
      <c r="AE129" s="171">
        <f t="shared" si="152"/>
        <v>0</v>
      </c>
      <c r="AF129" s="171">
        <f t="shared" si="152"/>
        <v>0</v>
      </c>
      <c r="AG129" s="171">
        <f t="shared" si="152"/>
        <v>0</v>
      </c>
      <c r="AH129" s="171">
        <f t="shared" si="152"/>
        <v>0</v>
      </c>
      <c r="AI129" s="171">
        <f t="shared" si="152"/>
        <v>0</v>
      </c>
      <c r="AJ129" s="171">
        <f t="shared" si="152"/>
        <v>0</v>
      </c>
      <c r="AK129" s="171">
        <f t="shared" si="152"/>
        <v>0</v>
      </c>
      <c r="AL129" s="171">
        <f t="shared" si="152"/>
        <v>0</v>
      </c>
      <c r="AM129" s="171">
        <f t="shared" si="152"/>
        <v>0</v>
      </c>
      <c r="AN129" s="171">
        <f t="shared" si="152"/>
        <v>0</v>
      </c>
      <c r="AO129" s="171">
        <f t="shared" ref="AO129:BT129" si="153">+SUM(AO112,AO120,AO127)</f>
        <v>0</v>
      </c>
      <c r="AP129" s="171">
        <f t="shared" si="153"/>
        <v>0</v>
      </c>
      <c r="AQ129" s="171">
        <f t="shared" si="153"/>
        <v>0</v>
      </c>
      <c r="AR129" s="171">
        <f t="shared" si="153"/>
        <v>0</v>
      </c>
      <c r="AS129" s="171">
        <f t="shared" si="153"/>
        <v>0</v>
      </c>
      <c r="AT129" s="171">
        <f t="shared" si="153"/>
        <v>0</v>
      </c>
      <c r="AU129" s="171">
        <f t="shared" si="153"/>
        <v>0</v>
      </c>
      <c r="AV129" s="171">
        <f t="shared" si="153"/>
        <v>0</v>
      </c>
      <c r="AW129" s="171">
        <f t="shared" si="153"/>
        <v>0</v>
      </c>
      <c r="AX129" s="171">
        <f t="shared" si="153"/>
        <v>0</v>
      </c>
      <c r="AY129" s="171">
        <f t="shared" si="153"/>
        <v>0</v>
      </c>
      <c r="AZ129" s="171">
        <f t="shared" si="153"/>
        <v>0</v>
      </c>
      <c r="BA129" s="171">
        <f t="shared" si="153"/>
        <v>0</v>
      </c>
      <c r="BB129" s="171">
        <f t="shared" si="153"/>
        <v>0</v>
      </c>
      <c r="BC129" s="171">
        <f t="shared" si="153"/>
        <v>0</v>
      </c>
      <c r="BD129" s="171">
        <f t="shared" si="153"/>
        <v>0</v>
      </c>
      <c r="BE129" s="171">
        <f t="shared" si="153"/>
        <v>0</v>
      </c>
      <c r="BF129" s="171">
        <f t="shared" si="153"/>
        <v>0</v>
      </c>
      <c r="BG129" s="171">
        <f t="shared" si="153"/>
        <v>0</v>
      </c>
      <c r="BH129" s="171">
        <f t="shared" si="153"/>
        <v>0</v>
      </c>
      <c r="BI129" s="171">
        <f t="shared" si="153"/>
        <v>86.194673633926769</v>
      </c>
      <c r="BJ129" s="171">
        <f t="shared" si="153"/>
        <v>251.20903510551926</v>
      </c>
      <c r="BK129" s="171">
        <f t="shared" si="153"/>
        <v>962.21174278407432</v>
      </c>
      <c r="BL129" s="171">
        <f t="shared" si="153"/>
        <v>1701.2616214746388</v>
      </c>
      <c r="BM129" s="171">
        <f t="shared" si="153"/>
        <v>1813.0587805091504</v>
      </c>
      <c r="BN129" s="171">
        <f t="shared" si="153"/>
        <v>1639.9332302308803</v>
      </c>
      <c r="BO129" s="171">
        <f t="shared" si="153"/>
        <v>1851.3328441649614</v>
      </c>
      <c r="BP129" s="171">
        <f t="shared" si="153"/>
        <v>2106.5075860365032</v>
      </c>
      <c r="BQ129" s="171">
        <f>+SUM(BQ112,BQ120,BQ127)</f>
        <v>1947.1232751954781</v>
      </c>
      <c r="BR129" s="171">
        <f t="shared" si="153"/>
        <v>1939.2656432666142</v>
      </c>
      <c r="BS129" s="171">
        <f t="shared" si="153"/>
        <v>2149.0753709948922</v>
      </c>
      <c r="BT129" s="171">
        <f t="shared" si="153"/>
        <v>1813.9517039968691</v>
      </c>
      <c r="BU129" s="171">
        <f t="shared" ref="BU129:CZ129" si="154">+SUM(BU112,BU120,BU127)</f>
        <v>1806.7540980058093</v>
      </c>
      <c r="BV129" s="171">
        <f t="shared" si="154"/>
        <v>1758.2077619398428</v>
      </c>
      <c r="BW129" s="171">
        <f t="shared" si="154"/>
        <v>2135.9274421595997</v>
      </c>
      <c r="BX129" s="171">
        <f t="shared" si="154"/>
        <v>2075.242385643392</v>
      </c>
      <c r="BY129" s="171">
        <f t="shared" si="154"/>
        <v>1789.2994150621832</v>
      </c>
      <c r="BZ129" s="171">
        <f t="shared" ca="1" si="154"/>
        <v>3477.3350597409499</v>
      </c>
      <c r="CA129" s="171">
        <f t="shared" ca="1" si="154"/>
        <v>3224.3704156956655</v>
      </c>
      <c r="CB129" s="171">
        <f t="shared" ca="1" si="154"/>
        <v>3224.3704156956655</v>
      </c>
      <c r="CC129" s="171">
        <f t="shared" ca="1" si="154"/>
        <v>3224.3704156956655</v>
      </c>
      <c r="CD129" s="171">
        <f t="shared" ca="1" si="154"/>
        <v>3224.3704156956655</v>
      </c>
      <c r="CE129" s="171">
        <f t="shared" ca="1" si="154"/>
        <v>3224.3704156956655</v>
      </c>
      <c r="CF129" s="171">
        <f t="shared" ca="1" si="154"/>
        <v>3583.7915545133365</v>
      </c>
      <c r="CG129" s="171">
        <f t="shared" ca="1" si="154"/>
        <v>3646.218093739798</v>
      </c>
      <c r="CH129" s="171">
        <f t="shared" ca="1" si="154"/>
        <v>3646.218093739798</v>
      </c>
      <c r="CI129" s="171">
        <f t="shared" ca="1" si="154"/>
        <v>3646.218093739798</v>
      </c>
      <c r="CJ129" s="171">
        <f t="shared" ca="1" si="154"/>
        <v>3646.218093739798</v>
      </c>
      <c r="CK129" s="171">
        <f t="shared" ca="1" si="154"/>
        <v>3646.218093739798</v>
      </c>
      <c r="CL129" s="171">
        <f t="shared" ca="1" si="154"/>
        <v>3646.218093739798</v>
      </c>
      <c r="CM129" s="171">
        <f t="shared" ca="1" si="154"/>
        <v>3646.218093739798</v>
      </c>
      <c r="CN129" s="171">
        <f t="shared" ca="1" si="154"/>
        <v>3646.218093739798</v>
      </c>
      <c r="CO129" s="171">
        <f t="shared" ca="1" si="154"/>
        <v>3646.218093739798</v>
      </c>
      <c r="CP129" s="171">
        <f t="shared" ca="1" si="154"/>
        <v>3646.218093739798</v>
      </c>
      <c r="CQ129" s="171">
        <f t="shared" ca="1" si="154"/>
        <v>3646.218093739798</v>
      </c>
      <c r="CR129" s="171">
        <f t="shared" ca="1" si="154"/>
        <v>3646.218093739798</v>
      </c>
      <c r="CS129" s="171">
        <f t="shared" ca="1" si="154"/>
        <v>3646.218093739798</v>
      </c>
      <c r="CT129" s="171">
        <f t="shared" ca="1" si="154"/>
        <v>3646.218093739798</v>
      </c>
      <c r="CU129" s="171">
        <f t="shared" ca="1" si="154"/>
        <v>3646.218093739798</v>
      </c>
      <c r="CV129" s="171">
        <f t="shared" ca="1" si="154"/>
        <v>3646.218093739798</v>
      </c>
      <c r="CW129" s="171">
        <f t="shared" ca="1" si="154"/>
        <v>3646.218093739798</v>
      </c>
      <c r="CX129" s="171">
        <f t="shared" ca="1" si="154"/>
        <v>3646.218093739798</v>
      </c>
      <c r="CY129" s="171">
        <f t="shared" ca="1" si="154"/>
        <v>3646.218093739798</v>
      </c>
      <c r="CZ129" s="171">
        <f t="shared" ca="1" si="154"/>
        <v>3646.218093739798</v>
      </c>
      <c r="DA129" s="171">
        <f t="shared" ref="DA129:DY129" ca="1" si="155">+SUM(DA112,DA120,DA127)</f>
        <v>3646.218093739798</v>
      </c>
      <c r="DB129" s="171">
        <f t="shared" ca="1" si="155"/>
        <v>3646.218093739798</v>
      </c>
      <c r="DC129" s="171">
        <f t="shared" ca="1" si="155"/>
        <v>3646.218093739798</v>
      </c>
      <c r="DD129" s="171">
        <f t="shared" ca="1" si="155"/>
        <v>3646.218093739798</v>
      </c>
      <c r="DE129" s="171">
        <f t="shared" ca="1" si="155"/>
        <v>3646.218093739798</v>
      </c>
      <c r="DF129" s="171">
        <f t="shared" ca="1" si="155"/>
        <v>3646.218093739798</v>
      </c>
      <c r="DG129" s="171">
        <f t="shared" ca="1" si="155"/>
        <v>3646.218093739798</v>
      </c>
      <c r="DH129" s="171">
        <f t="shared" ca="1" si="155"/>
        <v>3646.218093739798</v>
      </c>
      <c r="DI129" s="171">
        <f t="shared" ca="1" si="155"/>
        <v>3646.218093739798</v>
      </c>
      <c r="DJ129" s="171">
        <f t="shared" ca="1" si="155"/>
        <v>3646.218093739798</v>
      </c>
      <c r="DK129" s="171">
        <f t="shared" ca="1" si="155"/>
        <v>3646.218093739798</v>
      </c>
      <c r="DL129" s="171">
        <f t="shared" ca="1" si="155"/>
        <v>3646.218093739798</v>
      </c>
      <c r="DM129" s="171">
        <f t="shared" ca="1" si="155"/>
        <v>3646.218093739798</v>
      </c>
      <c r="DN129" s="171">
        <f t="shared" ca="1" si="155"/>
        <v>3646.218093739798</v>
      </c>
      <c r="DO129" s="171">
        <f t="shared" ca="1" si="155"/>
        <v>3646.218093739798</v>
      </c>
      <c r="DP129" s="171">
        <f t="shared" ca="1" si="155"/>
        <v>3646.218093739798</v>
      </c>
      <c r="DQ129" s="171">
        <f t="shared" ca="1" si="155"/>
        <v>3646.218093739798</v>
      </c>
      <c r="DR129" s="171">
        <f t="shared" ca="1" si="155"/>
        <v>3646.218093739798</v>
      </c>
      <c r="DS129" s="171">
        <f t="shared" ca="1" si="155"/>
        <v>3646.218093739798</v>
      </c>
      <c r="DT129" s="171">
        <f t="shared" ca="1" si="155"/>
        <v>3646.218093739798</v>
      </c>
      <c r="DU129" s="171">
        <f t="shared" ca="1" si="155"/>
        <v>3646.218093739798</v>
      </c>
      <c r="DV129" s="171">
        <f t="shared" ca="1" si="155"/>
        <v>3646.218093739798</v>
      </c>
      <c r="DW129" s="171">
        <f t="shared" ca="1" si="155"/>
        <v>3646.218093739798</v>
      </c>
      <c r="DX129" s="171">
        <f t="shared" ca="1" si="155"/>
        <v>3646.218093739798</v>
      </c>
      <c r="DY129" s="171">
        <f t="shared" ca="1" si="155"/>
        <v>3646.218093739798</v>
      </c>
    </row>
    <row r="130" spans="1:130" s="3" customFormat="1" ht="11.7" customHeight="1" outlineLevel="1" x14ac:dyDescent="0.3">
      <c r="A130" s="85"/>
      <c r="B130" s="149"/>
      <c r="C130" s="149"/>
      <c r="D130" s="162"/>
      <c r="F130" s="127"/>
      <c r="G130" s="127"/>
      <c r="H130" s="127"/>
      <c r="I130" s="111"/>
      <c r="J130" s="111"/>
      <c r="K130" s="111"/>
      <c r="L130" s="111"/>
      <c r="M130" s="111"/>
      <c r="N130" s="111"/>
      <c r="O130" s="111"/>
      <c r="P130" s="111"/>
      <c r="Q130" s="111"/>
      <c r="R130" s="111"/>
      <c r="S130" s="111"/>
      <c r="T130" s="111"/>
      <c r="U130" s="111"/>
      <c r="V130" s="111"/>
      <c r="W130" s="111"/>
      <c r="X130" s="111"/>
      <c r="Y130" s="111"/>
      <c r="Z130" s="111"/>
      <c r="AA130" s="111"/>
      <c r="AB130" s="111"/>
      <c r="AC130" s="111"/>
      <c r="AD130" s="111"/>
      <c r="AE130" s="111"/>
      <c r="AF130" s="111"/>
      <c r="AG130" s="111"/>
      <c r="AH130" s="111"/>
      <c r="AI130" s="111"/>
      <c r="AJ130" s="111"/>
      <c r="AK130" s="111"/>
      <c r="AL130" s="111"/>
      <c r="AM130" s="111"/>
      <c r="AN130" s="111"/>
      <c r="AO130" s="111"/>
      <c r="AP130" s="111"/>
      <c r="AQ130" s="111"/>
      <c r="AR130" s="111"/>
      <c r="AS130" s="111"/>
      <c r="AT130" s="111"/>
      <c r="AU130" s="111"/>
      <c r="AV130" s="111"/>
      <c r="AW130" s="111"/>
      <c r="AX130" s="111"/>
      <c r="AY130" s="14"/>
      <c r="AZ130" s="14"/>
      <c r="BA130" s="14"/>
      <c r="BB130" s="14"/>
      <c r="BC130" s="14"/>
      <c r="BD130" s="14"/>
      <c r="BE130" s="14"/>
      <c r="BF130" s="14"/>
      <c r="BG130" s="14"/>
      <c r="BH130" s="14"/>
      <c r="BI130" s="14"/>
      <c r="BJ130" s="14"/>
      <c r="BK130" s="14"/>
      <c r="BL130" s="14"/>
      <c r="BM130" s="14"/>
      <c r="BN130" s="14"/>
      <c r="BO130" s="14"/>
      <c r="BP130" s="14"/>
      <c r="BQ130" s="14"/>
      <c r="BR130" s="14"/>
      <c r="BS130" s="14"/>
      <c r="BT130" s="14"/>
      <c r="BU130" s="14"/>
      <c r="BV130" s="111"/>
      <c r="BW130" s="111"/>
      <c r="BX130" s="111"/>
      <c r="BY130" s="111"/>
      <c r="BZ130" s="111"/>
      <c r="CA130" s="111"/>
      <c r="CB130" s="111"/>
      <c r="CC130" s="111"/>
      <c r="CD130" s="14"/>
      <c r="CE130" s="111"/>
      <c r="CF130" s="111"/>
      <c r="CG130" s="111"/>
      <c r="CH130" s="111"/>
      <c r="CI130" s="111"/>
      <c r="CJ130" s="111"/>
      <c r="CK130" s="111"/>
      <c r="CL130" s="111"/>
      <c r="CM130" s="111"/>
      <c r="CN130" s="111"/>
      <c r="CO130" s="111"/>
      <c r="CP130" s="111"/>
      <c r="CQ130" s="111"/>
      <c r="CR130" s="111"/>
      <c r="CS130" s="111"/>
      <c r="CT130" s="111"/>
      <c r="CU130" s="111"/>
      <c r="CV130" s="111"/>
      <c r="CW130" s="111"/>
      <c r="CX130" s="111"/>
      <c r="CY130" s="111"/>
      <c r="CZ130" s="111"/>
      <c r="DA130" s="111"/>
      <c r="DB130" s="111"/>
      <c r="DC130" s="111"/>
      <c r="DD130" s="111"/>
      <c r="DE130" s="111"/>
      <c r="DF130" s="111"/>
      <c r="DG130" s="111"/>
      <c r="DH130" s="111"/>
      <c r="DI130" s="111"/>
      <c r="DJ130" s="111"/>
      <c r="DK130" s="111"/>
      <c r="DL130" s="111"/>
      <c r="DM130" s="111"/>
      <c r="DN130" s="111"/>
      <c r="DO130" s="111"/>
      <c r="DP130" s="111"/>
      <c r="DQ130" s="111"/>
      <c r="DR130" s="111"/>
      <c r="DS130" s="111"/>
      <c r="DT130" s="111"/>
      <c r="DU130" s="111"/>
      <c r="DV130" s="111"/>
      <c r="DW130" s="111"/>
      <c r="DX130" s="111"/>
      <c r="DY130" s="111"/>
    </row>
    <row r="131" spans="1:130" s="3" customFormat="1" ht="11.7" customHeight="1" outlineLevel="1" x14ac:dyDescent="0.3">
      <c r="A131" s="85"/>
      <c r="B131" s="195" t="s">
        <v>118</v>
      </c>
      <c r="C131" s="195"/>
      <c r="D131" s="162"/>
      <c r="F131" s="127"/>
      <c r="G131" s="127"/>
      <c r="H131" s="127"/>
      <c r="I131" s="111"/>
      <c r="J131" s="111"/>
      <c r="K131" s="111"/>
      <c r="L131" s="111"/>
      <c r="M131" s="111"/>
      <c r="N131" s="111"/>
      <c r="O131" s="111"/>
      <c r="P131" s="111"/>
      <c r="Q131" s="111"/>
      <c r="R131" s="111"/>
      <c r="S131" s="111"/>
      <c r="T131" s="111"/>
      <c r="U131" s="111"/>
      <c r="V131" s="111"/>
      <c r="W131" s="111"/>
      <c r="X131" s="111"/>
      <c r="Y131" s="111"/>
      <c r="Z131" s="111"/>
      <c r="AA131" s="111"/>
      <c r="AB131" s="111"/>
      <c r="AC131" s="111"/>
      <c r="AD131" s="111"/>
      <c r="AE131" s="111"/>
      <c r="AF131" s="111"/>
      <c r="AG131" s="111"/>
      <c r="AH131" s="111"/>
      <c r="AI131" s="111"/>
      <c r="AJ131" s="111"/>
      <c r="AK131" s="111"/>
      <c r="AL131" s="111"/>
      <c r="AM131" s="111"/>
      <c r="AN131" s="111"/>
      <c r="AO131" s="111"/>
      <c r="AP131" s="111"/>
      <c r="AQ131" s="111"/>
      <c r="AR131" s="111"/>
      <c r="AS131" s="111"/>
      <c r="AT131" s="111"/>
      <c r="AU131" s="111"/>
      <c r="AV131" s="111"/>
      <c r="AW131" s="111"/>
      <c r="AX131" s="111"/>
      <c r="AY131" s="111"/>
      <c r="AZ131" s="111"/>
      <c r="BA131" s="111"/>
      <c r="BB131" s="111"/>
      <c r="BC131" s="111"/>
      <c r="BD131" s="111"/>
      <c r="BE131" s="111"/>
      <c r="BF131" s="111"/>
      <c r="BG131" s="111"/>
      <c r="BH131" s="111"/>
      <c r="BI131" s="111"/>
      <c r="BJ131" s="111"/>
      <c r="BK131" s="111"/>
      <c r="BL131" s="737"/>
      <c r="BM131" s="111"/>
      <c r="BN131" s="111"/>
      <c r="BO131" s="111"/>
      <c r="BP131" s="111"/>
      <c r="BQ131" s="111"/>
      <c r="BR131" s="111"/>
      <c r="BS131" s="111"/>
      <c r="BT131" s="111"/>
      <c r="BU131" s="111"/>
      <c r="BV131" s="111"/>
      <c r="BW131" s="111"/>
      <c r="BX131" s="111"/>
      <c r="BY131" s="111"/>
      <c r="BZ131" s="111"/>
      <c r="CA131" s="111"/>
      <c r="CB131" s="111"/>
      <c r="CC131" s="111"/>
      <c r="CD131" s="111"/>
      <c r="CE131" s="111"/>
      <c r="CF131" s="111"/>
      <c r="CG131" s="111"/>
      <c r="CH131" s="111"/>
      <c r="CI131" s="111"/>
      <c r="CJ131" s="111"/>
      <c r="CK131" s="111"/>
      <c r="CL131" s="111"/>
      <c r="CM131" s="111"/>
      <c r="CN131" s="111"/>
      <c r="CO131" s="111"/>
      <c r="CP131" s="111"/>
      <c r="CQ131" s="111"/>
      <c r="CR131" s="111"/>
      <c r="CS131" s="111"/>
      <c r="CT131" s="111"/>
      <c r="CU131" s="111"/>
      <c r="CV131" s="111"/>
      <c r="CW131" s="111"/>
      <c r="CX131" s="111"/>
      <c r="CY131" s="111"/>
      <c r="CZ131" s="111"/>
      <c r="DA131" s="111"/>
      <c r="DB131" s="111"/>
      <c r="DC131" s="111"/>
      <c r="DD131" s="111"/>
      <c r="DE131" s="111"/>
      <c r="DF131" s="111"/>
      <c r="DG131" s="111"/>
      <c r="DH131" s="111"/>
      <c r="DI131" s="111"/>
      <c r="DJ131" s="111"/>
      <c r="DK131" s="111"/>
      <c r="DL131" s="111"/>
      <c r="DM131" s="111"/>
      <c r="DN131" s="111"/>
      <c r="DO131" s="111"/>
      <c r="DP131" s="111"/>
      <c r="DQ131" s="111"/>
      <c r="DR131" s="111"/>
      <c r="DS131" s="111"/>
      <c r="DT131" s="111"/>
      <c r="DU131" s="111"/>
      <c r="DV131" s="111"/>
      <c r="DW131" s="111"/>
      <c r="DX131" s="111"/>
      <c r="DY131" s="111"/>
    </row>
    <row r="132" spans="1:130" s="3" customFormat="1" ht="11.7" customHeight="1" outlineLevel="1" x14ac:dyDescent="0.25">
      <c r="A132" s="85"/>
      <c r="B132" s="113" t="s">
        <v>453</v>
      </c>
      <c r="C132" s="113"/>
      <c r="D132" s="324">
        <f>+'OpEx Budget'!$G$22</f>
        <v>5697.5694856736291</v>
      </c>
      <c r="E132" s="142"/>
      <c r="F132" s="127"/>
      <c r="G132" s="127"/>
      <c r="H132" s="290">
        <f>+SUM(I132:DY132)</f>
        <v>-46418.734109726349</v>
      </c>
      <c r="I132" s="14">
        <f t="shared" ref="I132:AN132" si="156">+SUM(I133:I138)</f>
        <v>0</v>
      </c>
      <c r="J132" s="14">
        <f t="shared" si="156"/>
        <v>0</v>
      </c>
      <c r="K132" s="14">
        <f t="shared" si="156"/>
        <v>0</v>
      </c>
      <c r="L132" s="14">
        <f t="shared" si="156"/>
        <v>0</v>
      </c>
      <c r="M132" s="14">
        <f t="shared" si="156"/>
        <v>0</v>
      </c>
      <c r="N132" s="14">
        <f t="shared" si="156"/>
        <v>0</v>
      </c>
      <c r="O132" s="14">
        <f t="shared" si="156"/>
        <v>0</v>
      </c>
      <c r="P132" s="14">
        <f t="shared" si="156"/>
        <v>0</v>
      </c>
      <c r="Q132" s="14">
        <f t="shared" si="156"/>
        <v>0</v>
      </c>
      <c r="R132" s="14">
        <f t="shared" si="156"/>
        <v>0</v>
      </c>
      <c r="S132" s="14">
        <f t="shared" si="156"/>
        <v>0</v>
      </c>
      <c r="T132" s="14">
        <f t="shared" si="156"/>
        <v>0</v>
      </c>
      <c r="U132" s="14">
        <f t="shared" si="156"/>
        <v>0</v>
      </c>
      <c r="V132" s="14">
        <f t="shared" si="156"/>
        <v>0</v>
      </c>
      <c r="W132" s="14">
        <f t="shared" si="156"/>
        <v>0</v>
      </c>
      <c r="X132" s="14">
        <f t="shared" si="156"/>
        <v>0</v>
      </c>
      <c r="Y132" s="14">
        <f t="shared" si="156"/>
        <v>0</v>
      </c>
      <c r="Z132" s="14">
        <f t="shared" si="156"/>
        <v>0</v>
      </c>
      <c r="AA132" s="14">
        <f t="shared" si="156"/>
        <v>0</v>
      </c>
      <c r="AB132" s="14">
        <f t="shared" si="156"/>
        <v>0</v>
      </c>
      <c r="AC132" s="14">
        <f t="shared" si="156"/>
        <v>0</v>
      </c>
      <c r="AD132" s="14">
        <f t="shared" si="156"/>
        <v>0</v>
      </c>
      <c r="AE132" s="14">
        <f t="shared" si="156"/>
        <v>0</v>
      </c>
      <c r="AF132" s="14">
        <f t="shared" si="156"/>
        <v>0</v>
      </c>
      <c r="AG132" s="14">
        <f t="shared" si="156"/>
        <v>0</v>
      </c>
      <c r="AH132" s="14">
        <f t="shared" si="156"/>
        <v>0</v>
      </c>
      <c r="AI132" s="14">
        <f t="shared" si="156"/>
        <v>0</v>
      </c>
      <c r="AJ132" s="14">
        <f t="shared" si="156"/>
        <v>0</v>
      </c>
      <c r="AK132" s="14">
        <f t="shared" si="156"/>
        <v>0</v>
      </c>
      <c r="AL132" s="14">
        <f t="shared" si="156"/>
        <v>0</v>
      </c>
      <c r="AM132" s="14">
        <f t="shared" si="156"/>
        <v>0</v>
      </c>
      <c r="AN132" s="14">
        <f t="shared" si="156"/>
        <v>0</v>
      </c>
      <c r="AO132" s="14">
        <f t="shared" ref="AO132:BN132" si="157">+SUM(AO133:AO138)</f>
        <v>0</v>
      </c>
      <c r="AP132" s="14">
        <f t="shared" si="157"/>
        <v>0</v>
      </c>
      <c r="AQ132" s="14">
        <f t="shared" si="157"/>
        <v>0</v>
      </c>
      <c r="AR132" s="14">
        <f t="shared" si="157"/>
        <v>0</v>
      </c>
      <c r="AS132" s="14">
        <f t="shared" si="157"/>
        <v>0</v>
      </c>
      <c r="AT132" s="14">
        <f t="shared" si="157"/>
        <v>0</v>
      </c>
      <c r="AU132" s="14">
        <f t="shared" si="157"/>
        <v>0</v>
      </c>
      <c r="AV132" s="14">
        <f t="shared" si="157"/>
        <v>0</v>
      </c>
      <c r="AW132" s="14">
        <f t="shared" si="157"/>
        <v>0</v>
      </c>
      <c r="AX132" s="14">
        <f t="shared" si="157"/>
        <v>0</v>
      </c>
      <c r="AY132" s="14">
        <f t="shared" si="157"/>
        <v>0</v>
      </c>
      <c r="AZ132" s="14">
        <f t="shared" si="157"/>
        <v>0</v>
      </c>
      <c r="BA132" s="14">
        <f t="shared" si="157"/>
        <v>0</v>
      </c>
      <c r="BB132" s="14">
        <f t="shared" si="157"/>
        <v>0</v>
      </c>
      <c r="BC132" s="14">
        <f t="shared" si="157"/>
        <v>0</v>
      </c>
      <c r="BD132" s="14">
        <f t="shared" si="157"/>
        <v>0</v>
      </c>
      <c r="BE132" s="14">
        <f t="shared" si="157"/>
        <v>0</v>
      </c>
      <c r="BF132" s="14">
        <f t="shared" si="157"/>
        <v>0</v>
      </c>
      <c r="BG132" s="14">
        <f t="shared" si="157"/>
        <v>0</v>
      </c>
      <c r="BH132" s="14">
        <f t="shared" si="157"/>
        <v>0</v>
      </c>
      <c r="BI132" s="14">
        <f t="shared" si="157"/>
        <v>-652.6625582896678</v>
      </c>
      <c r="BJ132" s="14">
        <f t="shared" si="157"/>
        <v>-1409.9455915178571</v>
      </c>
      <c r="BK132" s="14">
        <f t="shared" si="157"/>
        <v>-1696.2382445141066</v>
      </c>
      <c r="BL132" s="14">
        <f t="shared" si="157"/>
        <v>-810.61318372513585</v>
      </c>
      <c r="BM132" s="14">
        <f t="shared" si="157"/>
        <v>-3082.0995271047268</v>
      </c>
      <c r="BN132" s="14">
        <f t="shared" si="157"/>
        <v>-1517.5879318145617</v>
      </c>
      <c r="BO132" s="14">
        <f t="shared" ref="BO132" si="158">+SUM(BO133:BO138)</f>
        <v>-1610.0082113255244</v>
      </c>
      <c r="BP132" s="14">
        <f t="shared" ref="BP132" si="159">+SUM(BP133:BP138)</f>
        <v>-1025.3954973488696</v>
      </c>
      <c r="BQ132" s="14">
        <f>+SUM(BQ133:BQ138)</f>
        <v>-844.85158748715276</v>
      </c>
      <c r="BR132" s="14">
        <f t="shared" ref="BR132" si="160">+SUM(BR133:BR138)</f>
        <v>-1336.7720846754441</v>
      </c>
      <c r="BS132" s="14">
        <f>+SUM(BS133:BS138)</f>
        <v>-1825.2450605829058</v>
      </c>
      <c r="BT132" s="14">
        <f>+SUM(BT133:BT138)</f>
        <v>-1328.9381555285554</v>
      </c>
      <c r="BU132" s="14">
        <f>+SUM(BU133:BU138)</f>
        <v>-1031.2868225267423</v>
      </c>
      <c r="BV132" s="14">
        <f>+SUM(BV133:BV138)</f>
        <v>-784.06313433407456</v>
      </c>
      <c r="BW132" s="14">
        <f>+SUM(BW133:BW138)</f>
        <v>-1439.0673576294682</v>
      </c>
      <c r="BX132" s="14">
        <f t="shared" ref="BX132" si="161">+SUM(BX133:BX138)</f>
        <v>-859.69393292976417</v>
      </c>
      <c r="BY132" s="14">
        <f t="shared" ref="BY132:CP132" si="162">-$D$132/12*(BY102&gt;0)</f>
        <v>-474.79745713946909</v>
      </c>
      <c r="BZ132" s="14">
        <f t="shared" si="162"/>
        <v>-474.79745713946909</v>
      </c>
      <c r="CA132" s="14">
        <f t="shared" si="162"/>
        <v>-474.79745713946909</v>
      </c>
      <c r="CB132" s="14">
        <f t="shared" si="162"/>
        <v>-474.79745713946909</v>
      </c>
      <c r="CC132" s="14">
        <f t="shared" si="162"/>
        <v>-474.79745713946909</v>
      </c>
      <c r="CD132" s="14">
        <f t="shared" si="162"/>
        <v>-474.79745713946909</v>
      </c>
      <c r="CE132" s="14">
        <f t="shared" si="162"/>
        <v>-474.79745713946909</v>
      </c>
      <c r="CF132" s="14">
        <f t="shared" si="162"/>
        <v>-474.79745713946909</v>
      </c>
      <c r="CG132" s="14">
        <f t="shared" si="162"/>
        <v>-474.79745713946909</v>
      </c>
      <c r="CH132" s="14">
        <f t="shared" si="162"/>
        <v>-474.79745713946909</v>
      </c>
      <c r="CI132" s="14">
        <f t="shared" si="162"/>
        <v>-474.79745713946909</v>
      </c>
      <c r="CJ132" s="14">
        <f t="shared" si="162"/>
        <v>-474.79745713946909</v>
      </c>
      <c r="CK132" s="14">
        <f t="shared" si="162"/>
        <v>-474.79745713946909</v>
      </c>
      <c r="CL132" s="14">
        <f t="shared" si="162"/>
        <v>-474.79745713946909</v>
      </c>
      <c r="CM132" s="14">
        <f t="shared" si="162"/>
        <v>-474.79745713946909</v>
      </c>
      <c r="CN132" s="14">
        <f t="shared" si="162"/>
        <v>-474.79745713946909</v>
      </c>
      <c r="CO132" s="14">
        <f t="shared" si="162"/>
        <v>-474.79745713946909</v>
      </c>
      <c r="CP132" s="14">
        <f t="shared" si="162"/>
        <v>-474.79745713946909</v>
      </c>
      <c r="CQ132" s="14">
        <f t="shared" ref="CQ132:DY132" si="163">-$D$132/12*(CQ102&gt;0)</f>
        <v>-474.79745713946909</v>
      </c>
      <c r="CR132" s="14">
        <f t="shared" si="163"/>
        <v>-474.79745713946909</v>
      </c>
      <c r="CS132" s="14">
        <f t="shared" si="163"/>
        <v>-474.79745713946909</v>
      </c>
      <c r="CT132" s="14">
        <f t="shared" si="163"/>
        <v>-474.79745713946909</v>
      </c>
      <c r="CU132" s="14">
        <f t="shared" si="163"/>
        <v>-474.79745713946909</v>
      </c>
      <c r="CV132" s="14">
        <f t="shared" si="163"/>
        <v>-474.79745713946909</v>
      </c>
      <c r="CW132" s="14">
        <f t="shared" si="163"/>
        <v>-474.79745713946909</v>
      </c>
      <c r="CX132" s="14">
        <f t="shared" si="163"/>
        <v>-474.79745713946909</v>
      </c>
      <c r="CY132" s="14">
        <f t="shared" si="163"/>
        <v>-474.79745713946909</v>
      </c>
      <c r="CZ132" s="14">
        <f t="shared" si="163"/>
        <v>-474.79745713946909</v>
      </c>
      <c r="DA132" s="14">
        <f t="shared" si="163"/>
        <v>-474.79745713946909</v>
      </c>
      <c r="DB132" s="14">
        <f t="shared" si="163"/>
        <v>-474.79745713946909</v>
      </c>
      <c r="DC132" s="14">
        <f t="shared" si="163"/>
        <v>-474.79745713946909</v>
      </c>
      <c r="DD132" s="14">
        <f t="shared" si="163"/>
        <v>-474.79745713946909</v>
      </c>
      <c r="DE132" s="14">
        <f t="shared" si="163"/>
        <v>-474.79745713946909</v>
      </c>
      <c r="DF132" s="14">
        <f t="shared" si="163"/>
        <v>-474.79745713946909</v>
      </c>
      <c r="DG132" s="14">
        <f t="shared" si="163"/>
        <v>-474.79745713946909</v>
      </c>
      <c r="DH132" s="14">
        <f t="shared" si="163"/>
        <v>-474.79745713946909</v>
      </c>
      <c r="DI132" s="14">
        <f t="shared" si="163"/>
        <v>-474.79745713946909</v>
      </c>
      <c r="DJ132" s="14">
        <f t="shared" si="163"/>
        <v>-474.79745713946909</v>
      </c>
      <c r="DK132" s="14">
        <f t="shared" si="163"/>
        <v>-474.79745713946909</v>
      </c>
      <c r="DL132" s="14">
        <f t="shared" si="163"/>
        <v>-474.79745713946909</v>
      </c>
      <c r="DM132" s="14">
        <f t="shared" si="163"/>
        <v>-474.79745713946909</v>
      </c>
      <c r="DN132" s="14">
        <f t="shared" si="163"/>
        <v>-474.79745713946909</v>
      </c>
      <c r="DO132" s="14">
        <f t="shared" si="163"/>
        <v>-474.79745713946909</v>
      </c>
      <c r="DP132" s="14">
        <f t="shared" si="163"/>
        <v>-474.79745713946909</v>
      </c>
      <c r="DQ132" s="14">
        <f t="shared" si="163"/>
        <v>-474.79745713946909</v>
      </c>
      <c r="DR132" s="14">
        <f t="shared" si="163"/>
        <v>-474.79745713946909</v>
      </c>
      <c r="DS132" s="14">
        <f t="shared" si="163"/>
        <v>-474.79745713946909</v>
      </c>
      <c r="DT132" s="14">
        <f t="shared" si="163"/>
        <v>-474.79745713946909</v>
      </c>
      <c r="DU132" s="14">
        <f t="shared" si="163"/>
        <v>-474.79745713946909</v>
      </c>
      <c r="DV132" s="14">
        <f t="shared" si="163"/>
        <v>-474.79745713946909</v>
      </c>
      <c r="DW132" s="14">
        <f t="shared" si="163"/>
        <v>-474.79745713946909</v>
      </c>
      <c r="DX132" s="14">
        <f t="shared" si="163"/>
        <v>-474.79745713946909</v>
      </c>
      <c r="DY132" s="14">
        <f t="shared" si="163"/>
        <v>-474.79745713946909</v>
      </c>
    </row>
    <row r="133" spans="1:130" s="3" customFormat="1" ht="11.7" customHeight="1" outlineLevel="1" x14ac:dyDescent="0.3">
      <c r="A133" s="85"/>
      <c r="B133" s="141" t="s">
        <v>262</v>
      </c>
      <c r="C133" s="141"/>
      <c r="D133" s="142"/>
      <c r="E133" s="142"/>
      <c r="F133" s="127"/>
      <c r="G133" s="127"/>
      <c r="H133" s="290">
        <f t="shared" ref="H133:H139" si="164">+SUM(I133:DY133)</f>
        <v>-10064.237255312428</v>
      </c>
      <c r="I133" s="1019">
        <v>0</v>
      </c>
      <c r="J133" s="1019">
        <v>0</v>
      </c>
      <c r="K133" s="1019">
        <v>0</v>
      </c>
      <c r="L133" s="1019">
        <v>0</v>
      </c>
      <c r="M133" s="1019">
        <v>0</v>
      </c>
      <c r="N133" s="1019">
        <v>0</v>
      </c>
      <c r="O133" s="1019">
        <v>0</v>
      </c>
      <c r="P133" s="1019">
        <v>0</v>
      </c>
      <c r="Q133" s="1019">
        <v>0</v>
      </c>
      <c r="R133" s="1019">
        <v>0</v>
      </c>
      <c r="S133" s="1019">
        <v>0</v>
      </c>
      <c r="T133" s="1019">
        <v>0</v>
      </c>
      <c r="U133" s="1019">
        <v>0</v>
      </c>
      <c r="V133" s="1019">
        <v>0</v>
      </c>
      <c r="W133" s="1019">
        <v>0</v>
      </c>
      <c r="X133" s="1019">
        <v>0</v>
      </c>
      <c r="Y133" s="1019">
        <v>0</v>
      </c>
      <c r="Z133" s="1019">
        <v>0</v>
      </c>
      <c r="AA133" s="1019">
        <v>0</v>
      </c>
      <c r="AB133" s="1019">
        <v>0</v>
      </c>
      <c r="AC133" s="1019">
        <v>0</v>
      </c>
      <c r="AD133" s="1019">
        <v>0</v>
      </c>
      <c r="AE133" s="1019">
        <v>0</v>
      </c>
      <c r="AF133" s="1019">
        <v>0</v>
      </c>
      <c r="AG133" s="1019">
        <v>0</v>
      </c>
      <c r="AH133" s="1019">
        <v>0</v>
      </c>
      <c r="AI133" s="1019">
        <v>0</v>
      </c>
      <c r="AJ133" s="1019">
        <v>0</v>
      </c>
      <c r="AK133" s="1019">
        <v>0</v>
      </c>
      <c r="AL133" s="1019">
        <v>0</v>
      </c>
      <c r="AM133" s="1019">
        <v>0</v>
      </c>
      <c r="AN133" s="1019">
        <v>0</v>
      </c>
      <c r="AO133" s="1019">
        <v>0</v>
      </c>
      <c r="AP133" s="1019">
        <v>0</v>
      </c>
      <c r="AQ133" s="1019">
        <v>0</v>
      </c>
      <c r="AR133" s="1019">
        <v>0</v>
      </c>
      <c r="AS133" s="1019">
        <v>0</v>
      </c>
      <c r="AT133" s="1019">
        <v>0</v>
      </c>
      <c r="AU133" s="1019">
        <v>0</v>
      </c>
      <c r="AV133" s="1019">
        <v>0</v>
      </c>
      <c r="AW133" s="1019">
        <v>0</v>
      </c>
      <c r="AX133" s="1019">
        <v>0</v>
      </c>
      <c r="AY133" s="1019">
        <v>0</v>
      </c>
      <c r="AZ133" s="1019">
        <v>0</v>
      </c>
      <c r="BA133" s="1019">
        <v>0</v>
      </c>
      <c r="BB133" s="1019">
        <v>0</v>
      </c>
      <c r="BC133" s="1019">
        <v>0</v>
      </c>
      <c r="BD133" s="1019">
        <v>0</v>
      </c>
      <c r="BE133" s="1019">
        <v>0</v>
      </c>
      <c r="BF133" s="1019">
        <v>0</v>
      </c>
      <c r="BG133" s="1019">
        <v>0</v>
      </c>
      <c r="BH133" s="1019">
        <v>0</v>
      </c>
      <c r="BI133" s="14">
        <f t="shared" ref="BI133:BO133" si="165">-SUM(BI154,BI155,BI156,BI164,BI165,BI193,BI194,BI195,BI204)/BI99</f>
        <v>-197.83661432143697</v>
      </c>
      <c r="BJ133" s="14">
        <f t="shared" si="165"/>
        <v>-901.27904322240261</v>
      </c>
      <c r="BK133" s="14">
        <f t="shared" si="165"/>
        <v>-396.0584649269062</v>
      </c>
      <c r="BL133" s="14">
        <f t="shared" si="165"/>
        <v>-686.06159341805142</v>
      </c>
      <c r="BM133" s="14">
        <f t="shared" si="165"/>
        <v>-1826.532360920625</v>
      </c>
      <c r="BN133" s="14">
        <f t="shared" si="165"/>
        <v>-584.83441901203582</v>
      </c>
      <c r="BO133" s="14">
        <f t="shared" si="165"/>
        <v>-632.34798424526718</v>
      </c>
      <c r="BP133" s="14">
        <f t="shared" ref="BP133" si="166">-SUM(BP154,BP155,BP156,BP164,BP165,BP193,BP194,BP195,BP204)/BP99</f>
        <v>-568.7578003759844</v>
      </c>
      <c r="BQ133" s="14">
        <f>-SUM(BQ154,BQ155,BQ156,BQ164,BQ165,BQ193,BQ194,BQ195,BQ204)/BQ99</f>
        <v>-431.72875539687834</v>
      </c>
      <c r="BR133" s="14">
        <f t="shared" ref="BR133" si="167">-SUM(BR154,BR155,BR156,BR164,BR165,BR193,BR194,BR195,BR204)/BR99</f>
        <v>-438.51492831719912</v>
      </c>
      <c r="BS133" s="14">
        <f>-SUM(BS154,BS155,BS156,BS164,BS165,BS193,BS194,BS195,BS204)/BS99</f>
        <v>-668.82180754801527</v>
      </c>
      <c r="BT133" s="14">
        <f t="shared" ref="BT133:BU133" si="168">-SUM(BT154,BT155,BT156,BT164,BT165,BT193,BT194,BT195,BT204)/BT99</f>
        <v>-520.36391465006102</v>
      </c>
      <c r="BU133" s="14">
        <f t="shared" si="168"/>
        <v>-373.71036069058738</v>
      </c>
      <c r="BV133" s="14">
        <f>-SUM(BV154,BV155,BV156,BV164,BV165,BV193,BV194,BV195,BV204)/BV99</f>
        <v>-457.33523929249714</v>
      </c>
      <c r="BW133" s="14">
        <f>-SUM(BW154,BW155,BW156,BW164,BW165,BW193,BW194,BW195,BW204)/BW99</f>
        <v>-588.38191361016061</v>
      </c>
      <c r="BX133" s="14">
        <f t="shared" ref="BX133:BY133" si="169">-SUM(BX154,BX155,BX156,BX164,BX165,BX193,BX194,BX195,BX204)/BX99</f>
        <v>-399.99386135878819</v>
      </c>
      <c r="BY133" s="14">
        <f t="shared" si="169"/>
        <v>-391.67819400553219</v>
      </c>
      <c r="BZ133" s="1019">
        <v>0</v>
      </c>
      <c r="CA133" s="1019">
        <v>0</v>
      </c>
      <c r="CB133" s="1019">
        <v>0</v>
      </c>
      <c r="CC133" s="1019">
        <v>0</v>
      </c>
      <c r="CD133" s="1019">
        <v>0</v>
      </c>
      <c r="CE133" s="1019">
        <v>0</v>
      </c>
      <c r="CF133" s="1019">
        <v>0</v>
      </c>
      <c r="CG133" s="1019">
        <v>0</v>
      </c>
      <c r="CH133" s="1019">
        <v>0</v>
      </c>
      <c r="CI133" s="1019">
        <v>0</v>
      </c>
      <c r="CJ133" s="1019">
        <v>0</v>
      </c>
      <c r="CK133" s="1019">
        <v>0</v>
      </c>
      <c r="CL133" s="1019">
        <v>0</v>
      </c>
      <c r="CM133" s="1019">
        <v>0</v>
      </c>
      <c r="CN133" s="1019">
        <v>0</v>
      </c>
      <c r="CO133" s="1019">
        <v>0</v>
      </c>
      <c r="CP133" s="1019">
        <v>0</v>
      </c>
      <c r="CQ133" s="1019">
        <v>0</v>
      </c>
      <c r="CR133" s="1019">
        <v>0</v>
      </c>
      <c r="CS133" s="1019">
        <v>0</v>
      </c>
      <c r="CT133" s="1019">
        <v>0</v>
      </c>
      <c r="CU133" s="1019">
        <v>0</v>
      </c>
      <c r="CV133" s="1019">
        <v>0</v>
      </c>
      <c r="CW133" s="1019">
        <v>0</v>
      </c>
      <c r="CX133" s="1019">
        <v>0</v>
      </c>
      <c r="CY133" s="1019">
        <v>0</v>
      </c>
      <c r="CZ133" s="1019">
        <v>0</v>
      </c>
      <c r="DA133" s="1019">
        <v>0</v>
      </c>
      <c r="DB133" s="1019">
        <v>0</v>
      </c>
      <c r="DC133" s="1019">
        <v>0</v>
      </c>
      <c r="DD133" s="1019">
        <v>0</v>
      </c>
      <c r="DE133" s="1019">
        <v>0</v>
      </c>
      <c r="DF133" s="1019">
        <v>0</v>
      </c>
      <c r="DG133" s="1019">
        <v>0</v>
      </c>
      <c r="DH133" s="1019">
        <v>0</v>
      </c>
      <c r="DI133" s="1019">
        <v>0</v>
      </c>
      <c r="DJ133" s="1019">
        <v>0</v>
      </c>
      <c r="DK133" s="1019">
        <v>0</v>
      </c>
      <c r="DL133" s="1019">
        <v>0</v>
      </c>
      <c r="DM133" s="1019">
        <v>0</v>
      </c>
      <c r="DN133" s="1019">
        <v>0</v>
      </c>
      <c r="DO133" s="1019">
        <v>0</v>
      </c>
      <c r="DP133" s="1019">
        <v>0</v>
      </c>
      <c r="DQ133" s="1019">
        <v>0</v>
      </c>
      <c r="DR133" s="1019">
        <v>0</v>
      </c>
      <c r="DS133" s="1019">
        <v>0</v>
      </c>
      <c r="DT133" s="1019">
        <v>0</v>
      </c>
      <c r="DU133" s="1019">
        <v>0</v>
      </c>
      <c r="DV133" s="1019">
        <v>0</v>
      </c>
      <c r="DW133" s="1019">
        <v>0</v>
      </c>
      <c r="DX133" s="1019">
        <v>0</v>
      </c>
      <c r="DY133" s="1019">
        <v>0</v>
      </c>
      <c r="DZ133" s="1019"/>
    </row>
    <row r="134" spans="1:130" s="3" customFormat="1" ht="11.7" customHeight="1" outlineLevel="1" x14ac:dyDescent="0.3">
      <c r="A134" s="85"/>
      <c r="B134" s="141" t="s">
        <v>714</v>
      </c>
      <c r="C134" s="141"/>
      <c r="D134" s="142"/>
      <c r="E134" s="142"/>
      <c r="F134" s="127"/>
      <c r="G134" s="127"/>
      <c r="H134" s="290">
        <f t="shared" si="164"/>
        <v>-1466.9213436388859</v>
      </c>
      <c r="I134" s="1019">
        <v>0</v>
      </c>
      <c r="J134" s="1019">
        <v>0</v>
      </c>
      <c r="K134" s="1019">
        <v>0</v>
      </c>
      <c r="L134" s="1019">
        <v>0</v>
      </c>
      <c r="M134" s="1019">
        <v>0</v>
      </c>
      <c r="N134" s="1019">
        <v>0</v>
      </c>
      <c r="O134" s="1019">
        <v>0</v>
      </c>
      <c r="P134" s="1019">
        <v>0</v>
      </c>
      <c r="Q134" s="1019">
        <v>0</v>
      </c>
      <c r="R134" s="1019">
        <v>0</v>
      </c>
      <c r="S134" s="1019">
        <v>0</v>
      </c>
      <c r="T134" s="1019">
        <v>0</v>
      </c>
      <c r="U134" s="1019">
        <v>0</v>
      </c>
      <c r="V134" s="1019">
        <v>0</v>
      </c>
      <c r="W134" s="1019">
        <v>0</v>
      </c>
      <c r="X134" s="1019">
        <v>0</v>
      </c>
      <c r="Y134" s="1019">
        <v>0</v>
      </c>
      <c r="Z134" s="1019">
        <v>0</v>
      </c>
      <c r="AA134" s="1019">
        <v>0</v>
      </c>
      <c r="AB134" s="1019">
        <v>0</v>
      </c>
      <c r="AC134" s="1019">
        <v>0</v>
      </c>
      <c r="AD134" s="1019">
        <v>0</v>
      </c>
      <c r="AE134" s="1019">
        <v>0</v>
      </c>
      <c r="AF134" s="1019">
        <v>0</v>
      </c>
      <c r="AG134" s="1019">
        <v>0</v>
      </c>
      <c r="AH134" s="1019">
        <v>0</v>
      </c>
      <c r="AI134" s="1019">
        <v>0</v>
      </c>
      <c r="AJ134" s="1019">
        <v>0</v>
      </c>
      <c r="AK134" s="1019">
        <v>0</v>
      </c>
      <c r="AL134" s="1019">
        <v>0</v>
      </c>
      <c r="AM134" s="1019">
        <v>0</v>
      </c>
      <c r="AN134" s="1019">
        <v>0</v>
      </c>
      <c r="AO134" s="1019">
        <v>0</v>
      </c>
      <c r="AP134" s="1019">
        <v>0</v>
      </c>
      <c r="AQ134" s="1019">
        <v>0</v>
      </c>
      <c r="AR134" s="1019">
        <v>0</v>
      </c>
      <c r="AS134" s="1019">
        <v>0</v>
      </c>
      <c r="AT134" s="1019">
        <v>0</v>
      </c>
      <c r="AU134" s="1019">
        <v>0</v>
      </c>
      <c r="AV134" s="1019">
        <v>0</v>
      </c>
      <c r="AW134" s="1019">
        <v>0</v>
      </c>
      <c r="AX134" s="1019">
        <v>0</v>
      </c>
      <c r="AY134" s="1019">
        <v>0</v>
      </c>
      <c r="AZ134" s="1019">
        <v>0</v>
      </c>
      <c r="BA134" s="1019">
        <v>0</v>
      </c>
      <c r="BB134" s="1019">
        <v>0</v>
      </c>
      <c r="BC134" s="1019">
        <v>0</v>
      </c>
      <c r="BD134" s="1019">
        <v>0</v>
      </c>
      <c r="BE134" s="1019">
        <v>0</v>
      </c>
      <c r="BF134" s="1019">
        <v>0</v>
      </c>
      <c r="BG134" s="1019">
        <v>0</v>
      </c>
      <c r="BH134" s="1019">
        <v>0</v>
      </c>
      <c r="BI134" s="14">
        <f t="shared" ref="BI134:BQ134" si="170">-SUM(BI230,BI237)/BI99</f>
        <v>-24.473827118171638</v>
      </c>
      <c r="BJ134" s="14">
        <f t="shared" si="170"/>
        <v>0</v>
      </c>
      <c r="BK134" s="14">
        <f t="shared" si="170"/>
        <v>-104.40422166848316</v>
      </c>
      <c r="BL134" s="14">
        <f t="shared" si="170"/>
        <v>-78.808160865277713</v>
      </c>
      <c r="BM134" s="14">
        <f t="shared" si="170"/>
        <v>-157.11552243391429</v>
      </c>
      <c r="BN134" s="14">
        <f t="shared" si="170"/>
        <v>-80.203966351566464</v>
      </c>
      <c r="BO134" s="14">
        <f t="shared" si="170"/>
        <v>-111.83717635736741</v>
      </c>
      <c r="BP134" s="14">
        <f t="shared" si="170"/>
        <v>-88.30225103002644</v>
      </c>
      <c r="BQ134" s="14">
        <f t="shared" si="170"/>
        <v>-79.599588186546697</v>
      </c>
      <c r="BR134" s="14">
        <f t="shared" ref="BR134" si="171">-SUM(BR230,BR237)/BR99</f>
        <v>-237.60207627957521</v>
      </c>
      <c r="BS134" s="14">
        <f>-SUM(BS230,BS237)/BS99</f>
        <v>-84.48075077990795</v>
      </c>
      <c r="BT134" s="14">
        <f t="shared" ref="BT134:BU134" si="172">-SUM(BT230,BT237)/BT99</f>
        <v>-63.271176139202034</v>
      </c>
      <c r="BU134" s="14">
        <f t="shared" si="172"/>
        <v>-52.5937470272832</v>
      </c>
      <c r="BV134" s="14">
        <f>-SUM(BV230,BV237)/BV99</f>
        <v>-55.970005925144918</v>
      </c>
      <c r="BW134" s="14">
        <f t="shared" ref="BW134" si="173">-SUM(BW230,BW237)/BW99</f>
        <v>-184.79888395040626</v>
      </c>
      <c r="BX134" s="14">
        <f>-SUM(BX230,BX237)/BX99</f>
        <v>-48.990542307096682</v>
      </c>
      <c r="BY134" s="14">
        <f>-SUM(BY230,BY237)/BY99</f>
        <v>-14.46944721891583</v>
      </c>
      <c r="BZ134" s="1019">
        <v>0</v>
      </c>
      <c r="CA134" s="1019">
        <v>0</v>
      </c>
      <c r="CB134" s="1019">
        <v>0</v>
      </c>
      <c r="CC134" s="1019">
        <v>0</v>
      </c>
      <c r="CD134" s="1019">
        <v>0</v>
      </c>
      <c r="CE134" s="1019">
        <v>0</v>
      </c>
      <c r="CF134" s="1019">
        <v>0</v>
      </c>
      <c r="CG134" s="1019">
        <v>0</v>
      </c>
      <c r="CH134" s="1019">
        <v>0</v>
      </c>
      <c r="CI134" s="1019">
        <v>0</v>
      </c>
      <c r="CJ134" s="1019">
        <v>0</v>
      </c>
      <c r="CK134" s="1019">
        <v>0</v>
      </c>
      <c r="CL134" s="1019">
        <v>0</v>
      </c>
      <c r="CM134" s="1019">
        <v>0</v>
      </c>
      <c r="CN134" s="1019">
        <v>0</v>
      </c>
      <c r="CO134" s="1019">
        <v>0</v>
      </c>
      <c r="CP134" s="1019">
        <v>0</v>
      </c>
      <c r="CQ134" s="1019">
        <v>0</v>
      </c>
      <c r="CR134" s="1019">
        <v>0</v>
      </c>
      <c r="CS134" s="1019">
        <v>0</v>
      </c>
      <c r="CT134" s="1019">
        <v>0</v>
      </c>
      <c r="CU134" s="1019">
        <v>0</v>
      </c>
      <c r="CV134" s="1019">
        <v>0</v>
      </c>
      <c r="CW134" s="1019">
        <v>0</v>
      </c>
      <c r="CX134" s="1019">
        <v>0</v>
      </c>
      <c r="CY134" s="1019">
        <v>0</v>
      </c>
      <c r="CZ134" s="1019">
        <v>0</v>
      </c>
      <c r="DA134" s="1019">
        <v>0</v>
      </c>
      <c r="DB134" s="1019">
        <v>0</v>
      </c>
      <c r="DC134" s="1019">
        <v>0</v>
      </c>
      <c r="DD134" s="1019">
        <v>0</v>
      </c>
      <c r="DE134" s="1019">
        <v>0</v>
      </c>
      <c r="DF134" s="1019">
        <v>0</v>
      </c>
      <c r="DG134" s="1019">
        <v>0</v>
      </c>
      <c r="DH134" s="1019">
        <v>0</v>
      </c>
      <c r="DI134" s="1019">
        <v>0</v>
      </c>
      <c r="DJ134" s="1019">
        <v>0</v>
      </c>
      <c r="DK134" s="1019">
        <v>0</v>
      </c>
      <c r="DL134" s="1019">
        <v>0</v>
      </c>
      <c r="DM134" s="1019">
        <v>0</v>
      </c>
      <c r="DN134" s="1019">
        <v>0</v>
      </c>
      <c r="DO134" s="1019">
        <v>0</v>
      </c>
      <c r="DP134" s="1019">
        <v>0</v>
      </c>
      <c r="DQ134" s="1019">
        <v>0</v>
      </c>
      <c r="DR134" s="1019">
        <v>0</v>
      </c>
      <c r="DS134" s="1019">
        <v>0</v>
      </c>
      <c r="DT134" s="1019">
        <v>0</v>
      </c>
      <c r="DU134" s="1019">
        <v>0</v>
      </c>
      <c r="DV134" s="1019">
        <v>0</v>
      </c>
      <c r="DW134" s="1019">
        <v>0</v>
      </c>
      <c r="DX134" s="1019">
        <v>0</v>
      </c>
      <c r="DY134" s="1019">
        <v>0</v>
      </c>
      <c r="DZ134" s="1019"/>
    </row>
    <row r="135" spans="1:130" s="3" customFormat="1" ht="11.7" customHeight="1" outlineLevel="1" x14ac:dyDescent="0.3">
      <c r="A135" s="85"/>
      <c r="B135" s="141" t="s">
        <v>292</v>
      </c>
      <c r="C135" s="141"/>
      <c r="D135" s="142"/>
      <c r="E135" s="142"/>
      <c r="F135" s="127"/>
      <c r="G135" s="127"/>
      <c r="H135" s="290">
        <f t="shared" si="164"/>
        <v>-1097.8662510584707</v>
      </c>
      <c r="I135" s="1019">
        <v>0</v>
      </c>
      <c r="J135" s="1019">
        <v>0</v>
      </c>
      <c r="K135" s="1019">
        <v>0</v>
      </c>
      <c r="L135" s="1019">
        <v>0</v>
      </c>
      <c r="M135" s="1019">
        <v>0</v>
      </c>
      <c r="N135" s="1019">
        <v>0</v>
      </c>
      <c r="O135" s="1019">
        <v>0</v>
      </c>
      <c r="P135" s="1019">
        <v>0</v>
      </c>
      <c r="Q135" s="1019">
        <v>0</v>
      </c>
      <c r="R135" s="1019">
        <v>0</v>
      </c>
      <c r="S135" s="1019">
        <v>0</v>
      </c>
      <c r="T135" s="1019">
        <v>0</v>
      </c>
      <c r="U135" s="1019">
        <v>0</v>
      </c>
      <c r="V135" s="1019">
        <v>0</v>
      </c>
      <c r="W135" s="1019">
        <v>0</v>
      </c>
      <c r="X135" s="1019">
        <v>0</v>
      </c>
      <c r="Y135" s="1019">
        <v>0</v>
      </c>
      <c r="Z135" s="1019">
        <v>0</v>
      </c>
      <c r="AA135" s="1019">
        <v>0</v>
      </c>
      <c r="AB135" s="1019">
        <v>0</v>
      </c>
      <c r="AC135" s="1019">
        <v>0</v>
      </c>
      <c r="AD135" s="1019">
        <v>0</v>
      </c>
      <c r="AE135" s="1019">
        <v>0</v>
      </c>
      <c r="AF135" s="1019">
        <v>0</v>
      </c>
      <c r="AG135" s="1019">
        <v>0</v>
      </c>
      <c r="AH135" s="1019">
        <v>0</v>
      </c>
      <c r="AI135" s="1019">
        <v>0</v>
      </c>
      <c r="AJ135" s="1019">
        <v>0</v>
      </c>
      <c r="AK135" s="1019">
        <v>0</v>
      </c>
      <c r="AL135" s="1019">
        <v>0</v>
      </c>
      <c r="AM135" s="1019">
        <v>0</v>
      </c>
      <c r="AN135" s="1019">
        <v>0</v>
      </c>
      <c r="AO135" s="1019">
        <v>0</v>
      </c>
      <c r="AP135" s="1019">
        <v>0</v>
      </c>
      <c r="AQ135" s="1019">
        <v>0</v>
      </c>
      <c r="AR135" s="1019">
        <v>0</v>
      </c>
      <c r="AS135" s="1019">
        <v>0</v>
      </c>
      <c r="AT135" s="1019">
        <v>0</v>
      </c>
      <c r="AU135" s="1019">
        <v>0</v>
      </c>
      <c r="AV135" s="1019">
        <v>0</v>
      </c>
      <c r="AW135" s="1019">
        <v>0</v>
      </c>
      <c r="AX135" s="1019">
        <v>0</v>
      </c>
      <c r="AY135" s="1019">
        <v>0</v>
      </c>
      <c r="AZ135" s="1019">
        <v>0</v>
      </c>
      <c r="BA135" s="1019">
        <v>0</v>
      </c>
      <c r="BB135" s="1019">
        <v>0</v>
      </c>
      <c r="BC135" s="1019">
        <v>0</v>
      </c>
      <c r="BD135" s="1019">
        <v>0</v>
      </c>
      <c r="BE135" s="1019">
        <v>0</v>
      </c>
      <c r="BF135" s="1019">
        <v>0</v>
      </c>
      <c r="BG135" s="1019">
        <v>0</v>
      </c>
      <c r="BH135" s="1019">
        <v>0</v>
      </c>
      <c r="BI135" s="14">
        <f t="shared" ref="BI135:BR135" si="174">-SUM(BI157,BI166,BI178,BI169,BI168,BI170,BI171,BI172,BI176,BI177,BI185,BI184,BI183)/BI99</f>
        <v>-6.487754163776545</v>
      </c>
      <c r="BJ135" s="14">
        <f t="shared" si="174"/>
        <v>-5.707183441558441</v>
      </c>
      <c r="BK135" s="14">
        <f t="shared" si="174"/>
        <v>-553.81568305842143</v>
      </c>
      <c r="BL135" s="14">
        <f t="shared" si="174"/>
        <v>420.90318117358356</v>
      </c>
      <c r="BM135" s="14">
        <f t="shared" si="174"/>
        <v>-26.205203622817212</v>
      </c>
      <c r="BN135" s="14">
        <f t="shared" si="174"/>
        <v>-42.869808017268504</v>
      </c>
      <c r="BO135" s="14">
        <f t="shared" si="174"/>
        <v>-29.775092272675856</v>
      </c>
      <c r="BP135" s="14">
        <f t="shared" si="174"/>
        <v>-69.402163521001427</v>
      </c>
      <c r="BQ135" s="14">
        <f t="shared" si="174"/>
        <v>-39.391673183348935</v>
      </c>
      <c r="BR135" s="14">
        <f t="shared" si="174"/>
        <v>-31.763898342068796</v>
      </c>
      <c r="BS135" s="14">
        <f>-SUM(BS157,BS166,BS178,BS169,BS168,BS170,BS171,BS172,BS176,BS177,BS185,BS184,BS183)/BS99</f>
        <v>-50.67775869101856</v>
      </c>
      <c r="BT135" s="14">
        <f t="shared" ref="BT135:BU135" si="175">-SUM(BT157,BT166,BT178,BT169,BT168,BT170,BT171,BT172,BT176,BT177,BT185,BT184,BT183)/BT99</f>
        <v>-84.759069669943699</v>
      </c>
      <c r="BU135" s="14">
        <f t="shared" si="175"/>
        <v>-59.365788138069625</v>
      </c>
      <c r="BV135" s="14">
        <f>-SUM(BV157,BV166,BV178,BV169,BV168,BV170,BV171,BV172,BV176,BV177,BV185,BV184,BV183)/BV99</f>
        <v>-94.57939356254407</v>
      </c>
      <c r="BW135" s="14">
        <f t="shared" ref="BW135:BX135" si="176">-SUM(BW157,BW166,BW178,BW169,BW168,BW170,BW171,BW172,BW176,BW177,BW185,BW184,BW183)/BW99</f>
        <v>-184.62092429954563</v>
      </c>
      <c r="BX135" s="14">
        <f t="shared" si="176"/>
        <v>-110.53583362050082</v>
      </c>
      <c r="BY135" s="14">
        <f t="shared" ref="BY135" si="177">-SUM(BY157,BY166,BY178,BY169,BY168,BY170,BY171,BY172,BY176,BY177,BY185,BY184,BY183)/BY99</f>
        <v>-128.81220462749448</v>
      </c>
      <c r="BZ135" s="1019">
        <v>0</v>
      </c>
      <c r="CA135" s="1019">
        <v>0</v>
      </c>
      <c r="CB135" s="1019">
        <v>0</v>
      </c>
      <c r="CC135" s="1019">
        <v>0</v>
      </c>
      <c r="CD135" s="1019">
        <v>0</v>
      </c>
      <c r="CE135" s="1019">
        <v>0</v>
      </c>
      <c r="CF135" s="1019">
        <v>0</v>
      </c>
      <c r="CG135" s="1019">
        <v>0</v>
      </c>
      <c r="CH135" s="1019">
        <v>0</v>
      </c>
      <c r="CI135" s="1019">
        <v>0</v>
      </c>
      <c r="CJ135" s="1019">
        <v>0</v>
      </c>
      <c r="CK135" s="1019">
        <v>0</v>
      </c>
      <c r="CL135" s="1019">
        <v>0</v>
      </c>
      <c r="CM135" s="1019">
        <v>0</v>
      </c>
      <c r="CN135" s="1019">
        <v>0</v>
      </c>
      <c r="CO135" s="1019">
        <v>0</v>
      </c>
      <c r="CP135" s="1019">
        <v>0</v>
      </c>
      <c r="CQ135" s="1019">
        <v>0</v>
      </c>
      <c r="CR135" s="1019">
        <v>0</v>
      </c>
      <c r="CS135" s="1019">
        <v>0</v>
      </c>
      <c r="CT135" s="1019">
        <v>0</v>
      </c>
      <c r="CU135" s="1019">
        <v>0</v>
      </c>
      <c r="CV135" s="1019">
        <v>0</v>
      </c>
      <c r="CW135" s="1019">
        <v>0</v>
      </c>
      <c r="CX135" s="1019">
        <v>0</v>
      </c>
      <c r="CY135" s="1019">
        <v>0</v>
      </c>
      <c r="CZ135" s="1019">
        <v>0</v>
      </c>
      <c r="DA135" s="1019">
        <v>0</v>
      </c>
      <c r="DB135" s="1019">
        <v>0</v>
      </c>
      <c r="DC135" s="1019">
        <v>0</v>
      </c>
      <c r="DD135" s="1019">
        <v>0</v>
      </c>
      <c r="DE135" s="1019">
        <v>0</v>
      </c>
      <c r="DF135" s="1019">
        <v>0</v>
      </c>
      <c r="DG135" s="1019">
        <v>0</v>
      </c>
      <c r="DH135" s="1019">
        <v>0</v>
      </c>
      <c r="DI135" s="1019">
        <v>0</v>
      </c>
      <c r="DJ135" s="1019">
        <v>0</v>
      </c>
      <c r="DK135" s="1019">
        <v>0</v>
      </c>
      <c r="DL135" s="1019">
        <v>0</v>
      </c>
      <c r="DM135" s="1019">
        <v>0</v>
      </c>
      <c r="DN135" s="1019">
        <v>0</v>
      </c>
      <c r="DO135" s="1019">
        <v>0</v>
      </c>
      <c r="DP135" s="1019">
        <v>0</v>
      </c>
      <c r="DQ135" s="1019">
        <v>0</v>
      </c>
      <c r="DR135" s="1019">
        <v>0</v>
      </c>
      <c r="DS135" s="1019">
        <v>0</v>
      </c>
      <c r="DT135" s="1019">
        <v>0</v>
      </c>
      <c r="DU135" s="1019">
        <v>0</v>
      </c>
      <c r="DV135" s="1019">
        <v>0</v>
      </c>
      <c r="DW135" s="1019">
        <v>0</v>
      </c>
      <c r="DX135" s="1019">
        <v>0</v>
      </c>
      <c r="DY135" s="1019">
        <v>0</v>
      </c>
      <c r="DZ135" s="1019"/>
    </row>
    <row r="136" spans="1:130" s="3" customFormat="1" ht="11.7" customHeight="1" outlineLevel="1" x14ac:dyDescent="0.3">
      <c r="A136" s="85"/>
      <c r="B136" s="141" t="s">
        <v>274</v>
      </c>
      <c r="C136" s="141"/>
      <c r="D136" s="142"/>
      <c r="E136" s="142"/>
      <c r="F136" s="127"/>
      <c r="G136" s="127"/>
      <c r="H136" s="290">
        <f>+SUM(I136:DY136)</f>
        <v>-5413.5436413276948</v>
      </c>
      <c r="I136" s="1019">
        <v>0</v>
      </c>
      <c r="J136" s="1019">
        <v>0</v>
      </c>
      <c r="K136" s="1019">
        <v>0</v>
      </c>
      <c r="L136" s="1019">
        <v>0</v>
      </c>
      <c r="M136" s="1019">
        <v>0</v>
      </c>
      <c r="N136" s="1019">
        <v>0</v>
      </c>
      <c r="O136" s="1019">
        <v>0</v>
      </c>
      <c r="P136" s="1019">
        <v>0</v>
      </c>
      <c r="Q136" s="1019">
        <v>0</v>
      </c>
      <c r="R136" s="1019">
        <v>0</v>
      </c>
      <c r="S136" s="1019">
        <v>0</v>
      </c>
      <c r="T136" s="1019">
        <v>0</v>
      </c>
      <c r="U136" s="1019">
        <v>0</v>
      </c>
      <c r="V136" s="1019">
        <v>0</v>
      </c>
      <c r="W136" s="1019">
        <v>0</v>
      </c>
      <c r="X136" s="1019">
        <v>0</v>
      </c>
      <c r="Y136" s="1019">
        <v>0</v>
      </c>
      <c r="Z136" s="1019">
        <v>0</v>
      </c>
      <c r="AA136" s="1019">
        <v>0</v>
      </c>
      <c r="AB136" s="1019">
        <v>0</v>
      </c>
      <c r="AC136" s="1019">
        <v>0</v>
      </c>
      <c r="AD136" s="1019">
        <v>0</v>
      </c>
      <c r="AE136" s="1019">
        <v>0</v>
      </c>
      <c r="AF136" s="1019">
        <v>0</v>
      </c>
      <c r="AG136" s="1019">
        <v>0</v>
      </c>
      <c r="AH136" s="1019">
        <v>0</v>
      </c>
      <c r="AI136" s="1019">
        <v>0</v>
      </c>
      <c r="AJ136" s="1019">
        <v>0</v>
      </c>
      <c r="AK136" s="1019">
        <v>0</v>
      </c>
      <c r="AL136" s="1019">
        <v>0</v>
      </c>
      <c r="AM136" s="1019">
        <v>0</v>
      </c>
      <c r="AN136" s="1019">
        <v>0</v>
      </c>
      <c r="AO136" s="1019">
        <v>0</v>
      </c>
      <c r="AP136" s="1019">
        <v>0</v>
      </c>
      <c r="AQ136" s="1019">
        <v>0</v>
      </c>
      <c r="AR136" s="1019">
        <v>0</v>
      </c>
      <c r="AS136" s="1019">
        <v>0</v>
      </c>
      <c r="AT136" s="1019">
        <v>0</v>
      </c>
      <c r="AU136" s="1019">
        <v>0</v>
      </c>
      <c r="AV136" s="1019">
        <v>0</v>
      </c>
      <c r="AW136" s="1019">
        <v>0</v>
      </c>
      <c r="AX136" s="1019">
        <v>0</v>
      </c>
      <c r="AY136" s="1019">
        <v>0</v>
      </c>
      <c r="AZ136" s="1019">
        <v>0</v>
      </c>
      <c r="BA136" s="1019">
        <v>0</v>
      </c>
      <c r="BB136" s="1019">
        <v>0</v>
      </c>
      <c r="BC136" s="1019">
        <v>0</v>
      </c>
      <c r="BD136" s="1019">
        <v>0</v>
      </c>
      <c r="BE136" s="1019">
        <v>0</v>
      </c>
      <c r="BF136" s="1019">
        <v>0</v>
      </c>
      <c r="BG136" s="1019">
        <v>0</v>
      </c>
      <c r="BH136" s="1019">
        <v>0</v>
      </c>
      <c r="BI136" s="14">
        <f t="shared" ref="BI136:BT136" si="178">-SUM(BI151,BI158,BI167,BI173,BI202,BI174,BI182,BI186,BI205,BI206,BI201,BI203,BI204,BI207,BI175,BI208,BI209,BI210,BI211,BI212,BI213,BI214)/BI99</f>
        <v>-197.28789449149622</v>
      </c>
      <c r="BJ136" s="14">
        <f t="shared" si="178"/>
        <v>-412.63018719561688</v>
      </c>
      <c r="BK136" s="14">
        <f t="shared" si="178"/>
        <v>-372.14579418515154</v>
      </c>
      <c r="BL136" s="14">
        <f t="shared" si="178"/>
        <v>-264.19370167473204</v>
      </c>
      <c r="BM136" s="14">
        <f t="shared" si="178"/>
        <v>-812.00237212641298</v>
      </c>
      <c r="BN136" s="14">
        <f t="shared" si="178"/>
        <v>-567.60019137523898</v>
      </c>
      <c r="BO136" s="14">
        <f t="shared" si="178"/>
        <v>-393.25573072119016</v>
      </c>
      <c r="BP136" s="14">
        <f t="shared" si="178"/>
        <v>-206.60206977610869</v>
      </c>
      <c r="BQ136" s="14">
        <f t="shared" si="178"/>
        <v>-186.68573945589131</v>
      </c>
      <c r="BR136" s="14">
        <f t="shared" si="178"/>
        <v>-262.71872972383227</v>
      </c>
      <c r="BS136" s="14">
        <f t="shared" si="178"/>
        <v>-634.68481951522176</v>
      </c>
      <c r="BT136" s="14">
        <f t="shared" si="178"/>
        <v>-222.19718731861084</v>
      </c>
      <c r="BU136" s="14">
        <f>-SUM(BU151,BU158,BU167,BU173,BU202,BU174,BU182,BU186,BU205,BU206,BU201,BU203,BU204,BU207,BU175,BU208,BU209,BU210,BU211,BU212,BU213,BU214)/BU99</f>
        <v>-181.53560510131018</v>
      </c>
      <c r="BV136" s="14">
        <f>-SUM(BV151,BV158,BV167,BV173,BV202,BV174,BV182,BV186,BV205,BV206,BV201,BV203,BV204,BV207,BV175,BV208,BV209,BV210,BV211,BV212,BV213,BV214)/BV99</f>
        <v>-121.34387017849781</v>
      </c>
      <c r="BW136" s="14">
        <f t="shared" ref="BW136:BX136" si="179">-SUM(BW151,BW158,BW167,BW173,BW202,BW174,BW182,BW186,BW205,BW206,BW201,BW203,BW204,BW207,BW175,BW208,BW209,BW210,BW211,BW212,BW213,BW214)/BW99</f>
        <v>-234.79205340307422</v>
      </c>
      <c r="BX136" s="14">
        <f t="shared" si="179"/>
        <v>-151.9058946302236</v>
      </c>
      <c r="BY136" s="14">
        <f t="shared" ref="BY136" si="180">-SUM(BY151,BY158,BY167,BY173,BY202,BY174,BY182,BY186,BY205,BY206,BY201,BY203,BY204,BY207,BY175,BY208,BY209,BY210,BY211,BY212,BY213,BY214)/BY99</f>
        <v>-191.96180045508422</v>
      </c>
      <c r="BZ136" s="1019">
        <v>0</v>
      </c>
      <c r="CA136" s="1019">
        <v>0</v>
      </c>
      <c r="CB136" s="1019">
        <v>0</v>
      </c>
      <c r="CC136" s="1019">
        <v>0</v>
      </c>
      <c r="CD136" s="1019">
        <v>0</v>
      </c>
      <c r="CE136" s="1019">
        <v>0</v>
      </c>
      <c r="CF136" s="1019">
        <v>0</v>
      </c>
      <c r="CG136" s="1019">
        <v>0</v>
      </c>
      <c r="CH136" s="1019">
        <v>0</v>
      </c>
      <c r="CI136" s="1019">
        <v>0</v>
      </c>
      <c r="CJ136" s="1019">
        <v>0</v>
      </c>
      <c r="CK136" s="1019">
        <v>0</v>
      </c>
      <c r="CL136" s="1019">
        <v>0</v>
      </c>
      <c r="CM136" s="1019">
        <v>0</v>
      </c>
      <c r="CN136" s="1019">
        <v>0</v>
      </c>
      <c r="CO136" s="1019">
        <v>0</v>
      </c>
      <c r="CP136" s="1019">
        <v>0</v>
      </c>
      <c r="CQ136" s="1019">
        <v>0</v>
      </c>
      <c r="CR136" s="1019">
        <v>0</v>
      </c>
      <c r="CS136" s="1019">
        <v>0</v>
      </c>
      <c r="CT136" s="1019">
        <v>0</v>
      </c>
      <c r="CU136" s="1019">
        <v>0</v>
      </c>
      <c r="CV136" s="1019">
        <v>0</v>
      </c>
      <c r="CW136" s="1019">
        <v>0</v>
      </c>
      <c r="CX136" s="1019">
        <v>0</v>
      </c>
      <c r="CY136" s="1019">
        <v>0</v>
      </c>
      <c r="CZ136" s="1019">
        <v>0</v>
      </c>
      <c r="DA136" s="1019">
        <v>0</v>
      </c>
      <c r="DB136" s="1019">
        <v>0</v>
      </c>
      <c r="DC136" s="1019">
        <v>0</v>
      </c>
      <c r="DD136" s="1019">
        <v>0</v>
      </c>
      <c r="DE136" s="1019">
        <v>0</v>
      </c>
      <c r="DF136" s="1019">
        <v>0</v>
      </c>
      <c r="DG136" s="1019">
        <v>0</v>
      </c>
      <c r="DH136" s="1019">
        <v>0</v>
      </c>
      <c r="DI136" s="1019">
        <v>0</v>
      </c>
      <c r="DJ136" s="1019">
        <v>0</v>
      </c>
      <c r="DK136" s="1019">
        <v>0</v>
      </c>
      <c r="DL136" s="1019">
        <v>0</v>
      </c>
      <c r="DM136" s="1019">
        <v>0</v>
      </c>
      <c r="DN136" s="1019">
        <v>0</v>
      </c>
      <c r="DO136" s="1019">
        <v>0</v>
      </c>
      <c r="DP136" s="1019">
        <v>0</v>
      </c>
      <c r="DQ136" s="1019">
        <v>0</v>
      </c>
      <c r="DR136" s="1019">
        <v>0</v>
      </c>
      <c r="DS136" s="1019">
        <v>0</v>
      </c>
      <c r="DT136" s="1019">
        <v>0</v>
      </c>
      <c r="DU136" s="1019">
        <v>0</v>
      </c>
      <c r="DV136" s="1019">
        <v>0</v>
      </c>
      <c r="DW136" s="1019">
        <v>0</v>
      </c>
      <c r="DX136" s="1019">
        <v>0</v>
      </c>
      <c r="DY136" s="1019">
        <v>0</v>
      </c>
      <c r="DZ136" s="1019"/>
    </row>
    <row r="137" spans="1:130" s="3" customFormat="1" ht="11.7" customHeight="1" outlineLevel="1" x14ac:dyDescent="0.3">
      <c r="A137" s="85"/>
      <c r="B137" s="141" t="s">
        <v>269</v>
      </c>
      <c r="C137" s="141"/>
      <c r="D137" s="142"/>
      <c r="E137" s="142"/>
      <c r="F137" s="127"/>
      <c r="G137" s="127"/>
      <c r="H137" s="290">
        <f t="shared" si="164"/>
        <v>-2424.6285348983624</v>
      </c>
      <c r="I137" s="1019">
        <v>0</v>
      </c>
      <c r="J137" s="1019">
        <v>0</v>
      </c>
      <c r="K137" s="1019">
        <v>0</v>
      </c>
      <c r="L137" s="1019">
        <v>0</v>
      </c>
      <c r="M137" s="1019">
        <v>0</v>
      </c>
      <c r="N137" s="1019">
        <v>0</v>
      </c>
      <c r="O137" s="1019">
        <v>0</v>
      </c>
      <c r="P137" s="1019">
        <v>0</v>
      </c>
      <c r="Q137" s="1019">
        <v>0</v>
      </c>
      <c r="R137" s="1019">
        <v>0</v>
      </c>
      <c r="S137" s="1019">
        <v>0</v>
      </c>
      <c r="T137" s="1019">
        <v>0</v>
      </c>
      <c r="U137" s="1019">
        <v>0</v>
      </c>
      <c r="V137" s="1019">
        <v>0</v>
      </c>
      <c r="W137" s="1019">
        <v>0</v>
      </c>
      <c r="X137" s="1019">
        <v>0</v>
      </c>
      <c r="Y137" s="1019">
        <v>0</v>
      </c>
      <c r="Z137" s="1019">
        <v>0</v>
      </c>
      <c r="AA137" s="1019">
        <v>0</v>
      </c>
      <c r="AB137" s="1019">
        <v>0</v>
      </c>
      <c r="AC137" s="1019">
        <v>0</v>
      </c>
      <c r="AD137" s="1019">
        <v>0</v>
      </c>
      <c r="AE137" s="1019">
        <v>0</v>
      </c>
      <c r="AF137" s="1019">
        <v>0</v>
      </c>
      <c r="AG137" s="1019">
        <v>0</v>
      </c>
      <c r="AH137" s="1019">
        <v>0</v>
      </c>
      <c r="AI137" s="1019">
        <v>0</v>
      </c>
      <c r="AJ137" s="1019">
        <v>0</v>
      </c>
      <c r="AK137" s="1019">
        <v>0</v>
      </c>
      <c r="AL137" s="1019">
        <v>0</v>
      </c>
      <c r="AM137" s="1019">
        <v>0</v>
      </c>
      <c r="AN137" s="1019">
        <v>0</v>
      </c>
      <c r="AO137" s="1019">
        <v>0</v>
      </c>
      <c r="AP137" s="1019">
        <v>0</v>
      </c>
      <c r="AQ137" s="1019">
        <v>0</v>
      </c>
      <c r="AR137" s="1019">
        <v>0</v>
      </c>
      <c r="AS137" s="1019">
        <v>0</v>
      </c>
      <c r="AT137" s="1019">
        <v>0</v>
      </c>
      <c r="AU137" s="1019">
        <v>0</v>
      </c>
      <c r="AV137" s="1019">
        <v>0</v>
      </c>
      <c r="AW137" s="1019">
        <v>0</v>
      </c>
      <c r="AX137" s="1019">
        <v>0</v>
      </c>
      <c r="AY137" s="1019">
        <v>0</v>
      </c>
      <c r="AZ137" s="1019">
        <v>0</v>
      </c>
      <c r="BA137" s="1019">
        <v>0</v>
      </c>
      <c r="BB137" s="1019">
        <v>0</v>
      </c>
      <c r="BC137" s="1019">
        <v>0</v>
      </c>
      <c r="BD137" s="1019">
        <v>0</v>
      </c>
      <c r="BE137" s="1019">
        <v>0</v>
      </c>
      <c r="BF137" s="1019">
        <v>0</v>
      </c>
      <c r="BG137" s="1019">
        <v>0</v>
      </c>
      <c r="BH137" s="1019">
        <v>0</v>
      </c>
      <c r="BI137" s="14">
        <f t="shared" ref="BI137:BN137" si="181">-SUM(BI179,BI180,BI181,BI209)/BI99</f>
        <v>-28.178799300924464</v>
      </c>
      <c r="BJ137" s="14">
        <f t="shared" si="181"/>
        <v>-35.333077566964285</v>
      </c>
      <c r="BK137" s="14">
        <f t="shared" si="181"/>
        <v>-150.91664266033445</v>
      </c>
      <c r="BL137" s="14">
        <f t="shared" si="181"/>
        <v>-156.56602071885405</v>
      </c>
      <c r="BM137" s="14">
        <f t="shared" si="181"/>
        <v>-119.34486929742586</v>
      </c>
      <c r="BN137" s="14">
        <f t="shared" si="181"/>
        <v>-162.44517289809872</v>
      </c>
      <c r="BO137" s="14">
        <f>-SUM(BO179,BO180,BO181,BO209)/BO99</f>
        <v>-353.16201866939417</v>
      </c>
      <c r="BP137" s="14">
        <f t="shared" ref="BP137" si="182">-SUM(BP179,BP180,BP181,BP209)/BP99</f>
        <v>-37.977557378110212</v>
      </c>
      <c r="BQ137" s="14">
        <f>-SUM(BQ179,BQ180,BQ181,BQ209)/BQ99</f>
        <v>-1.3682259708105176</v>
      </c>
      <c r="BR137" s="14">
        <f t="shared" ref="BR137" si="183">-SUM(BR179,BR180,BR181,BR209)/BR99</f>
        <v>-245.2818829867328</v>
      </c>
      <c r="BS137" s="14">
        <f>-SUM(BS179,BS180,BS181,BS209)/BS99</f>
        <v>-278.40246697958736</v>
      </c>
      <c r="BT137" s="14">
        <f t="shared" ref="BT137:BU137" si="184">-SUM(BT179,BT180,BT181,BT209)/BT99</f>
        <v>-200.21751030589289</v>
      </c>
      <c r="BU137" s="14">
        <f t="shared" si="184"/>
        <v>-243.22320254233858</v>
      </c>
      <c r="BV137" s="14">
        <f>-SUM(BV179,BV180,BV181,BV209)/BV99</f>
        <v>30.865752662372625</v>
      </c>
      <c r="BW137" s="14">
        <f t="shared" ref="BW137:BX137" si="185">-SUM(BW179,BW180,BW181,BW209)/BW99</f>
        <v>-146.46065211207269</v>
      </c>
      <c r="BX137" s="14">
        <f t="shared" si="185"/>
        <v>-148.87558229894901</v>
      </c>
      <c r="BY137" s="14">
        <f t="shared" ref="BY137" si="186">-SUM(BY179,BY180,BY181,BY209)/BY99</f>
        <v>-147.74060587424435</v>
      </c>
      <c r="BZ137" s="1019">
        <v>0</v>
      </c>
      <c r="CA137" s="1019">
        <v>0</v>
      </c>
      <c r="CB137" s="1019">
        <v>0</v>
      </c>
      <c r="CC137" s="1019">
        <v>0</v>
      </c>
      <c r="CD137" s="1019">
        <v>0</v>
      </c>
      <c r="CE137" s="1019">
        <v>0</v>
      </c>
      <c r="CF137" s="1019">
        <v>0</v>
      </c>
      <c r="CG137" s="1019">
        <v>0</v>
      </c>
      <c r="CH137" s="1019">
        <v>0</v>
      </c>
      <c r="CI137" s="1019">
        <v>0</v>
      </c>
      <c r="CJ137" s="1019">
        <v>0</v>
      </c>
      <c r="CK137" s="1019">
        <v>0</v>
      </c>
      <c r="CL137" s="1019">
        <v>0</v>
      </c>
      <c r="CM137" s="1019">
        <v>0</v>
      </c>
      <c r="CN137" s="1019">
        <v>0</v>
      </c>
      <c r="CO137" s="1019">
        <v>0</v>
      </c>
      <c r="CP137" s="1019">
        <v>0</v>
      </c>
      <c r="CQ137" s="1019">
        <v>0</v>
      </c>
      <c r="CR137" s="1019">
        <v>0</v>
      </c>
      <c r="CS137" s="1019">
        <v>0</v>
      </c>
      <c r="CT137" s="1019">
        <v>0</v>
      </c>
      <c r="CU137" s="1019">
        <v>0</v>
      </c>
      <c r="CV137" s="1019">
        <v>0</v>
      </c>
      <c r="CW137" s="1019">
        <v>0</v>
      </c>
      <c r="CX137" s="1019">
        <v>0</v>
      </c>
      <c r="CY137" s="1019">
        <v>0</v>
      </c>
      <c r="CZ137" s="1019">
        <v>0</v>
      </c>
      <c r="DA137" s="1019">
        <v>0</v>
      </c>
      <c r="DB137" s="1019">
        <v>0</v>
      </c>
      <c r="DC137" s="1019">
        <v>0</v>
      </c>
      <c r="DD137" s="1019">
        <v>0</v>
      </c>
      <c r="DE137" s="1019">
        <v>0</v>
      </c>
      <c r="DF137" s="1019">
        <v>0</v>
      </c>
      <c r="DG137" s="1019">
        <v>0</v>
      </c>
      <c r="DH137" s="1019">
        <v>0</v>
      </c>
      <c r="DI137" s="1019">
        <v>0</v>
      </c>
      <c r="DJ137" s="1019">
        <v>0</v>
      </c>
      <c r="DK137" s="1019">
        <v>0</v>
      </c>
      <c r="DL137" s="1019">
        <v>0</v>
      </c>
      <c r="DM137" s="1019">
        <v>0</v>
      </c>
      <c r="DN137" s="1019">
        <v>0</v>
      </c>
      <c r="DO137" s="1019">
        <v>0</v>
      </c>
      <c r="DP137" s="1019">
        <v>0</v>
      </c>
      <c r="DQ137" s="1019">
        <v>0</v>
      </c>
      <c r="DR137" s="1019">
        <v>0</v>
      </c>
      <c r="DS137" s="1019">
        <v>0</v>
      </c>
      <c r="DT137" s="1019">
        <v>0</v>
      </c>
      <c r="DU137" s="1019">
        <v>0</v>
      </c>
      <c r="DV137" s="1019">
        <v>0</v>
      </c>
      <c r="DW137" s="1019">
        <v>0</v>
      </c>
      <c r="DX137" s="1019">
        <v>0</v>
      </c>
      <c r="DY137" s="1019">
        <v>0</v>
      </c>
      <c r="DZ137" s="1019"/>
    </row>
    <row r="138" spans="1:130" s="3" customFormat="1" ht="11.7" customHeight="1" outlineLevel="1" x14ac:dyDescent="0.3">
      <c r="A138" s="85"/>
      <c r="B138" s="141" t="s">
        <v>97</v>
      </c>
      <c r="C138" s="141"/>
      <c r="D138" s="142"/>
      <c r="E138" s="142"/>
      <c r="F138" s="127"/>
      <c r="G138" s="127"/>
      <c r="H138" s="290">
        <f t="shared" si="164"/>
        <v>-1664.9523497801026</v>
      </c>
      <c r="I138" s="1019">
        <v>0</v>
      </c>
      <c r="J138" s="1019">
        <v>0</v>
      </c>
      <c r="K138" s="1019">
        <v>0</v>
      </c>
      <c r="L138" s="1019">
        <v>0</v>
      </c>
      <c r="M138" s="1019">
        <v>0</v>
      </c>
      <c r="N138" s="1019">
        <v>0</v>
      </c>
      <c r="O138" s="1019">
        <v>0</v>
      </c>
      <c r="P138" s="1019">
        <v>0</v>
      </c>
      <c r="Q138" s="1019">
        <v>0</v>
      </c>
      <c r="R138" s="1019">
        <v>0</v>
      </c>
      <c r="S138" s="1019">
        <v>0</v>
      </c>
      <c r="T138" s="1019">
        <v>0</v>
      </c>
      <c r="U138" s="1019">
        <v>0</v>
      </c>
      <c r="V138" s="1019">
        <v>0</v>
      </c>
      <c r="W138" s="1019">
        <v>0</v>
      </c>
      <c r="X138" s="1019">
        <v>0</v>
      </c>
      <c r="Y138" s="1019">
        <v>0</v>
      </c>
      <c r="Z138" s="1019">
        <v>0</v>
      </c>
      <c r="AA138" s="1019">
        <v>0</v>
      </c>
      <c r="AB138" s="1019">
        <v>0</v>
      </c>
      <c r="AC138" s="1019">
        <v>0</v>
      </c>
      <c r="AD138" s="1019">
        <v>0</v>
      </c>
      <c r="AE138" s="1019">
        <v>0</v>
      </c>
      <c r="AF138" s="1019">
        <v>0</v>
      </c>
      <c r="AG138" s="1019">
        <v>0</v>
      </c>
      <c r="AH138" s="1019">
        <v>0</v>
      </c>
      <c r="AI138" s="1019">
        <v>0</v>
      </c>
      <c r="AJ138" s="1019">
        <v>0</v>
      </c>
      <c r="AK138" s="1019">
        <v>0</v>
      </c>
      <c r="AL138" s="1019">
        <v>0</v>
      </c>
      <c r="AM138" s="1019">
        <v>0</v>
      </c>
      <c r="AN138" s="1019">
        <v>0</v>
      </c>
      <c r="AO138" s="1019">
        <v>0</v>
      </c>
      <c r="AP138" s="1019">
        <v>0</v>
      </c>
      <c r="AQ138" s="1019">
        <v>0</v>
      </c>
      <c r="AR138" s="1019">
        <v>0</v>
      </c>
      <c r="AS138" s="1019">
        <v>0</v>
      </c>
      <c r="AT138" s="1019">
        <v>0</v>
      </c>
      <c r="AU138" s="1019">
        <v>0</v>
      </c>
      <c r="AV138" s="1019">
        <v>0</v>
      </c>
      <c r="AW138" s="1019">
        <v>0</v>
      </c>
      <c r="AX138" s="1019">
        <v>0</v>
      </c>
      <c r="AY138" s="1019">
        <v>0</v>
      </c>
      <c r="AZ138" s="1019">
        <v>0</v>
      </c>
      <c r="BA138" s="1019">
        <v>0</v>
      </c>
      <c r="BB138" s="1019">
        <v>0</v>
      </c>
      <c r="BC138" s="1019">
        <v>0</v>
      </c>
      <c r="BD138" s="1019">
        <v>0</v>
      </c>
      <c r="BE138" s="1019">
        <v>0</v>
      </c>
      <c r="BF138" s="1019">
        <v>0</v>
      </c>
      <c r="BG138" s="1019">
        <v>0</v>
      </c>
      <c r="BH138" s="1019">
        <v>0</v>
      </c>
      <c r="BI138" s="14">
        <f t="shared" ref="BI138:BU138" si="187">-SUM(BI161,BI189,BI190,BI215,BI217,BI231,BI232,BI234,BI240,-BI242,BI243,BI216,BI233)/BI99</f>
        <v>-198.39766889386195</v>
      </c>
      <c r="BJ138" s="14">
        <f t="shared" si="187"/>
        <v>-54.996100091314936</v>
      </c>
      <c r="BK138" s="14">
        <f t="shared" si="187"/>
        <v>-118.89743801480975</v>
      </c>
      <c r="BL138" s="14">
        <f t="shared" si="187"/>
        <v>-45.886888221804178</v>
      </c>
      <c r="BM138" s="14">
        <f t="shared" si="187"/>
        <v>-140.89919870353131</v>
      </c>
      <c r="BN138" s="14">
        <f t="shared" si="187"/>
        <v>-79.634374160353218</v>
      </c>
      <c r="BO138" s="14">
        <f t="shared" si="187"/>
        <v>-89.630209059629664</v>
      </c>
      <c r="BP138" s="14">
        <f t="shared" si="187"/>
        <v>-54.353655267638416</v>
      </c>
      <c r="BQ138" s="14">
        <f t="shared" si="187"/>
        <v>-106.07760529367687</v>
      </c>
      <c r="BR138" s="14">
        <f t="shared" si="187"/>
        <v>-120.89056902603586</v>
      </c>
      <c r="BS138" s="14">
        <f t="shared" si="187"/>
        <v>-108.1774570691547</v>
      </c>
      <c r="BT138" s="14">
        <f t="shared" si="187"/>
        <v>-238.12929744484487</v>
      </c>
      <c r="BU138" s="14">
        <f t="shared" si="187"/>
        <v>-120.85811902715332</v>
      </c>
      <c r="BV138" s="14">
        <f>-SUM(BV161,BV189,BV190,BV215,BV217,BV231,BV232,BV234,BV240,-BV242,BV243,BV216,BV233)/BV99</f>
        <v>-85.70037803776323</v>
      </c>
      <c r="BW138" s="14">
        <f t="shared" ref="BW138:BX138" si="188">-SUM(BW161,BW189,BW190,BW215,BW217,BW231,BW232,BW234,BW240,-BW242,BW243,BW216,BW233)/BW99</f>
        <v>-100.01293025420878</v>
      </c>
      <c r="BX138" s="14">
        <f t="shared" si="188"/>
        <v>0.60778128579420754</v>
      </c>
      <c r="BY138" s="14">
        <f t="shared" ref="BY138" si="189">-SUM(BY161,BY189,BY190,BY215,BY217,BY231,BY232,BY234,BY240,-BY242,BY243,BY216,BY233)/BY99</f>
        <v>-3.0182425001158664</v>
      </c>
      <c r="BZ138" s="1019">
        <v>0</v>
      </c>
      <c r="CA138" s="1019">
        <v>0</v>
      </c>
      <c r="CB138" s="1019">
        <v>0</v>
      </c>
      <c r="CC138" s="1019">
        <v>0</v>
      </c>
      <c r="CD138" s="1019">
        <v>0</v>
      </c>
      <c r="CE138" s="1019">
        <v>0</v>
      </c>
      <c r="CF138" s="1019">
        <v>0</v>
      </c>
      <c r="CG138" s="1019">
        <v>0</v>
      </c>
      <c r="CH138" s="1019">
        <v>0</v>
      </c>
      <c r="CI138" s="1019">
        <v>0</v>
      </c>
      <c r="CJ138" s="1019">
        <v>0</v>
      </c>
      <c r="CK138" s="1019">
        <v>0</v>
      </c>
      <c r="CL138" s="1019">
        <v>0</v>
      </c>
      <c r="CM138" s="1019">
        <v>0</v>
      </c>
      <c r="CN138" s="1019">
        <v>0</v>
      </c>
      <c r="CO138" s="1019">
        <v>0</v>
      </c>
      <c r="CP138" s="1019">
        <v>0</v>
      </c>
      <c r="CQ138" s="1019">
        <v>0</v>
      </c>
      <c r="CR138" s="1019">
        <v>0</v>
      </c>
      <c r="CS138" s="1019">
        <v>0</v>
      </c>
      <c r="CT138" s="1019">
        <v>0</v>
      </c>
      <c r="CU138" s="1019">
        <v>0</v>
      </c>
      <c r="CV138" s="1019">
        <v>0</v>
      </c>
      <c r="CW138" s="1019">
        <v>0</v>
      </c>
      <c r="CX138" s="1019">
        <v>0</v>
      </c>
      <c r="CY138" s="1019">
        <v>0</v>
      </c>
      <c r="CZ138" s="1019">
        <v>0</v>
      </c>
      <c r="DA138" s="1019">
        <v>0</v>
      </c>
      <c r="DB138" s="1019">
        <v>0</v>
      </c>
      <c r="DC138" s="1019">
        <v>0</v>
      </c>
      <c r="DD138" s="1019">
        <v>0</v>
      </c>
      <c r="DE138" s="1019">
        <v>0</v>
      </c>
      <c r="DF138" s="1019">
        <v>0</v>
      </c>
      <c r="DG138" s="1019">
        <v>0</v>
      </c>
      <c r="DH138" s="1019">
        <v>0</v>
      </c>
      <c r="DI138" s="1019">
        <v>0</v>
      </c>
      <c r="DJ138" s="1019">
        <v>0</v>
      </c>
      <c r="DK138" s="1019">
        <v>0</v>
      </c>
      <c r="DL138" s="1019">
        <v>0</v>
      </c>
      <c r="DM138" s="1019">
        <v>0</v>
      </c>
      <c r="DN138" s="1019">
        <v>0</v>
      </c>
      <c r="DO138" s="1019">
        <v>0</v>
      </c>
      <c r="DP138" s="1019">
        <v>0</v>
      </c>
      <c r="DQ138" s="1019">
        <v>0</v>
      </c>
      <c r="DR138" s="1019">
        <v>0</v>
      </c>
      <c r="DS138" s="1019">
        <v>0</v>
      </c>
      <c r="DT138" s="1019">
        <v>0</v>
      </c>
      <c r="DU138" s="1019">
        <v>0</v>
      </c>
      <c r="DV138" s="1019">
        <v>0</v>
      </c>
      <c r="DW138" s="1019">
        <v>0</v>
      </c>
      <c r="DX138" s="1019">
        <v>0</v>
      </c>
      <c r="DY138" s="1019">
        <v>0</v>
      </c>
      <c r="DZ138" s="1019"/>
    </row>
    <row r="139" spans="1:130" s="3" customFormat="1" ht="11.7" customHeight="1" outlineLevel="1" x14ac:dyDescent="0.3">
      <c r="A139" s="85"/>
      <c r="B139" s="113" t="s">
        <v>256</v>
      </c>
      <c r="C139" s="113"/>
      <c r="D139" s="335">
        <f>+Inputs!$G$105</f>
        <v>0.05</v>
      </c>
      <c r="F139" s="127"/>
      <c r="G139" s="127"/>
      <c r="H139" s="290">
        <f t="shared" ca="1" si="164"/>
        <v>-9344.3799301653544</v>
      </c>
      <c r="I139" s="14">
        <f t="shared" ref="I139:AN139" si="190">-SUM(I112,I120)*$D$139</f>
        <v>0</v>
      </c>
      <c r="J139" s="14">
        <f t="shared" si="190"/>
        <v>0</v>
      </c>
      <c r="K139" s="14">
        <f t="shared" si="190"/>
        <v>0</v>
      </c>
      <c r="L139" s="14">
        <f t="shared" si="190"/>
        <v>0</v>
      </c>
      <c r="M139" s="14">
        <f t="shared" si="190"/>
        <v>0</v>
      </c>
      <c r="N139" s="14">
        <f t="shared" si="190"/>
        <v>0</v>
      </c>
      <c r="O139" s="14">
        <f t="shared" si="190"/>
        <v>0</v>
      </c>
      <c r="P139" s="14">
        <f t="shared" si="190"/>
        <v>0</v>
      </c>
      <c r="Q139" s="14">
        <f t="shared" si="190"/>
        <v>0</v>
      </c>
      <c r="R139" s="14">
        <f t="shared" si="190"/>
        <v>0</v>
      </c>
      <c r="S139" s="14">
        <f t="shared" si="190"/>
        <v>0</v>
      </c>
      <c r="T139" s="14">
        <f t="shared" si="190"/>
        <v>0</v>
      </c>
      <c r="U139" s="14">
        <f t="shared" si="190"/>
        <v>0</v>
      </c>
      <c r="V139" s="14">
        <f t="shared" si="190"/>
        <v>0</v>
      </c>
      <c r="W139" s="14">
        <f t="shared" si="190"/>
        <v>0</v>
      </c>
      <c r="X139" s="14">
        <f t="shared" si="190"/>
        <v>0</v>
      </c>
      <c r="Y139" s="14">
        <f t="shared" si="190"/>
        <v>0</v>
      </c>
      <c r="Z139" s="14">
        <f t="shared" si="190"/>
        <v>0</v>
      </c>
      <c r="AA139" s="14">
        <f t="shared" si="190"/>
        <v>0</v>
      </c>
      <c r="AB139" s="14">
        <f t="shared" si="190"/>
        <v>0</v>
      </c>
      <c r="AC139" s="14">
        <f t="shared" si="190"/>
        <v>0</v>
      </c>
      <c r="AD139" s="14">
        <f t="shared" si="190"/>
        <v>0</v>
      </c>
      <c r="AE139" s="14">
        <f t="shared" si="190"/>
        <v>0</v>
      </c>
      <c r="AF139" s="14">
        <f t="shared" si="190"/>
        <v>0</v>
      </c>
      <c r="AG139" s="14">
        <f t="shared" si="190"/>
        <v>0</v>
      </c>
      <c r="AH139" s="14">
        <f t="shared" si="190"/>
        <v>0</v>
      </c>
      <c r="AI139" s="14">
        <f t="shared" si="190"/>
        <v>0</v>
      </c>
      <c r="AJ139" s="14">
        <f t="shared" si="190"/>
        <v>0</v>
      </c>
      <c r="AK139" s="14">
        <f t="shared" si="190"/>
        <v>0</v>
      </c>
      <c r="AL139" s="14">
        <f t="shared" si="190"/>
        <v>0</v>
      </c>
      <c r="AM139" s="14">
        <f t="shared" si="190"/>
        <v>0</v>
      </c>
      <c r="AN139" s="14">
        <f t="shared" si="190"/>
        <v>0</v>
      </c>
      <c r="AO139" s="14">
        <f t="shared" ref="AO139:BH139" si="191">-SUM(AO112,AO120)*$D$139</f>
        <v>0</v>
      </c>
      <c r="AP139" s="14">
        <f t="shared" si="191"/>
        <v>0</v>
      </c>
      <c r="AQ139" s="14">
        <f t="shared" si="191"/>
        <v>0</v>
      </c>
      <c r="AR139" s="14">
        <f t="shared" si="191"/>
        <v>0</v>
      </c>
      <c r="AS139" s="14">
        <f t="shared" si="191"/>
        <v>0</v>
      </c>
      <c r="AT139" s="14">
        <f t="shared" si="191"/>
        <v>0</v>
      </c>
      <c r="AU139" s="14">
        <f t="shared" si="191"/>
        <v>0</v>
      </c>
      <c r="AV139" s="14">
        <f t="shared" si="191"/>
        <v>0</v>
      </c>
      <c r="AW139" s="14">
        <f t="shared" si="191"/>
        <v>0</v>
      </c>
      <c r="AX139" s="14">
        <f t="shared" si="191"/>
        <v>0</v>
      </c>
      <c r="AY139" s="14">
        <f t="shared" si="191"/>
        <v>0</v>
      </c>
      <c r="AZ139" s="14">
        <f t="shared" si="191"/>
        <v>0</v>
      </c>
      <c r="BA139" s="14">
        <f t="shared" si="191"/>
        <v>0</v>
      </c>
      <c r="BB139" s="14">
        <f t="shared" si="191"/>
        <v>0</v>
      </c>
      <c r="BC139" s="14">
        <f t="shared" si="191"/>
        <v>0</v>
      </c>
      <c r="BD139" s="14">
        <f t="shared" si="191"/>
        <v>0</v>
      </c>
      <c r="BE139" s="14">
        <f t="shared" si="191"/>
        <v>0</v>
      </c>
      <c r="BF139" s="14">
        <f t="shared" si="191"/>
        <v>0</v>
      </c>
      <c r="BG139" s="14">
        <f t="shared" si="191"/>
        <v>0</v>
      </c>
      <c r="BH139" s="14">
        <f t="shared" si="191"/>
        <v>0</v>
      </c>
      <c r="BI139" s="14">
        <f t="shared" ref="BI139:BO139" si="192">-BI198/BI99</f>
        <v>-4.3097269856933007</v>
      </c>
      <c r="BJ139" s="14">
        <f t="shared" si="192"/>
        <v>-13.396566812094155</v>
      </c>
      <c r="BK139" s="14">
        <f t="shared" si="192"/>
        <v>-48.110580835571646</v>
      </c>
      <c r="BL139" s="14">
        <f t="shared" si="192"/>
        <v>-85.108133298566742</v>
      </c>
      <c r="BM139" s="14">
        <f t="shared" si="192"/>
        <v>-90.652928407193002</v>
      </c>
      <c r="BN139" s="14">
        <f t="shared" si="192"/>
        <v>-37.617172754234844</v>
      </c>
      <c r="BO139" s="14">
        <f t="shared" si="192"/>
        <v>-77.180624623323396</v>
      </c>
      <c r="BP139" s="14">
        <f t="shared" ref="BP139:BR139" si="193">-BP198/BP99</f>
        <v>-89.88917592269415</v>
      </c>
      <c r="BQ139" s="14">
        <f t="shared" si="193"/>
        <v>-82.56360588390001</v>
      </c>
      <c r="BR139" s="14">
        <f t="shared" si="193"/>
        <v>-67.689777704560797</v>
      </c>
      <c r="BS139" s="14">
        <f>-BS198/BS99</f>
        <v>-91.039618749964092</v>
      </c>
      <c r="BT139" s="14">
        <f t="shared" ref="BT139:BU139" si="194">-BT198/BT99</f>
        <v>-90.02380451927003</v>
      </c>
      <c r="BU139" s="14">
        <f t="shared" si="194"/>
        <v>-73.233301947140177</v>
      </c>
      <c r="BV139" s="14">
        <f>-BV198/BV99</f>
        <v>-81.724110158131523</v>
      </c>
      <c r="BW139" s="14">
        <f t="shared" ref="BW139:BX139" si="195">-BW198/BW99</f>
        <v>-93.080739880389515</v>
      </c>
      <c r="BX139" s="14">
        <f t="shared" si="195"/>
        <v>-89.487269992787091</v>
      </c>
      <c r="BY139" s="14">
        <f t="shared" ref="BY139:CT139" si="196">-SUM(BY112,BY120)*$D$139</f>
        <v>-68.541088433372948</v>
      </c>
      <c r="BZ139" s="14">
        <f t="shared" ca="1" si="196"/>
        <v>-150.74352332753392</v>
      </c>
      <c r="CA139" s="14">
        <f t="shared" ca="1" si="196"/>
        <v>-138.09529112526971</v>
      </c>
      <c r="CB139" s="14">
        <f t="shared" ca="1" si="196"/>
        <v>-138.09529112526971</v>
      </c>
      <c r="CC139" s="14">
        <f t="shared" ca="1" si="196"/>
        <v>-138.09529112526971</v>
      </c>
      <c r="CD139" s="14">
        <f t="shared" ca="1" si="196"/>
        <v>-138.09529112526971</v>
      </c>
      <c r="CE139" s="14">
        <f t="shared" ca="1" si="196"/>
        <v>-138.09529112526971</v>
      </c>
      <c r="CF139" s="14">
        <f t="shared" ca="1" si="196"/>
        <v>-156.06634806615327</v>
      </c>
      <c r="CG139" s="14">
        <f t="shared" ca="1" si="196"/>
        <v>-159.18767502747633</v>
      </c>
      <c r="CH139" s="14">
        <f t="shared" ca="1" si="196"/>
        <v>-159.18767502747633</v>
      </c>
      <c r="CI139" s="14">
        <f t="shared" ca="1" si="196"/>
        <v>-159.18767502747633</v>
      </c>
      <c r="CJ139" s="14">
        <f t="shared" ca="1" si="196"/>
        <v>-159.18767502747633</v>
      </c>
      <c r="CK139" s="14">
        <f t="shared" ca="1" si="196"/>
        <v>-159.18767502747633</v>
      </c>
      <c r="CL139" s="14">
        <f t="shared" ca="1" si="196"/>
        <v>-159.18767502747633</v>
      </c>
      <c r="CM139" s="14">
        <f t="shared" ca="1" si="196"/>
        <v>-159.18767502747633</v>
      </c>
      <c r="CN139" s="14">
        <f t="shared" ca="1" si="196"/>
        <v>-159.18767502747633</v>
      </c>
      <c r="CO139" s="14">
        <f t="shared" ca="1" si="196"/>
        <v>-159.18767502747633</v>
      </c>
      <c r="CP139" s="14">
        <f t="shared" ca="1" si="196"/>
        <v>-159.18767502747633</v>
      </c>
      <c r="CQ139" s="14">
        <f t="shared" ca="1" si="196"/>
        <v>-159.18767502747633</v>
      </c>
      <c r="CR139" s="14">
        <f t="shared" ca="1" si="196"/>
        <v>-159.18767502747633</v>
      </c>
      <c r="CS139" s="14">
        <f t="shared" ca="1" si="196"/>
        <v>-159.18767502747633</v>
      </c>
      <c r="CT139" s="14">
        <f t="shared" ca="1" si="196"/>
        <v>-159.18767502747633</v>
      </c>
      <c r="CU139" s="14">
        <f t="shared" ref="CU139:DY139" ca="1" si="197">-SUM(CU112,CU120)*$D$139</f>
        <v>-159.18767502747633</v>
      </c>
      <c r="CV139" s="14">
        <f t="shared" ca="1" si="197"/>
        <v>-159.18767502747633</v>
      </c>
      <c r="CW139" s="14">
        <f t="shared" ca="1" si="197"/>
        <v>-159.18767502747633</v>
      </c>
      <c r="CX139" s="14">
        <f t="shared" ca="1" si="197"/>
        <v>-159.18767502747633</v>
      </c>
      <c r="CY139" s="14">
        <f t="shared" ca="1" si="197"/>
        <v>-159.18767502747633</v>
      </c>
      <c r="CZ139" s="14">
        <f t="shared" ca="1" si="197"/>
        <v>-159.18767502747633</v>
      </c>
      <c r="DA139" s="14">
        <f t="shared" ca="1" si="197"/>
        <v>-159.18767502747633</v>
      </c>
      <c r="DB139" s="14">
        <f t="shared" ca="1" si="197"/>
        <v>-159.18767502747633</v>
      </c>
      <c r="DC139" s="14">
        <f t="shared" ca="1" si="197"/>
        <v>-159.18767502747633</v>
      </c>
      <c r="DD139" s="14">
        <f t="shared" ca="1" si="197"/>
        <v>-159.18767502747633</v>
      </c>
      <c r="DE139" s="14">
        <f t="shared" ca="1" si="197"/>
        <v>-159.18767502747633</v>
      </c>
      <c r="DF139" s="14">
        <f t="shared" ca="1" si="197"/>
        <v>-159.18767502747633</v>
      </c>
      <c r="DG139" s="14">
        <f t="shared" ca="1" si="197"/>
        <v>-159.18767502747633</v>
      </c>
      <c r="DH139" s="14">
        <f t="shared" ca="1" si="197"/>
        <v>-159.18767502747633</v>
      </c>
      <c r="DI139" s="14">
        <f t="shared" ca="1" si="197"/>
        <v>-159.18767502747633</v>
      </c>
      <c r="DJ139" s="14">
        <f t="shared" ca="1" si="197"/>
        <v>-159.18767502747633</v>
      </c>
      <c r="DK139" s="14">
        <f t="shared" ca="1" si="197"/>
        <v>-159.18767502747633</v>
      </c>
      <c r="DL139" s="14">
        <f t="shared" ca="1" si="197"/>
        <v>-159.18767502747633</v>
      </c>
      <c r="DM139" s="14">
        <f t="shared" ca="1" si="197"/>
        <v>-159.18767502747633</v>
      </c>
      <c r="DN139" s="14">
        <f t="shared" ca="1" si="197"/>
        <v>-159.18767502747633</v>
      </c>
      <c r="DO139" s="14">
        <f t="shared" ca="1" si="197"/>
        <v>-159.18767502747633</v>
      </c>
      <c r="DP139" s="14">
        <f t="shared" ca="1" si="197"/>
        <v>-159.18767502747633</v>
      </c>
      <c r="DQ139" s="14">
        <f t="shared" ca="1" si="197"/>
        <v>-159.18767502747633</v>
      </c>
      <c r="DR139" s="14">
        <f t="shared" ca="1" si="197"/>
        <v>-159.18767502747633</v>
      </c>
      <c r="DS139" s="14">
        <f t="shared" ca="1" si="197"/>
        <v>-159.18767502747633</v>
      </c>
      <c r="DT139" s="14">
        <f t="shared" ca="1" si="197"/>
        <v>-159.18767502747633</v>
      </c>
      <c r="DU139" s="14">
        <f t="shared" ca="1" si="197"/>
        <v>-159.18767502747633</v>
      </c>
      <c r="DV139" s="14">
        <f t="shared" ca="1" si="197"/>
        <v>-159.18767502747633</v>
      </c>
      <c r="DW139" s="14">
        <f t="shared" ca="1" si="197"/>
        <v>-159.18767502747633</v>
      </c>
      <c r="DX139" s="14">
        <f t="shared" ca="1" si="197"/>
        <v>-159.18767502747633</v>
      </c>
      <c r="DY139" s="14">
        <f t="shared" ca="1" si="197"/>
        <v>-159.18767502747633</v>
      </c>
    </row>
    <row r="140" spans="1:130" s="3" customFormat="1" ht="11.7" customHeight="1" outlineLevel="1" x14ac:dyDescent="0.3">
      <c r="A140" s="85"/>
      <c r="B140" s="200" t="s">
        <v>429</v>
      </c>
      <c r="C140" s="200"/>
      <c r="D140" s="169"/>
      <c r="E140" s="108"/>
      <c r="F140" s="170"/>
      <c r="G140" s="170"/>
      <c r="H140" s="290">
        <f ca="1">+SUM(I140:DY140)</f>
        <v>-55763.114039891872</v>
      </c>
      <c r="I140" s="171">
        <f t="shared" ref="I140:AN140" si="198">+SUM(I132:I139)</f>
        <v>0</v>
      </c>
      <c r="J140" s="171">
        <f t="shared" si="198"/>
        <v>0</v>
      </c>
      <c r="K140" s="171">
        <f t="shared" si="198"/>
        <v>0</v>
      </c>
      <c r="L140" s="171">
        <f t="shared" si="198"/>
        <v>0</v>
      </c>
      <c r="M140" s="171">
        <f t="shared" si="198"/>
        <v>0</v>
      </c>
      <c r="N140" s="171">
        <f t="shared" si="198"/>
        <v>0</v>
      </c>
      <c r="O140" s="171">
        <f t="shared" si="198"/>
        <v>0</v>
      </c>
      <c r="P140" s="171">
        <f t="shared" si="198"/>
        <v>0</v>
      </c>
      <c r="Q140" s="171">
        <f t="shared" si="198"/>
        <v>0</v>
      </c>
      <c r="R140" s="171">
        <f t="shared" si="198"/>
        <v>0</v>
      </c>
      <c r="S140" s="171">
        <f t="shared" si="198"/>
        <v>0</v>
      </c>
      <c r="T140" s="171">
        <f t="shared" si="198"/>
        <v>0</v>
      </c>
      <c r="U140" s="171">
        <f t="shared" si="198"/>
        <v>0</v>
      </c>
      <c r="V140" s="171">
        <f t="shared" si="198"/>
        <v>0</v>
      </c>
      <c r="W140" s="171">
        <f t="shared" si="198"/>
        <v>0</v>
      </c>
      <c r="X140" s="171">
        <f t="shared" si="198"/>
        <v>0</v>
      </c>
      <c r="Y140" s="171">
        <f t="shared" si="198"/>
        <v>0</v>
      </c>
      <c r="Z140" s="171">
        <f t="shared" si="198"/>
        <v>0</v>
      </c>
      <c r="AA140" s="171">
        <f t="shared" si="198"/>
        <v>0</v>
      </c>
      <c r="AB140" s="171">
        <f t="shared" si="198"/>
        <v>0</v>
      </c>
      <c r="AC140" s="171">
        <f t="shared" si="198"/>
        <v>0</v>
      </c>
      <c r="AD140" s="171">
        <f t="shared" si="198"/>
        <v>0</v>
      </c>
      <c r="AE140" s="171">
        <f t="shared" si="198"/>
        <v>0</v>
      </c>
      <c r="AF140" s="171">
        <f t="shared" si="198"/>
        <v>0</v>
      </c>
      <c r="AG140" s="171">
        <f t="shared" si="198"/>
        <v>0</v>
      </c>
      <c r="AH140" s="171">
        <f t="shared" si="198"/>
        <v>0</v>
      </c>
      <c r="AI140" s="171">
        <f t="shared" si="198"/>
        <v>0</v>
      </c>
      <c r="AJ140" s="171">
        <f t="shared" si="198"/>
        <v>0</v>
      </c>
      <c r="AK140" s="171">
        <f t="shared" si="198"/>
        <v>0</v>
      </c>
      <c r="AL140" s="171">
        <f t="shared" si="198"/>
        <v>0</v>
      </c>
      <c r="AM140" s="171">
        <f t="shared" si="198"/>
        <v>0</v>
      </c>
      <c r="AN140" s="171">
        <f t="shared" si="198"/>
        <v>0</v>
      </c>
      <c r="AO140" s="171">
        <f t="shared" ref="AO140:BH140" si="199">+SUM(AO132:AO139)</f>
        <v>0</v>
      </c>
      <c r="AP140" s="171">
        <f t="shared" si="199"/>
        <v>0</v>
      </c>
      <c r="AQ140" s="171">
        <f t="shared" si="199"/>
        <v>0</v>
      </c>
      <c r="AR140" s="171">
        <f t="shared" si="199"/>
        <v>0</v>
      </c>
      <c r="AS140" s="171">
        <f t="shared" si="199"/>
        <v>0</v>
      </c>
      <c r="AT140" s="171">
        <f t="shared" si="199"/>
        <v>0</v>
      </c>
      <c r="AU140" s="171">
        <f t="shared" si="199"/>
        <v>0</v>
      </c>
      <c r="AV140" s="171">
        <f t="shared" si="199"/>
        <v>0</v>
      </c>
      <c r="AW140" s="171">
        <f t="shared" si="199"/>
        <v>0</v>
      </c>
      <c r="AX140" s="171">
        <f t="shared" si="199"/>
        <v>0</v>
      </c>
      <c r="AY140" s="171">
        <f t="shared" si="199"/>
        <v>0</v>
      </c>
      <c r="AZ140" s="171">
        <f t="shared" si="199"/>
        <v>0</v>
      </c>
      <c r="BA140" s="171">
        <f t="shared" si="199"/>
        <v>0</v>
      </c>
      <c r="BB140" s="171">
        <f t="shared" si="199"/>
        <v>0</v>
      </c>
      <c r="BC140" s="171">
        <f t="shared" si="199"/>
        <v>0</v>
      </c>
      <c r="BD140" s="171">
        <f t="shared" si="199"/>
        <v>0</v>
      </c>
      <c r="BE140" s="171">
        <f t="shared" si="199"/>
        <v>0</v>
      </c>
      <c r="BF140" s="171">
        <f t="shared" si="199"/>
        <v>0</v>
      </c>
      <c r="BG140" s="171">
        <f t="shared" si="199"/>
        <v>0</v>
      </c>
      <c r="BH140" s="171">
        <f t="shared" si="199"/>
        <v>0</v>
      </c>
      <c r="BI140" s="171">
        <f t="shared" ref="BI140:CN140" si="200">+SUM(BI132,BI139)</f>
        <v>-656.97228527536106</v>
      </c>
      <c r="BJ140" s="171">
        <f t="shared" si="200"/>
        <v>-1423.3421583299512</v>
      </c>
      <c r="BK140" s="171">
        <f t="shared" si="200"/>
        <v>-1744.3488253496782</v>
      </c>
      <c r="BL140" s="171">
        <f t="shared" si="200"/>
        <v>-895.72131702370257</v>
      </c>
      <c r="BM140" s="171">
        <f t="shared" si="200"/>
        <v>-3172.7524555119198</v>
      </c>
      <c r="BN140" s="171">
        <f t="shared" si="200"/>
        <v>-1555.2051045687965</v>
      </c>
      <c r="BO140" s="171">
        <f t="shared" si="200"/>
        <v>-1687.1888359488478</v>
      </c>
      <c r="BP140" s="171">
        <f t="shared" si="200"/>
        <v>-1115.2846732715639</v>
      </c>
      <c r="BQ140" s="171">
        <f t="shared" si="200"/>
        <v>-927.41519337105274</v>
      </c>
      <c r="BR140" s="171">
        <f t="shared" si="200"/>
        <v>-1404.461862380005</v>
      </c>
      <c r="BS140" s="171">
        <f>+SUM(BS132,BS139)</f>
        <v>-1916.2846793328699</v>
      </c>
      <c r="BT140" s="171">
        <f t="shared" si="200"/>
        <v>-1418.9619600478254</v>
      </c>
      <c r="BU140" s="171">
        <f t="shared" ref="BU140" si="201">+SUM(BU132,BU139)</f>
        <v>-1104.5201244738826</v>
      </c>
      <c r="BV140" s="171">
        <f>+SUM(BV132,BV139)</f>
        <v>-865.78724449220613</v>
      </c>
      <c r="BW140" s="171">
        <f t="shared" si="200"/>
        <v>-1532.1480975098577</v>
      </c>
      <c r="BX140" s="171">
        <f t="shared" si="200"/>
        <v>-949.18120292255128</v>
      </c>
      <c r="BY140" s="171">
        <f t="shared" si="200"/>
        <v>-543.33854557284201</v>
      </c>
      <c r="BZ140" s="171">
        <f t="shared" ca="1" si="200"/>
        <v>-625.54098046700301</v>
      </c>
      <c r="CA140" s="171">
        <f t="shared" ca="1" si="200"/>
        <v>-612.89274826473877</v>
      </c>
      <c r="CB140" s="171">
        <f t="shared" ca="1" si="200"/>
        <v>-612.89274826473877</v>
      </c>
      <c r="CC140" s="171">
        <f t="shared" ca="1" si="200"/>
        <v>-612.89274826473877</v>
      </c>
      <c r="CD140" s="171">
        <f t="shared" ca="1" si="200"/>
        <v>-612.89274826473877</v>
      </c>
      <c r="CE140" s="171">
        <f t="shared" ca="1" si="200"/>
        <v>-612.89274826473877</v>
      </c>
      <c r="CF140" s="171">
        <f t="shared" ca="1" si="200"/>
        <v>-630.86380520562238</v>
      </c>
      <c r="CG140" s="171">
        <f t="shared" ca="1" si="200"/>
        <v>-633.98513216694539</v>
      </c>
      <c r="CH140" s="171">
        <f t="shared" ca="1" si="200"/>
        <v>-633.98513216694539</v>
      </c>
      <c r="CI140" s="171">
        <f t="shared" ca="1" si="200"/>
        <v>-633.98513216694539</v>
      </c>
      <c r="CJ140" s="171">
        <f t="shared" ca="1" si="200"/>
        <v>-633.98513216694539</v>
      </c>
      <c r="CK140" s="171">
        <f t="shared" ca="1" si="200"/>
        <v>-633.98513216694539</v>
      </c>
      <c r="CL140" s="171">
        <f t="shared" ca="1" si="200"/>
        <v>-633.98513216694539</v>
      </c>
      <c r="CM140" s="171">
        <f t="shared" ca="1" si="200"/>
        <v>-633.98513216694539</v>
      </c>
      <c r="CN140" s="171">
        <f t="shared" ca="1" si="200"/>
        <v>-633.98513216694539</v>
      </c>
      <c r="CO140" s="171">
        <f t="shared" ref="CO140:DT140" ca="1" si="202">+SUM(CO132,CO139)</f>
        <v>-633.98513216694539</v>
      </c>
      <c r="CP140" s="171">
        <f t="shared" ca="1" si="202"/>
        <v>-633.98513216694539</v>
      </c>
      <c r="CQ140" s="171">
        <f t="shared" ca="1" si="202"/>
        <v>-633.98513216694539</v>
      </c>
      <c r="CR140" s="171">
        <f t="shared" ca="1" si="202"/>
        <v>-633.98513216694539</v>
      </c>
      <c r="CS140" s="171">
        <f t="shared" ca="1" si="202"/>
        <v>-633.98513216694539</v>
      </c>
      <c r="CT140" s="171">
        <f t="shared" ca="1" si="202"/>
        <v>-633.98513216694539</v>
      </c>
      <c r="CU140" s="171">
        <f t="shared" ca="1" si="202"/>
        <v>-633.98513216694539</v>
      </c>
      <c r="CV140" s="171">
        <f t="shared" ca="1" si="202"/>
        <v>-633.98513216694539</v>
      </c>
      <c r="CW140" s="171">
        <f t="shared" ca="1" si="202"/>
        <v>-633.98513216694539</v>
      </c>
      <c r="CX140" s="171">
        <f t="shared" ca="1" si="202"/>
        <v>-633.98513216694539</v>
      </c>
      <c r="CY140" s="171">
        <f t="shared" ca="1" si="202"/>
        <v>-633.98513216694539</v>
      </c>
      <c r="CZ140" s="171">
        <f t="shared" ca="1" si="202"/>
        <v>-633.98513216694539</v>
      </c>
      <c r="DA140" s="171">
        <f t="shared" ca="1" si="202"/>
        <v>-633.98513216694539</v>
      </c>
      <c r="DB140" s="171">
        <f t="shared" ca="1" si="202"/>
        <v>-633.98513216694539</v>
      </c>
      <c r="DC140" s="171">
        <f t="shared" ca="1" si="202"/>
        <v>-633.98513216694539</v>
      </c>
      <c r="DD140" s="171">
        <f t="shared" ca="1" si="202"/>
        <v>-633.98513216694539</v>
      </c>
      <c r="DE140" s="171">
        <f t="shared" ca="1" si="202"/>
        <v>-633.98513216694539</v>
      </c>
      <c r="DF140" s="171">
        <f t="shared" ca="1" si="202"/>
        <v>-633.98513216694539</v>
      </c>
      <c r="DG140" s="171">
        <f t="shared" ca="1" si="202"/>
        <v>-633.98513216694539</v>
      </c>
      <c r="DH140" s="171">
        <f t="shared" ca="1" si="202"/>
        <v>-633.98513216694539</v>
      </c>
      <c r="DI140" s="171">
        <f t="shared" ca="1" si="202"/>
        <v>-633.98513216694539</v>
      </c>
      <c r="DJ140" s="171">
        <f t="shared" ca="1" si="202"/>
        <v>-633.98513216694539</v>
      </c>
      <c r="DK140" s="171">
        <f t="shared" ca="1" si="202"/>
        <v>-633.98513216694539</v>
      </c>
      <c r="DL140" s="171">
        <f t="shared" ca="1" si="202"/>
        <v>-633.98513216694539</v>
      </c>
      <c r="DM140" s="171">
        <f t="shared" ca="1" si="202"/>
        <v>-633.98513216694539</v>
      </c>
      <c r="DN140" s="171">
        <f t="shared" ca="1" si="202"/>
        <v>-633.98513216694539</v>
      </c>
      <c r="DO140" s="171">
        <f t="shared" ca="1" si="202"/>
        <v>-633.98513216694539</v>
      </c>
      <c r="DP140" s="171">
        <f t="shared" ca="1" si="202"/>
        <v>-633.98513216694539</v>
      </c>
      <c r="DQ140" s="171">
        <f t="shared" ca="1" si="202"/>
        <v>-633.98513216694539</v>
      </c>
      <c r="DR140" s="171">
        <f t="shared" ca="1" si="202"/>
        <v>-633.98513216694539</v>
      </c>
      <c r="DS140" s="171">
        <f t="shared" ca="1" si="202"/>
        <v>-633.98513216694539</v>
      </c>
      <c r="DT140" s="171">
        <f t="shared" ca="1" si="202"/>
        <v>-633.98513216694539</v>
      </c>
      <c r="DU140" s="171">
        <f t="shared" ref="DU140:DY140" ca="1" si="203">+SUM(DU132,DU139)</f>
        <v>-633.98513216694539</v>
      </c>
      <c r="DV140" s="171">
        <f t="shared" ca="1" si="203"/>
        <v>-633.98513216694539</v>
      </c>
      <c r="DW140" s="171">
        <f t="shared" ca="1" si="203"/>
        <v>-633.98513216694539</v>
      </c>
      <c r="DX140" s="171">
        <f t="shared" ca="1" si="203"/>
        <v>-633.98513216694539</v>
      </c>
      <c r="DY140" s="171">
        <f t="shared" ca="1" si="203"/>
        <v>-633.98513216694539</v>
      </c>
    </row>
    <row r="141" spans="1:130" s="3" customFormat="1" ht="11.7" customHeight="1" outlineLevel="1" x14ac:dyDescent="0.3">
      <c r="A141" s="85"/>
      <c r="B141" s="141" t="s">
        <v>675</v>
      </c>
      <c r="C141" s="329"/>
      <c r="D141" s="167"/>
      <c r="F141" s="74"/>
      <c r="G141" s="74"/>
      <c r="H141" s="896"/>
      <c r="I141" s="1138">
        <f>+I132/Inputs!$C$14</f>
        <v>0</v>
      </c>
      <c r="J141" s="1138">
        <f>+J132/Inputs!$C$14</f>
        <v>0</v>
      </c>
      <c r="K141" s="1138">
        <f>+K132/Inputs!$C$14</f>
        <v>0</v>
      </c>
      <c r="L141" s="1138">
        <f>+L132/Inputs!$C$14</f>
        <v>0</v>
      </c>
      <c r="M141" s="1138">
        <f>+M132/Inputs!$C$14</f>
        <v>0</v>
      </c>
      <c r="N141" s="1138">
        <f>+N132/Inputs!$C$14</f>
        <v>0</v>
      </c>
      <c r="O141" s="1138">
        <f>+O132/Inputs!$C$14</f>
        <v>0</v>
      </c>
      <c r="P141" s="1138">
        <f>+P132/Inputs!$C$14</f>
        <v>0</v>
      </c>
      <c r="Q141" s="1138">
        <f>+Q132/Inputs!$C$14</f>
        <v>0</v>
      </c>
      <c r="R141" s="1138">
        <f>+R132/Inputs!$C$14</f>
        <v>0</v>
      </c>
      <c r="S141" s="1138">
        <f>+S132/Inputs!$C$14</f>
        <v>0</v>
      </c>
      <c r="T141" s="1138">
        <f>+T132/Inputs!$C$14</f>
        <v>0</v>
      </c>
      <c r="U141" s="1138">
        <f>+U132/Inputs!$C$14</f>
        <v>0</v>
      </c>
      <c r="V141" s="1138">
        <f>+V132/Inputs!$C$14</f>
        <v>0</v>
      </c>
      <c r="W141" s="1138">
        <f>+W132/Inputs!$C$14</f>
        <v>0</v>
      </c>
      <c r="X141" s="1138">
        <f>+X132/Inputs!$C$14</f>
        <v>0</v>
      </c>
      <c r="Y141" s="1138">
        <f>+Y132/Inputs!$C$14</f>
        <v>0</v>
      </c>
      <c r="Z141" s="1138">
        <f>+Z132/Inputs!$C$14</f>
        <v>0</v>
      </c>
      <c r="AA141" s="1138">
        <f>+AA132/Inputs!$C$14</f>
        <v>0</v>
      </c>
      <c r="AB141" s="1138">
        <f>+AB132/Inputs!$C$14</f>
        <v>0</v>
      </c>
      <c r="AC141" s="1138">
        <f>+AC132/Inputs!$C$14</f>
        <v>0</v>
      </c>
      <c r="AD141" s="1138">
        <f>+AD132/Inputs!$C$14</f>
        <v>0</v>
      </c>
      <c r="AE141" s="1138">
        <f>+AE132/Inputs!$C$14</f>
        <v>0</v>
      </c>
      <c r="AF141" s="1138">
        <f>+AF132/Inputs!$C$14</f>
        <v>0</v>
      </c>
      <c r="AG141" s="1138">
        <f>+AG132/Inputs!$C$14</f>
        <v>0</v>
      </c>
      <c r="AH141" s="1138">
        <f>+AH132/Inputs!$C$14</f>
        <v>0</v>
      </c>
      <c r="AI141" s="1138">
        <f>+AI132/Inputs!$C$14</f>
        <v>0</v>
      </c>
      <c r="AJ141" s="1138">
        <f>+AJ132/Inputs!$C$14</f>
        <v>0</v>
      </c>
      <c r="AK141" s="1138">
        <f>+AK132/Inputs!$C$14</f>
        <v>0</v>
      </c>
      <c r="AL141" s="1138">
        <f>+AL132/Inputs!$C$14</f>
        <v>0</v>
      </c>
      <c r="AM141" s="1138">
        <f>+AM132/Inputs!$C$14</f>
        <v>0</v>
      </c>
      <c r="AN141" s="1138">
        <f>+AN132/Inputs!$C$14</f>
        <v>0</v>
      </c>
      <c r="AO141" s="1138">
        <f>+AO132/Inputs!$C$14</f>
        <v>0</v>
      </c>
      <c r="AP141" s="1138">
        <f>+AP132/Inputs!$C$14</f>
        <v>0</v>
      </c>
      <c r="AQ141" s="1138">
        <f>+AQ132/Inputs!$C$14</f>
        <v>0</v>
      </c>
      <c r="AR141" s="1138">
        <f>+AR132/Inputs!$C$14</f>
        <v>0</v>
      </c>
      <c r="AS141" s="1138">
        <f>+AS132/Inputs!$C$14</f>
        <v>0</v>
      </c>
      <c r="AT141" s="1138">
        <f>+AT132/Inputs!$C$14</f>
        <v>0</v>
      </c>
      <c r="AU141" s="1138">
        <f>+AU132/Inputs!$C$14</f>
        <v>0</v>
      </c>
      <c r="AV141" s="1138">
        <f>+AV132/Inputs!$C$14</f>
        <v>0</v>
      </c>
      <c r="AW141" s="1138">
        <f>+AW132/Inputs!$C$14</f>
        <v>0</v>
      </c>
      <c r="AX141" s="1138">
        <f>+AX132/Inputs!$C$14</f>
        <v>0</v>
      </c>
      <c r="AY141" s="1138">
        <f>+AY132/Inputs!$C$14</f>
        <v>0</v>
      </c>
      <c r="AZ141" s="1138">
        <f>+AZ132/Inputs!$C$14</f>
        <v>0</v>
      </c>
      <c r="BA141" s="1138">
        <f>+BA132/Inputs!$C$14</f>
        <v>0</v>
      </c>
      <c r="BB141" s="1138">
        <f>+BB132/Inputs!$C$14</f>
        <v>0</v>
      </c>
      <c r="BC141" s="1138">
        <f>+BC132/Inputs!$C$14</f>
        <v>0</v>
      </c>
      <c r="BD141" s="1138">
        <f>+BD132/Inputs!$C$14</f>
        <v>0</v>
      </c>
      <c r="BE141" s="1138">
        <f>+BE132/Inputs!$C$14</f>
        <v>0</v>
      </c>
      <c r="BF141" s="1138">
        <f>+BF132/Inputs!$C$14</f>
        <v>0</v>
      </c>
      <c r="BG141" s="1138">
        <f>+BG132/Inputs!$C$14</f>
        <v>0</v>
      </c>
      <c r="BH141" s="1138">
        <f>+BH132/Inputs!$C$14</f>
        <v>0</v>
      </c>
      <c r="BI141" s="1138">
        <f>+BI132/Inputs!$C$14</f>
        <v>-7.5613773953130875E-2</v>
      </c>
      <c r="BJ141" s="1138">
        <f>+BJ132/Inputs!$C$14</f>
        <v>-0.16334828141915245</v>
      </c>
      <c r="BK141" s="1138">
        <f>+BK132/Inputs!$C$14</f>
        <v>-0.19651652076909962</v>
      </c>
      <c r="BL141" s="1138">
        <f>+BL132/Inputs!$C$14</f>
        <v>-9.3913035548174637E-2</v>
      </c>
      <c r="BM141" s="1138">
        <f>+BM132/Inputs!$C$14</f>
        <v>-0.35707453106282738</v>
      </c>
      <c r="BN141" s="1138">
        <f>+BN132/Inputs!$C$14</f>
        <v>-0.17581911107469494</v>
      </c>
      <c r="BO141" s="1138">
        <f>+BO132/Inputs!$C$14</f>
        <v>-0.1865263992971726</v>
      </c>
      <c r="BP141" s="1138">
        <f>+BP132/Inputs!$C$14</f>
        <v>-0.11879649347785035</v>
      </c>
      <c r="BQ141" s="1138">
        <f>+BQ132/Inputs!$C$14</f>
        <v>-9.787970238036045E-2</v>
      </c>
      <c r="BR141" s="1138">
        <f>+BR132/Inputs!$C$14</f>
        <v>-0.15487081487006871</v>
      </c>
      <c r="BS141" s="1138">
        <f>+BS132/Inputs!$C$14</f>
        <v>-0.21146251714156189</v>
      </c>
      <c r="BT141" s="1138">
        <f>+BT132/Inputs!$C$14</f>
        <v>-0.15396322037096033</v>
      </c>
      <c r="BU141" s="1138">
        <f>+BU132/Inputs!$C$14</f>
        <v>-0.11947902892381099</v>
      </c>
      <c r="BV141" s="1138">
        <f>+BV132/Inputs!$C$14</f>
        <v>-9.0837097749075141E-2</v>
      </c>
      <c r="BW141" s="1138">
        <f>+BW132/Inputs!$C$14</f>
        <v>-0.16672216369861056</v>
      </c>
      <c r="BX141" s="1138">
        <f>+BX132/Inputs!$C$14</f>
        <v>-9.9599252152256221E-2</v>
      </c>
      <c r="BY141" s="1138">
        <f>+BY132/Inputs!$C$14</f>
        <v>-5.5007334405310422E-2</v>
      </c>
      <c r="BZ141" s="1138">
        <f>+BZ132/Inputs!$C$14</f>
        <v>-5.5007334405310422E-2</v>
      </c>
      <c r="CA141" s="1138">
        <f>+CA132/Inputs!$C$14</f>
        <v>-5.5007334405310422E-2</v>
      </c>
      <c r="CB141" s="1138">
        <f>+CB132/Inputs!$C$14</f>
        <v>-5.5007334405310422E-2</v>
      </c>
      <c r="CC141" s="1138">
        <f>+CC132/Inputs!$C$14</f>
        <v>-5.5007334405310422E-2</v>
      </c>
      <c r="CD141" s="1138">
        <f>+CD132/Inputs!$C$14</f>
        <v>-5.5007334405310422E-2</v>
      </c>
      <c r="CE141" s="1138">
        <f>+CE132/Inputs!$C$14</f>
        <v>-5.5007334405310422E-2</v>
      </c>
      <c r="CF141" s="1138">
        <f>+CF132/Inputs!$C$14</f>
        <v>-5.5007334405310422E-2</v>
      </c>
      <c r="CG141" s="1138">
        <f>+CG132/Inputs!$C$14</f>
        <v>-5.5007334405310422E-2</v>
      </c>
      <c r="CH141" s="1138">
        <f>+CH132/Inputs!$C$14</f>
        <v>-5.5007334405310422E-2</v>
      </c>
      <c r="CI141" s="1138">
        <f>+CI132/Inputs!$C$14</f>
        <v>-5.5007334405310422E-2</v>
      </c>
      <c r="CJ141" s="1138">
        <f>+CJ132/Inputs!$C$14</f>
        <v>-5.5007334405310422E-2</v>
      </c>
      <c r="CK141" s="1138">
        <f>+CK132/Inputs!$C$14</f>
        <v>-5.5007334405310422E-2</v>
      </c>
      <c r="CL141" s="1138">
        <f>+CL132/Inputs!$C$14</f>
        <v>-5.5007334405310422E-2</v>
      </c>
      <c r="CM141" s="1138">
        <f>+CM132/Inputs!$C$14</f>
        <v>-5.5007334405310422E-2</v>
      </c>
      <c r="CN141" s="1138">
        <f>+CN132/Inputs!$C$14</f>
        <v>-5.5007334405310422E-2</v>
      </c>
      <c r="CO141" s="1138">
        <f>+CO132/Inputs!$C$14</f>
        <v>-5.5007334405310422E-2</v>
      </c>
      <c r="CP141" s="1138">
        <f>+CP132/Inputs!$C$14</f>
        <v>-5.5007334405310422E-2</v>
      </c>
      <c r="CQ141" s="1138">
        <f>+CQ132/Inputs!$C$14</f>
        <v>-5.5007334405310422E-2</v>
      </c>
      <c r="CR141" s="1138">
        <f>+CR132/Inputs!$C$14</f>
        <v>-5.5007334405310422E-2</v>
      </c>
      <c r="CS141" s="1138">
        <f>+CS132/Inputs!$C$14</f>
        <v>-5.5007334405310422E-2</v>
      </c>
      <c r="CT141" s="1138">
        <f>+CT132/Inputs!$C$14</f>
        <v>-5.5007334405310422E-2</v>
      </c>
      <c r="CU141" s="1138">
        <f>+CU132/Inputs!$C$14</f>
        <v>-5.5007334405310422E-2</v>
      </c>
      <c r="CV141" s="1138">
        <f>+CV132/Inputs!$C$14</f>
        <v>-5.5007334405310422E-2</v>
      </c>
      <c r="CW141" s="1138">
        <f>+CW132/Inputs!$C$14</f>
        <v>-5.5007334405310422E-2</v>
      </c>
      <c r="CX141" s="1138">
        <f>+CX132/Inputs!$C$14</f>
        <v>-5.5007334405310422E-2</v>
      </c>
      <c r="CY141" s="1138">
        <f>+CY132/Inputs!$C$14</f>
        <v>-5.5007334405310422E-2</v>
      </c>
      <c r="CZ141" s="1138">
        <f>+CZ132/Inputs!$C$14</f>
        <v>-5.5007334405310422E-2</v>
      </c>
      <c r="DA141" s="1138">
        <f>+DA132/Inputs!$C$14</f>
        <v>-5.5007334405310422E-2</v>
      </c>
      <c r="DB141" s="1138">
        <f>+DB132/Inputs!$C$14</f>
        <v>-5.5007334405310422E-2</v>
      </c>
      <c r="DC141" s="1138">
        <f>+DC132/Inputs!$C$14</f>
        <v>-5.5007334405310422E-2</v>
      </c>
      <c r="DD141" s="1138">
        <f>+DD132/Inputs!$C$14</f>
        <v>-5.5007334405310422E-2</v>
      </c>
      <c r="DE141" s="1138">
        <f>+DE132/Inputs!$C$14</f>
        <v>-5.5007334405310422E-2</v>
      </c>
      <c r="DF141" s="1138">
        <f>+DF132/Inputs!$C$14</f>
        <v>-5.5007334405310422E-2</v>
      </c>
      <c r="DG141" s="1138">
        <f>+DG132/Inputs!$C$14</f>
        <v>-5.5007334405310422E-2</v>
      </c>
      <c r="DH141" s="1138">
        <f>+DH132/Inputs!$C$14</f>
        <v>-5.5007334405310422E-2</v>
      </c>
      <c r="DI141" s="1138">
        <f>+DI132/Inputs!$C$14</f>
        <v>-5.5007334405310422E-2</v>
      </c>
      <c r="DJ141" s="1138">
        <f>+DJ132/Inputs!$C$14</f>
        <v>-5.5007334405310422E-2</v>
      </c>
      <c r="DK141" s="1138">
        <f>+DK132/Inputs!$C$14</f>
        <v>-5.5007334405310422E-2</v>
      </c>
      <c r="DL141" s="1138">
        <f>+DL132/Inputs!$C$14</f>
        <v>-5.5007334405310422E-2</v>
      </c>
      <c r="DM141" s="1138">
        <f>+DM132/Inputs!$C$14</f>
        <v>-5.5007334405310422E-2</v>
      </c>
      <c r="DN141" s="1138">
        <f>+DN132/Inputs!$C$14</f>
        <v>-5.5007334405310422E-2</v>
      </c>
      <c r="DO141" s="1138">
        <f>+DO132/Inputs!$C$14</f>
        <v>-5.5007334405310422E-2</v>
      </c>
      <c r="DP141" s="1138">
        <f>+DP132/Inputs!$C$14</f>
        <v>-5.5007334405310422E-2</v>
      </c>
      <c r="DQ141" s="1138">
        <f>+DQ132/Inputs!$C$14</f>
        <v>-5.5007334405310422E-2</v>
      </c>
      <c r="DR141" s="1138">
        <f>+DR132/Inputs!$C$14</f>
        <v>-5.5007334405310422E-2</v>
      </c>
      <c r="DS141" s="1138">
        <f>+DS132/Inputs!$C$14</f>
        <v>-5.5007334405310422E-2</v>
      </c>
      <c r="DT141" s="1138">
        <f>+DT132/Inputs!$C$14</f>
        <v>-5.5007334405310422E-2</v>
      </c>
      <c r="DU141" s="1138">
        <f>+DU132/Inputs!$C$14</f>
        <v>-5.5007334405310422E-2</v>
      </c>
      <c r="DV141" s="1138">
        <f>+DV132/Inputs!$C$14</f>
        <v>-5.5007334405310422E-2</v>
      </c>
      <c r="DW141" s="1138">
        <f>+DW132/Inputs!$C$14</f>
        <v>-5.5007334405310422E-2</v>
      </c>
      <c r="DX141" s="1138">
        <f>+DX132/Inputs!$C$14</f>
        <v>-5.5007334405310422E-2</v>
      </c>
      <c r="DY141" s="1138">
        <f>+DY132/Inputs!$C$14</f>
        <v>-5.5007334405310422E-2</v>
      </c>
    </row>
    <row r="142" spans="1:130" s="3" customFormat="1" ht="11.7" customHeight="1" outlineLevel="1" x14ac:dyDescent="0.3">
      <c r="A142" s="85"/>
      <c r="B142" s="113"/>
      <c r="C142" s="113"/>
      <c r="D142" s="167"/>
      <c r="F142" s="74"/>
      <c r="G142" s="74"/>
      <c r="H142" s="74"/>
      <c r="I142" s="165"/>
      <c r="J142" s="165"/>
      <c r="K142" s="165"/>
      <c r="L142" s="165"/>
      <c r="M142" s="165"/>
      <c r="N142" s="165"/>
      <c r="O142" s="165"/>
      <c r="P142" s="165"/>
      <c r="Q142" s="165"/>
      <c r="R142" s="165"/>
      <c r="S142" s="165"/>
      <c r="T142" s="165"/>
      <c r="U142" s="165"/>
      <c r="V142" s="165"/>
      <c r="W142" s="165"/>
      <c r="X142" s="165"/>
      <c r="Y142" s="165"/>
      <c r="Z142" s="165"/>
      <c r="AA142" s="165"/>
      <c r="AB142" s="165"/>
      <c r="AC142" s="165"/>
      <c r="AD142" s="165"/>
      <c r="AE142" s="165"/>
      <c r="AF142" s="165"/>
      <c r="AG142" s="165"/>
      <c r="AH142" s="165"/>
      <c r="AI142" s="165"/>
      <c r="AJ142" s="165"/>
      <c r="AK142" s="165"/>
      <c r="AL142" s="165"/>
      <c r="AM142" s="165"/>
      <c r="AN142" s="165"/>
      <c r="AO142" s="165"/>
      <c r="AP142" s="165"/>
      <c r="AQ142" s="165"/>
      <c r="AR142" s="165"/>
      <c r="AS142" s="165"/>
      <c r="AT142" s="165"/>
      <c r="AU142" s="165"/>
      <c r="AV142" s="165"/>
      <c r="AW142" s="165"/>
      <c r="AX142" s="165"/>
      <c r="AY142" s="165"/>
      <c r="AZ142" s="165"/>
      <c r="BA142" s="165"/>
      <c r="BB142" s="165"/>
      <c r="BC142" s="165"/>
      <c r="BD142" s="165"/>
      <c r="BE142" s="165"/>
      <c r="BF142" s="165"/>
      <c r="BG142" s="165"/>
      <c r="BH142" s="165"/>
      <c r="BI142" s="165"/>
      <c r="BJ142" s="165"/>
      <c r="BK142" s="165"/>
      <c r="BL142" s="165"/>
      <c r="BM142" s="165"/>
      <c r="BN142" s="165"/>
      <c r="BO142" s="165"/>
      <c r="BP142" s="165"/>
      <c r="BQ142" s="165"/>
      <c r="BR142" s="165"/>
      <c r="BS142" s="165"/>
      <c r="BT142" s="165"/>
      <c r="BU142" s="165"/>
      <c r="BV142" s="165"/>
      <c r="BW142" s="165"/>
      <c r="BX142" s="165"/>
      <c r="BY142" s="165"/>
      <c r="BZ142" s="165"/>
      <c r="CA142" s="165"/>
      <c r="CB142" s="165"/>
      <c r="CC142" s="165"/>
      <c r="CD142" s="165"/>
      <c r="CE142" s="165"/>
      <c r="CF142" s="165"/>
      <c r="CG142" s="165"/>
      <c r="CH142" s="165"/>
      <c r="CI142" s="165"/>
      <c r="CJ142" s="165"/>
      <c r="CK142" s="165"/>
      <c r="CL142" s="165"/>
      <c r="CM142" s="165"/>
      <c r="CN142" s="165"/>
      <c r="CO142" s="165"/>
      <c r="CP142" s="165"/>
      <c r="CQ142" s="165"/>
      <c r="CR142" s="165"/>
      <c r="CS142" s="165"/>
      <c r="CT142" s="165"/>
      <c r="CU142" s="165"/>
      <c r="CV142" s="165"/>
      <c r="CW142" s="165"/>
      <c r="CX142" s="165"/>
      <c r="CY142" s="165"/>
      <c r="CZ142" s="165"/>
      <c r="DA142" s="165"/>
      <c r="DB142" s="165"/>
      <c r="DC142" s="165"/>
      <c r="DD142" s="165"/>
      <c r="DE142" s="165"/>
      <c r="DF142" s="165"/>
      <c r="DG142" s="165"/>
      <c r="DH142" s="165"/>
      <c r="DI142" s="165"/>
      <c r="DJ142" s="165"/>
      <c r="DK142" s="165"/>
      <c r="DL142" s="165"/>
      <c r="DM142" s="165"/>
      <c r="DN142" s="165"/>
      <c r="DO142" s="165"/>
      <c r="DP142" s="165"/>
      <c r="DQ142" s="165"/>
      <c r="DR142" s="165"/>
      <c r="DS142" s="165"/>
      <c r="DT142" s="165"/>
      <c r="DU142" s="165"/>
      <c r="DV142" s="165"/>
      <c r="DW142" s="165"/>
      <c r="DX142" s="165"/>
      <c r="DY142" s="165"/>
    </row>
    <row r="143" spans="1:130" s="3" customFormat="1" ht="11.7" customHeight="1" outlineLevel="1" x14ac:dyDescent="0.3">
      <c r="A143" s="85"/>
      <c r="B143" s="195" t="s">
        <v>409</v>
      </c>
      <c r="C143" s="195"/>
      <c r="F143" s="127"/>
      <c r="G143" s="127"/>
      <c r="H143" s="127"/>
      <c r="I143" s="111"/>
      <c r="J143" s="111"/>
      <c r="K143" s="111"/>
      <c r="L143" s="111"/>
      <c r="M143" s="111"/>
      <c r="N143" s="111"/>
      <c r="O143" s="111"/>
      <c r="P143" s="111"/>
      <c r="Q143" s="111"/>
      <c r="R143" s="111"/>
      <c r="S143" s="111"/>
      <c r="T143" s="111"/>
      <c r="U143" s="111"/>
      <c r="V143" s="111"/>
      <c r="W143" s="111"/>
      <c r="X143" s="111"/>
      <c r="Y143" s="111"/>
      <c r="Z143" s="111"/>
      <c r="AA143" s="111"/>
      <c r="AB143" s="111"/>
      <c r="AC143" s="111"/>
      <c r="AD143" s="111"/>
      <c r="AE143" s="111"/>
      <c r="AF143" s="111"/>
      <c r="AG143" s="111"/>
      <c r="AH143" s="111"/>
      <c r="AI143" s="111"/>
      <c r="AJ143" s="111"/>
      <c r="AK143" s="111"/>
      <c r="AL143" s="111"/>
      <c r="AM143" s="111"/>
      <c r="AN143" s="111"/>
      <c r="AO143" s="111"/>
      <c r="AP143" s="111"/>
      <c r="AQ143" s="111"/>
      <c r="AR143" s="111"/>
      <c r="AS143" s="111"/>
      <c r="AT143" s="111"/>
      <c r="AU143" s="111"/>
      <c r="AV143" s="111"/>
      <c r="AW143" s="111"/>
      <c r="AX143" s="111"/>
      <c r="AY143" s="111"/>
      <c r="AZ143" s="111"/>
      <c r="BA143" s="111"/>
      <c r="BB143" s="111"/>
      <c r="BC143" s="111"/>
      <c r="BD143" s="111"/>
      <c r="BE143" s="111"/>
      <c r="BF143" s="111"/>
      <c r="BG143" s="111"/>
      <c r="BH143" s="111"/>
      <c r="BI143" s="111"/>
      <c r="BJ143" s="737"/>
      <c r="BK143" s="737"/>
      <c r="BL143" s="111"/>
      <c r="BM143" s="111"/>
      <c r="BN143" s="111"/>
      <c r="BO143" s="111"/>
      <c r="BP143" s="111"/>
      <c r="BQ143" s="111"/>
      <c r="BR143" s="111"/>
      <c r="BS143" s="111"/>
      <c r="BT143" s="111"/>
      <c r="BU143" s="111"/>
      <c r="BV143" s="111"/>
      <c r="BW143" s="111"/>
      <c r="BX143" s="111"/>
      <c r="BY143" s="111"/>
      <c r="BZ143" s="111"/>
      <c r="CA143" s="111"/>
      <c r="CB143" s="111"/>
      <c r="CC143" s="111"/>
      <c r="CD143" s="111"/>
      <c r="CE143" s="111"/>
      <c r="CF143" s="111"/>
      <c r="CG143" s="111"/>
      <c r="CH143" s="111"/>
      <c r="CI143" s="111"/>
      <c r="CJ143" s="111"/>
      <c r="CK143" s="111"/>
      <c r="CL143" s="111"/>
      <c r="CM143" s="111"/>
      <c r="CN143" s="111"/>
      <c r="CO143" s="111"/>
      <c r="CP143" s="111"/>
      <c r="CQ143" s="111"/>
      <c r="CR143" s="111"/>
      <c r="CS143" s="111"/>
      <c r="CT143" s="111"/>
      <c r="CU143" s="111"/>
      <c r="CV143" s="111"/>
      <c r="CW143" s="111"/>
      <c r="CX143" s="111"/>
      <c r="CY143" s="111"/>
      <c r="CZ143" s="111"/>
      <c r="DA143" s="111"/>
      <c r="DB143" s="111"/>
      <c r="DC143" s="111"/>
      <c r="DD143" s="111"/>
      <c r="DE143" s="111"/>
      <c r="DF143" s="111"/>
      <c r="DG143" s="111"/>
      <c r="DH143" s="111"/>
      <c r="DI143" s="111"/>
      <c r="DJ143" s="111"/>
      <c r="DK143" s="111"/>
      <c r="DL143" s="111"/>
      <c r="DM143" s="111"/>
      <c r="DN143" s="111"/>
      <c r="DO143" s="111"/>
      <c r="DP143" s="111"/>
      <c r="DQ143" s="111"/>
      <c r="DR143" s="111"/>
      <c r="DS143" s="111"/>
      <c r="DT143" s="111"/>
      <c r="DU143" s="111"/>
      <c r="DV143" s="111"/>
      <c r="DW143" s="111"/>
      <c r="DX143" s="111"/>
      <c r="DY143" s="111"/>
    </row>
    <row r="144" spans="1:130" s="3" customFormat="1" ht="11.7" customHeight="1" outlineLevel="1" x14ac:dyDescent="0.25">
      <c r="A144" s="85"/>
      <c r="B144" s="113" t="s">
        <v>98</v>
      </c>
      <c r="C144" s="113"/>
      <c r="D144" s="324">
        <f>+'OpEx Budget'!$G$26</f>
        <v>4003.3239520639122</v>
      </c>
      <c r="E144" s="163"/>
      <c r="F144" s="127"/>
      <c r="G144" s="127"/>
      <c r="H144" s="290">
        <f>+SUM(I144:DY144)</f>
        <v>-18609.25625435566</v>
      </c>
      <c r="I144" s="1019">
        <v>0</v>
      </c>
      <c r="J144" s="1019">
        <v>0</v>
      </c>
      <c r="K144" s="1019">
        <v>0</v>
      </c>
      <c r="L144" s="1019">
        <v>0</v>
      </c>
      <c r="M144" s="1019">
        <v>0</v>
      </c>
      <c r="N144" s="1019">
        <v>0</v>
      </c>
      <c r="O144" s="1019">
        <v>0</v>
      </c>
      <c r="P144" s="1019">
        <v>0</v>
      </c>
      <c r="Q144" s="1019">
        <v>0</v>
      </c>
      <c r="R144" s="1019">
        <v>0</v>
      </c>
      <c r="S144" s="1019">
        <v>0</v>
      </c>
      <c r="T144" s="1019">
        <v>0</v>
      </c>
      <c r="U144" s="1019">
        <v>0</v>
      </c>
      <c r="V144" s="1019">
        <v>0</v>
      </c>
      <c r="W144" s="1019">
        <v>0</v>
      </c>
      <c r="X144" s="1019">
        <v>0</v>
      </c>
      <c r="Y144" s="1019">
        <v>0</v>
      </c>
      <c r="Z144" s="1019">
        <v>0</v>
      </c>
      <c r="AA144" s="1019">
        <v>0</v>
      </c>
      <c r="AB144" s="1019">
        <v>0</v>
      </c>
      <c r="AC144" s="1019">
        <v>0</v>
      </c>
      <c r="AD144" s="1019">
        <v>0</v>
      </c>
      <c r="AE144" s="1019">
        <v>0</v>
      </c>
      <c r="AF144" s="1019">
        <v>0</v>
      </c>
      <c r="AG144" s="1019">
        <v>0</v>
      </c>
      <c r="AH144" s="1019">
        <v>0</v>
      </c>
      <c r="AI144" s="1019">
        <v>0</v>
      </c>
      <c r="AJ144" s="1019">
        <v>0</v>
      </c>
      <c r="AK144" s="1019">
        <v>0</v>
      </c>
      <c r="AL144" s="1019">
        <v>0</v>
      </c>
      <c r="AM144" s="1019">
        <v>0</v>
      </c>
      <c r="AN144" s="1019">
        <v>0</v>
      </c>
      <c r="AO144" s="1019">
        <v>0</v>
      </c>
      <c r="AP144" s="1019">
        <v>0</v>
      </c>
      <c r="AQ144" s="1019">
        <v>0</v>
      </c>
      <c r="AR144" s="1019">
        <v>0</v>
      </c>
      <c r="AS144" s="1019">
        <v>0</v>
      </c>
      <c r="AT144" s="1019">
        <v>0</v>
      </c>
      <c r="AU144" s="1019">
        <v>0</v>
      </c>
      <c r="AV144" s="1019">
        <v>0</v>
      </c>
      <c r="AW144" s="1019">
        <v>0</v>
      </c>
      <c r="AX144" s="1019">
        <v>0</v>
      </c>
      <c r="AY144" s="1019">
        <v>0</v>
      </c>
      <c r="AZ144" s="1019">
        <v>0</v>
      </c>
      <c r="BA144" s="1019">
        <v>0</v>
      </c>
      <c r="BB144" s="1019">
        <v>0</v>
      </c>
      <c r="BC144" s="1019">
        <v>0</v>
      </c>
      <c r="BD144" s="1019">
        <v>0</v>
      </c>
      <c r="BE144" s="1019">
        <v>0</v>
      </c>
      <c r="BF144" s="1019">
        <v>0</v>
      </c>
      <c r="BG144" s="1019">
        <v>0</v>
      </c>
      <c r="BH144" s="1019">
        <v>0</v>
      </c>
      <c r="BI144" s="14">
        <f t="shared" ref="BI144:BO144" si="204">-BI220/BI99</f>
        <v>0</v>
      </c>
      <c r="BJ144" s="14">
        <f t="shared" si="204"/>
        <v>0</v>
      </c>
      <c r="BK144" s="14">
        <f t="shared" si="204"/>
        <v>0</v>
      </c>
      <c r="BL144" s="14">
        <f t="shared" si="204"/>
        <v>-230.69082426330527</v>
      </c>
      <c r="BM144" s="14">
        <f t="shared" si="204"/>
        <v>0</v>
      </c>
      <c r="BN144" s="14">
        <f t="shared" si="204"/>
        <v>0</v>
      </c>
      <c r="BO144" s="14">
        <f t="shared" si="204"/>
        <v>-225.79699831763585</v>
      </c>
      <c r="BP144" s="14">
        <f t="shared" ref="BP144" si="205">-BP220/BP99</f>
        <v>0</v>
      </c>
      <c r="BQ144" s="14">
        <f>-BQ220/BQ99</f>
        <v>-234.04889861501891</v>
      </c>
      <c r="BR144" s="14">
        <f t="shared" ref="BR144" si="206">-BR220/BR99</f>
        <v>0</v>
      </c>
      <c r="BS144" s="14">
        <f>-BS220/BS99</f>
        <v>604.63239476269541</v>
      </c>
      <c r="BT144" s="14">
        <f t="shared" ref="BT144:BU144" si="207">-BT220/BT99</f>
        <v>-5.2316682701536665</v>
      </c>
      <c r="BU144" s="14">
        <f t="shared" si="207"/>
        <v>0</v>
      </c>
      <c r="BV144" s="14">
        <f>-BV220/BV99</f>
        <v>0</v>
      </c>
      <c r="BW144" s="14">
        <f>-BW220/BW99</f>
        <v>0</v>
      </c>
      <c r="BX144" s="14">
        <f>-BX220/BX99</f>
        <v>-836.77280470331527</v>
      </c>
      <c r="BY144" s="14">
        <f t="shared" ref="BY144:CT144" si="208">-$D$144/12*(BY102&gt;0)</f>
        <v>-333.61032933865937</v>
      </c>
      <c r="BZ144" s="14">
        <f t="shared" si="208"/>
        <v>-333.61032933865937</v>
      </c>
      <c r="CA144" s="14">
        <f t="shared" si="208"/>
        <v>-333.61032933865937</v>
      </c>
      <c r="CB144" s="14">
        <f t="shared" si="208"/>
        <v>-333.61032933865937</v>
      </c>
      <c r="CC144" s="14">
        <f t="shared" si="208"/>
        <v>-333.61032933865937</v>
      </c>
      <c r="CD144" s="14">
        <f t="shared" si="208"/>
        <v>-333.61032933865937</v>
      </c>
      <c r="CE144" s="14">
        <f t="shared" si="208"/>
        <v>-333.61032933865937</v>
      </c>
      <c r="CF144" s="14">
        <f t="shared" si="208"/>
        <v>-333.61032933865937</v>
      </c>
      <c r="CG144" s="14">
        <f t="shared" si="208"/>
        <v>-333.61032933865937</v>
      </c>
      <c r="CH144" s="14">
        <f t="shared" si="208"/>
        <v>-333.61032933865937</v>
      </c>
      <c r="CI144" s="14">
        <f t="shared" si="208"/>
        <v>-333.61032933865937</v>
      </c>
      <c r="CJ144" s="14">
        <f t="shared" si="208"/>
        <v>-333.61032933865937</v>
      </c>
      <c r="CK144" s="14">
        <f t="shared" si="208"/>
        <v>-333.61032933865937</v>
      </c>
      <c r="CL144" s="14">
        <f t="shared" si="208"/>
        <v>-333.61032933865937</v>
      </c>
      <c r="CM144" s="14">
        <f t="shared" si="208"/>
        <v>-333.61032933865937</v>
      </c>
      <c r="CN144" s="14">
        <f t="shared" si="208"/>
        <v>-333.61032933865937</v>
      </c>
      <c r="CO144" s="14">
        <f t="shared" si="208"/>
        <v>-333.61032933865937</v>
      </c>
      <c r="CP144" s="14">
        <f t="shared" si="208"/>
        <v>-333.61032933865937</v>
      </c>
      <c r="CQ144" s="14">
        <f t="shared" si="208"/>
        <v>-333.61032933865937</v>
      </c>
      <c r="CR144" s="14">
        <f t="shared" si="208"/>
        <v>-333.61032933865937</v>
      </c>
      <c r="CS144" s="14">
        <f t="shared" si="208"/>
        <v>-333.61032933865937</v>
      </c>
      <c r="CT144" s="14">
        <f t="shared" si="208"/>
        <v>-333.61032933865937</v>
      </c>
      <c r="CU144" s="14">
        <f t="shared" ref="CU144:DY144" si="209">-$D$144/12*(CU102&gt;0)</f>
        <v>-333.61032933865937</v>
      </c>
      <c r="CV144" s="14">
        <f t="shared" si="209"/>
        <v>-333.61032933865937</v>
      </c>
      <c r="CW144" s="14">
        <f t="shared" si="209"/>
        <v>-333.61032933865937</v>
      </c>
      <c r="CX144" s="14">
        <f t="shared" si="209"/>
        <v>-333.61032933865937</v>
      </c>
      <c r="CY144" s="14">
        <f t="shared" si="209"/>
        <v>-333.61032933865937</v>
      </c>
      <c r="CZ144" s="14">
        <f t="shared" si="209"/>
        <v>-333.61032933865937</v>
      </c>
      <c r="DA144" s="14">
        <f t="shared" si="209"/>
        <v>-333.61032933865937</v>
      </c>
      <c r="DB144" s="14">
        <f t="shared" si="209"/>
        <v>-333.61032933865937</v>
      </c>
      <c r="DC144" s="14">
        <f t="shared" si="209"/>
        <v>-333.61032933865937</v>
      </c>
      <c r="DD144" s="14">
        <f t="shared" si="209"/>
        <v>-333.61032933865937</v>
      </c>
      <c r="DE144" s="14">
        <f t="shared" si="209"/>
        <v>-333.61032933865937</v>
      </c>
      <c r="DF144" s="14">
        <f t="shared" si="209"/>
        <v>-333.61032933865937</v>
      </c>
      <c r="DG144" s="14">
        <f t="shared" si="209"/>
        <v>-333.61032933865937</v>
      </c>
      <c r="DH144" s="14">
        <f t="shared" si="209"/>
        <v>-333.61032933865937</v>
      </c>
      <c r="DI144" s="14">
        <f t="shared" si="209"/>
        <v>-333.61032933865937</v>
      </c>
      <c r="DJ144" s="14">
        <f t="shared" si="209"/>
        <v>-333.61032933865937</v>
      </c>
      <c r="DK144" s="14">
        <f t="shared" si="209"/>
        <v>-333.61032933865937</v>
      </c>
      <c r="DL144" s="14">
        <f t="shared" si="209"/>
        <v>-333.61032933865937</v>
      </c>
      <c r="DM144" s="14">
        <f t="shared" si="209"/>
        <v>-333.61032933865937</v>
      </c>
      <c r="DN144" s="14">
        <f t="shared" si="209"/>
        <v>-333.61032933865937</v>
      </c>
      <c r="DO144" s="14">
        <f t="shared" si="209"/>
        <v>-333.61032933865937</v>
      </c>
      <c r="DP144" s="14">
        <f t="shared" si="209"/>
        <v>-333.61032933865937</v>
      </c>
      <c r="DQ144" s="14">
        <f t="shared" si="209"/>
        <v>-333.61032933865937</v>
      </c>
      <c r="DR144" s="14">
        <f t="shared" si="209"/>
        <v>-333.61032933865937</v>
      </c>
      <c r="DS144" s="14">
        <f t="shared" si="209"/>
        <v>-333.61032933865937</v>
      </c>
      <c r="DT144" s="14">
        <f t="shared" si="209"/>
        <v>-333.61032933865937</v>
      </c>
      <c r="DU144" s="14">
        <f t="shared" si="209"/>
        <v>-333.61032933865937</v>
      </c>
      <c r="DV144" s="14">
        <f t="shared" si="209"/>
        <v>-333.61032933865937</v>
      </c>
      <c r="DW144" s="14">
        <f t="shared" si="209"/>
        <v>-333.61032933865937</v>
      </c>
      <c r="DX144" s="14">
        <f t="shared" si="209"/>
        <v>-333.61032933865937</v>
      </c>
      <c r="DY144" s="14">
        <f t="shared" si="209"/>
        <v>-333.61032933865937</v>
      </c>
    </row>
    <row r="145" spans="1:129" s="3" customFormat="1" ht="11.7" customHeight="1" outlineLevel="1" x14ac:dyDescent="0.25">
      <c r="A145" s="85"/>
      <c r="B145" s="113" t="s">
        <v>291</v>
      </c>
      <c r="C145" s="113"/>
      <c r="D145" s="916">
        <f>+'OpEx Budget'!$G$27</f>
        <v>508.51002914590151</v>
      </c>
      <c r="F145" s="127"/>
      <c r="G145" s="127"/>
      <c r="H145" s="290">
        <f>+SUM(I145:DY145)</f>
        <v>-2289.8030513330104</v>
      </c>
      <c r="I145" s="14">
        <f t="shared" ref="I145:AN145" si="210">-$D$145/12*(I102&gt;0)</f>
        <v>0</v>
      </c>
      <c r="J145" s="14">
        <f t="shared" si="210"/>
        <v>0</v>
      </c>
      <c r="K145" s="14">
        <f t="shared" si="210"/>
        <v>0</v>
      </c>
      <c r="L145" s="14">
        <f t="shared" si="210"/>
        <v>0</v>
      </c>
      <c r="M145" s="14">
        <f t="shared" si="210"/>
        <v>0</v>
      </c>
      <c r="N145" s="14">
        <f t="shared" si="210"/>
        <v>0</v>
      </c>
      <c r="O145" s="14">
        <f t="shared" si="210"/>
        <v>0</v>
      </c>
      <c r="P145" s="14">
        <f t="shared" si="210"/>
        <v>0</v>
      </c>
      <c r="Q145" s="14">
        <f t="shared" si="210"/>
        <v>0</v>
      </c>
      <c r="R145" s="14">
        <f t="shared" si="210"/>
        <v>0</v>
      </c>
      <c r="S145" s="14">
        <f t="shared" si="210"/>
        <v>0</v>
      </c>
      <c r="T145" s="14">
        <f t="shared" si="210"/>
        <v>0</v>
      </c>
      <c r="U145" s="14">
        <f t="shared" si="210"/>
        <v>0</v>
      </c>
      <c r="V145" s="14">
        <f t="shared" si="210"/>
        <v>0</v>
      </c>
      <c r="W145" s="14">
        <f t="shared" si="210"/>
        <v>0</v>
      </c>
      <c r="X145" s="14">
        <f t="shared" si="210"/>
        <v>0</v>
      </c>
      <c r="Y145" s="14">
        <f t="shared" si="210"/>
        <v>0</v>
      </c>
      <c r="Z145" s="14">
        <f t="shared" si="210"/>
        <v>0</v>
      </c>
      <c r="AA145" s="14">
        <f t="shared" si="210"/>
        <v>0</v>
      </c>
      <c r="AB145" s="14">
        <f t="shared" si="210"/>
        <v>0</v>
      </c>
      <c r="AC145" s="14">
        <f t="shared" si="210"/>
        <v>0</v>
      </c>
      <c r="AD145" s="14">
        <f t="shared" si="210"/>
        <v>0</v>
      </c>
      <c r="AE145" s="14">
        <f t="shared" si="210"/>
        <v>0</v>
      </c>
      <c r="AF145" s="14">
        <f t="shared" si="210"/>
        <v>0</v>
      </c>
      <c r="AG145" s="14">
        <f t="shared" si="210"/>
        <v>0</v>
      </c>
      <c r="AH145" s="14">
        <f t="shared" si="210"/>
        <v>0</v>
      </c>
      <c r="AI145" s="14">
        <f t="shared" si="210"/>
        <v>0</v>
      </c>
      <c r="AJ145" s="14">
        <f t="shared" si="210"/>
        <v>0</v>
      </c>
      <c r="AK145" s="14">
        <f t="shared" si="210"/>
        <v>0</v>
      </c>
      <c r="AL145" s="14">
        <f t="shared" si="210"/>
        <v>0</v>
      </c>
      <c r="AM145" s="14">
        <f t="shared" si="210"/>
        <v>0</v>
      </c>
      <c r="AN145" s="14">
        <f t="shared" si="210"/>
        <v>0</v>
      </c>
      <c r="AO145" s="14">
        <f t="shared" ref="AO145:BH145" si="211">-$D$145/12*(AO102&gt;0)</f>
        <v>0</v>
      </c>
      <c r="AP145" s="14">
        <f t="shared" si="211"/>
        <v>0</v>
      </c>
      <c r="AQ145" s="14">
        <f t="shared" si="211"/>
        <v>0</v>
      </c>
      <c r="AR145" s="14">
        <f t="shared" si="211"/>
        <v>0</v>
      </c>
      <c r="AS145" s="14">
        <f t="shared" si="211"/>
        <v>0</v>
      </c>
      <c r="AT145" s="14">
        <f t="shared" si="211"/>
        <v>0</v>
      </c>
      <c r="AU145" s="14">
        <f t="shared" si="211"/>
        <v>0</v>
      </c>
      <c r="AV145" s="14">
        <f t="shared" si="211"/>
        <v>0</v>
      </c>
      <c r="AW145" s="14">
        <f t="shared" si="211"/>
        <v>0</v>
      </c>
      <c r="AX145" s="14">
        <f t="shared" si="211"/>
        <v>0</v>
      </c>
      <c r="AY145" s="14">
        <f t="shared" si="211"/>
        <v>0</v>
      </c>
      <c r="AZ145" s="14">
        <f t="shared" si="211"/>
        <v>0</v>
      </c>
      <c r="BA145" s="14">
        <f t="shared" si="211"/>
        <v>0</v>
      </c>
      <c r="BB145" s="14">
        <f t="shared" si="211"/>
        <v>0</v>
      </c>
      <c r="BC145" s="14">
        <f t="shared" si="211"/>
        <v>0</v>
      </c>
      <c r="BD145" s="14">
        <f t="shared" si="211"/>
        <v>0</v>
      </c>
      <c r="BE145" s="14">
        <f t="shared" si="211"/>
        <v>0</v>
      </c>
      <c r="BF145" s="14">
        <f t="shared" si="211"/>
        <v>0</v>
      </c>
      <c r="BG145" s="14">
        <f t="shared" si="211"/>
        <v>0</v>
      </c>
      <c r="BH145" s="14">
        <f t="shared" si="211"/>
        <v>0</v>
      </c>
      <c r="BI145" s="14">
        <f t="shared" ref="BI145:BO145" si="212">-BI223/BI99</f>
        <v>-37.49672007983942</v>
      </c>
      <c r="BJ145" s="14">
        <f t="shared" si="212"/>
        <v>-37.108487215909093</v>
      </c>
      <c r="BK145" s="14">
        <f t="shared" si="212"/>
        <v>-36.887972480863745</v>
      </c>
      <c r="BL145" s="14">
        <f t="shared" si="212"/>
        <v>-36.373513705192828</v>
      </c>
      <c r="BM145" s="14">
        <f t="shared" si="212"/>
        <v>-35.813600803438483</v>
      </c>
      <c r="BN145" s="14">
        <f t="shared" si="212"/>
        <v>-35.372744986449291</v>
      </c>
      <c r="BO145" s="14">
        <f t="shared" si="212"/>
        <v>-35.022979143113467</v>
      </c>
      <c r="BP145" s="14">
        <f t="shared" ref="BP145" si="213">-BP223/BP99</f>
        <v>-34.589028241978852</v>
      </c>
      <c r="BQ145" s="14">
        <f>-BQ223/BQ99</f>
        <v>-34.16323610414198</v>
      </c>
      <c r="BR145" s="14">
        <f t="shared" ref="BR145" si="214">-BR223/BR99</f>
        <v>-33.825438181983706</v>
      </c>
      <c r="BS145" s="14">
        <f t="shared" ref="BS145:BT145" si="215">-BS223/BS99</f>
        <v>-33.619979432261474</v>
      </c>
      <c r="BT145" s="14">
        <f t="shared" si="215"/>
        <v>-33.333504220047402</v>
      </c>
      <c r="BU145" s="14">
        <f t="shared" ref="BU145" si="216">-BU223/BU99</f>
        <v>-32.85171761084424</v>
      </c>
      <c r="BV145" s="14">
        <f>-BV223/BV99</f>
        <v>-33.561045889458875</v>
      </c>
      <c r="BW145" s="14">
        <f>-BW223/BW99</f>
        <v>-32.96087642387397</v>
      </c>
      <c r="BX145" s="14">
        <f t="shared" ref="BX145" si="217">-BX223/BX99</f>
        <v>-32.718929755807643</v>
      </c>
      <c r="BY145" s="1019">
        <f t="shared" ref="BY145:DY145" si="218">+BX145</f>
        <v>-32.718929755807643</v>
      </c>
      <c r="BZ145" s="1019">
        <f t="shared" si="218"/>
        <v>-32.718929755807643</v>
      </c>
      <c r="CA145" s="1019">
        <f t="shared" si="218"/>
        <v>-32.718929755807643</v>
      </c>
      <c r="CB145" s="1019">
        <f t="shared" si="218"/>
        <v>-32.718929755807643</v>
      </c>
      <c r="CC145" s="1019">
        <f t="shared" si="218"/>
        <v>-32.718929755807643</v>
      </c>
      <c r="CD145" s="1019">
        <f t="shared" si="218"/>
        <v>-32.718929755807643</v>
      </c>
      <c r="CE145" s="1019">
        <f t="shared" si="218"/>
        <v>-32.718929755807643</v>
      </c>
      <c r="CF145" s="1019">
        <f t="shared" si="218"/>
        <v>-32.718929755807643</v>
      </c>
      <c r="CG145" s="1019">
        <f t="shared" si="218"/>
        <v>-32.718929755807643</v>
      </c>
      <c r="CH145" s="1019">
        <f t="shared" si="218"/>
        <v>-32.718929755807643</v>
      </c>
      <c r="CI145" s="1019">
        <f t="shared" si="218"/>
        <v>-32.718929755807643</v>
      </c>
      <c r="CJ145" s="1019">
        <f t="shared" si="218"/>
        <v>-32.718929755807643</v>
      </c>
      <c r="CK145" s="1019">
        <f t="shared" si="218"/>
        <v>-32.718929755807643</v>
      </c>
      <c r="CL145" s="1019">
        <f t="shared" si="218"/>
        <v>-32.718929755807643</v>
      </c>
      <c r="CM145" s="1019">
        <f t="shared" si="218"/>
        <v>-32.718929755807643</v>
      </c>
      <c r="CN145" s="1019">
        <f t="shared" si="218"/>
        <v>-32.718929755807643</v>
      </c>
      <c r="CO145" s="1019">
        <f t="shared" si="218"/>
        <v>-32.718929755807643</v>
      </c>
      <c r="CP145" s="1019">
        <f t="shared" si="218"/>
        <v>-32.718929755807643</v>
      </c>
      <c r="CQ145" s="1019">
        <f t="shared" si="218"/>
        <v>-32.718929755807643</v>
      </c>
      <c r="CR145" s="1019">
        <f t="shared" si="218"/>
        <v>-32.718929755807643</v>
      </c>
      <c r="CS145" s="1019">
        <f t="shared" si="218"/>
        <v>-32.718929755807643</v>
      </c>
      <c r="CT145" s="1019">
        <f t="shared" si="218"/>
        <v>-32.718929755807643</v>
      </c>
      <c r="CU145" s="1019">
        <f t="shared" si="218"/>
        <v>-32.718929755807643</v>
      </c>
      <c r="CV145" s="1019">
        <f t="shared" si="218"/>
        <v>-32.718929755807643</v>
      </c>
      <c r="CW145" s="1019">
        <f t="shared" si="218"/>
        <v>-32.718929755807643</v>
      </c>
      <c r="CX145" s="1019">
        <f t="shared" si="218"/>
        <v>-32.718929755807643</v>
      </c>
      <c r="CY145" s="1019">
        <f t="shared" si="218"/>
        <v>-32.718929755807643</v>
      </c>
      <c r="CZ145" s="1019">
        <f t="shared" si="218"/>
        <v>-32.718929755807643</v>
      </c>
      <c r="DA145" s="1019">
        <f t="shared" si="218"/>
        <v>-32.718929755807643</v>
      </c>
      <c r="DB145" s="1019">
        <f t="shared" si="218"/>
        <v>-32.718929755807643</v>
      </c>
      <c r="DC145" s="1019">
        <f t="shared" si="218"/>
        <v>-32.718929755807643</v>
      </c>
      <c r="DD145" s="1019">
        <f t="shared" si="218"/>
        <v>-32.718929755807643</v>
      </c>
      <c r="DE145" s="1019">
        <f t="shared" si="218"/>
        <v>-32.718929755807643</v>
      </c>
      <c r="DF145" s="1019">
        <f t="shared" si="218"/>
        <v>-32.718929755807643</v>
      </c>
      <c r="DG145" s="1019">
        <f t="shared" si="218"/>
        <v>-32.718929755807643</v>
      </c>
      <c r="DH145" s="1019">
        <f t="shared" si="218"/>
        <v>-32.718929755807643</v>
      </c>
      <c r="DI145" s="1019">
        <f t="shared" si="218"/>
        <v>-32.718929755807643</v>
      </c>
      <c r="DJ145" s="1019">
        <f t="shared" si="218"/>
        <v>-32.718929755807643</v>
      </c>
      <c r="DK145" s="1019">
        <f t="shared" si="218"/>
        <v>-32.718929755807643</v>
      </c>
      <c r="DL145" s="1019">
        <f t="shared" si="218"/>
        <v>-32.718929755807643</v>
      </c>
      <c r="DM145" s="1019">
        <f t="shared" si="218"/>
        <v>-32.718929755807643</v>
      </c>
      <c r="DN145" s="1019">
        <f t="shared" si="218"/>
        <v>-32.718929755807643</v>
      </c>
      <c r="DO145" s="1019">
        <f t="shared" si="218"/>
        <v>-32.718929755807643</v>
      </c>
      <c r="DP145" s="1019">
        <f t="shared" si="218"/>
        <v>-32.718929755807643</v>
      </c>
      <c r="DQ145" s="1019">
        <f t="shared" si="218"/>
        <v>-32.718929755807643</v>
      </c>
      <c r="DR145" s="1019">
        <f t="shared" si="218"/>
        <v>-32.718929755807643</v>
      </c>
      <c r="DS145" s="1019">
        <f t="shared" si="218"/>
        <v>-32.718929755807643</v>
      </c>
      <c r="DT145" s="1019">
        <f t="shared" si="218"/>
        <v>-32.718929755807643</v>
      </c>
      <c r="DU145" s="1019">
        <f t="shared" si="218"/>
        <v>-32.718929755807643</v>
      </c>
      <c r="DV145" s="1019">
        <f t="shared" si="218"/>
        <v>-32.718929755807643</v>
      </c>
      <c r="DW145" s="1019">
        <f t="shared" si="218"/>
        <v>-32.718929755807643</v>
      </c>
      <c r="DX145" s="1019">
        <f t="shared" si="218"/>
        <v>-32.718929755807643</v>
      </c>
      <c r="DY145" s="1019">
        <f t="shared" si="218"/>
        <v>-32.718929755807643</v>
      </c>
    </row>
    <row r="146" spans="1:129" s="3" customFormat="1" ht="11.7" customHeight="1" outlineLevel="1" x14ac:dyDescent="0.3">
      <c r="A146" s="85"/>
      <c r="B146" s="116" t="s">
        <v>771</v>
      </c>
      <c r="C146" s="116"/>
      <c r="D146" s="335">
        <f>+Inputs!$G$106</f>
        <v>2.5000000000000001E-2</v>
      </c>
      <c r="E146" s="63"/>
      <c r="F146" s="147"/>
      <c r="G146" s="147"/>
      <c r="H146" s="290">
        <f ca="1">+SUM(I146:DY146)</f>
        <v>-5124.7021824906424</v>
      </c>
      <c r="I146" s="1129">
        <v>0</v>
      </c>
      <c r="J146" s="1099">
        <v>0</v>
      </c>
      <c r="K146" s="1099">
        <v>0</v>
      </c>
      <c r="L146" s="1099">
        <v>0</v>
      </c>
      <c r="M146" s="1099">
        <v>0</v>
      </c>
      <c r="N146" s="1099">
        <v>0</v>
      </c>
      <c r="O146" s="1099">
        <v>0</v>
      </c>
      <c r="P146" s="1099">
        <v>0</v>
      </c>
      <c r="Q146" s="1099">
        <v>0</v>
      </c>
      <c r="R146" s="1099">
        <v>0</v>
      </c>
      <c r="S146" s="1099">
        <v>0</v>
      </c>
      <c r="T146" s="1099">
        <v>0</v>
      </c>
      <c r="U146" s="1099">
        <v>0</v>
      </c>
      <c r="V146" s="1099">
        <v>0</v>
      </c>
      <c r="W146" s="1099">
        <v>0</v>
      </c>
      <c r="X146" s="1099">
        <v>0</v>
      </c>
      <c r="Y146" s="1099">
        <v>0</v>
      </c>
      <c r="Z146" s="1099">
        <v>0</v>
      </c>
      <c r="AA146" s="1099">
        <v>0</v>
      </c>
      <c r="AB146" s="1099">
        <v>0</v>
      </c>
      <c r="AC146" s="1099">
        <v>0</v>
      </c>
      <c r="AD146" s="1099">
        <v>0</v>
      </c>
      <c r="AE146" s="1099">
        <v>0</v>
      </c>
      <c r="AF146" s="1099">
        <v>0</v>
      </c>
      <c r="AG146" s="1099">
        <v>0</v>
      </c>
      <c r="AH146" s="1099">
        <v>0</v>
      </c>
      <c r="AI146" s="1099">
        <v>0</v>
      </c>
      <c r="AJ146" s="1099">
        <v>0</v>
      </c>
      <c r="AK146" s="1099">
        <v>0</v>
      </c>
      <c r="AL146" s="1099">
        <v>0</v>
      </c>
      <c r="AM146" s="1099">
        <v>0</v>
      </c>
      <c r="AN146" s="1099">
        <v>0</v>
      </c>
      <c r="AO146" s="1099">
        <v>0</v>
      </c>
      <c r="AP146" s="1099">
        <v>0</v>
      </c>
      <c r="AQ146" s="1099">
        <v>0</v>
      </c>
      <c r="AR146" s="1099">
        <v>0</v>
      </c>
      <c r="AS146" s="1099">
        <v>0</v>
      </c>
      <c r="AT146" s="1099">
        <v>0</v>
      </c>
      <c r="AU146" s="1099">
        <v>0</v>
      </c>
      <c r="AV146" s="1099">
        <v>0</v>
      </c>
      <c r="AW146" s="1099">
        <v>0</v>
      </c>
      <c r="AX146" s="1099">
        <v>0</v>
      </c>
      <c r="AY146" s="1099">
        <v>0</v>
      </c>
      <c r="AZ146" s="1099">
        <v>0</v>
      </c>
      <c r="BA146" s="1099">
        <v>0</v>
      </c>
      <c r="BB146" s="1099">
        <v>0</v>
      </c>
      <c r="BC146" s="1099">
        <v>0</v>
      </c>
      <c r="BD146" s="1099">
        <v>0</v>
      </c>
      <c r="BE146" s="1099">
        <v>0</v>
      </c>
      <c r="BF146" s="1099">
        <v>0</v>
      </c>
      <c r="BG146" s="1099">
        <v>0</v>
      </c>
      <c r="BH146" s="1099">
        <v>0</v>
      </c>
      <c r="BI146" s="168">
        <f t="shared" ref="BI146:BQ146" si="219">-SUM(BI226,BI227,BI235,BI236)/BI99</f>
        <v>-0.72903133825548294</v>
      </c>
      <c r="BJ146" s="168">
        <f t="shared" si="219"/>
        <v>-131.75476866883116</v>
      </c>
      <c r="BK146" s="168">
        <f t="shared" si="219"/>
        <v>-139.53272436044924</v>
      </c>
      <c r="BL146" s="168">
        <f t="shared" si="219"/>
        <v>-203.12224857341494</v>
      </c>
      <c r="BM146" s="168">
        <f t="shared" si="219"/>
        <v>-41.085829237498444</v>
      </c>
      <c r="BN146" s="168">
        <f t="shared" si="219"/>
        <v>-56.892878525987527</v>
      </c>
      <c r="BO146" s="168">
        <f t="shared" si="219"/>
        <v>-28.441110970797723</v>
      </c>
      <c r="BP146" s="168">
        <f t="shared" si="219"/>
        <v>-56.905602853249341</v>
      </c>
      <c r="BQ146" s="168">
        <f t="shared" si="219"/>
        <v>-57.377044873596795</v>
      </c>
      <c r="BR146" s="168">
        <f t="shared" ref="BR146:BT146" si="220">-SUM(BR226,BR227,BR235,BR236)/BR99</f>
        <v>-21.208947308336477</v>
      </c>
      <c r="BS146" s="168">
        <f t="shared" si="220"/>
        <v>-36.996937819934615</v>
      </c>
      <c r="BT146" s="168">
        <f t="shared" si="220"/>
        <v>-48.724643971771791</v>
      </c>
      <c r="BU146" s="168">
        <f t="shared" ref="BU146" si="221">-SUM(BU226,BU227,BU235,BU236)/BU99</f>
        <v>-22.491767532549645</v>
      </c>
      <c r="BV146" s="168">
        <f>-SUM(BV226,BV227,BV235,BV236)/BV99</f>
        <v>-47.767003250944533</v>
      </c>
      <c r="BW146" s="168">
        <f>-SUM(BW226,BW227,BW235,BW236)/BW99</f>
        <v>-74.808660346958064</v>
      </c>
      <c r="BX146" s="168">
        <f t="shared" ref="BX146:CT146" si="222">-SUM(BX112,BX120)*$D$146</f>
        <v>-42.226587013146457</v>
      </c>
      <c r="BY146" s="168">
        <f t="shared" si="222"/>
        <v>-34.270544216686474</v>
      </c>
      <c r="BZ146" s="168">
        <f t="shared" ca="1" si="222"/>
        <v>-75.371761663766961</v>
      </c>
      <c r="CA146" s="168">
        <f t="shared" ca="1" si="222"/>
        <v>-69.047645562634855</v>
      </c>
      <c r="CB146" s="168">
        <f t="shared" ca="1" si="222"/>
        <v>-69.047645562634855</v>
      </c>
      <c r="CC146" s="168">
        <f t="shared" ca="1" si="222"/>
        <v>-69.047645562634855</v>
      </c>
      <c r="CD146" s="168">
        <f t="shared" ca="1" si="222"/>
        <v>-69.047645562634855</v>
      </c>
      <c r="CE146" s="168">
        <f t="shared" ca="1" si="222"/>
        <v>-69.047645562634855</v>
      </c>
      <c r="CF146" s="168">
        <f t="shared" ca="1" si="222"/>
        <v>-78.033174033076634</v>
      </c>
      <c r="CG146" s="168">
        <f t="shared" ca="1" si="222"/>
        <v>-79.593837513738166</v>
      </c>
      <c r="CH146" s="168">
        <f t="shared" ca="1" si="222"/>
        <v>-79.593837513738166</v>
      </c>
      <c r="CI146" s="168">
        <f t="shared" ca="1" si="222"/>
        <v>-79.593837513738166</v>
      </c>
      <c r="CJ146" s="168">
        <f t="shared" ca="1" si="222"/>
        <v>-79.593837513738166</v>
      </c>
      <c r="CK146" s="168">
        <f t="shared" ca="1" si="222"/>
        <v>-79.593837513738166</v>
      </c>
      <c r="CL146" s="168">
        <f t="shared" ca="1" si="222"/>
        <v>-79.593837513738166</v>
      </c>
      <c r="CM146" s="168">
        <f t="shared" ca="1" si="222"/>
        <v>-79.593837513738166</v>
      </c>
      <c r="CN146" s="168">
        <f t="shared" ca="1" si="222"/>
        <v>-79.593837513738166</v>
      </c>
      <c r="CO146" s="168">
        <f t="shared" ca="1" si="222"/>
        <v>-79.593837513738166</v>
      </c>
      <c r="CP146" s="168">
        <f t="shared" ca="1" si="222"/>
        <v>-79.593837513738166</v>
      </c>
      <c r="CQ146" s="168">
        <f t="shared" ca="1" si="222"/>
        <v>-79.593837513738166</v>
      </c>
      <c r="CR146" s="168">
        <f t="shared" ca="1" si="222"/>
        <v>-79.593837513738166</v>
      </c>
      <c r="CS146" s="168">
        <f t="shared" ca="1" si="222"/>
        <v>-79.593837513738166</v>
      </c>
      <c r="CT146" s="168">
        <f t="shared" ca="1" si="222"/>
        <v>-79.593837513738166</v>
      </c>
      <c r="CU146" s="168">
        <f t="shared" ref="CU146:DY146" ca="1" si="223">-SUM(CU112,CU120)*$D$146</f>
        <v>-79.593837513738166</v>
      </c>
      <c r="CV146" s="168">
        <f t="shared" ca="1" si="223"/>
        <v>-79.593837513738166</v>
      </c>
      <c r="CW146" s="168">
        <f t="shared" ca="1" si="223"/>
        <v>-79.593837513738166</v>
      </c>
      <c r="CX146" s="168">
        <f t="shared" ca="1" si="223"/>
        <v>-79.593837513738166</v>
      </c>
      <c r="CY146" s="168">
        <f t="shared" ca="1" si="223"/>
        <v>-79.593837513738166</v>
      </c>
      <c r="CZ146" s="168">
        <f t="shared" ca="1" si="223"/>
        <v>-79.593837513738166</v>
      </c>
      <c r="DA146" s="168">
        <f t="shared" ca="1" si="223"/>
        <v>-79.593837513738166</v>
      </c>
      <c r="DB146" s="168">
        <f t="shared" ca="1" si="223"/>
        <v>-79.593837513738166</v>
      </c>
      <c r="DC146" s="168">
        <f t="shared" ca="1" si="223"/>
        <v>-79.593837513738166</v>
      </c>
      <c r="DD146" s="168">
        <f t="shared" ca="1" si="223"/>
        <v>-79.593837513738166</v>
      </c>
      <c r="DE146" s="168">
        <f t="shared" ca="1" si="223"/>
        <v>-79.593837513738166</v>
      </c>
      <c r="DF146" s="168">
        <f t="shared" ca="1" si="223"/>
        <v>-79.593837513738166</v>
      </c>
      <c r="DG146" s="168">
        <f t="shared" ca="1" si="223"/>
        <v>-79.593837513738166</v>
      </c>
      <c r="DH146" s="168">
        <f t="shared" ca="1" si="223"/>
        <v>-79.593837513738166</v>
      </c>
      <c r="DI146" s="168">
        <f t="shared" ca="1" si="223"/>
        <v>-79.593837513738166</v>
      </c>
      <c r="DJ146" s="168">
        <f t="shared" ca="1" si="223"/>
        <v>-79.593837513738166</v>
      </c>
      <c r="DK146" s="168">
        <f t="shared" ca="1" si="223"/>
        <v>-79.593837513738166</v>
      </c>
      <c r="DL146" s="168">
        <f t="shared" ca="1" si="223"/>
        <v>-79.593837513738166</v>
      </c>
      <c r="DM146" s="168">
        <f t="shared" ca="1" si="223"/>
        <v>-79.593837513738166</v>
      </c>
      <c r="DN146" s="168">
        <f t="shared" ca="1" si="223"/>
        <v>-79.593837513738166</v>
      </c>
      <c r="DO146" s="168">
        <f t="shared" ca="1" si="223"/>
        <v>-79.593837513738166</v>
      </c>
      <c r="DP146" s="168">
        <f t="shared" ca="1" si="223"/>
        <v>-79.593837513738166</v>
      </c>
      <c r="DQ146" s="168">
        <f t="shared" ca="1" si="223"/>
        <v>-79.593837513738166</v>
      </c>
      <c r="DR146" s="168">
        <f t="shared" ca="1" si="223"/>
        <v>-79.593837513738166</v>
      </c>
      <c r="DS146" s="168">
        <f t="shared" ca="1" si="223"/>
        <v>-79.593837513738166</v>
      </c>
      <c r="DT146" s="168">
        <f t="shared" ca="1" si="223"/>
        <v>-79.593837513738166</v>
      </c>
      <c r="DU146" s="168">
        <f t="shared" ca="1" si="223"/>
        <v>-79.593837513738166</v>
      </c>
      <c r="DV146" s="168">
        <f t="shared" ca="1" si="223"/>
        <v>-79.593837513738166</v>
      </c>
      <c r="DW146" s="168">
        <f t="shared" ca="1" si="223"/>
        <v>-79.593837513738166</v>
      </c>
      <c r="DX146" s="168">
        <f t="shared" ca="1" si="223"/>
        <v>-79.593837513738166</v>
      </c>
      <c r="DY146" s="168">
        <f t="shared" ca="1" si="223"/>
        <v>-79.593837513738166</v>
      </c>
    </row>
    <row r="147" spans="1:129" s="3" customFormat="1" ht="11.7" customHeight="1" outlineLevel="1" x14ac:dyDescent="0.3">
      <c r="A147" s="85"/>
      <c r="B147" s="202" t="s">
        <v>428</v>
      </c>
      <c r="C147" s="202"/>
      <c r="D147" s="63"/>
      <c r="E147" s="63"/>
      <c r="F147" s="147"/>
      <c r="G147" s="147"/>
      <c r="H147" s="290">
        <f ca="1">+SUM(I147:DY147)</f>
        <v>-26023.761488179363</v>
      </c>
      <c r="I147" s="168">
        <f>+SUM(I144:I146)</f>
        <v>0</v>
      </c>
      <c r="J147" s="168">
        <f t="shared" ref="J147:BT147" si="224">+SUM(J144:J146)</f>
        <v>0</v>
      </c>
      <c r="K147" s="168">
        <f t="shared" si="224"/>
        <v>0</v>
      </c>
      <c r="L147" s="168">
        <f t="shared" si="224"/>
        <v>0</v>
      </c>
      <c r="M147" s="168">
        <f t="shared" si="224"/>
        <v>0</v>
      </c>
      <c r="N147" s="168">
        <f t="shared" si="224"/>
        <v>0</v>
      </c>
      <c r="O147" s="168">
        <f t="shared" si="224"/>
        <v>0</v>
      </c>
      <c r="P147" s="168">
        <f t="shared" si="224"/>
        <v>0</v>
      </c>
      <c r="Q147" s="168">
        <f t="shared" si="224"/>
        <v>0</v>
      </c>
      <c r="R147" s="168">
        <f t="shared" si="224"/>
        <v>0</v>
      </c>
      <c r="S147" s="168">
        <f t="shared" si="224"/>
        <v>0</v>
      </c>
      <c r="T147" s="168">
        <f t="shared" si="224"/>
        <v>0</v>
      </c>
      <c r="U147" s="168">
        <f t="shared" si="224"/>
        <v>0</v>
      </c>
      <c r="V147" s="168">
        <f t="shared" si="224"/>
        <v>0</v>
      </c>
      <c r="W147" s="168">
        <f t="shared" si="224"/>
        <v>0</v>
      </c>
      <c r="X147" s="168">
        <f t="shared" si="224"/>
        <v>0</v>
      </c>
      <c r="Y147" s="168">
        <f t="shared" si="224"/>
        <v>0</v>
      </c>
      <c r="Z147" s="168">
        <f t="shared" si="224"/>
        <v>0</v>
      </c>
      <c r="AA147" s="168">
        <f t="shared" si="224"/>
        <v>0</v>
      </c>
      <c r="AB147" s="168">
        <f t="shared" si="224"/>
        <v>0</v>
      </c>
      <c r="AC147" s="168">
        <f t="shared" si="224"/>
        <v>0</v>
      </c>
      <c r="AD147" s="168">
        <f t="shared" si="224"/>
        <v>0</v>
      </c>
      <c r="AE147" s="168">
        <f t="shared" si="224"/>
        <v>0</v>
      </c>
      <c r="AF147" s="168">
        <f t="shared" si="224"/>
        <v>0</v>
      </c>
      <c r="AG147" s="168">
        <f t="shared" si="224"/>
        <v>0</v>
      </c>
      <c r="AH147" s="168">
        <f t="shared" si="224"/>
        <v>0</v>
      </c>
      <c r="AI147" s="168">
        <f t="shared" si="224"/>
        <v>0</v>
      </c>
      <c r="AJ147" s="168">
        <f t="shared" si="224"/>
        <v>0</v>
      </c>
      <c r="AK147" s="168">
        <f t="shared" si="224"/>
        <v>0</v>
      </c>
      <c r="AL147" s="168">
        <f t="shared" si="224"/>
        <v>0</v>
      </c>
      <c r="AM147" s="168">
        <f t="shared" si="224"/>
        <v>0</v>
      </c>
      <c r="AN147" s="168">
        <f t="shared" si="224"/>
        <v>0</v>
      </c>
      <c r="AO147" s="168">
        <f t="shared" si="224"/>
        <v>0</v>
      </c>
      <c r="AP147" s="168">
        <f t="shared" si="224"/>
        <v>0</v>
      </c>
      <c r="AQ147" s="168">
        <f t="shared" si="224"/>
        <v>0</v>
      </c>
      <c r="AR147" s="168">
        <f t="shared" si="224"/>
        <v>0</v>
      </c>
      <c r="AS147" s="168">
        <f t="shared" si="224"/>
        <v>0</v>
      </c>
      <c r="AT147" s="168">
        <f t="shared" si="224"/>
        <v>0</v>
      </c>
      <c r="AU147" s="168">
        <f t="shared" si="224"/>
        <v>0</v>
      </c>
      <c r="AV147" s="168">
        <f t="shared" si="224"/>
        <v>0</v>
      </c>
      <c r="AW147" s="168">
        <f t="shared" si="224"/>
        <v>0</v>
      </c>
      <c r="AX147" s="168">
        <f t="shared" si="224"/>
        <v>0</v>
      </c>
      <c r="AY147" s="168">
        <f>+SUM(AY144:AY146)</f>
        <v>0</v>
      </c>
      <c r="AZ147" s="168">
        <f t="shared" si="224"/>
        <v>0</v>
      </c>
      <c r="BA147" s="168">
        <f t="shared" si="224"/>
        <v>0</v>
      </c>
      <c r="BB147" s="168">
        <f t="shared" si="224"/>
        <v>0</v>
      </c>
      <c r="BC147" s="168">
        <f t="shared" si="224"/>
        <v>0</v>
      </c>
      <c r="BD147" s="168">
        <f>+SUM(BD144:BD146)</f>
        <v>0</v>
      </c>
      <c r="BE147" s="168">
        <f t="shared" si="224"/>
        <v>0</v>
      </c>
      <c r="BF147" s="168">
        <f t="shared" si="224"/>
        <v>0</v>
      </c>
      <c r="BG147" s="168">
        <f t="shared" si="224"/>
        <v>0</v>
      </c>
      <c r="BH147" s="168">
        <f t="shared" si="224"/>
        <v>0</v>
      </c>
      <c r="BI147" s="168">
        <f t="shared" si="224"/>
        <v>-38.225751418094902</v>
      </c>
      <c r="BJ147" s="168">
        <f t="shared" si="224"/>
        <v>-168.86325588474025</v>
      </c>
      <c r="BK147" s="168">
        <f t="shared" si="224"/>
        <v>-176.42069684131297</v>
      </c>
      <c r="BL147" s="918">
        <f t="shared" si="224"/>
        <v>-470.18658654191302</v>
      </c>
      <c r="BM147" s="168">
        <f t="shared" si="224"/>
        <v>-76.89943004093692</v>
      </c>
      <c r="BN147" s="918">
        <f t="shared" si="224"/>
        <v>-92.265623512436818</v>
      </c>
      <c r="BO147" s="168">
        <f t="shared" si="224"/>
        <v>-289.26108843154702</v>
      </c>
      <c r="BP147" s="168">
        <f t="shared" si="224"/>
        <v>-91.494631095228186</v>
      </c>
      <c r="BQ147" s="168">
        <f>+SUM(BQ144:BQ146)</f>
        <v>-325.58917959275766</v>
      </c>
      <c r="BR147" s="168">
        <f t="shared" ref="BR147" si="225">+SUM(BR144:BR146)</f>
        <v>-55.034385490320183</v>
      </c>
      <c r="BS147" s="168">
        <f t="shared" si="224"/>
        <v>534.0154775104993</v>
      </c>
      <c r="BT147" s="168">
        <f t="shared" si="224"/>
        <v>-87.289816461972862</v>
      </c>
      <c r="BU147" s="168">
        <f t="shared" ref="BU147" si="226">+SUM(BU144:BU146)</f>
        <v>-55.343485143393885</v>
      </c>
      <c r="BV147" s="168">
        <f>+SUM(BV144:BV146)</f>
        <v>-81.328049140403408</v>
      </c>
      <c r="BW147" s="168">
        <f t="shared" ref="BW147:DW147" si="227">+SUM(BW144:BW146)</f>
        <v>-107.76953677083203</v>
      </c>
      <c r="BX147" s="168">
        <f t="shared" si="227"/>
        <v>-911.71832147226928</v>
      </c>
      <c r="BY147" s="168">
        <f t="shared" si="227"/>
        <v>-400.59980331115349</v>
      </c>
      <c r="BZ147" s="168">
        <f t="shared" ca="1" si="227"/>
        <v>-441.70102075823399</v>
      </c>
      <c r="CA147" s="168">
        <f t="shared" ca="1" si="227"/>
        <v>-435.37690465710187</v>
      </c>
      <c r="CB147" s="168">
        <f t="shared" ca="1" si="227"/>
        <v>-435.37690465710187</v>
      </c>
      <c r="CC147" s="168">
        <f t="shared" ca="1" si="227"/>
        <v>-435.37690465710187</v>
      </c>
      <c r="CD147" s="168">
        <f t="shared" ca="1" si="227"/>
        <v>-435.37690465710187</v>
      </c>
      <c r="CE147" s="168">
        <f t="shared" ca="1" si="227"/>
        <v>-435.37690465710187</v>
      </c>
      <c r="CF147" s="168">
        <f t="shared" ca="1" si="227"/>
        <v>-444.36243312754368</v>
      </c>
      <c r="CG147" s="168">
        <f t="shared" ca="1" si="227"/>
        <v>-445.92309660820519</v>
      </c>
      <c r="CH147" s="168">
        <f t="shared" ca="1" si="227"/>
        <v>-445.92309660820519</v>
      </c>
      <c r="CI147" s="168">
        <f t="shared" ca="1" si="227"/>
        <v>-445.92309660820519</v>
      </c>
      <c r="CJ147" s="168">
        <f t="shared" ca="1" si="227"/>
        <v>-445.92309660820519</v>
      </c>
      <c r="CK147" s="168">
        <f t="shared" ca="1" si="227"/>
        <v>-445.92309660820519</v>
      </c>
      <c r="CL147" s="168">
        <f t="shared" ca="1" si="227"/>
        <v>-445.92309660820519</v>
      </c>
      <c r="CM147" s="168">
        <f t="shared" ca="1" si="227"/>
        <v>-445.92309660820519</v>
      </c>
      <c r="CN147" s="168">
        <f t="shared" ca="1" si="227"/>
        <v>-445.92309660820519</v>
      </c>
      <c r="CO147" s="168">
        <f t="shared" ca="1" si="227"/>
        <v>-445.92309660820519</v>
      </c>
      <c r="CP147" s="168">
        <f t="shared" ca="1" si="227"/>
        <v>-445.92309660820519</v>
      </c>
      <c r="CQ147" s="168">
        <f t="shared" ca="1" si="227"/>
        <v>-445.92309660820519</v>
      </c>
      <c r="CR147" s="168">
        <f t="shared" ca="1" si="227"/>
        <v>-445.92309660820519</v>
      </c>
      <c r="CS147" s="168">
        <f t="shared" ca="1" si="227"/>
        <v>-445.92309660820519</v>
      </c>
      <c r="CT147" s="168">
        <f t="shared" ca="1" si="227"/>
        <v>-445.92309660820519</v>
      </c>
      <c r="CU147" s="168">
        <f t="shared" ca="1" si="227"/>
        <v>-445.92309660820519</v>
      </c>
      <c r="CV147" s="168">
        <f t="shared" ca="1" si="227"/>
        <v>-445.92309660820519</v>
      </c>
      <c r="CW147" s="168">
        <f t="shared" ca="1" si="227"/>
        <v>-445.92309660820519</v>
      </c>
      <c r="CX147" s="168">
        <f t="shared" ca="1" si="227"/>
        <v>-445.92309660820519</v>
      </c>
      <c r="CY147" s="168">
        <f t="shared" ca="1" si="227"/>
        <v>-445.92309660820519</v>
      </c>
      <c r="CZ147" s="168">
        <f t="shared" ca="1" si="227"/>
        <v>-445.92309660820519</v>
      </c>
      <c r="DA147" s="168">
        <f t="shared" ca="1" si="227"/>
        <v>-445.92309660820519</v>
      </c>
      <c r="DB147" s="168">
        <f t="shared" ca="1" si="227"/>
        <v>-445.92309660820519</v>
      </c>
      <c r="DC147" s="168">
        <f t="shared" ca="1" si="227"/>
        <v>-445.92309660820519</v>
      </c>
      <c r="DD147" s="168">
        <f t="shared" ca="1" si="227"/>
        <v>-445.92309660820519</v>
      </c>
      <c r="DE147" s="168">
        <f t="shared" ca="1" si="227"/>
        <v>-445.92309660820519</v>
      </c>
      <c r="DF147" s="168">
        <f t="shared" ca="1" si="227"/>
        <v>-445.92309660820519</v>
      </c>
      <c r="DG147" s="168">
        <f t="shared" ca="1" si="227"/>
        <v>-445.92309660820519</v>
      </c>
      <c r="DH147" s="168">
        <f t="shared" ca="1" si="227"/>
        <v>-445.92309660820519</v>
      </c>
      <c r="DI147" s="168">
        <f t="shared" ca="1" si="227"/>
        <v>-445.92309660820519</v>
      </c>
      <c r="DJ147" s="168">
        <f t="shared" ca="1" si="227"/>
        <v>-445.92309660820519</v>
      </c>
      <c r="DK147" s="168">
        <f t="shared" ca="1" si="227"/>
        <v>-445.92309660820519</v>
      </c>
      <c r="DL147" s="168">
        <f t="shared" ca="1" si="227"/>
        <v>-445.92309660820519</v>
      </c>
      <c r="DM147" s="168">
        <f t="shared" ca="1" si="227"/>
        <v>-445.92309660820519</v>
      </c>
      <c r="DN147" s="168">
        <f t="shared" ca="1" si="227"/>
        <v>-445.92309660820519</v>
      </c>
      <c r="DO147" s="168">
        <f t="shared" ca="1" si="227"/>
        <v>-445.92309660820519</v>
      </c>
      <c r="DP147" s="168">
        <f t="shared" ca="1" si="227"/>
        <v>-445.92309660820519</v>
      </c>
      <c r="DQ147" s="168">
        <f t="shared" ca="1" si="227"/>
        <v>-445.92309660820519</v>
      </c>
      <c r="DR147" s="168">
        <f t="shared" ca="1" si="227"/>
        <v>-445.92309660820519</v>
      </c>
      <c r="DS147" s="168">
        <f t="shared" ca="1" si="227"/>
        <v>-445.92309660820519</v>
      </c>
      <c r="DT147" s="168">
        <f t="shared" ca="1" si="227"/>
        <v>-445.92309660820519</v>
      </c>
      <c r="DU147" s="168">
        <f t="shared" ca="1" si="227"/>
        <v>-445.92309660820519</v>
      </c>
      <c r="DV147" s="168">
        <f t="shared" ca="1" si="227"/>
        <v>-445.92309660820519</v>
      </c>
      <c r="DW147" s="168">
        <f t="shared" ca="1" si="227"/>
        <v>-445.92309660820519</v>
      </c>
      <c r="DX147" s="168">
        <f t="shared" ref="DX147" ca="1" si="228">+SUM(DX144:DX146)</f>
        <v>-445.92309660820519</v>
      </c>
      <c r="DY147" s="168">
        <f t="shared" ref="DY147" ca="1" si="229">+SUM(DY144:DY146)</f>
        <v>-445.92309660820519</v>
      </c>
    </row>
    <row r="148" spans="1:129" s="3" customFormat="1" ht="11.7" customHeight="1" outlineLevel="1" x14ac:dyDescent="0.3">
      <c r="A148" s="85"/>
      <c r="B148" s="203"/>
      <c r="C148" s="203"/>
      <c r="D148" s="109"/>
      <c r="E148" s="109"/>
      <c r="F148" s="109"/>
      <c r="G148" s="175"/>
      <c r="H148" s="175"/>
      <c r="I148" s="176"/>
      <c r="J148" s="176"/>
      <c r="K148" s="176"/>
      <c r="L148" s="176"/>
      <c r="M148" s="176"/>
      <c r="N148" s="176"/>
      <c r="O148" s="176"/>
      <c r="P148" s="176"/>
      <c r="Q148" s="176"/>
      <c r="R148" s="176"/>
      <c r="S148" s="176"/>
      <c r="T148" s="176"/>
      <c r="U148" s="176"/>
      <c r="V148" s="176"/>
      <c r="W148" s="176"/>
      <c r="X148" s="176"/>
      <c r="Y148" s="176"/>
      <c r="Z148" s="176"/>
      <c r="AA148" s="176"/>
      <c r="AB148" s="176"/>
      <c r="AC148" s="176"/>
      <c r="AD148" s="176"/>
      <c r="AE148" s="176"/>
      <c r="AF148" s="176"/>
      <c r="AG148" s="176"/>
      <c r="AH148" s="176"/>
      <c r="AI148" s="176"/>
      <c r="AJ148" s="176"/>
      <c r="AK148" s="176"/>
      <c r="AL148" s="176"/>
      <c r="AM148" s="176"/>
      <c r="AN148" s="176"/>
      <c r="AO148" s="176"/>
      <c r="AP148" s="176"/>
      <c r="AQ148" s="176"/>
      <c r="AR148" s="176"/>
      <c r="AS148" s="176"/>
      <c r="AT148" s="176"/>
      <c r="AU148" s="176"/>
      <c r="AV148" s="176"/>
      <c r="AW148" s="176"/>
      <c r="AX148" s="176"/>
      <c r="AY148" s="176"/>
      <c r="AZ148" s="176"/>
      <c r="BA148" s="176"/>
      <c r="BB148" s="176"/>
      <c r="BC148" s="176"/>
      <c r="BD148" s="176"/>
      <c r="BE148" s="176"/>
      <c r="BF148" s="176"/>
      <c r="BG148" s="176"/>
      <c r="BH148" s="176"/>
      <c r="BI148" s="1179"/>
      <c r="BJ148" s="1179"/>
      <c r="BK148" s="1179"/>
      <c r="BL148" s="1179"/>
      <c r="BM148" s="1179"/>
      <c r="BN148" s="1179"/>
      <c r="BO148" s="1179"/>
      <c r="BP148" s="1179"/>
      <c r="BQ148" s="1179"/>
      <c r="BR148" s="1179"/>
      <c r="BS148" s="1179"/>
      <c r="BT148" s="176"/>
      <c r="BU148" s="176"/>
      <c r="BV148" s="176"/>
      <c r="BW148" s="176"/>
      <c r="BX148" s="176"/>
      <c r="BY148" s="176"/>
      <c r="BZ148" s="176"/>
      <c r="CA148" s="176"/>
      <c r="CB148" s="176"/>
      <c r="CC148" s="176"/>
      <c r="CD148" s="176"/>
      <c r="CE148" s="176"/>
      <c r="CF148" s="176"/>
      <c r="CG148" s="176"/>
      <c r="CH148" s="176"/>
      <c r="CI148" s="176"/>
      <c r="CJ148" s="176"/>
      <c r="CK148" s="176"/>
      <c r="CL148" s="176"/>
      <c r="CM148" s="176"/>
      <c r="CN148" s="176"/>
      <c r="CO148" s="176"/>
      <c r="CP148" s="176"/>
      <c r="CQ148" s="176"/>
      <c r="CR148" s="176"/>
      <c r="CS148" s="176"/>
      <c r="CT148" s="176"/>
      <c r="CU148" s="176"/>
      <c r="CV148" s="176"/>
      <c r="CW148" s="176"/>
      <c r="CX148" s="176"/>
      <c r="CY148" s="176"/>
      <c r="CZ148" s="176"/>
      <c r="DA148" s="176"/>
      <c r="DB148" s="176"/>
      <c r="DC148" s="176"/>
      <c r="DD148" s="176"/>
      <c r="DE148" s="176"/>
      <c r="DF148" s="176"/>
      <c r="DG148" s="176"/>
      <c r="DH148" s="176"/>
      <c r="DI148" s="176"/>
      <c r="DJ148" s="176"/>
      <c r="DK148" s="176"/>
      <c r="DL148" s="176"/>
      <c r="DM148" s="176"/>
      <c r="DN148" s="176"/>
      <c r="DO148" s="176"/>
      <c r="DP148" s="176"/>
      <c r="DQ148" s="176"/>
      <c r="DR148" s="176"/>
      <c r="DS148" s="176"/>
      <c r="DT148" s="176"/>
      <c r="DU148" s="176"/>
      <c r="DV148" s="176"/>
      <c r="DW148" s="176"/>
      <c r="DX148" s="176"/>
      <c r="DY148" s="176"/>
    </row>
    <row r="149" spans="1:129" s="3" customFormat="1" ht="11.7" customHeight="1" outlineLevel="1" x14ac:dyDescent="0.3">
      <c r="B149" s="195" t="s">
        <v>724</v>
      </c>
      <c r="C149" s="230"/>
      <c r="G149" s="127"/>
      <c r="H149" s="127"/>
      <c r="I149" s="111"/>
      <c r="J149" s="111"/>
      <c r="K149" s="111"/>
      <c r="L149" s="111"/>
      <c r="M149" s="111"/>
      <c r="N149" s="111"/>
      <c r="O149" s="111"/>
      <c r="P149" s="111"/>
      <c r="Q149" s="111"/>
      <c r="R149" s="111"/>
      <c r="S149" s="111"/>
      <c r="T149" s="111"/>
      <c r="U149" s="111"/>
      <c r="V149" s="111"/>
      <c r="W149" s="111"/>
      <c r="X149" s="111"/>
      <c r="Y149" s="111"/>
      <c r="Z149" s="111"/>
      <c r="AA149" s="111"/>
      <c r="AB149" s="111"/>
      <c r="AC149" s="111"/>
      <c r="AD149" s="111"/>
      <c r="AE149" s="111"/>
      <c r="AF149" s="111"/>
      <c r="AG149" s="111"/>
      <c r="AH149" s="111"/>
      <c r="AI149" s="111"/>
      <c r="AJ149" s="111"/>
      <c r="AK149" s="111"/>
      <c r="AL149" s="111"/>
      <c r="AM149" s="111"/>
      <c r="AN149" s="111"/>
      <c r="AO149" s="111"/>
      <c r="AP149" s="111"/>
      <c r="AQ149" s="111"/>
      <c r="AR149" s="111"/>
      <c r="AS149" s="111"/>
      <c r="AT149" s="111"/>
      <c r="AU149" s="111"/>
      <c r="AV149" s="111"/>
      <c r="AW149" s="111"/>
      <c r="AX149" s="111"/>
      <c r="AY149" s="111"/>
      <c r="AZ149" s="111"/>
      <c r="BA149" s="111"/>
      <c r="BB149" s="111"/>
      <c r="BC149" s="111"/>
      <c r="BD149" s="111"/>
      <c r="BE149" s="111"/>
      <c r="BF149" s="111"/>
      <c r="BG149" s="111"/>
      <c r="BH149" s="111"/>
      <c r="BI149" s="14"/>
      <c r="BJ149" s="14"/>
      <c r="BK149" s="14"/>
      <c r="BL149" s="14"/>
      <c r="BM149" s="14"/>
      <c r="BN149" s="14"/>
      <c r="BO149" s="14"/>
      <c r="BP149" s="14"/>
      <c r="BQ149" s="14"/>
      <c r="BR149" s="14"/>
      <c r="BS149" s="14"/>
      <c r="BT149" s="111"/>
      <c r="BU149" s="111"/>
      <c r="BV149" s="111"/>
      <c r="BW149" s="111"/>
      <c r="BX149" s="111"/>
      <c r="BY149" s="111"/>
      <c r="BZ149" s="111"/>
      <c r="CA149" s="111"/>
      <c r="CB149" s="111"/>
      <c r="CC149" s="111"/>
      <c r="CD149" s="111"/>
      <c r="CE149" s="111"/>
      <c r="CF149" s="111"/>
      <c r="CG149" s="111"/>
      <c r="CH149" s="111"/>
      <c r="CI149" s="111"/>
      <c r="CJ149" s="111"/>
      <c r="CK149" s="111"/>
      <c r="CL149" s="111"/>
      <c r="CM149" s="111"/>
      <c r="CN149" s="111"/>
      <c r="CO149" s="111"/>
      <c r="CP149" s="111"/>
      <c r="CQ149" s="111"/>
      <c r="CR149" s="111"/>
      <c r="CS149" s="111"/>
      <c r="CT149" s="111"/>
      <c r="CU149" s="111"/>
      <c r="CV149" s="111"/>
      <c r="CW149" s="111"/>
      <c r="CX149" s="111"/>
      <c r="CY149" s="111"/>
      <c r="CZ149" s="111"/>
      <c r="DA149" s="111"/>
      <c r="DB149" s="111"/>
      <c r="DC149" s="111"/>
      <c r="DD149" s="111"/>
      <c r="DE149" s="111"/>
      <c r="DF149" s="111"/>
      <c r="DG149" s="111"/>
      <c r="DH149" s="111"/>
      <c r="DI149" s="111"/>
      <c r="DJ149" s="111"/>
      <c r="DK149" s="111"/>
      <c r="DL149" s="111"/>
      <c r="DM149" s="111"/>
      <c r="DN149" s="111"/>
      <c r="DO149" s="111"/>
      <c r="DP149" s="111"/>
      <c r="DQ149" s="111"/>
      <c r="DR149" s="111"/>
      <c r="DS149" s="111"/>
      <c r="DT149" s="111"/>
      <c r="DU149" s="111"/>
      <c r="DV149" s="111"/>
      <c r="DW149" s="111"/>
      <c r="DX149" s="111"/>
      <c r="DY149" s="111"/>
    </row>
    <row r="150" spans="1:129" s="3" customFormat="1" ht="11.7" hidden="1" customHeight="1" outlineLevel="2" x14ac:dyDescent="0.3">
      <c r="B150" s="195" t="s">
        <v>97</v>
      </c>
      <c r="C150" s="230"/>
      <c r="G150" s="127"/>
      <c r="H150" s="127"/>
      <c r="I150" s="111"/>
      <c r="J150" s="111"/>
      <c r="K150" s="111"/>
      <c r="L150" s="111"/>
      <c r="M150" s="111"/>
      <c r="N150" s="111"/>
      <c r="O150" s="111"/>
      <c r="P150" s="111"/>
      <c r="Q150" s="111"/>
      <c r="R150" s="111"/>
      <c r="S150" s="111"/>
      <c r="T150" s="111"/>
      <c r="U150" s="111"/>
      <c r="V150" s="111"/>
      <c r="W150" s="111"/>
      <c r="X150" s="111"/>
      <c r="Y150" s="111"/>
      <c r="Z150" s="111"/>
      <c r="AA150" s="111"/>
      <c r="AB150" s="111"/>
      <c r="AC150" s="111"/>
      <c r="AD150" s="111"/>
      <c r="AE150" s="111"/>
      <c r="AF150" s="111"/>
      <c r="AG150" s="111"/>
      <c r="AH150" s="111"/>
      <c r="AI150" s="111"/>
      <c r="AJ150" s="111"/>
      <c r="AK150" s="111"/>
      <c r="AL150" s="111"/>
      <c r="AM150" s="111"/>
      <c r="AN150" s="111"/>
      <c r="AO150" s="111"/>
      <c r="AP150" s="111"/>
      <c r="AQ150" s="111"/>
      <c r="AR150" s="111"/>
      <c r="AS150" s="111"/>
      <c r="AT150" s="111"/>
      <c r="AU150" s="111"/>
      <c r="AV150" s="111"/>
      <c r="AW150" s="111"/>
      <c r="AX150" s="111"/>
      <c r="AY150" s="111"/>
      <c r="AZ150" s="111"/>
      <c r="BA150" s="111"/>
      <c r="BB150" s="111"/>
      <c r="BC150" s="111"/>
      <c r="BD150" s="111"/>
      <c r="BE150" s="111"/>
      <c r="BF150" s="111"/>
      <c r="BG150" s="111"/>
      <c r="BH150" s="111"/>
      <c r="BI150" s="111"/>
      <c r="BJ150" s="111"/>
      <c r="BK150" s="111"/>
      <c r="BL150" s="111"/>
      <c r="BM150" s="1141"/>
      <c r="BN150" s="1141"/>
      <c r="BO150" s="111"/>
      <c r="BP150" s="111"/>
      <c r="BQ150" s="111"/>
      <c r="BR150" s="111"/>
      <c r="BS150" s="111"/>
      <c r="BT150" s="111"/>
      <c r="BU150" s="111"/>
      <c r="BV150" s="111"/>
      <c r="BW150" s="111"/>
      <c r="BX150" s="111"/>
      <c r="BY150" s="111"/>
      <c r="BZ150" s="111"/>
      <c r="CA150" s="111"/>
      <c r="CB150" s="111"/>
      <c r="CC150" s="111"/>
      <c r="CD150" s="111"/>
      <c r="CE150" s="111"/>
      <c r="CF150" s="111"/>
      <c r="CG150" s="111"/>
      <c r="CH150" s="111"/>
      <c r="CI150" s="111"/>
      <c r="CJ150" s="111"/>
      <c r="CK150" s="111"/>
      <c r="CL150" s="111"/>
      <c r="CM150" s="111"/>
      <c r="CN150" s="111"/>
      <c r="CO150" s="111"/>
      <c r="CP150" s="111"/>
      <c r="CQ150" s="111"/>
      <c r="CR150" s="111"/>
      <c r="CS150" s="111"/>
      <c r="CT150" s="111"/>
      <c r="CU150" s="111"/>
      <c r="CV150" s="111"/>
      <c r="CW150" s="111"/>
      <c r="CX150" s="111"/>
      <c r="CY150" s="111"/>
      <c r="CZ150" s="111"/>
      <c r="DA150" s="111"/>
      <c r="DB150" s="111"/>
      <c r="DC150" s="111"/>
      <c r="DD150" s="111"/>
      <c r="DE150" s="111"/>
      <c r="DF150" s="111"/>
      <c r="DG150" s="111"/>
      <c r="DH150" s="111"/>
      <c r="DI150" s="111"/>
      <c r="DJ150" s="111"/>
      <c r="DK150" s="111"/>
      <c r="DL150" s="111"/>
      <c r="DM150" s="111"/>
      <c r="DN150" s="111"/>
      <c r="DO150" s="111"/>
      <c r="DP150" s="111"/>
      <c r="DQ150" s="111"/>
      <c r="DR150" s="111"/>
      <c r="DS150" s="111"/>
      <c r="DT150" s="111"/>
      <c r="DU150" s="111"/>
      <c r="DV150" s="111"/>
      <c r="DW150" s="111"/>
      <c r="DX150" s="111"/>
      <c r="DY150" s="111"/>
    </row>
    <row r="151" spans="1:129" s="3" customFormat="1" ht="11.7" hidden="1" customHeight="1" outlineLevel="2" x14ac:dyDescent="0.3">
      <c r="B151" s="113" t="s">
        <v>720</v>
      </c>
      <c r="C151" s="230"/>
      <c r="G151" s="127"/>
      <c r="H151" s="127"/>
      <c r="I151" s="1019">
        <v>0</v>
      </c>
      <c r="J151" s="1019">
        <v>0</v>
      </c>
      <c r="K151" s="1019">
        <v>0</v>
      </c>
      <c r="L151" s="1019">
        <v>0</v>
      </c>
      <c r="M151" s="1019">
        <v>0</v>
      </c>
      <c r="N151" s="1019">
        <v>0</v>
      </c>
      <c r="O151" s="1019">
        <v>0</v>
      </c>
      <c r="P151" s="1019">
        <v>0</v>
      </c>
      <c r="Q151" s="1019">
        <v>0</v>
      </c>
      <c r="R151" s="1019">
        <v>0</v>
      </c>
      <c r="S151" s="1019">
        <v>0</v>
      </c>
      <c r="T151" s="1019">
        <v>0</v>
      </c>
      <c r="U151" s="1019">
        <v>0</v>
      </c>
      <c r="V151" s="1019">
        <v>0</v>
      </c>
      <c r="W151" s="1019">
        <v>0</v>
      </c>
      <c r="X151" s="1019">
        <v>0</v>
      </c>
      <c r="Y151" s="1019">
        <v>0</v>
      </c>
      <c r="Z151" s="1019">
        <v>0</v>
      </c>
      <c r="AA151" s="1019">
        <v>0</v>
      </c>
      <c r="AB151" s="1019">
        <v>0</v>
      </c>
      <c r="AC151" s="1019">
        <v>0</v>
      </c>
      <c r="AD151" s="1019">
        <v>0</v>
      </c>
      <c r="AE151" s="1019">
        <v>0</v>
      </c>
      <c r="AF151" s="1019">
        <v>0</v>
      </c>
      <c r="AG151" s="1019">
        <v>0</v>
      </c>
      <c r="AH151" s="1019">
        <v>0</v>
      </c>
      <c r="AI151" s="1019">
        <v>0</v>
      </c>
      <c r="AJ151" s="1019">
        <v>0</v>
      </c>
      <c r="AK151" s="1019">
        <v>0</v>
      </c>
      <c r="AL151" s="1019">
        <v>0</v>
      </c>
      <c r="AM151" s="1019">
        <v>0</v>
      </c>
      <c r="AN151" s="1019">
        <v>0</v>
      </c>
      <c r="AO151" s="1019">
        <v>0</v>
      </c>
      <c r="AP151" s="1019">
        <v>0</v>
      </c>
      <c r="AQ151" s="1019">
        <v>0</v>
      </c>
      <c r="AR151" s="1019">
        <v>0</v>
      </c>
      <c r="AS151" s="1019">
        <v>0</v>
      </c>
      <c r="AT151" s="1019">
        <v>0</v>
      </c>
      <c r="AU151" s="1019">
        <v>0</v>
      </c>
      <c r="AV151" s="1019">
        <v>0</v>
      </c>
      <c r="AW151" s="1019">
        <v>0</v>
      </c>
      <c r="AX151" s="1019">
        <v>0</v>
      </c>
      <c r="AY151" s="1019">
        <v>0</v>
      </c>
      <c r="AZ151" s="1019">
        <v>0</v>
      </c>
      <c r="BA151" s="1019">
        <v>0</v>
      </c>
      <c r="BB151" s="1019">
        <v>0</v>
      </c>
      <c r="BC151" s="1019">
        <v>0</v>
      </c>
      <c r="BD151" s="1019">
        <v>0</v>
      </c>
      <c r="BE151" s="1019">
        <v>0</v>
      </c>
      <c r="BF151" s="1019">
        <v>0</v>
      </c>
      <c r="BG151" s="1019">
        <v>0</v>
      </c>
      <c r="BH151" s="1019">
        <v>0</v>
      </c>
      <c r="BI151" s="1019">
        <v>9932</v>
      </c>
      <c r="BJ151" s="1019">
        <v>3485</v>
      </c>
      <c r="BK151" s="1019">
        <v>4360</v>
      </c>
      <c r="BL151" s="1019">
        <v>4541</v>
      </c>
      <c r="BM151" s="1019">
        <v>4312</v>
      </c>
      <c r="BN151" s="1019">
        <v>4220</v>
      </c>
      <c r="BO151" s="1019">
        <v>4712</v>
      </c>
      <c r="BP151" s="1019">
        <v>4695</v>
      </c>
      <c r="BQ151" s="1019">
        <v>5148</v>
      </c>
      <c r="BR151" s="1019">
        <v>4757</v>
      </c>
      <c r="BS151" s="1019">
        <v>0</v>
      </c>
      <c r="BT151" s="1019">
        <v>4575</v>
      </c>
      <c r="BU151" s="1019">
        <v>0</v>
      </c>
      <c r="BV151" s="1019">
        <v>0</v>
      </c>
      <c r="BW151" s="1019">
        <v>0</v>
      </c>
      <c r="BX151" s="1019">
        <v>0</v>
      </c>
      <c r="BY151" s="1019">
        <v>0</v>
      </c>
      <c r="BZ151" s="111" t="s">
        <v>794</v>
      </c>
      <c r="CA151" s="111"/>
      <c r="CB151" s="111"/>
      <c r="CC151" s="111"/>
      <c r="CD151" s="111"/>
      <c r="CE151" s="111"/>
      <c r="CF151" s="111"/>
      <c r="CG151" s="111"/>
      <c r="CH151" s="111"/>
      <c r="CI151" s="111"/>
      <c r="CJ151" s="111"/>
      <c r="CK151" s="111"/>
      <c r="CL151" s="111"/>
      <c r="CM151" s="111"/>
      <c r="CN151" s="111"/>
      <c r="CO151" s="111"/>
      <c r="CP151" s="111"/>
      <c r="CQ151" s="111"/>
      <c r="CR151" s="111"/>
      <c r="CS151" s="111"/>
      <c r="CT151" s="111"/>
      <c r="CU151" s="111"/>
      <c r="CV151" s="111"/>
      <c r="CW151" s="111"/>
      <c r="CX151" s="111"/>
      <c r="CY151" s="111"/>
      <c r="CZ151" s="111"/>
      <c r="DA151" s="111"/>
      <c r="DB151" s="111"/>
      <c r="DC151" s="111"/>
      <c r="DD151" s="111"/>
      <c r="DE151" s="111"/>
      <c r="DF151" s="111"/>
      <c r="DG151" s="111"/>
      <c r="DH151" s="111"/>
      <c r="DI151" s="111"/>
      <c r="DJ151" s="111"/>
      <c r="DK151" s="111"/>
      <c r="DL151" s="111"/>
      <c r="DM151" s="111"/>
      <c r="DN151" s="111"/>
      <c r="DO151" s="111"/>
      <c r="DP151" s="111"/>
      <c r="DQ151" s="111"/>
      <c r="DR151" s="111"/>
      <c r="DS151" s="111"/>
      <c r="DT151" s="111"/>
      <c r="DU151" s="111"/>
      <c r="DV151" s="111"/>
      <c r="DW151" s="111"/>
      <c r="DX151" s="111"/>
      <c r="DY151" s="111"/>
    </row>
    <row r="152" spans="1:129" s="3" customFormat="1" ht="11.7" hidden="1" customHeight="1" outlineLevel="2" x14ac:dyDescent="0.3">
      <c r="B152" s="113"/>
      <c r="C152" s="230"/>
      <c r="G152" s="127"/>
      <c r="H152" s="127"/>
      <c r="I152" s="1019"/>
      <c r="J152" s="1019"/>
      <c r="K152" s="1019"/>
      <c r="L152" s="1019"/>
      <c r="M152" s="1019"/>
      <c r="N152" s="1019"/>
      <c r="O152" s="1019"/>
      <c r="P152" s="1019"/>
      <c r="Q152" s="1019"/>
      <c r="R152" s="1019"/>
      <c r="S152" s="1019"/>
      <c r="T152" s="1019"/>
      <c r="U152" s="1019"/>
      <c r="V152" s="1019"/>
      <c r="W152" s="1019"/>
      <c r="X152" s="1019"/>
      <c r="Y152" s="1019"/>
      <c r="Z152" s="1019"/>
      <c r="AA152" s="1019"/>
      <c r="AB152" s="1019"/>
      <c r="AC152" s="1019"/>
      <c r="AD152" s="1019"/>
      <c r="AE152" s="1019"/>
      <c r="AF152" s="1019"/>
      <c r="AG152" s="1019"/>
      <c r="AH152" s="1019"/>
      <c r="AI152" s="1019"/>
      <c r="AJ152" s="1019"/>
      <c r="AK152" s="1019"/>
      <c r="AL152" s="1019"/>
      <c r="AM152" s="1019"/>
      <c r="AN152" s="1019"/>
      <c r="AO152" s="1019"/>
      <c r="AP152" s="1019"/>
      <c r="AQ152" s="1019"/>
      <c r="AR152" s="1019"/>
      <c r="AS152" s="1019"/>
      <c r="AT152" s="1019"/>
      <c r="AU152" s="1019"/>
      <c r="AV152" s="1019"/>
      <c r="AW152" s="1019"/>
      <c r="AX152" s="1019"/>
      <c r="AY152" s="1019"/>
      <c r="AZ152" s="1019"/>
      <c r="BA152" s="1019"/>
      <c r="BB152" s="1019"/>
      <c r="BC152" s="1019"/>
      <c r="BD152" s="1019"/>
      <c r="BE152" s="1019"/>
      <c r="BF152" s="1019"/>
      <c r="BG152" s="1019"/>
      <c r="BH152" s="1019"/>
      <c r="BI152" s="1019"/>
      <c r="BJ152" s="1019"/>
      <c r="BK152" s="1019"/>
      <c r="BL152" s="1019"/>
      <c r="BM152" s="1019"/>
      <c r="BN152" s="1019"/>
      <c r="BO152" s="1019"/>
      <c r="BP152" s="1019"/>
      <c r="BQ152" s="1019"/>
      <c r="BR152" s="1019"/>
      <c r="BS152" s="1019"/>
      <c r="BT152" s="1019"/>
      <c r="BU152" s="1019"/>
      <c r="BV152" s="1019"/>
      <c r="BW152" s="1019"/>
      <c r="BX152" s="1019"/>
      <c r="BY152" s="1019"/>
      <c r="BZ152" s="111"/>
      <c r="CA152" s="111"/>
      <c r="CB152" s="111"/>
      <c r="CC152" s="111"/>
      <c r="CD152" s="111"/>
      <c r="CE152" s="111"/>
      <c r="CF152" s="111"/>
      <c r="CG152" s="111"/>
      <c r="CH152" s="111"/>
      <c r="CI152" s="111"/>
      <c r="CJ152" s="111"/>
      <c r="CK152" s="111"/>
      <c r="CL152" s="111"/>
      <c r="CM152" s="111"/>
      <c r="CN152" s="111"/>
      <c r="CO152" s="111"/>
      <c r="CP152" s="111"/>
      <c r="CQ152" s="111"/>
      <c r="CR152" s="111"/>
      <c r="CS152" s="111"/>
      <c r="CT152" s="111"/>
      <c r="CU152" s="111"/>
      <c r="CV152" s="111"/>
      <c r="CW152" s="111"/>
      <c r="CX152" s="111"/>
      <c r="CY152" s="111"/>
      <c r="CZ152" s="111"/>
      <c r="DA152" s="111"/>
      <c r="DB152" s="111"/>
      <c r="DC152" s="111"/>
      <c r="DD152" s="111"/>
      <c r="DE152" s="111"/>
      <c r="DF152" s="111"/>
      <c r="DG152" s="111"/>
      <c r="DH152" s="111"/>
      <c r="DI152" s="111"/>
      <c r="DJ152" s="111"/>
      <c r="DK152" s="111"/>
      <c r="DL152" s="111"/>
      <c r="DM152" s="111"/>
      <c r="DN152" s="111"/>
      <c r="DO152" s="111"/>
      <c r="DP152" s="111"/>
      <c r="DQ152" s="111"/>
      <c r="DR152" s="111"/>
      <c r="DS152" s="111"/>
      <c r="DT152" s="111"/>
      <c r="DU152" s="111"/>
      <c r="DV152" s="111"/>
      <c r="DW152" s="111"/>
      <c r="DX152" s="111"/>
      <c r="DY152" s="111"/>
    </row>
    <row r="153" spans="1:129" s="3" customFormat="1" ht="11.7" hidden="1" customHeight="1" outlineLevel="2" x14ac:dyDescent="0.3">
      <c r="B153" s="195" t="s">
        <v>725</v>
      </c>
      <c r="C153" s="230"/>
      <c r="G153" s="127"/>
      <c r="H153" s="127"/>
      <c r="I153" s="1019"/>
      <c r="J153" s="1019"/>
      <c r="K153" s="1019"/>
      <c r="L153" s="1019"/>
      <c r="M153" s="1019"/>
      <c r="N153" s="1019"/>
      <c r="O153" s="1019"/>
      <c r="P153" s="1019"/>
      <c r="Q153" s="1019"/>
      <c r="R153" s="1019"/>
      <c r="S153" s="1019"/>
      <c r="T153" s="1019"/>
      <c r="U153" s="1019"/>
      <c r="V153" s="1019"/>
      <c r="W153" s="1019"/>
      <c r="X153" s="1019"/>
      <c r="Y153" s="1019"/>
      <c r="Z153" s="1019"/>
      <c r="AA153" s="1019"/>
      <c r="AB153" s="1019"/>
      <c r="AC153" s="1019"/>
      <c r="AD153" s="1019"/>
      <c r="AE153" s="1019"/>
      <c r="AF153" s="1019"/>
      <c r="AG153" s="1019"/>
      <c r="AH153" s="1019"/>
      <c r="AI153" s="1019"/>
      <c r="AJ153" s="1019"/>
      <c r="AK153" s="1019"/>
      <c r="AL153" s="1019"/>
      <c r="AM153" s="1019"/>
      <c r="AN153" s="1019"/>
      <c r="AO153" s="1019"/>
      <c r="AP153" s="1019"/>
      <c r="AQ153" s="1019"/>
      <c r="AR153" s="1019"/>
      <c r="AS153" s="1019"/>
      <c r="AT153" s="1019"/>
      <c r="AU153" s="1019"/>
      <c r="AV153" s="1019"/>
      <c r="AW153" s="1019"/>
      <c r="AX153" s="1019"/>
      <c r="AY153" s="1019"/>
      <c r="AZ153" s="1019"/>
      <c r="BA153" s="1019"/>
      <c r="BB153" s="1019"/>
      <c r="BC153" s="1019"/>
      <c r="BD153" s="1019"/>
      <c r="BE153" s="1019"/>
      <c r="BF153" s="1019"/>
      <c r="BG153" s="1019"/>
      <c r="BH153" s="1019"/>
      <c r="BI153" s="1019"/>
      <c r="BJ153" s="1019"/>
      <c r="BK153" s="1019"/>
      <c r="BL153" s="1019"/>
      <c r="BM153" s="1019"/>
      <c r="BN153" s="1019"/>
      <c r="BO153" s="1019"/>
      <c r="BP153" s="1019"/>
      <c r="BQ153" s="1019"/>
      <c r="BR153" s="1019"/>
      <c r="BS153" s="1019"/>
      <c r="BT153" s="1019"/>
      <c r="BU153" s="1019"/>
      <c r="BV153" s="1019"/>
      <c r="BW153" s="1019"/>
      <c r="BX153" s="1019"/>
      <c r="BY153" s="1019"/>
      <c r="BZ153" s="111"/>
      <c r="CA153" s="111"/>
      <c r="CB153" s="111"/>
      <c r="CC153" s="111"/>
      <c r="CD153" s="111"/>
      <c r="CE153" s="111"/>
      <c r="CF153" s="111"/>
      <c r="CG153" s="111"/>
      <c r="CH153" s="111"/>
      <c r="CI153" s="111"/>
      <c r="CJ153" s="111"/>
      <c r="CK153" s="111"/>
      <c r="CL153" s="111"/>
      <c r="CM153" s="111"/>
      <c r="CN153" s="111"/>
      <c r="CO153" s="111"/>
      <c r="CP153" s="111"/>
      <c r="CQ153" s="111"/>
      <c r="CR153" s="111"/>
      <c r="CS153" s="111"/>
      <c r="CT153" s="111"/>
      <c r="CU153" s="111"/>
      <c r="CV153" s="111"/>
      <c r="CW153" s="111"/>
      <c r="CX153" s="111"/>
      <c r="CY153" s="111"/>
      <c r="CZ153" s="111"/>
      <c r="DA153" s="111"/>
      <c r="DB153" s="111"/>
      <c r="DC153" s="111"/>
      <c r="DD153" s="111"/>
      <c r="DE153" s="111"/>
      <c r="DF153" s="111"/>
      <c r="DG153" s="111"/>
      <c r="DH153" s="111"/>
      <c r="DI153" s="111"/>
      <c r="DJ153" s="111"/>
      <c r="DK153" s="111"/>
      <c r="DL153" s="111"/>
      <c r="DM153" s="111"/>
      <c r="DN153" s="111"/>
      <c r="DO153" s="111"/>
      <c r="DP153" s="111"/>
      <c r="DQ153" s="111"/>
      <c r="DR153" s="111"/>
      <c r="DS153" s="111"/>
      <c r="DT153" s="111"/>
      <c r="DU153" s="111"/>
      <c r="DV153" s="111"/>
      <c r="DW153" s="111"/>
      <c r="DX153" s="111"/>
      <c r="DY153" s="111"/>
    </row>
    <row r="154" spans="1:129" s="3" customFormat="1" ht="11.7" hidden="1" customHeight="1" outlineLevel="2" x14ac:dyDescent="0.3">
      <c r="B154" s="113" t="s">
        <v>676</v>
      </c>
      <c r="C154" s="230"/>
      <c r="G154" s="127"/>
      <c r="H154" s="127"/>
      <c r="I154" s="1019">
        <v>0</v>
      </c>
      <c r="J154" s="1019">
        <v>0</v>
      </c>
      <c r="K154" s="1019">
        <v>0</v>
      </c>
      <c r="L154" s="1019">
        <v>0</v>
      </c>
      <c r="M154" s="1019">
        <v>0</v>
      </c>
      <c r="N154" s="1019">
        <v>0</v>
      </c>
      <c r="O154" s="1019">
        <v>0</v>
      </c>
      <c r="P154" s="1019">
        <v>0</v>
      </c>
      <c r="Q154" s="1019">
        <v>0</v>
      </c>
      <c r="R154" s="1019">
        <v>0</v>
      </c>
      <c r="S154" s="1019">
        <v>0</v>
      </c>
      <c r="T154" s="1019">
        <v>0</v>
      </c>
      <c r="U154" s="1019">
        <v>0</v>
      </c>
      <c r="V154" s="1019">
        <v>0</v>
      </c>
      <c r="W154" s="1019">
        <v>0</v>
      </c>
      <c r="X154" s="1019">
        <v>0</v>
      </c>
      <c r="Y154" s="1019">
        <v>0</v>
      </c>
      <c r="Z154" s="1019">
        <v>0</v>
      </c>
      <c r="AA154" s="1019">
        <v>0</v>
      </c>
      <c r="AB154" s="1019">
        <v>0</v>
      </c>
      <c r="AC154" s="1019">
        <v>0</v>
      </c>
      <c r="AD154" s="1019">
        <v>0</v>
      </c>
      <c r="AE154" s="1019">
        <v>0</v>
      </c>
      <c r="AF154" s="1019">
        <v>0</v>
      </c>
      <c r="AG154" s="1019">
        <v>0</v>
      </c>
      <c r="AH154" s="1019">
        <v>0</v>
      </c>
      <c r="AI154" s="1019">
        <v>0</v>
      </c>
      <c r="AJ154" s="1019">
        <v>0</v>
      </c>
      <c r="AK154" s="1019">
        <v>0</v>
      </c>
      <c r="AL154" s="1019">
        <v>0</v>
      </c>
      <c r="AM154" s="1019">
        <v>0</v>
      </c>
      <c r="AN154" s="1019">
        <v>0</v>
      </c>
      <c r="AO154" s="1019">
        <v>0</v>
      </c>
      <c r="AP154" s="1019">
        <v>0</v>
      </c>
      <c r="AQ154" s="1019">
        <v>0</v>
      </c>
      <c r="AR154" s="1019">
        <v>0</v>
      </c>
      <c r="AS154" s="1019">
        <v>0</v>
      </c>
      <c r="AT154" s="1019">
        <v>0</v>
      </c>
      <c r="AU154" s="1019">
        <v>0</v>
      </c>
      <c r="AV154" s="1019">
        <v>0</v>
      </c>
      <c r="AW154" s="1019">
        <v>0</v>
      </c>
      <c r="AX154" s="1019">
        <v>0</v>
      </c>
      <c r="AY154" s="1019">
        <v>0</v>
      </c>
      <c r="AZ154" s="1019">
        <v>0</v>
      </c>
      <c r="BA154" s="1019">
        <v>0</v>
      </c>
      <c r="BB154" s="1019">
        <v>0</v>
      </c>
      <c r="BC154" s="1019">
        <v>0</v>
      </c>
      <c r="BD154" s="1019">
        <v>0</v>
      </c>
      <c r="BE154" s="1019">
        <v>0</v>
      </c>
      <c r="BF154" s="1019">
        <v>0</v>
      </c>
      <c r="BG154" s="1019">
        <v>0</v>
      </c>
      <c r="BH154" s="1019">
        <v>0</v>
      </c>
      <c r="BI154" s="1019">
        <v>0</v>
      </c>
      <c r="BJ154" s="1019">
        <v>2157167</v>
      </c>
      <c r="BK154" s="1019">
        <v>0</v>
      </c>
      <c r="BL154" s="1019">
        <v>7329985</v>
      </c>
      <c r="BM154" s="1019">
        <v>-9487152</v>
      </c>
      <c r="BN154" s="1019">
        <v>0</v>
      </c>
      <c r="BO154" s="1019">
        <v>0</v>
      </c>
      <c r="BP154" s="1019">
        <v>0</v>
      </c>
      <c r="BQ154" s="1019">
        <v>0</v>
      </c>
      <c r="BR154" s="1019">
        <v>0</v>
      </c>
      <c r="BS154" s="1019">
        <v>0</v>
      </c>
      <c r="BT154" s="1019">
        <v>0</v>
      </c>
      <c r="BU154" s="1019">
        <v>0</v>
      </c>
      <c r="BV154" s="1019">
        <v>0</v>
      </c>
      <c r="BW154" s="1019">
        <v>0</v>
      </c>
      <c r="BX154" s="1019">
        <v>0</v>
      </c>
      <c r="BY154" s="1019">
        <v>0</v>
      </c>
      <c r="BZ154" s="111"/>
      <c r="CA154" s="111"/>
      <c r="CB154" s="111"/>
      <c r="CC154" s="111"/>
      <c r="CD154" s="111"/>
      <c r="CE154" s="111"/>
      <c r="CF154" s="111"/>
      <c r="CG154" s="111"/>
      <c r="CH154" s="111"/>
      <c r="CI154" s="111"/>
      <c r="CJ154" s="111"/>
      <c r="CK154" s="111"/>
      <c r="CL154" s="111"/>
      <c r="CM154" s="111"/>
      <c r="CN154" s="111"/>
      <c r="CO154" s="111"/>
      <c r="CP154" s="111"/>
      <c r="CQ154" s="111"/>
      <c r="CR154" s="111"/>
      <c r="CS154" s="111"/>
      <c r="CT154" s="111"/>
      <c r="CU154" s="111"/>
      <c r="CV154" s="111"/>
      <c r="CW154" s="111"/>
      <c r="CX154" s="111"/>
      <c r="CY154" s="111"/>
      <c r="CZ154" s="111"/>
      <c r="DA154" s="111"/>
      <c r="DB154" s="111"/>
      <c r="DC154" s="111"/>
      <c r="DD154" s="111"/>
      <c r="DE154" s="111"/>
      <c r="DF154" s="111"/>
      <c r="DG154" s="111"/>
      <c r="DH154" s="111"/>
      <c r="DI154" s="111"/>
      <c r="DJ154" s="111"/>
      <c r="DK154" s="111"/>
      <c r="DL154" s="111"/>
      <c r="DM154" s="111"/>
      <c r="DN154" s="111"/>
      <c r="DO154" s="111"/>
      <c r="DP154" s="111"/>
      <c r="DQ154" s="111"/>
      <c r="DR154" s="111"/>
      <c r="DS154" s="111"/>
      <c r="DT154" s="111"/>
      <c r="DU154" s="111"/>
      <c r="DV154" s="111"/>
      <c r="DW154" s="111"/>
      <c r="DX154" s="111"/>
      <c r="DY154" s="111"/>
    </row>
    <row r="155" spans="1:129" s="3" customFormat="1" ht="11.7" hidden="1" customHeight="1" outlineLevel="2" x14ac:dyDescent="0.3">
      <c r="B155" s="113" t="s">
        <v>677</v>
      </c>
      <c r="C155" s="230"/>
      <c r="G155" s="127"/>
      <c r="H155" s="127"/>
      <c r="I155" s="1019">
        <v>0</v>
      </c>
      <c r="J155" s="1019">
        <v>0</v>
      </c>
      <c r="K155" s="1019">
        <v>0</v>
      </c>
      <c r="L155" s="1019">
        <v>0</v>
      </c>
      <c r="M155" s="1019">
        <v>0</v>
      </c>
      <c r="N155" s="1019">
        <v>0</v>
      </c>
      <c r="O155" s="1019">
        <v>0</v>
      </c>
      <c r="P155" s="1019">
        <v>0</v>
      </c>
      <c r="Q155" s="1019">
        <v>0</v>
      </c>
      <c r="R155" s="1019">
        <v>0</v>
      </c>
      <c r="S155" s="1019">
        <v>0</v>
      </c>
      <c r="T155" s="1019">
        <v>0</v>
      </c>
      <c r="U155" s="1019">
        <v>0</v>
      </c>
      <c r="V155" s="1019">
        <v>0</v>
      </c>
      <c r="W155" s="1019">
        <v>0</v>
      </c>
      <c r="X155" s="1019">
        <v>0</v>
      </c>
      <c r="Y155" s="1019">
        <v>0</v>
      </c>
      <c r="Z155" s="1019">
        <v>0</v>
      </c>
      <c r="AA155" s="1019">
        <v>0</v>
      </c>
      <c r="AB155" s="1019">
        <v>0</v>
      </c>
      <c r="AC155" s="1019">
        <v>0</v>
      </c>
      <c r="AD155" s="1019">
        <v>0</v>
      </c>
      <c r="AE155" s="1019">
        <v>0</v>
      </c>
      <c r="AF155" s="1019">
        <v>0</v>
      </c>
      <c r="AG155" s="1019">
        <v>0</v>
      </c>
      <c r="AH155" s="1019">
        <v>0</v>
      </c>
      <c r="AI155" s="1019">
        <v>0</v>
      </c>
      <c r="AJ155" s="1019">
        <v>0</v>
      </c>
      <c r="AK155" s="1019">
        <v>0</v>
      </c>
      <c r="AL155" s="1019">
        <v>0</v>
      </c>
      <c r="AM155" s="1019">
        <v>0</v>
      </c>
      <c r="AN155" s="1019">
        <v>0</v>
      </c>
      <c r="AO155" s="1019">
        <v>0</v>
      </c>
      <c r="AP155" s="1019">
        <v>0</v>
      </c>
      <c r="AQ155" s="1019">
        <v>0</v>
      </c>
      <c r="AR155" s="1019">
        <v>0</v>
      </c>
      <c r="AS155" s="1019">
        <v>0</v>
      </c>
      <c r="AT155" s="1019">
        <v>0</v>
      </c>
      <c r="AU155" s="1019">
        <v>0</v>
      </c>
      <c r="AV155" s="1019">
        <v>0</v>
      </c>
      <c r="AW155" s="1019">
        <v>0</v>
      </c>
      <c r="AX155" s="1019">
        <v>0</v>
      </c>
      <c r="AY155" s="1019">
        <v>0</v>
      </c>
      <c r="AZ155" s="1019">
        <v>0</v>
      </c>
      <c r="BA155" s="1019">
        <v>0</v>
      </c>
      <c r="BB155" s="1019">
        <v>0</v>
      </c>
      <c r="BC155" s="1019">
        <v>0</v>
      </c>
      <c r="BD155" s="1019">
        <v>0</v>
      </c>
      <c r="BE155" s="1019">
        <v>0</v>
      </c>
      <c r="BF155" s="1019">
        <v>0</v>
      </c>
      <c r="BG155" s="1019">
        <v>0</v>
      </c>
      <c r="BH155" s="1019">
        <v>0</v>
      </c>
      <c r="BI155" s="1019">
        <v>0</v>
      </c>
      <c r="BJ155" s="1019">
        <v>2120</v>
      </c>
      <c r="BK155" s="1019">
        <v>1386038</v>
      </c>
      <c r="BL155" s="1019">
        <v>-3506038</v>
      </c>
      <c r="BM155" s="1019">
        <v>11859126</v>
      </c>
      <c r="BN155" s="1019">
        <v>1386878</v>
      </c>
      <c r="BO155" s="1019">
        <v>2765540</v>
      </c>
      <c r="BP155" s="1019">
        <v>2134326</v>
      </c>
      <c r="BQ155" s="1019">
        <v>2603827</v>
      </c>
      <c r="BR155" s="1019">
        <v>2199069</v>
      </c>
      <c r="BS155" s="1019">
        <f>402796+2674177</f>
        <v>3076973</v>
      </c>
      <c r="BT155" s="1019">
        <f>527925+3045699</f>
        <v>3573624</v>
      </c>
      <c r="BU155" s="1019">
        <f>532786+3072784</f>
        <v>3605570</v>
      </c>
      <c r="BV155" s="1019">
        <f>534812+3084268</f>
        <v>3619080</v>
      </c>
      <c r="BW155" s="1019">
        <f>538738+3083244</f>
        <v>3621982</v>
      </c>
      <c r="BX155" s="1019">
        <f>539008+3084780</f>
        <v>3623788</v>
      </c>
      <c r="BY155" s="1019">
        <f>544738.95+3117252.33</f>
        <v>3661991.2800000003</v>
      </c>
      <c r="BZ155" s="111"/>
      <c r="CA155" s="111"/>
      <c r="CB155" s="111"/>
      <c r="CC155" s="111"/>
      <c r="CD155" s="111"/>
      <c r="CE155" s="111"/>
      <c r="CF155" s="111"/>
      <c r="CG155" s="111"/>
      <c r="CH155" s="111"/>
      <c r="CI155" s="111"/>
      <c r="CJ155" s="111"/>
      <c r="CK155" s="111"/>
      <c r="CL155" s="111"/>
      <c r="CM155" s="111"/>
      <c r="CN155" s="111"/>
      <c r="CO155" s="111"/>
      <c r="CP155" s="111"/>
      <c r="CQ155" s="111"/>
      <c r="CR155" s="111"/>
      <c r="CS155" s="111"/>
      <c r="CT155" s="111"/>
      <c r="CU155" s="111"/>
      <c r="CV155" s="111"/>
      <c r="CW155" s="111"/>
      <c r="CX155" s="111"/>
      <c r="CY155" s="111"/>
      <c r="CZ155" s="111"/>
      <c r="DA155" s="111"/>
      <c r="DB155" s="111"/>
      <c r="DC155" s="111"/>
      <c r="DD155" s="111"/>
      <c r="DE155" s="111"/>
      <c r="DF155" s="111"/>
      <c r="DG155" s="111"/>
      <c r="DH155" s="111"/>
      <c r="DI155" s="111"/>
      <c r="DJ155" s="111"/>
      <c r="DK155" s="111"/>
      <c r="DL155" s="111"/>
      <c r="DM155" s="111"/>
      <c r="DN155" s="111"/>
      <c r="DO155" s="111"/>
      <c r="DP155" s="111"/>
      <c r="DQ155" s="111"/>
      <c r="DR155" s="111"/>
      <c r="DS155" s="111"/>
      <c r="DT155" s="111"/>
      <c r="DU155" s="111"/>
      <c r="DV155" s="111"/>
      <c r="DW155" s="111"/>
      <c r="DX155" s="111"/>
      <c r="DY155" s="111"/>
    </row>
    <row r="156" spans="1:129" s="3" customFormat="1" ht="11.7" hidden="1" customHeight="1" outlineLevel="2" x14ac:dyDescent="0.3">
      <c r="B156" s="113" t="s">
        <v>717</v>
      </c>
      <c r="C156" s="230"/>
      <c r="G156" s="127"/>
      <c r="H156" s="127"/>
      <c r="I156" s="1019">
        <v>0</v>
      </c>
      <c r="J156" s="1019">
        <v>0</v>
      </c>
      <c r="K156" s="1019">
        <v>0</v>
      </c>
      <c r="L156" s="1019">
        <v>0</v>
      </c>
      <c r="M156" s="1019">
        <v>0</v>
      </c>
      <c r="N156" s="1019">
        <v>0</v>
      </c>
      <c r="O156" s="1019">
        <v>0</v>
      </c>
      <c r="P156" s="1019">
        <v>0</v>
      </c>
      <c r="Q156" s="1019">
        <v>0</v>
      </c>
      <c r="R156" s="1019">
        <v>0</v>
      </c>
      <c r="S156" s="1019">
        <v>0</v>
      </c>
      <c r="T156" s="1019">
        <v>0</v>
      </c>
      <c r="U156" s="1019">
        <v>0</v>
      </c>
      <c r="V156" s="1019">
        <v>0</v>
      </c>
      <c r="W156" s="1019">
        <v>0</v>
      </c>
      <c r="X156" s="1019">
        <v>0</v>
      </c>
      <c r="Y156" s="1019">
        <v>0</v>
      </c>
      <c r="Z156" s="1019">
        <v>0</v>
      </c>
      <c r="AA156" s="1019">
        <v>0</v>
      </c>
      <c r="AB156" s="1019">
        <v>0</v>
      </c>
      <c r="AC156" s="1019">
        <v>0</v>
      </c>
      <c r="AD156" s="1019">
        <v>0</v>
      </c>
      <c r="AE156" s="1019">
        <v>0</v>
      </c>
      <c r="AF156" s="1019">
        <v>0</v>
      </c>
      <c r="AG156" s="1019">
        <v>0</v>
      </c>
      <c r="AH156" s="1019">
        <v>0</v>
      </c>
      <c r="AI156" s="1019">
        <v>0</v>
      </c>
      <c r="AJ156" s="1019">
        <v>0</v>
      </c>
      <c r="AK156" s="1019">
        <v>0</v>
      </c>
      <c r="AL156" s="1019">
        <v>0</v>
      </c>
      <c r="AM156" s="1019">
        <v>0</v>
      </c>
      <c r="AN156" s="1019">
        <v>0</v>
      </c>
      <c r="AO156" s="1019">
        <v>0</v>
      </c>
      <c r="AP156" s="1019">
        <v>0</v>
      </c>
      <c r="AQ156" s="1019">
        <v>0</v>
      </c>
      <c r="AR156" s="1019">
        <v>0</v>
      </c>
      <c r="AS156" s="1019">
        <v>0</v>
      </c>
      <c r="AT156" s="1019">
        <v>0</v>
      </c>
      <c r="AU156" s="1019">
        <v>0</v>
      </c>
      <c r="AV156" s="1019">
        <v>0</v>
      </c>
      <c r="AW156" s="1019">
        <v>0</v>
      </c>
      <c r="AX156" s="1019">
        <v>0</v>
      </c>
      <c r="AY156" s="1019">
        <v>0</v>
      </c>
      <c r="AZ156" s="1019">
        <v>0</v>
      </c>
      <c r="BA156" s="1019">
        <v>0</v>
      </c>
      <c r="BB156" s="1019">
        <v>0</v>
      </c>
      <c r="BC156" s="1019">
        <v>0</v>
      </c>
      <c r="BD156" s="1019">
        <v>0</v>
      </c>
      <c r="BE156" s="1019">
        <v>0</v>
      </c>
      <c r="BF156" s="1019">
        <v>0</v>
      </c>
      <c r="BG156" s="1019">
        <v>0</v>
      </c>
      <c r="BH156" s="1019">
        <v>0</v>
      </c>
      <c r="BI156" s="1019">
        <v>0</v>
      </c>
      <c r="BJ156" s="1019">
        <v>0</v>
      </c>
      <c r="BK156" s="1019">
        <v>0</v>
      </c>
      <c r="BL156" s="1019">
        <v>0</v>
      </c>
      <c r="BM156" s="1019">
        <v>2925000</v>
      </c>
      <c r="BN156" s="1019">
        <v>0</v>
      </c>
      <c r="BO156" s="1019">
        <v>0</v>
      </c>
      <c r="BP156" s="1019">
        <v>0</v>
      </c>
      <c r="BQ156" s="1019">
        <v>0</v>
      </c>
      <c r="BR156" s="1019">
        <v>0</v>
      </c>
      <c r="BS156" s="1019">
        <v>0</v>
      </c>
      <c r="BT156" s="1019">
        <v>0</v>
      </c>
      <c r="BU156" s="1019">
        <v>0</v>
      </c>
      <c r="BV156" s="1019">
        <v>0</v>
      </c>
      <c r="BW156" s="1019">
        <v>0</v>
      </c>
      <c r="BX156" s="1019">
        <v>0</v>
      </c>
      <c r="BY156" s="1019">
        <v>0</v>
      </c>
      <c r="BZ156" s="111"/>
      <c r="CA156" s="111"/>
      <c r="CB156" s="111"/>
      <c r="CC156" s="111"/>
      <c r="CD156" s="111"/>
      <c r="CE156" s="111"/>
      <c r="CF156" s="111"/>
      <c r="CG156" s="111"/>
      <c r="CH156" s="111"/>
      <c r="CI156" s="111"/>
      <c r="CJ156" s="111"/>
      <c r="CK156" s="111"/>
      <c r="CL156" s="111"/>
      <c r="CM156" s="111"/>
      <c r="CN156" s="111"/>
      <c r="CO156" s="111"/>
      <c r="CP156" s="111"/>
      <c r="CQ156" s="111"/>
      <c r="CR156" s="111"/>
      <c r="CS156" s="111"/>
      <c r="CT156" s="111"/>
      <c r="CU156" s="111"/>
      <c r="CV156" s="111"/>
      <c r="CW156" s="111"/>
      <c r="CX156" s="111"/>
      <c r="CY156" s="111"/>
      <c r="CZ156" s="111"/>
      <c r="DA156" s="111"/>
      <c r="DB156" s="111"/>
      <c r="DC156" s="111"/>
      <c r="DD156" s="111"/>
      <c r="DE156" s="111"/>
      <c r="DF156" s="111"/>
      <c r="DG156" s="111"/>
      <c r="DH156" s="111"/>
      <c r="DI156" s="111"/>
      <c r="DJ156" s="111"/>
      <c r="DK156" s="111"/>
      <c r="DL156" s="111"/>
      <c r="DM156" s="111"/>
      <c r="DN156" s="111"/>
      <c r="DO156" s="111"/>
      <c r="DP156" s="111"/>
      <c r="DQ156" s="111"/>
      <c r="DR156" s="111"/>
      <c r="DS156" s="111"/>
      <c r="DT156" s="111"/>
      <c r="DU156" s="111"/>
      <c r="DV156" s="111"/>
      <c r="DW156" s="111"/>
      <c r="DX156" s="111"/>
      <c r="DY156" s="111"/>
    </row>
    <row r="157" spans="1:129" s="3" customFormat="1" ht="11.7" hidden="1" customHeight="1" outlineLevel="2" x14ac:dyDescent="0.3">
      <c r="B157" s="113" t="s">
        <v>783</v>
      </c>
      <c r="C157" s="230"/>
      <c r="G157" s="127"/>
      <c r="H157" s="127"/>
      <c r="I157" s="1019">
        <v>0</v>
      </c>
      <c r="J157" s="1019">
        <v>0</v>
      </c>
      <c r="K157" s="1019">
        <v>0</v>
      </c>
      <c r="L157" s="1019">
        <v>0</v>
      </c>
      <c r="M157" s="1019">
        <v>0</v>
      </c>
      <c r="N157" s="1019">
        <v>0</v>
      </c>
      <c r="O157" s="1019">
        <v>0</v>
      </c>
      <c r="P157" s="1019">
        <v>0</v>
      </c>
      <c r="Q157" s="1019">
        <v>0</v>
      </c>
      <c r="R157" s="1019">
        <v>0</v>
      </c>
      <c r="S157" s="1019">
        <v>0</v>
      </c>
      <c r="T157" s="1019">
        <v>0</v>
      </c>
      <c r="U157" s="1019">
        <v>0</v>
      </c>
      <c r="V157" s="1019">
        <v>0</v>
      </c>
      <c r="W157" s="1019">
        <v>0</v>
      </c>
      <c r="X157" s="1019">
        <v>0</v>
      </c>
      <c r="Y157" s="1019">
        <v>0</v>
      </c>
      <c r="Z157" s="1019">
        <v>0</v>
      </c>
      <c r="AA157" s="1019">
        <v>0</v>
      </c>
      <c r="AB157" s="1019">
        <v>0</v>
      </c>
      <c r="AC157" s="1019">
        <v>0</v>
      </c>
      <c r="AD157" s="1019">
        <v>0</v>
      </c>
      <c r="AE157" s="1019">
        <v>0</v>
      </c>
      <c r="AF157" s="1019">
        <v>0</v>
      </c>
      <c r="AG157" s="1019">
        <v>0</v>
      </c>
      <c r="AH157" s="1019">
        <v>0</v>
      </c>
      <c r="AI157" s="1019">
        <v>0</v>
      </c>
      <c r="AJ157" s="1019">
        <v>0</v>
      </c>
      <c r="AK157" s="1019">
        <v>0</v>
      </c>
      <c r="AL157" s="1019">
        <v>0</v>
      </c>
      <c r="AM157" s="1019">
        <v>0</v>
      </c>
      <c r="AN157" s="1019">
        <v>0</v>
      </c>
      <c r="AO157" s="1019">
        <v>0</v>
      </c>
      <c r="AP157" s="1019">
        <v>0</v>
      </c>
      <c r="AQ157" s="1019">
        <v>0</v>
      </c>
      <c r="AR157" s="1019">
        <v>0</v>
      </c>
      <c r="AS157" s="1019">
        <v>0</v>
      </c>
      <c r="AT157" s="1019">
        <v>0</v>
      </c>
      <c r="AU157" s="1019">
        <v>0</v>
      </c>
      <c r="AV157" s="1019">
        <v>0</v>
      </c>
      <c r="AW157" s="1019">
        <v>0</v>
      </c>
      <c r="AX157" s="1019">
        <v>0</v>
      </c>
      <c r="AY157" s="1019">
        <v>0</v>
      </c>
      <c r="AZ157" s="1019">
        <v>0</v>
      </c>
      <c r="BA157" s="1019">
        <v>0</v>
      </c>
      <c r="BB157" s="1019">
        <v>0</v>
      </c>
      <c r="BC157" s="1019">
        <v>0</v>
      </c>
      <c r="BD157" s="1019">
        <v>0</v>
      </c>
      <c r="BE157" s="1019">
        <v>0</v>
      </c>
      <c r="BF157" s="1019">
        <v>0</v>
      </c>
      <c r="BG157" s="1019">
        <v>0</v>
      </c>
      <c r="BH157" s="1019">
        <v>0</v>
      </c>
      <c r="BI157" s="1019">
        <v>0</v>
      </c>
      <c r="BJ157" s="1019">
        <v>0</v>
      </c>
      <c r="BK157" s="1019">
        <v>0</v>
      </c>
      <c r="BL157" s="1019">
        <v>0</v>
      </c>
      <c r="BM157" s="1019">
        <v>0</v>
      </c>
      <c r="BN157" s="1019">
        <v>0</v>
      </c>
      <c r="BO157" s="1019">
        <v>0</v>
      </c>
      <c r="BP157" s="1019">
        <v>0</v>
      </c>
      <c r="BQ157" s="1019">
        <v>0</v>
      </c>
      <c r="BR157" s="1019">
        <v>0</v>
      </c>
      <c r="BS157" s="1019">
        <v>0</v>
      </c>
      <c r="BT157" s="1019">
        <f>31212+176867</f>
        <v>208079</v>
      </c>
      <c r="BU157" s="1019">
        <v>0</v>
      </c>
      <c r="BV157" s="1019">
        <f>31725+179775</f>
        <v>211500</v>
      </c>
      <c r="BW157" s="1019">
        <f>63917+362199</f>
        <v>426116</v>
      </c>
      <c r="BX157" s="1019">
        <f>26700+160300</f>
        <v>187000</v>
      </c>
      <c r="BY157" s="1019">
        <v>0</v>
      </c>
      <c r="BZ157" s="111"/>
      <c r="CA157" s="111"/>
      <c r="CB157" s="111"/>
      <c r="CC157" s="111"/>
      <c r="CD157" s="111"/>
      <c r="CE157" s="111"/>
      <c r="CF157" s="111"/>
      <c r="CG157" s="111"/>
      <c r="CH157" s="111"/>
      <c r="CI157" s="111"/>
      <c r="CJ157" s="111"/>
      <c r="CK157" s="111"/>
      <c r="CL157" s="111"/>
      <c r="CM157" s="111"/>
      <c r="CN157" s="111"/>
      <c r="CO157" s="111"/>
      <c r="CP157" s="111"/>
      <c r="CQ157" s="111"/>
      <c r="CR157" s="111"/>
      <c r="CS157" s="111"/>
      <c r="CT157" s="111"/>
      <c r="CU157" s="111"/>
      <c r="CV157" s="111"/>
      <c r="CW157" s="111"/>
      <c r="CX157" s="111"/>
      <c r="CY157" s="111"/>
      <c r="CZ157" s="111"/>
      <c r="DA157" s="111"/>
      <c r="DB157" s="111"/>
      <c r="DC157" s="111"/>
      <c r="DD157" s="111"/>
      <c r="DE157" s="111"/>
      <c r="DF157" s="111"/>
      <c r="DG157" s="111"/>
      <c r="DH157" s="111"/>
      <c r="DI157" s="111"/>
      <c r="DJ157" s="111"/>
      <c r="DK157" s="111"/>
      <c r="DL157" s="111"/>
      <c r="DM157" s="111"/>
      <c r="DN157" s="111"/>
      <c r="DO157" s="111"/>
      <c r="DP157" s="111"/>
      <c r="DQ157" s="111"/>
      <c r="DR157" s="111"/>
      <c r="DS157" s="111"/>
      <c r="DT157" s="111"/>
      <c r="DU157" s="111"/>
      <c r="DV157" s="111"/>
      <c r="DW157" s="111"/>
      <c r="DX157" s="111"/>
      <c r="DY157" s="111"/>
    </row>
    <row r="158" spans="1:129" s="3" customFormat="1" ht="11.7" hidden="1" customHeight="1" outlineLevel="2" x14ac:dyDescent="0.3">
      <c r="B158" s="113" t="s">
        <v>678</v>
      </c>
      <c r="C158" s="230"/>
      <c r="G158" s="127"/>
      <c r="H158" s="127"/>
      <c r="I158" s="1019">
        <v>0</v>
      </c>
      <c r="J158" s="1019">
        <v>0</v>
      </c>
      <c r="K158" s="1019">
        <v>0</v>
      </c>
      <c r="L158" s="1019">
        <v>0</v>
      </c>
      <c r="M158" s="1019">
        <v>0</v>
      </c>
      <c r="N158" s="1019">
        <v>0</v>
      </c>
      <c r="O158" s="1019">
        <v>0</v>
      </c>
      <c r="P158" s="1019">
        <v>0</v>
      </c>
      <c r="Q158" s="1019">
        <v>0</v>
      </c>
      <c r="R158" s="1019">
        <v>0</v>
      </c>
      <c r="S158" s="1019">
        <v>0</v>
      </c>
      <c r="T158" s="1019">
        <v>0</v>
      </c>
      <c r="U158" s="1019">
        <v>0</v>
      </c>
      <c r="V158" s="1019">
        <v>0</v>
      </c>
      <c r="W158" s="1019">
        <v>0</v>
      </c>
      <c r="X158" s="1019">
        <v>0</v>
      </c>
      <c r="Y158" s="1019">
        <v>0</v>
      </c>
      <c r="Z158" s="1019">
        <v>0</v>
      </c>
      <c r="AA158" s="1019">
        <v>0</v>
      </c>
      <c r="AB158" s="1019">
        <v>0</v>
      </c>
      <c r="AC158" s="1019">
        <v>0</v>
      </c>
      <c r="AD158" s="1019">
        <v>0</v>
      </c>
      <c r="AE158" s="1019">
        <v>0</v>
      </c>
      <c r="AF158" s="1019">
        <v>0</v>
      </c>
      <c r="AG158" s="1019">
        <v>0</v>
      </c>
      <c r="AH158" s="1019">
        <v>0</v>
      </c>
      <c r="AI158" s="1019">
        <v>0</v>
      </c>
      <c r="AJ158" s="1019">
        <v>0</v>
      </c>
      <c r="AK158" s="1019">
        <v>0</v>
      </c>
      <c r="AL158" s="1019">
        <v>0</v>
      </c>
      <c r="AM158" s="1019">
        <v>0</v>
      </c>
      <c r="AN158" s="1019">
        <v>0</v>
      </c>
      <c r="AO158" s="1019">
        <v>0</v>
      </c>
      <c r="AP158" s="1019">
        <v>0</v>
      </c>
      <c r="AQ158" s="1019">
        <v>0</v>
      </c>
      <c r="AR158" s="1019">
        <v>0</v>
      </c>
      <c r="AS158" s="1019">
        <v>0</v>
      </c>
      <c r="AT158" s="1019">
        <v>0</v>
      </c>
      <c r="AU158" s="1019">
        <v>0</v>
      </c>
      <c r="AV158" s="1019">
        <v>0</v>
      </c>
      <c r="AW158" s="1019">
        <v>0</v>
      </c>
      <c r="AX158" s="1019">
        <v>0</v>
      </c>
      <c r="AY158" s="1019">
        <v>0</v>
      </c>
      <c r="AZ158" s="1019">
        <v>0</v>
      </c>
      <c r="BA158" s="1019">
        <v>0</v>
      </c>
      <c r="BB158" s="1019">
        <v>0</v>
      </c>
      <c r="BC158" s="1019">
        <v>0</v>
      </c>
      <c r="BD158" s="1019">
        <v>0</v>
      </c>
      <c r="BE158" s="1019">
        <v>0</v>
      </c>
      <c r="BF158" s="1019">
        <v>0</v>
      </c>
      <c r="BG158" s="1019">
        <v>0</v>
      </c>
      <c r="BH158" s="1019">
        <v>0</v>
      </c>
      <c r="BI158" s="1019">
        <v>745558</v>
      </c>
      <c r="BJ158" s="1019">
        <v>308295</v>
      </c>
      <c r="BK158" s="1019">
        <v>0</v>
      </c>
      <c r="BL158" s="1019">
        <v>0</v>
      </c>
      <c r="BM158" s="1019">
        <v>6555</v>
      </c>
      <c r="BN158" s="1019">
        <v>773964.39</v>
      </c>
      <c r="BO158" s="1019">
        <v>132200</v>
      </c>
      <c r="BP158" s="1019">
        <v>0</v>
      </c>
      <c r="BQ158" s="1019">
        <v>0</v>
      </c>
      <c r="BR158" s="1019">
        <f>47719+270405</f>
        <v>318124</v>
      </c>
      <c r="BS158" s="1019">
        <f>133854+74766</f>
        <v>208620</v>
      </c>
      <c r="BT158" s="1019">
        <f>8394+183931</f>
        <v>192325</v>
      </c>
      <c r="BU158" s="1019">
        <f>38346+354743</f>
        <v>393089</v>
      </c>
      <c r="BV158" s="1019">
        <f>33255+326539</f>
        <v>359794</v>
      </c>
      <c r="BW158" s="1019">
        <f>48080+411255</f>
        <v>459335</v>
      </c>
      <c r="BX158" s="1019">
        <f>50054+283639</f>
        <v>333693</v>
      </c>
      <c r="BY158" s="1019">
        <f>41926.94+237586.5</f>
        <v>279513.44</v>
      </c>
      <c r="BZ158" s="111"/>
      <c r="CA158" s="111"/>
      <c r="CB158" s="111"/>
      <c r="CC158" s="111"/>
      <c r="CD158" s="111"/>
      <c r="CE158" s="111"/>
      <c r="CF158" s="111"/>
      <c r="CG158" s="111"/>
      <c r="CH158" s="111"/>
      <c r="CI158" s="111"/>
      <c r="CJ158" s="111"/>
      <c r="CK158" s="111"/>
      <c r="CL158" s="111"/>
      <c r="CM158" s="111"/>
      <c r="CN158" s="111"/>
      <c r="CO158" s="111"/>
      <c r="CP158" s="111"/>
      <c r="CQ158" s="111"/>
      <c r="CR158" s="111"/>
      <c r="CS158" s="111"/>
      <c r="CT158" s="111"/>
      <c r="CU158" s="111"/>
      <c r="CV158" s="111"/>
      <c r="CW158" s="111"/>
      <c r="CX158" s="111"/>
      <c r="CY158" s="111"/>
      <c r="CZ158" s="111"/>
      <c r="DA158" s="111"/>
      <c r="DB158" s="111"/>
      <c r="DC158" s="111"/>
      <c r="DD158" s="111"/>
      <c r="DE158" s="111"/>
      <c r="DF158" s="111"/>
      <c r="DG158" s="111"/>
      <c r="DH158" s="111"/>
      <c r="DI158" s="111"/>
      <c r="DJ158" s="111"/>
      <c r="DK158" s="111"/>
      <c r="DL158" s="111"/>
      <c r="DM158" s="111"/>
      <c r="DN158" s="111"/>
      <c r="DO158" s="111"/>
      <c r="DP158" s="111"/>
      <c r="DQ158" s="111"/>
      <c r="DR158" s="111"/>
      <c r="DS158" s="111"/>
      <c r="DT158" s="111"/>
      <c r="DU158" s="111"/>
      <c r="DV158" s="111"/>
      <c r="DW158" s="111"/>
      <c r="DX158" s="111"/>
      <c r="DY158" s="111"/>
    </row>
    <row r="159" spans="1:129" s="3" customFormat="1" ht="11.7" hidden="1" customHeight="1" outlineLevel="2" x14ac:dyDescent="0.3">
      <c r="B159" s="113"/>
      <c r="C159" s="230"/>
      <c r="G159" s="127"/>
      <c r="H159" s="127"/>
      <c r="I159" s="1019"/>
      <c r="J159" s="1019"/>
      <c r="K159" s="1019"/>
      <c r="L159" s="1019"/>
      <c r="M159" s="1019"/>
      <c r="N159" s="1019"/>
      <c r="O159" s="1019"/>
      <c r="P159" s="1019"/>
      <c r="Q159" s="1019"/>
      <c r="R159" s="1019"/>
      <c r="S159" s="1019"/>
      <c r="T159" s="1019"/>
      <c r="U159" s="1019"/>
      <c r="V159" s="1019"/>
      <c r="W159" s="1019"/>
      <c r="X159" s="1019"/>
      <c r="Y159" s="1019"/>
      <c r="Z159" s="1019"/>
      <c r="AA159" s="1019"/>
      <c r="AB159" s="1019"/>
      <c r="AC159" s="1019"/>
      <c r="AD159" s="1019"/>
      <c r="AE159" s="1019"/>
      <c r="AF159" s="1019"/>
      <c r="AG159" s="1019"/>
      <c r="AH159" s="1019"/>
      <c r="AI159" s="1019"/>
      <c r="AJ159" s="1019"/>
      <c r="AK159" s="1019"/>
      <c r="AL159" s="1019"/>
      <c r="AM159" s="1019"/>
      <c r="AN159" s="1019"/>
      <c r="AO159" s="1019"/>
      <c r="AP159" s="1019"/>
      <c r="AQ159" s="1019"/>
      <c r="AR159" s="1019"/>
      <c r="AS159" s="1019"/>
      <c r="AT159" s="1019"/>
      <c r="AU159" s="1019"/>
      <c r="AV159" s="1019"/>
      <c r="AW159" s="1019"/>
      <c r="AX159" s="1019"/>
      <c r="AY159" s="1019"/>
      <c r="AZ159" s="1019"/>
      <c r="BA159" s="1019"/>
      <c r="BB159" s="1019"/>
      <c r="BC159" s="1019"/>
      <c r="BD159" s="1019"/>
      <c r="BE159" s="1019"/>
      <c r="BF159" s="1019"/>
      <c r="BG159" s="1019"/>
      <c r="BH159" s="1019"/>
      <c r="BI159" s="1019"/>
      <c r="BJ159" s="1019"/>
      <c r="BK159" s="1019"/>
      <c r="BL159" s="1019"/>
      <c r="BM159" s="1019"/>
      <c r="BN159" s="1019"/>
      <c r="BO159" s="1019"/>
      <c r="BP159" s="1019"/>
      <c r="BQ159" s="1019"/>
      <c r="BR159" s="1019"/>
      <c r="BS159" s="1019"/>
      <c r="BT159" s="1019"/>
      <c r="BU159" s="1019"/>
      <c r="BV159" s="1019"/>
      <c r="BW159" s="1019"/>
      <c r="BX159" s="1019"/>
      <c r="BY159" s="1019"/>
      <c r="BZ159" s="111"/>
      <c r="CA159" s="111"/>
      <c r="CB159" s="111"/>
      <c r="CC159" s="111"/>
      <c r="CD159" s="111"/>
      <c r="CE159" s="111"/>
      <c r="CF159" s="111"/>
      <c r="CG159" s="111"/>
      <c r="CH159" s="111"/>
      <c r="CI159" s="111"/>
      <c r="CJ159" s="111"/>
      <c r="CK159" s="111"/>
      <c r="CL159" s="111"/>
      <c r="CM159" s="111"/>
      <c r="CN159" s="111"/>
      <c r="CO159" s="111"/>
      <c r="CP159" s="111"/>
      <c r="CQ159" s="111"/>
      <c r="CR159" s="111"/>
      <c r="CS159" s="111"/>
      <c r="CT159" s="111"/>
      <c r="CU159" s="111"/>
      <c r="CV159" s="111"/>
      <c r="CW159" s="111"/>
      <c r="CX159" s="111"/>
      <c r="CY159" s="111"/>
      <c r="CZ159" s="111"/>
      <c r="DA159" s="111"/>
      <c r="DB159" s="111"/>
      <c r="DC159" s="111"/>
      <c r="DD159" s="111"/>
      <c r="DE159" s="111"/>
      <c r="DF159" s="111"/>
      <c r="DG159" s="111"/>
      <c r="DH159" s="111"/>
      <c r="DI159" s="111"/>
      <c r="DJ159" s="111"/>
      <c r="DK159" s="111"/>
      <c r="DL159" s="111"/>
      <c r="DM159" s="111"/>
      <c r="DN159" s="111"/>
      <c r="DO159" s="111"/>
      <c r="DP159" s="111"/>
      <c r="DQ159" s="111"/>
      <c r="DR159" s="111"/>
      <c r="DS159" s="111"/>
      <c r="DT159" s="111"/>
      <c r="DU159" s="111"/>
      <c r="DV159" s="111"/>
      <c r="DW159" s="111"/>
      <c r="DX159" s="111"/>
      <c r="DY159" s="111"/>
    </row>
    <row r="160" spans="1:129" s="3" customFormat="1" ht="11.7" hidden="1" customHeight="1" outlineLevel="2" x14ac:dyDescent="0.3">
      <c r="B160" s="195" t="s">
        <v>726</v>
      </c>
      <c r="C160" s="230"/>
      <c r="G160" s="127"/>
      <c r="H160" s="127"/>
      <c r="I160" s="1019"/>
      <c r="J160" s="1019"/>
      <c r="K160" s="1019"/>
      <c r="L160" s="1019"/>
      <c r="M160" s="1019"/>
      <c r="N160" s="1019"/>
      <c r="O160" s="1019"/>
      <c r="P160" s="1019"/>
      <c r="Q160" s="1019"/>
      <c r="R160" s="1019"/>
      <c r="S160" s="1019"/>
      <c r="T160" s="1019"/>
      <c r="U160" s="1019"/>
      <c r="V160" s="1019"/>
      <c r="W160" s="1019"/>
      <c r="X160" s="1019"/>
      <c r="Y160" s="1019"/>
      <c r="Z160" s="1019"/>
      <c r="AA160" s="1019"/>
      <c r="AB160" s="1019"/>
      <c r="AC160" s="1019"/>
      <c r="AD160" s="1019"/>
      <c r="AE160" s="1019"/>
      <c r="AF160" s="1019"/>
      <c r="AG160" s="1019"/>
      <c r="AH160" s="1019"/>
      <c r="AI160" s="1019"/>
      <c r="AJ160" s="1019"/>
      <c r="AK160" s="1019"/>
      <c r="AL160" s="1019"/>
      <c r="AM160" s="1019"/>
      <c r="AN160" s="1019"/>
      <c r="AO160" s="1019"/>
      <c r="AP160" s="1019"/>
      <c r="AQ160" s="1019"/>
      <c r="AR160" s="1019"/>
      <c r="AS160" s="1019"/>
      <c r="AT160" s="1019"/>
      <c r="AU160" s="1019"/>
      <c r="AV160" s="1019"/>
      <c r="AW160" s="1019"/>
      <c r="AX160" s="1019"/>
      <c r="AY160" s="1019"/>
      <c r="AZ160" s="1019"/>
      <c r="BA160" s="1019"/>
      <c r="BB160" s="1019"/>
      <c r="BC160" s="1019"/>
      <c r="BD160" s="1019"/>
      <c r="BE160" s="1019"/>
      <c r="BF160" s="1019"/>
      <c r="BG160" s="1019"/>
      <c r="BH160" s="1019"/>
      <c r="BI160" s="1019"/>
      <c r="BJ160" s="1019"/>
      <c r="BK160" s="1019"/>
      <c r="BL160" s="1019"/>
      <c r="BM160" s="1019"/>
      <c r="BN160" s="1019"/>
      <c r="BO160" s="1019"/>
      <c r="BP160" s="1019"/>
      <c r="BQ160" s="1019"/>
      <c r="BR160" s="1019"/>
      <c r="BS160" s="1019"/>
      <c r="BT160" s="1019"/>
      <c r="BU160" s="1019"/>
      <c r="BV160" s="1019"/>
      <c r="BW160" s="1019"/>
      <c r="BX160" s="1019"/>
      <c r="BY160" s="1019"/>
      <c r="BZ160" s="111"/>
      <c r="CA160" s="111"/>
      <c r="CB160" s="111"/>
      <c r="CC160" s="111"/>
      <c r="CD160" s="111"/>
      <c r="CE160" s="111"/>
      <c r="CF160" s="111"/>
      <c r="CG160" s="111"/>
      <c r="CH160" s="111"/>
      <c r="CI160" s="111"/>
      <c r="CJ160" s="111"/>
      <c r="CK160" s="111"/>
      <c r="CL160" s="111"/>
      <c r="CM160" s="111"/>
      <c r="CN160" s="111"/>
      <c r="CO160" s="111"/>
      <c r="CP160" s="111"/>
      <c r="CQ160" s="111"/>
      <c r="CR160" s="111"/>
      <c r="CS160" s="111"/>
      <c r="CT160" s="111"/>
      <c r="CU160" s="111"/>
      <c r="CV160" s="111"/>
      <c r="CW160" s="111"/>
      <c r="CX160" s="111"/>
      <c r="CY160" s="111"/>
      <c r="CZ160" s="111"/>
      <c r="DA160" s="111"/>
      <c r="DB160" s="111"/>
      <c r="DC160" s="111"/>
      <c r="DD160" s="111"/>
      <c r="DE160" s="111"/>
      <c r="DF160" s="111"/>
      <c r="DG160" s="111"/>
      <c r="DH160" s="111"/>
      <c r="DI160" s="111"/>
      <c r="DJ160" s="111"/>
      <c r="DK160" s="111"/>
      <c r="DL160" s="111"/>
      <c r="DM160" s="111"/>
      <c r="DN160" s="111"/>
      <c r="DO160" s="111"/>
      <c r="DP160" s="111"/>
      <c r="DQ160" s="111"/>
      <c r="DR160" s="111"/>
      <c r="DS160" s="111"/>
      <c r="DT160" s="111"/>
      <c r="DU160" s="111"/>
      <c r="DV160" s="111"/>
      <c r="DW160" s="111"/>
      <c r="DX160" s="111"/>
      <c r="DY160" s="111"/>
    </row>
    <row r="161" spans="2:129" s="3" customFormat="1" ht="11.7" hidden="1" customHeight="1" outlineLevel="2" x14ac:dyDescent="0.3">
      <c r="B161" s="113" t="s">
        <v>732</v>
      </c>
      <c r="C161" s="230"/>
      <c r="G161" s="127"/>
      <c r="H161" s="127"/>
      <c r="I161" s="1019">
        <v>0</v>
      </c>
      <c r="J161" s="1019">
        <v>0</v>
      </c>
      <c r="K161" s="1019">
        <v>0</v>
      </c>
      <c r="L161" s="1019">
        <v>0</v>
      </c>
      <c r="M161" s="1019">
        <v>0</v>
      </c>
      <c r="N161" s="1019">
        <v>0</v>
      </c>
      <c r="O161" s="1019">
        <v>0</v>
      </c>
      <c r="P161" s="1019">
        <v>0</v>
      </c>
      <c r="Q161" s="1019">
        <v>0</v>
      </c>
      <c r="R161" s="1019">
        <v>0</v>
      </c>
      <c r="S161" s="1019">
        <v>0</v>
      </c>
      <c r="T161" s="1019">
        <v>0</v>
      </c>
      <c r="U161" s="1019">
        <v>0</v>
      </c>
      <c r="V161" s="1019">
        <v>0</v>
      </c>
      <c r="W161" s="1019">
        <v>0</v>
      </c>
      <c r="X161" s="1019">
        <v>0</v>
      </c>
      <c r="Y161" s="1019">
        <v>0</v>
      </c>
      <c r="Z161" s="1019">
        <v>0</v>
      </c>
      <c r="AA161" s="1019">
        <v>0</v>
      </c>
      <c r="AB161" s="1019">
        <v>0</v>
      </c>
      <c r="AC161" s="1019">
        <v>0</v>
      </c>
      <c r="AD161" s="1019">
        <v>0</v>
      </c>
      <c r="AE161" s="1019">
        <v>0</v>
      </c>
      <c r="AF161" s="1019">
        <v>0</v>
      </c>
      <c r="AG161" s="1019">
        <v>0</v>
      </c>
      <c r="AH161" s="1019">
        <v>0</v>
      </c>
      <c r="AI161" s="1019">
        <v>0</v>
      </c>
      <c r="AJ161" s="1019">
        <v>0</v>
      </c>
      <c r="AK161" s="1019">
        <v>0</v>
      </c>
      <c r="AL161" s="1019">
        <v>0</v>
      </c>
      <c r="AM161" s="1019">
        <v>0</v>
      </c>
      <c r="AN161" s="1019">
        <v>0</v>
      </c>
      <c r="AO161" s="1019">
        <v>0</v>
      </c>
      <c r="AP161" s="1019">
        <v>0</v>
      </c>
      <c r="AQ161" s="1019">
        <v>0</v>
      </c>
      <c r="AR161" s="1019">
        <v>0</v>
      </c>
      <c r="AS161" s="1019">
        <v>0</v>
      </c>
      <c r="AT161" s="1019">
        <v>0</v>
      </c>
      <c r="AU161" s="1019">
        <v>0</v>
      </c>
      <c r="AV161" s="1019">
        <v>0</v>
      </c>
      <c r="AW161" s="1019">
        <v>0</v>
      </c>
      <c r="AX161" s="1019">
        <v>0</v>
      </c>
      <c r="AY161" s="1019">
        <v>0</v>
      </c>
      <c r="AZ161" s="1019">
        <v>0</v>
      </c>
      <c r="BA161" s="1019">
        <v>0</v>
      </c>
      <c r="BB161" s="1019">
        <v>0</v>
      </c>
      <c r="BC161" s="1019">
        <v>0</v>
      </c>
      <c r="BD161" s="1019">
        <v>0</v>
      </c>
      <c r="BE161" s="1019">
        <v>0</v>
      </c>
      <c r="BF161" s="1019">
        <v>0</v>
      </c>
      <c r="BG161" s="1019">
        <v>0</v>
      </c>
      <c r="BH161" s="1019">
        <v>0</v>
      </c>
      <c r="BI161" s="1019">
        <v>0</v>
      </c>
      <c r="BJ161" s="1019">
        <v>0</v>
      </c>
      <c r="BK161" s="1019">
        <v>60000</v>
      </c>
      <c r="BL161" s="1019">
        <v>0</v>
      </c>
      <c r="BM161" s="1019">
        <v>0</v>
      </c>
      <c r="BN161" s="1019">
        <v>0</v>
      </c>
      <c r="BO161" s="1019">
        <v>0</v>
      </c>
      <c r="BP161" s="1019">
        <v>0</v>
      </c>
      <c r="BQ161" s="1019">
        <v>0</v>
      </c>
      <c r="BR161" s="1019">
        <v>0</v>
      </c>
      <c r="BS161" s="1019">
        <v>0</v>
      </c>
      <c r="BT161" s="1019">
        <v>48795</v>
      </c>
      <c r="BU161" s="1019">
        <v>0</v>
      </c>
      <c r="BV161" s="1019">
        <v>0</v>
      </c>
      <c r="BW161" s="1019">
        <v>0</v>
      </c>
      <c r="BX161" s="1019">
        <v>0</v>
      </c>
      <c r="BY161" s="1019">
        <v>0</v>
      </c>
      <c r="BZ161" s="111"/>
      <c r="CA161" s="111"/>
      <c r="CB161" s="111"/>
      <c r="CC161" s="111"/>
      <c r="CD161" s="111"/>
      <c r="CE161" s="111"/>
      <c r="CF161" s="111"/>
      <c r="CG161" s="111"/>
      <c r="CH161" s="111"/>
      <c r="CI161" s="111"/>
      <c r="CJ161" s="111"/>
      <c r="CK161" s="111"/>
      <c r="CL161" s="111"/>
      <c r="CM161" s="111"/>
      <c r="CN161" s="111"/>
      <c r="CO161" s="111"/>
      <c r="CP161" s="111"/>
      <c r="CQ161" s="111"/>
      <c r="CR161" s="111"/>
      <c r="CS161" s="111"/>
      <c r="CT161" s="111"/>
      <c r="CU161" s="111"/>
      <c r="CV161" s="111"/>
      <c r="CW161" s="111"/>
      <c r="CX161" s="111"/>
      <c r="CY161" s="111"/>
      <c r="CZ161" s="111"/>
      <c r="DA161" s="111"/>
      <c r="DB161" s="111"/>
      <c r="DC161" s="111"/>
      <c r="DD161" s="111"/>
      <c r="DE161" s="111"/>
      <c r="DF161" s="111"/>
      <c r="DG161" s="111"/>
      <c r="DH161" s="111"/>
      <c r="DI161" s="111"/>
      <c r="DJ161" s="111"/>
      <c r="DK161" s="111"/>
      <c r="DL161" s="111"/>
      <c r="DM161" s="111"/>
      <c r="DN161" s="111"/>
      <c r="DO161" s="111"/>
      <c r="DP161" s="111"/>
      <c r="DQ161" s="111"/>
      <c r="DR161" s="111"/>
      <c r="DS161" s="111"/>
      <c r="DT161" s="111"/>
      <c r="DU161" s="111"/>
      <c r="DV161" s="111"/>
      <c r="DW161" s="111"/>
      <c r="DX161" s="111"/>
      <c r="DY161" s="111"/>
    </row>
    <row r="162" spans="2:129" s="3" customFormat="1" ht="11.7" hidden="1" customHeight="1" outlineLevel="2" x14ac:dyDescent="0.3">
      <c r="B162" s="113"/>
      <c r="C162" s="230"/>
      <c r="G162" s="127"/>
      <c r="H162" s="127"/>
      <c r="I162" s="1019"/>
      <c r="J162" s="1019"/>
      <c r="K162" s="1019"/>
      <c r="L162" s="1019"/>
      <c r="M162" s="1019"/>
      <c r="N162" s="1019"/>
      <c r="O162" s="1019"/>
      <c r="P162" s="1019"/>
      <c r="Q162" s="1019"/>
      <c r="R162" s="1019"/>
      <c r="S162" s="1019"/>
      <c r="T162" s="1019"/>
      <c r="U162" s="1019"/>
      <c r="V162" s="1019"/>
      <c r="W162" s="1019"/>
      <c r="X162" s="1019"/>
      <c r="Y162" s="1019"/>
      <c r="Z162" s="1019"/>
      <c r="AA162" s="1019"/>
      <c r="AB162" s="1019"/>
      <c r="AC162" s="1019"/>
      <c r="AD162" s="1019"/>
      <c r="AE162" s="1019"/>
      <c r="AF162" s="1019"/>
      <c r="AG162" s="1019"/>
      <c r="AH162" s="1019"/>
      <c r="AI162" s="1019"/>
      <c r="AJ162" s="1019"/>
      <c r="AK162" s="1019"/>
      <c r="AL162" s="1019"/>
      <c r="AM162" s="1019"/>
      <c r="AN162" s="1019"/>
      <c r="AO162" s="1019"/>
      <c r="AP162" s="1019"/>
      <c r="AQ162" s="1019"/>
      <c r="AR162" s="1019"/>
      <c r="AS162" s="1019"/>
      <c r="AT162" s="1019"/>
      <c r="AU162" s="1019"/>
      <c r="AV162" s="1019"/>
      <c r="AW162" s="1019"/>
      <c r="AX162" s="1019"/>
      <c r="AY162" s="1019"/>
      <c r="AZ162" s="1019"/>
      <c r="BA162" s="1019"/>
      <c r="BB162" s="1019"/>
      <c r="BC162" s="1019"/>
      <c r="BD162" s="1019"/>
      <c r="BE162" s="1019"/>
      <c r="BF162" s="1019"/>
      <c r="BG162" s="1019"/>
      <c r="BH162" s="1019"/>
      <c r="BI162" s="1019"/>
      <c r="BJ162" s="1019"/>
      <c r="BK162" s="1019"/>
      <c r="BL162" s="1019"/>
      <c r="BM162" s="1019"/>
      <c r="BN162" s="1019"/>
      <c r="BO162" s="1019"/>
      <c r="BP162" s="1019"/>
      <c r="BQ162" s="1019"/>
      <c r="BR162" s="1019"/>
      <c r="BS162" s="1019"/>
      <c r="BT162" s="1019"/>
      <c r="BU162" s="1019"/>
      <c r="BV162" s="1019"/>
      <c r="BW162" s="1019"/>
      <c r="BX162" s="1019"/>
      <c r="BY162" s="1019"/>
      <c r="BZ162" s="111"/>
      <c r="CA162" s="111"/>
      <c r="CB162" s="111"/>
      <c r="CC162" s="111"/>
      <c r="CD162" s="111"/>
      <c r="CE162" s="111"/>
      <c r="CF162" s="111"/>
      <c r="CG162" s="111"/>
      <c r="CH162" s="111"/>
      <c r="CI162" s="111"/>
      <c r="CJ162" s="111"/>
      <c r="CK162" s="111"/>
      <c r="CL162" s="111"/>
      <c r="CM162" s="111"/>
      <c r="CN162" s="111"/>
      <c r="CO162" s="111"/>
      <c r="CP162" s="111"/>
      <c r="CQ162" s="111"/>
      <c r="CR162" s="111"/>
      <c r="CS162" s="111"/>
      <c r="CT162" s="111"/>
      <c r="CU162" s="111"/>
      <c r="CV162" s="111"/>
      <c r="CW162" s="111"/>
      <c r="CX162" s="111"/>
      <c r="CY162" s="111"/>
      <c r="CZ162" s="111"/>
      <c r="DA162" s="111"/>
      <c r="DB162" s="111"/>
      <c r="DC162" s="111"/>
      <c r="DD162" s="111"/>
      <c r="DE162" s="111"/>
      <c r="DF162" s="111"/>
      <c r="DG162" s="111"/>
      <c r="DH162" s="111"/>
      <c r="DI162" s="111"/>
      <c r="DJ162" s="111"/>
      <c r="DK162" s="111"/>
      <c r="DL162" s="111"/>
      <c r="DM162" s="111"/>
      <c r="DN162" s="111"/>
      <c r="DO162" s="111"/>
      <c r="DP162" s="111"/>
      <c r="DQ162" s="111"/>
      <c r="DR162" s="111"/>
      <c r="DS162" s="111"/>
      <c r="DT162" s="111"/>
      <c r="DU162" s="111"/>
      <c r="DV162" s="111"/>
      <c r="DW162" s="111"/>
      <c r="DX162" s="111"/>
      <c r="DY162" s="111"/>
    </row>
    <row r="163" spans="2:129" s="3" customFormat="1" ht="11.7" hidden="1" customHeight="1" outlineLevel="2" x14ac:dyDescent="0.3">
      <c r="B163" s="195" t="s">
        <v>726</v>
      </c>
      <c r="C163" s="230"/>
      <c r="G163" s="127"/>
      <c r="H163" s="127"/>
      <c r="I163" s="1019"/>
      <c r="J163" s="1019"/>
      <c r="K163" s="1019"/>
      <c r="L163" s="1019"/>
      <c r="M163" s="1019"/>
      <c r="N163" s="1019"/>
      <c r="O163" s="1019"/>
      <c r="P163" s="1019"/>
      <c r="Q163" s="1019"/>
      <c r="R163" s="1019"/>
      <c r="S163" s="1019"/>
      <c r="T163" s="1019"/>
      <c r="U163" s="1019"/>
      <c r="V163" s="1019"/>
      <c r="W163" s="1019"/>
      <c r="X163" s="1019"/>
      <c r="Y163" s="1019"/>
      <c r="Z163" s="1019"/>
      <c r="AA163" s="1019"/>
      <c r="AB163" s="1019"/>
      <c r="AC163" s="1019"/>
      <c r="AD163" s="1019"/>
      <c r="AE163" s="1019"/>
      <c r="AF163" s="1019"/>
      <c r="AG163" s="1019"/>
      <c r="AH163" s="1019"/>
      <c r="AI163" s="1019"/>
      <c r="AJ163" s="1019"/>
      <c r="AK163" s="1019"/>
      <c r="AL163" s="1019"/>
      <c r="AM163" s="1019"/>
      <c r="AN163" s="1019"/>
      <c r="AO163" s="1019"/>
      <c r="AP163" s="1019"/>
      <c r="AQ163" s="1019"/>
      <c r="AR163" s="1019"/>
      <c r="AS163" s="1019"/>
      <c r="AT163" s="1019"/>
      <c r="AU163" s="1019"/>
      <c r="AV163" s="1019"/>
      <c r="AW163" s="1019"/>
      <c r="AX163" s="1019"/>
      <c r="AY163" s="1019"/>
      <c r="AZ163" s="1019"/>
      <c r="BA163" s="1019"/>
      <c r="BB163" s="1019"/>
      <c r="BC163" s="1019"/>
      <c r="BD163" s="1019"/>
      <c r="BE163" s="1019"/>
      <c r="BF163" s="1019"/>
      <c r="BG163" s="1019"/>
      <c r="BH163" s="1019"/>
      <c r="BI163" s="1019"/>
      <c r="BJ163" s="1019"/>
      <c r="BK163" s="1019"/>
      <c r="BL163" s="1019"/>
      <c r="BM163" s="1019"/>
      <c r="BN163" s="1019"/>
      <c r="BO163" s="1019"/>
      <c r="BP163" s="1019"/>
      <c r="BQ163" s="1019"/>
      <c r="BR163" s="1019"/>
      <c r="BS163" s="1019"/>
      <c r="BT163" s="1019"/>
      <c r="BU163" s="1019"/>
      <c r="BV163" s="1019"/>
      <c r="BW163" s="1019"/>
      <c r="BX163" s="1019"/>
      <c r="BY163" s="1019"/>
      <c r="BZ163" s="111"/>
      <c r="CA163" s="111"/>
      <c r="CB163" s="111"/>
      <c r="CC163" s="111"/>
      <c r="CD163" s="111"/>
      <c r="CE163" s="111"/>
      <c r="CF163" s="111"/>
      <c r="CG163" s="111"/>
      <c r="CH163" s="111"/>
      <c r="CI163" s="111"/>
      <c r="CJ163" s="111"/>
      <c r="CK163" s="111"/>
      <c r="CL163" s="111"/>
      <c r="CM163" s="111"/>
      <c r="CN163" s="111"/>
      <c r="CO163" s="111"/>
      <c r="CP163" s="111"/>
      <c r="CQ163" s="111"/>
      <c r="CR163" s="111"/>
      <c r="CS163" s="111"/>
      <c r="CT163" s="111"/>
      <c r="CU163" s="111"/>
      <c r="CV163" s="111"/>
      <c r="CW163" s="111"/>
      <c r="CX163" s="111"/>
      <c r="CY163" s="111"/>
      <c r="CZ163" s="111"/>
      <c r="DA163" s="111"/>
      <c r="DB163" s="111"/>
      <c r="DC163" s="111"/>
      <c r="DD163" s="111"/>
      <c r="DE163" s="111"/>
      <c r="DF163" s="111"/>
      <c r="DG163" s="111"/>
      <c r="DH163" s="111"/>
      <c r="DI163" s="111"/>
      <c r="DJ163" s="111"/>
      <c r="DK163" s="111"/>
      <c r="DL163" s="111"/>
      <c r="DM163" s="111"/>
      <c r="DN163" s="111"/>
      <c r="DO163" s="111"/>
      <c r="DP163" s="111"/>
      <c r="DQ163" s="111"/>
      <c r="DR163" s="111"/>
      <c r="DS163" s="111"/>
      <c r="DT163" s="111"/>
      <c r="DU163" s="111"/>
      <c r="DV163" s="111"/>
      <c r="DW163" s="111"/>
      <c r="DX163" s="111"/>
      <c r="DY163" s="111"/>
    </row>
    <row r="164" spans="2:129" s="3" customFormat="1" ht="11.7" hidden="1" customHeight="1" outlineLevel="2" x14ac:dyDescent="0.3">
      <c r="B164" s="113" t="s">
        <v>679</v>
      </c>
      <c r="C164" s="230"/>
      <c r="G164" s="127"/>
      <c r="H164" s="127"/>
      <c r="I164" s="1019">
        <v>0</v>
      </c>
      <c r="J164" s="1019">
        <v>0</v>
      </c>
      <c r="K164" s="1019">
        <v>0</v>
      </c>
      <c r="L164" s="1019">
        <v>0</v>
      </c>
      <c r="M164" s="1019">
        <v>0</v>
      </c>
      <c r="N164" s="1019">
        <v>0</v>
      </c>
      <c r="O164" s="1019">
        <v>0</v>
      </c>
      <c r="P164" s="1019">
        <v>0</v>
      </c>
      <c r="Q164" s="1019">
        <v>0</v>
      </c>
      <c r="R164" s="1019">
        <v>0</v>
      </c>
      <c r="S164" s="1019">
        <v>0</v>
      </c>
      <c r="T164" s="1019">
        <v>0</v>
      </c>
      <c r="U164" s="1019">
        <v>0</v>
      </c>
      <c r="V164" s="1019">
        <v>0</v>
      </c>
      <c r="W164" s="1019">
        <v>0</v>
      </c>
      <c r="X164" s="1019">
        <v>0</v>
      </c>
      <c r="Y164" s="1019">
        <v>0</v>
      </c>
      <c r="Z164" s="1019">
        <v>0</v>
      </c>
      <c r="AA164" s="1019">
        <v>0</v>
      </c>
      <c r="AB164" s="1019">
        <v>0</v>
      </c>
      <c r="AC164" s="1019">
        <v>0</v>
      </c>
      <c r="AD164" s="1019">
        <v>0</v>
      </c>
      <c r="AE164" s="1019">
        <v>0</v>
      </c>
      <c r="AF164" s="1019">
        <v>0</v>
      </c>
      <c r="AG164" s="1019">
        <v>0</v>
      </c>
      <c r="AH164" s="1019">
        <v>0</v>
      </c>
      <c r="AI164" s="1019">
        <v>0</v>
      </c>
      <c r="AJ164" s="1019">
        <v>0</v>
      </c>
      <c r="AK164" s="1019">
        <v>0</v>
      </c>
      <c r="AL164" s="1019">
        <v>0</v>
      </c>
      <c r="AM164" s="1019">
        <v>0</v>
      </c>
      <c r="AN164" s="1019">
        <v>0</v>
      </c>
      <c r="AO164" s="1019">
        <v>0</v>
      </c>
      <c r="AP164" s="1019">
        <v>0</v>
      </c>
      <c r="AQ164" s="1019">
        <v>0</v>
      </c>
      <c r="AR164" s="1019">
        <v>0</v>
      </c>
      <c r="AS164" s="1019">
        <v>0</v>
      </c>
      <c r="AT164" s="1019">
        <v>0</v>
      </c>
      <c r="AU164" s="1019">
        <v>0</v>
      </c>
      <c r="AV164" s="1019">
        <v>0</v>
      </c>
      <c r="AW164" s="1019">
        <v>0</v>
      </c>
      <c r="AX164" s="1019">
        <v>0</v>
      </c>
      <c r="AY164" s="1019">
        <v>0</v>
      </c>
      <c r="AZ164" s="1019">
        <v>0</v>
      </c>
      <c r="BA164" s="1019">
        <v>0</v>
      </c>
      <c r="BB164" s="1019">
        <v>0</v>
      </c>
      <c r="BC164" s="1019">
        <v>0</v>
      </c>
      <c r="BD164" s="1019">
        <v>0</v>
      </c>
      <c r="BE164" s="1019">
        <v>0</v>
      </c>
      <c r="BF164" s="1019">
        <v>0</v>
      </c>
      <c r="BG164" s="1019">
        <v>0</v>
      </c>
      <c r="BH164" s="1019">
        <v>0</v>
      </c>
      <c r="BI164" s="1019">
        <v>0</v>
      </c>
      <c r="BJ164" s="1019">
        <v>1368486</v>
      </c>
      <c r="BK164" s="1019">
        <v>1763340</v>
      </c>
      <c r="BL164" s="1019">
        <v>780009</v>
      </c>
      <c r="BM164" s="1019">
        <v>782126</v>
      </c>
      <c r="BN164" s="1019">
        <v>782126</v>
      </c>
      <c r="BO164" s="1019">
        <v>549514</v>
      </c>
      <c r="BP164" s="1019">
        <v>986036</v>
      </c>
      <c r="BQ164" s="1019">
        <v>888034</v>
      </c>
      <c r="BR164" s="1019">
        <v>804034</v>
      </c>
      <c r="BS164" s="1019">
        <v>804034</v>
      </c>
      <c r="BT164" s="1019">
        <v>804829</v>
      </c>
      <c r="BU164" s="1019">
        <v>1047993</v>
      </c>
      <c r="BV164" s="1019">
        <v>807993</v>
      </c>
      <c r="BW164" s="1019">
        <v>867192</v>
      </c>
      <c r="BX164" s="1019">
        <v>867192</v>
      </c>
      <c r="BY164" s="1019">
        <v>867192</v>
      </c>
      <c r="BZ164" s="111"/>
      <c r="CA164" s="111"/>
      <c r="CB164" s="111"/>
      <c r="CC164" s="111"/>
      <c r="CD164" s="111"/>
      <c r="CE164" s="111"/>
      <c r="CF164" s="111"/>
      <c r="CG164" s="111"/>
      <c r="CH164" s="111"/>
      <c r="CI164" s="111"/>
      <c r="CJ164" s="111"/>
      <c r="CK164" s="111"/>
      <c r="CL164" s="111"/>
      <c r="CM164" s="111"/>
      <c r="CN164" s="111"/>
      <c r="CO164" s="111"/>
      <c r="CP164" s="111"/>
      <c r="CQ164" s="111"/>
      <c r="CR164" s="111"/>
      <c r="CS164" s="111"/>
      <c r="CT164" s="111"/>
      <c r="CU164" s="111"/>
      <c r="CV164" s="111"/>
      <c r="CW164" s="111"/>
      <c r="CX164" s="111"/>
      <c r="CY164" s="111"/>
      <c r="CZ164" s="111"/>
      <c r="DA164" s="111"/>
      <c r="DB164" s="111"/>
      <c r="DC164" s="111"/>
      <c r="DD164" s="111"/>
      <c r="DE164" s="111"/>
      <c r="DF164" s="111"/>
      <c r="DG164" s="111"/>
      <c r="DH164" s="111"/>
      <c r="DI164" s="111"/>
      <c r="DJ164" s="111"/>
      <c r="DK164" s="111"/>
      <c r="DL164" s="111"/>
      <c r="DM164" s="111"/>
      <c r="DN164" s="111"/>
      <c r="DO164" s="111"/>
      <c r="DP164" s="111"/>
      <c r="DQ164" s="111"/>
      <c r="DR164" s="111"/>
      <c r="DS164" s="111"/>
      <c r="DT164" s="111"/>
      <c r="DU164" s="111"/>
      <c r="DV164" s="111"/>
      <c r="DW164" s="111"/>
      <c r="DX164" s="111"/>
      <c r="DY164" s="111"/>
    </row>
    <row r="165" spans="2:129" s="3" customFormat="1" ht="11.7" hidden="1" customHeight="1" outlineLevel="2" x14ac:dyDescent="0.3">
      <c r="B165" s="113" t="s">
        <v>680</v>
      </c>
      <c r="C165" s="230"/>
      <c r="G165" s="127"/>
      <c r="H165" s="127"/>
      <c r="I165" s="1019">
        <v>0</v>
      </c>
      <c r="J165" s="1019">
        <v>0</v>
      </c>
      <c r="K165" s="1019">
        <v>0</v>
      </c>
      <c r="L165" s="1019">
        <v>0</v>
      </c>
      <c r="M165" s="1019">
        <v>0</v>
      </c>
      <c r="N165" s="1019">
        <v>0</v>
      </c>
      <c r="O165" s="1019">
        <v>0</v>
      </c>
      <c r="P165" s="1019">
        <v>0</v>
      </c>
      <c r="Q165" s="1019">
        <v>0</v>
      </c>
      <c r="R165" s="1019">
        <v>0</v>
      </c>
      <c r="S165" s="1019">
        <v>0</v>
      </c>
      <c r="T165" s="1019">
        <v>0</v>
      </c>
      <c r="U165" s="1019">
        <v>0</v>
      </c>
      <c r="V165" s="1019">
        <v>0</v>
      </c>
      <c r="W165" s="1019">
        <v>0</v>
      </c>
      <c r="X165" s="1019">
        <v>0</v>
      </c>
      <c r="Y165" s="1019">
        <v>0</v>
      </c>
      <c r="Z165" s="1019">
        <v>0</v>
      </c>
      <c r="AA165" s="1019">
        <v>0</v>
      </c>
      <c r="AB165" s="1019">
        <v>0</v>
      </c>
      <c r="AC165" s="1019">
        <v>0</v>
      </c>
      <c r="AD165" s="1019">
        <v>0</v>
      </c>
      <c r="AE165" s="1019">
        <v>0</v>
      </c>
      <c r="AF165" s="1019">
        <v>0</v>
      </c>
      <c r="AG165" s="1019">
        <v>0</v>
      </c>
      <c r="AH165" s="1019">
        <v>0</v>
      </c>
      <c r="AI165" s="1019">
        <v>0</v>
      </c>
      <c r="AJ165" s="1019">
        <v>0</v>
      </c>
      <c r="AK165" s="1019">
        <v>0</v>
      </c>
      <c r="AL165" s="1019">
        <v>0</v>
      </c>
      <c r="AM165" s="1019">
        <v>0</v>
      </c>
      <c r="AN165" s="1019">
        <v>0</v>
      </c>
      <c r="AO165" s="1019">
        <v>0</v>
      </c>
      <c r="AP165" s="1019">
        <v>0</v>
      </c>
      <c r="AQ165" s="1019">
        <v>0</v>
      </c>
      <c r="AR165" s="1019">
        <v>0</v>
      </c>
      <c r="AS165" s="1019">
        <v>0</v>
      </c>
      <c r="AT165" s="1019">
        <v>0</v>
      </c>
      <c r="AU165" s="1019">
        <v>0</v>
      </c>
      <c r="AV165" s="1019">
        <v>0</v>
      </c>
      <c r="AW165" s="1019">
        <v>0</v>
      </c>
      <c r="AX165" s="1019">
        <v>0</v>
      </c>
      <c r="AY165" s="1019">
        <v>0</v>
      </c>
      <c r="AZ165" s="1019">
        <v>0</v>
      </c>
      <c r="BA165" s="1019">
        <v>0</v>
      </c>
      <c r="BB165" s="1019">
        <v>0</v>
      </c>
      <c r="BC165" s="1019">
        <v>0</v>
      </c>
      <c r="BD165" s="1019">
        <v>0</v>
      </c>
      <c r="BE165" s="1019">
        <v>0</v>
      </c>
      <c r="BF165" s="1019">
        <v>0</v>
      </c>
      <c r="BG165" s="1019">
        <v>0</v>
      </c>
      <c r="BH165" s="1019">
        <v>0</v>
      </c>
      <c r="BI165" s="1019">
        <v>0</v>
      </c>
      <c r="BJ165" s="1019">
        <v>370618</v>
      </c>
      <c r="BK165" s="1019">
        <v>-29857</v>
      </c>
      <c r="BL165" s="1019">
        <v>100357</v>
      </c>
      <c r="BM165" s="1019">
        <v>90821</v>
      </c>
      <c r="BN165" s="1019">
        <v>872947</v>
      </c>
      <c r="BO165" s="1019">
        <v>69962</v>
      </c>
      <c r="BP165" s="1019">
        <v>103163</v>
      </c>
      <c r="BQ165" s="1019">
        <v>108124</v>
      </c>
      <c r="BR165" s="1019">
        <v>96290</v>
      </c>
      <c r="BS165" s="1019">
        <v>92066</v>
      </c>
      <c r="BT165" s="1019">
        <v>100740</v>
      </c>
      <c r="BU165" s="1019">
        <v>118200</v>
      </c>
      <c r="BV165" s="1019">
        <v>92560</v>
      </c>
      <c r="BW165" s="1019">
        <v>134304</v>
      </c>
      <c r="BX165" s="1019">
        <v>134304</v>
      </c>
      <c r="BY165" s="1019">
        <v>134304</v>
      </c>
      <c r="BZ165" s="111"/>
      <c r="CA165" s="111"/>
      <c r="CB165" s="111"/>
      <c r="CC165" s="111"/>
      <c r="CD165" s="111"/>
      <c r="CE165" s="111"/>
      <c r="CF165" s="111"/>
      <c r="CG165" s="111"/>
      <c r="CH165" s="111"/>
      <c r="CI165" s="111"/>
      <c r="CJ165" s="111"/>
      <c r="CK165" s="111"/>
      <c r="CL165" s="111"/>
      <c r="CM165" s="111"/>
      <c r="CN165" s="111"/>
      <c r="CO165" s="111"/>
      <c r="CP165" s="111"/>
      <c r="CQ165" s="111"/>
      <c r="CR165" s="111"/>
      <c r="CS165" s="111"/>
      <c r="CT165" s="111"/>
      <c r="CU165" s="111"/>
      <c r="CV165" s="111"/>
      <c r="CW165" s="111"/>
      <c r="CX165" s="111"/>
      <c r="CY165" s="111"/>
      <c r="CZ165" s="111"/>
      <c r="DA165" s="111"/>
      <c r="DB165" s="111"/>
      <c r="DC165" s="111"/>
      <c r="DD165" s="111"/>
      <c r="DE165" s="111"/>
      <c r="DF165" s="111"/>
      <c r="DG165" s="111"/>
      <c r="DH165" s="111"/>
      <c r="DI165" s="111"/>
      <c r="DJ165" s="111"/>
      <c r="DK165" s="111"/>
      <c r="DL165" s="111"/>
      <c r="DM165" s="111"/>
      <c r="DN165" s="111"/>
      <c r="DO165" s="111"/>
      <c r="DP165" s="111"/>
      <c r="DQ165" s="111"/>
      <c r="DR165" s="111"/>
      <c r="DS165" s="111"/>
      <c r="DT165" s="111"/>
      <c r="DU165" s="111"/>
      <c r="DV165" s="111"/>
      <c r="DW165" s="111"/>
      <c r="DX165" s="111"/>
      <c r="DY165" s="111"/>
    </row>
    <row r="166" spans="2:129" s="3" customFormat="1" ht="11.7" hidden="1" customHeight="1" outlineLevel="2" x14ac:dyDescent="0.3">
      <c r="B166" s="113" t="s">
        <v>681</v>
      </c>
      <c r="C166" s="230"/>
      <c r="G166" s="127"/>
      <c r="H166" s="127"/>
      <c r="I166" s="1019">
        <v>0</v>
      </c>
      <c r="J166" s="1019">
        <v>0</v>
      </c>
      <c r="K166" s="1019">
        <v>0</v>
      </c>
      <c r="L166" s="1019">
        <v>0</v>
      </c>
      <c r="M166" s="1019">
        <v>0</v>
      </c>
      <c r="N166" s="1019">
        <v>0</v>
      </c>
      <c r="O166" s="1019">
        <v>0</v>
      </c>
      <c r="P166" s="1019">
        <v>0</v>
      </c>
      <c r="Q166" s="1019">
        <v>0</v>
      </c>
      <c r="R166" s="1019">
        <v>0</v>
      </c>
      <c r="S166" s="1019">
        <v>0</v>
      </c>
      <c r="T166" s="1019">
        <v>0</v>
      </c>
      <c r="U166" s="1019">
        <v>0</v>
      </c>
      <c r="V166" s="1019">
        <v>0</v>
      </c>
      <c r="W166" s="1019">
        <v>0</v>
      </c>
      <c r="X166" s="1019">
        <v>0</v>
      </c>
      <c r="Y166" s="1019">
        <v>0</v>
      </c>
      <c r="Z166" s="1019">
        <v>0</v>
      </c>
      <c r="AA166" s="1019">
        <v>0</v>
      </c>
      <c r="AB166" s="1019">
        <v>0</v>
      </c>
      <c r="AC166" s="1019">
        <v>0</v>
      </c>
      <c r="AD166" s="1019">
        <v>0</v>
      </c>
      <c r="AE166" s="1019">
        <v>0</v>
      </c>
      <c r="AF166" s="1019">
        <v>0</v>
      </c>
      <c r="AG166" s="1019">
        <v>0</v>
      </c>
      <c r="AH166" s="1019">
        <v>0</v>
      </c>
      <c r="AI166" s="1019">
        <v>0</v>
      </c>
      <c r="AJ166" s="1019">
        <v>0</v>
      </c>
      <c r="AK166" s="1019">
        <v>0</v>
      </c>
      <c r="AL166" s="1019">
        <v>0</v>
      </c>
      <c r="AM166" s="1019">
        <v>0</v>
      </c>
      <c r="AN166" s="1019">
        <v>0</v>
      </c>
      <c r="AO166" s="1019">
        <v>0</v>
      </c>
      <c r="AP166" s="1019">
        <v>0</v>
      </c>
      <c r="AQ166" s="1019">
        <v>0</v>
      </c>
      <c r="AR166" s="1019">
        <v>0</v>
      </c>
      <c r="AS166" s="1019">
        <v>0</v>
      </c>
      <c r="AT166" s="1019">
        <v>0</v>
      </c>
      <c r="AU166" s="1019">
        <v>0</v>
      </c>
      <c r="AV166" s="1019">
        <v>0</v>
      </c>
      <c r="AW166" s="1019">
        <v>0</v>
      </c>
      <c r="AX166" s="1019">
        <v>0</v>
      </c>
      <c r="AY166" s="1019">
        <v>0</v>
      </c>
      <c r="AZ166" s="1019">
        <v>0</v>
      </c>
      <c r="BA166" s="1019">
        <v>0</v>
      </c>
      <c r="BB166" s="1019">
        <v>0</v>
      </c>
      <c r="BC166" s="1019">
        <v>0</v>
      </c>
      <c r="BD166" s="1019">
        <v>0</v>
      </c>
      <c r="BE166" s="1019">
        <v>0</v>
      </c>
      <c r="BF166" s="1019">
        <v>0</v>
      </c>
      <c r="BG166" s="1019">
        <v>0</v>
      </c>
      <c r="BH166" s="1019">
        <v>0</v>
      </c>
      <c r="BI166" s="1019">
        <v>0</v>
      </c>
      <c r="BJ166" s="1019">
        <v>0</v>
      </c>
      <c r="BK166" s="1019">
        <v>0</v>
      </c>
      <c r="BL166" s="1019">
        <v>640311</v>
      </c>
      <c r="BM166" s="1019">
        <v>650324</v>
      </c>
      <c r="BN166" s="1019">
        <v>658426.05000000005</v>
      </c>
      <c r="BO166" s="1019">
        <v>665002</v>
      </c>
      <c r="BP166" s="1019">
        <v>673347</v>
      </c>
      <c r="BQ166" s="1019">
        <v>681740</v>
      </c>
      <c r="BR166" s="1019">
        <f>184783+365364</f>
        <v>550147</v>
      </c>
      <c r="BS166" s="1019">
        <f>83026+470481</f>
        <v>553507</v>
      </c>
      <c r="BT166" s="1019">
        <f>83740+474525</f>
        <v>558265</v>
      </c>
      <c r="BU166" s="1019">
        <f>84162+63119+476919+357672</f>
        <v>981872</v>
      </c>
      <c r="BV166" s="1019">
        <f>196680+1114520</f>
        <v>1311200</v>
      </c>
      <c r="BW166" s="1019">
        <f>98340+1122910</f>
        <v>1221250</v>
      </c>
      <c r="BX166" s="1019">
        <f>112546+73161</f>
        <v>185707</v>
      </c>
      <c r="BY166" s="1019">
        <f>98340+557260</f>
        <v>655600</v>
      </c>
      <c r="BZ166" s="111"/>
      <c r="CA166" s="111"/>
      <c r="CB166" s="111"/>
      <c r="CC166" s="111"/>
      <c r="CD166" s="111"/>
      <c r="CE166" s="111"/>
      <c r="CF166" s="111"/>
      <c r="CG166" s="111"/>
      <c r="CH166" s="111"/>
      <c r="CI166" s="111"/>
      <c r="CJ166" s="111"/>
      <c r="CK166" s="111"/>
      <c r="CL166" s="111"/>
      <c r="CM166" s="111"/>
      <c r="CN166" s="111"/>
      <c r="CO166" s="111"/>
      <c r="CP166" s="111"/>
      <c r="CQ166" s="111"/>
      <c r="CR166" s="111"/>
      <c r="CS166" s="111"/>
      <c r="CT166" s="111"/>
      <c r="CU166" s="111"/>
      <c r="CV166" s="111"/>
      <c r="CW166" s="111"/>
      <c r="CX166" s="111"/>
      <c r="CY166" s="111"/>
      <c r="CZ166" s="111"/>
      <c r="DA166" s="111"/>
      <c r="DB166" s="111"/>
      <c r="DC166" s="111"/>
      <c r="DD166" s="111"/>
      <c r="DE166" s="111"/>
      <c r="DF166" s="111"/>
      <c r="DG166" s="111"/>
      <c r="DH166" s="111"/>
      <c r="DI166" s="111"/>
      <c r="DJ166" s="111"/>
      <c r="DK166" s="111"/>
      <c r="DL166" s="111"/>
      <c r="DM166" s="111"/>
      <c r="DN166" s="111"/>
      <c r="DO166" s="111"/>
      <c r="DP166" s="111"/>
      <c r="DQ166" s="111"/>
      <c r="DR166" s="111"/>
      <c r="DS166" s="111"/>
      <c r="DT166" s="111"/>
      <c r="DU166" s="111"/>
      <c r="DV166" s="111"/>
      <c r="DW166" s="111"/>
      <c r="DX166" s="111"/>
      <c r="DY166" s="111"/>
    </row>
    <row r="167" spans="2:129" s="3" customFormat="1" ht="11.7" hidden="1" customHeight="1" outlineLevel="2" x14ac:dyDescent="0.3">
      <c r="B167" s="113" t="s">
        <v>736</v>
      </c>
      <c r="C167" s="230"/>
      <c r="G167" s="127"/>
      <c r="H167" s="127"/>
      <c r="I167" s="1019">
        <v>0</v>
      </c>
      <c r="J167" s="1019">
        <v>0</v>
      </c>
      <c r="K167" s="1019">
        <v>0</v>
      </c>
      <c r="L167" s="1019">
        <v>0</v>
      </c>
      <c r="M167" s="1019">
        <v>0</v>
      </c>
      <c r="N167" s="1019">
        <v>0</v>
      </c>
      <c r="O167" s="1019">
        <v>0</v>
      </c>
      <c r="P167" s="1019">
        <v>0</v>
      </c>
      <c r="Q167" s="1019">
        <v>0</v>
      </c>
      <c r="R167" s="1019">
        <v>0</v>
      </c>
      <c r="S167" s="1019">
        <v>0</v>
      </c>
      <c r="T167" s="1019">
        <v>0</v>
      </c>
      <c r="U167" s="1019">
        <v>0</v>
      </c>
      <c r="V167" s="1019">
        <v>0</v>
      </c>
      <c r="W167" s="1019">
        <v>0</v>
      </c>
      <c r="X167" s="1019">
        <v>0</v>
      </c>
      <c r="Y167" s="1019">
        <v>0</v>
      </c>
      <c r="Z167" s="1019">
        <v>0</v>
      </c>
      <c r="AA167" s="1019">
        <v>0</v>
      </c>
      <c r="AB167" s="1019">
        <v>0</v>
      </c>
      <c r="AC167" s="1019">
        <v>0</v>
      </c>
      <c r="AD167" s="1019">
        <v>0</v>
      </c>
      <c r="AE167" s="1019">
        <v>0</v>
      </c>
      <c r="AF167" s="1019">
        <v>0</v>
      </c>
      <c r="AG167" s="1019">
        <v>0</v>
      </c>
      <c r="AH167" s="1019">
        <v>0</v>
      </c>
      <c r="AI167" s="1019">
        <v>0</v>
      </c>
      <c r="AJ167" s="1019">
        <v>0</v>
      </c>
      <c r="AK167" s="1019">
        <v>0</v>
      </c>
      <c r="AL167" s="1019">
        <v>0</v>
      </c>
      <c r="AM167" s="1019">
        <v>0</v>
      </c>
      <c r="AN167" s="1019">
        <v>0</v>
      </c>
      <c r="AO167" s="1019">
        <v>0</v>
      </c>
      <c r="AP167" s="1019">
        <v>0</v>
      </c>
      <c r="AQ167" s="1019">
        <v>0</v>
      </c>
      <c r="AR167" s="1019">
        <v>0</v>
      </c>
      <c r="AS167" s="1019">
        <v>0</v>
      </c>
      <c r="AT167" s="1019">
        <v>0</v>
      </c>
      <c r="AU167" s="1019">
        <v>0</v>
      </c>
      <c r="AV167" s="1019">
        <v>0</v>
      </c>
      <c r="AW167" s="1019">
        <v>0</v>
      </c>
      <c r="AX167" s="1019">
        <v>0</v>
      </c>
      <c r="AY167" s="1019">
        <v>0</v>
      </c>
      <c r="AZ167" s="1019">
        <v>0</v>
      </c>
      <c r="BA167" s="1019">
        <v>0</v>
      </c>
      <c r="BB167" s="1019">
        <v>0</v>
      </c>
      <c r="BC167" s="1019">
        <v>0</v>
      </c>
      <c r="BD167" s="1019">
        <v>0</v>
      </c>
      <c r="BE167" s="1019">
        <v>0</v>
      </c>
      <c r="BF167" s="1019">
        <v>0</v>
      </c>
      <c r="BG167" s="1019">
        <v>0</v>
      </c>
      <c r="BH167" s="1019">
        <v>0</v>
      </c>
      <c r="BI167" s="1019">
        <v>0</v>
      </c>
      <c r="BJ167" s="1019">
        <v>0</v>
      </c>
      <c r="BK167" s="1019">
        <v>0</v>
      </c>
      <c r="BL167" s="1019">
        <v>0</v>
      </c>
      <c r="BM167" s="1019">
        <v>0</v>
      </c>
      <c r="BN167" s="1019">
        <v>6554.62</v>
      </c>
      <c r="BO167" s="1019">
        <v>65320</v>
      </c>
      <c r="BP167" s="1019">
        <v>0</v>
      </c>
      <c r="BQ167" s="1019">
        <v>0</v>
      </c>
      <c r="BR167" s="1019">
        <v>0</v>
      </c>
      <c r="BS167" s="1019">
        <v>0</v>
      </c>
      <c r="BT167" s="1019">
        <v>0</v>
      </c>
      <c r="BU167" s="1019">
        <v>0</v>
      </c>
      <c r="BV167" s="1019">
        <v>0</v>
      </c>
      <c r="BW167" s="1019">
        <v>0</v>
      </c>
      <c r="BX167" s="1019">
        <f>32079+181779</f>
        <v>213858</v>
      </c>
      <c r="BY167" s="1019">
        <f>32386+183519</f>
        <v>215905</v>
      </c>
      <c r="BZ167" s="111"/>
      <c r="CA167" s="111"/>
      <c r="CB167" s="111"/>
      <c r="CC167" s="111"/>
      <c r="CD167" s="111"/>
      <c r="CE167" s="111"/>
      <c r="CF167" s="111"/>
      <c r="CG167" s="111"/>
      <c r="CH167" s="111"/>
      <c r="CI167" s="111"/>
      <c r="CJ167" s="111"/>
      <c r="CK167" s="111"/>
      <c r="CL167" s="111"/>
      <c r="CM167" s="111"/>
      <c r="CN167" s="111"/>
      <c r="CO167" s="111"/>
      <c r="CP167" s="111"/>
      <c r="CQ167" s="111"/>
      <c r="CR167" s="111"/>
      <c r="CS167" s="111"/>
      <c r="CT167" s="111"/>
      <c r="CU167" s="111"/>
      <c r="CV167" s="111"/>
      <c r="CW167" s="111"/>
      <c r="CX167" s="111"/>
      <c r="CY167" s="111"/>
      <c r="CZ167" s="111"/>
      <c r="DA167" s="111"/>
      <c r="DB167" s="111"/>
      <c r="DC167" s="111"/>
      <c r="DD167" s="111"/>
      <c r="DE167" s="111"/>
      <c r="DF167" s="111"/>
      <c r="DG167" s="111"/>
      <c r="DH167" s="111"/>
      <c r="DI167" s="111"/>
      <c r="DJ167" s="111"/>
      <c r="DK167" s="111"/>
      <c r="DL167" s="111"/>
      <c r="DM167" s="111"/>
      <c r="DN167" s="111"/>
      <c r="DO167" s="111"/>
      <c r="DP167" s="111"/>
      <c r="DQ167" s="111"/>
      <c r="DR167" s="111"/>
      <c r="DS167" s="111"/>
      <c r="DT167" s="111"/>
      <c r="DU167" s="111"/>
      <c r="DV167" s="111"/>
      <c r="DW167" s="111"/>
      <c r="DX167" s="111"/>
      <c r="DY167" s="111"/>
    </row>
    <row r="168" spans="2:129" s="3" customFormat="1" ht="11.7" hidden="1" customHeight="1" outlineLevel="2" x14ac:dyDescent="0.3">
      <c r="B168" s="113" t="s">
        <v>682</v>
      </c>
      <c r="C168" s="230"/>
      <c r="G168" s="127"/>
      <c r="H168" s="127"/>
      <c r="I168" s="1019">
        <v>0</v>
      </c>
      <c r="J168" s="1019">
        <v>0</v>
      </c>
      <c r="K168" s="1019">
        <v>0</v>
      </c>
      <c r="L168" s="1019">
        <v>0</v>
      </c>
      <c r="M168" s="1019">
        <v>0</v>
      </c>
      <c r="N168" s="1019">
        <v>0</v>
      </c>
      <c r="O168" s="1019">
        <v>0</v>
      </c>
      <c r="P168" s="1019">
        <v>0</v>
      </c>
      <c r="Q168" s="1019">
        <v>0</v>
      </c>
      <c r="R168" s="1019">
        <v>0</v>
      </c>
      <c r="S168" s="1019">
        <v>0</v>
      </c>
      <c r="T168" s="1019">
        <v>0</v>
      </c>
      <c r="U168" s="1019">
        <v>0</v>
      </c>
      <c r="V168" s="1019">
        <v>0</v>
      </c>
      <c r="W168" s="1019">
        <v>0</v>
      </c>
      <c r="X168" s="1019">
        <v>0</v>
      </c>
      <c r="Y168" s="1019">
        <v>0</v>
      </c>
      <c r="Z168" s="1019">
        <v>0</v>
      </c>
      <c r="AA168" s="1019">
        <v>0</v>
      </c>
      <c r="AB168" s="1019">
        <v>0</v>
      </c>
      <c r="AC168" s="1019">
        <v>0</v>
      </c>
      <c r="AD168" s="1019">
        <v>0</v>
      </c>
      <c r="AE168" s="1019">
        <v>0</v>
      </c>
      <c r="AF168" s="1019">
        <v>0</v>
      </c>
      <c r="AG168" s="1019">
        <v>0</v>
      </c>
      <c r="AH168" s="1019">
        <v>0</v>
      </c>
      <c r="AI168" s="1019">
        <v>0</v>
      </c>
      <c r="AJ168" s="1019">
        <v>0</v>
      </c>
      <c r="AK168" s="1019">
        <v>0</v>
      </c>
      <c r="AL168" s="1019">
        <v>0</v>
      </c>
      <c r="AM168" s="1019">
        <v>0</v>
      </c>
      <c r="AN168" s="1019">
        <v>0</v>
      </c>
      <c r="AO168" s="1019">
        <v>0</v>
      </c>
      <c r="AP168" s="1019">
        <v>0</v>
      </c>
      <c r="AQ168" s="1019">
        <v>0</v>
      </c>
      <c r="AR168" s="1019">
        <v>0</v>
      </c>
      <c r="AS168" s="1019">
        <v>0</v>
      </c>
      <c r="AT168" s="1019">
        <v>0</v>
      </c>
      <c r="AU168" s="1019">
        <v>0</v>
      </c>
      <c r="AV168" s="1019">
        <v>0</v>
      </c>
      <c r="AW168" s="1019">
        <v>0</v>
      </c>
      <c r="AX168" s="1019">
        <v>0</v>
      </c>
      <c r="AY168" s="1019">
        <v>0</v>
      </c>
      <c r="AZ168" s="1019">
        <v>0</v>
      </c>
      <c r="BA168" s="1019">
        <v>0</v>
      </c>
      <c r="BB168" s="1019">
        <v>0</v>
      </c>
      <c r="BC168" s="1019">
        <v>0</v>
      </c>
      <c r="BD168" s="1019">
        <v>0</v>
      </c>
      <c r="BE168" s="1019">
        <v>0</v>
      </c>
      <c r="BF168" s="1019">
        <v>0</v>
      </c>
      <c r="BG168" s="1019">
        <v>0</v>
      </c>
      <c r="BH168" s="1019">
        <v>0</v>
      </c>
      <c r="BI168" s="1019">
        <v>0</v>
      </c>
      <c r="BJ168" s="1019">
        <v>0</v>
      </c>
      <c r="BK168" s="1019">
        <v>0</v>
      </c>
      <c r="BL168" s="1019">
        <v>0</v>
      </c>
      <c r="BM168" s="1019">
        <v>76050</v>
      </c>
      <c r="BN168" s="1019">
        <v>0</v>
      </c>
      <c r="BO168" s="1019">
        <v>0</v>
      </c>
      <c r="BP168" s="1019">
        <v>756524</v>
      </c>
      <c r="BQ168" s="1019">
        <f>29248+363301</f>
        <v>392549</v>
      </c>
      <c r="BR168" s="1019">
        <f>60099+138796</f>
        <v>198895</v>
      </c>
      <c r="BS168" s="1019">
        <f>30052+170297</f>
        <v>200349</v>
      </c>
      <c r="BT168" s="1019">
        <f>20248+181408</f>
        <v>201656</v>
      </c>
      <c r="BU168" s="1019">
        <f>30468+172651</f>
        <v>203119</v>
      </c>
      <c r="BV168" s="1019">
        <f>30672+173806</f>
        <v>204478</v>
      </c>
      <c r="BW168" s="1019">
        <f>42833+807923</f>
        <v>850756</v>
      </c>
      <c r="BX168" s="1019">
        <f>61634+349260</f>
        <v>410894</v>
      </c>
      <c r="BY168" s="1019">
        <f>54014+306081</f>
        <v>360095</v>
      </c>
      <c r="BZ168" s="111"/>
      <c r="CA168" s="111"/>
      <c r="CB168" s="111"/>
      <c r="CC168" s="111"/>
      <c r="CD168" s="111"/>
      <c r="CE168" s="111"/>
      <c r="CF168" s="111"/>
      <c r="CG168" s="111"/>
      <c r="CH168" s="111"/>
      <c r="CI168" s="111"/>
      <c r="CJ168" s="111"/>
      <c r="CK168" s="111"/>
      <c r="CL168" s="111"/>
      <c r="CM168" s="111"/>
      <c r="CN168" s="111"/>
      <c r="CO168" s="111"/>
      <c r="CP168" s="111"/>
      <c r="CQ168" s="111"/>
      <c r="CR168" s="111"/>
      <c r="CS168" s="111"/>
      <c r="CT168" s="111"/>
      <c r="CU168" s="111"/>
      <c r="CV168" s="111"/>
      <c r="CW168" s="111"/>
      <c r="CX168" s="111"/>
      <c r="CY168" s="111"/>
      <c r="CZ168" s="111"/>
      <c r="DA168" s="111"/>
      <c r="DB168" s="111"/>
      <c r="DC168" s="111"/>
      <c r="DD168" s="111"/>
      <c r="DE168" s="111"/>
      <c r="DF168" s="111"/>
      <c r="DG168" s="111"/>
      <c r="DH168" s="111"/>
      <c r="DI168" s="111"/>
      <c r="DJ168" s="111"/>
      <c r="DK168" s="111"/>
      <c r="DL168" s="111"/>
      <c r="DM168" s="111"/>
      <c r="DN168" s="111"/>
      <c r="DO168" s="111"/>
      <c r="DP168" s="111"/>
      <c r="DQ168" s="111"/>
      <c r="DR168" s="111"/>
      <c r="DS168" s="111"/>
      <c r="DT168" s="111"/>
      <c r="DU168" s="111"/>
      <c r="DV168" s="111"/>
      <c r="DW168" s="111"/>
      <c r="DX168" s="111"/>
      <c r="DY168" s="111"/>
    </row>
    <row r="169" spans="2:129" s="3" customFormat="1" ht="11.7" hidden="1" customHeight="1" outlineLevel="2" x14ac:dyDescent="0.3">
      <c r="B169" s="113" t="s">
        <v>780</v>
      </c>
      <c r="C169" s="230"/>
      <c r="G169" s="127"/>
      <c r="H169" s="127"/>
      <c r="I169" s="1019">
        <v>0</v>
      </c>
      <c r="J169" s="1019">
        <v>0</v>
      </c>
      <c r="K169" s="1019">
        <v>0</v>
      </c>
      <c r="L169" s="1019">
        <v>0</v>
      </c>
      <c r="M169" s="1019">
        <v>0</v>
      </c>
      <c r="N169" s="1019">
        <v>0</v>
      </c>
      <c r="O169" s="1019">
        <v>0</v>
      </c>
      <c r="P169" s="1019">
        <v>0</v>
      </c>
      <c r="Q169" s="1019">
        <v>0</v>
      </c>
      <c r="R169" s="1019">
        <v>0</v>
      </c>
      <c r="S169" s="1019">
        <v>0</v>
      </c>
      <c r="T169" s="1019">
        <v>0</v>
      </c>
      <c r="U169" s="1019">
        <v>0</v>
      </c>
      <c r="V169" s="1019">
        <v>0</v>
      </c>
      <c r="W169" s="1019">
        <v>0</v>
      </c>
      <c r="X169" s="1019">
        <v>0</v>
      </c>
      <c r="Y169" s="1019">
        <v>0</v>
      </c>
      <c r="Z169" s="1019">
        <v>0</v>
      </c>
      <c r="AA169" s="1019">
        <v>0</v>
      </c>
      <c r="AB169" s="1019">
        <v>0</v>
      </c>
      <c r="AC169" s="1019">
        <v>0</v>
      </c>
      <c r="AD169" s="1019">
        <v>0</v>
      </c>
      <c r="AE169" s="1019">
        <v>0</v>
      </c>
      <c r="AF169" s="1019">
        <v>0</v>
      </c>
      <c r="AG169" s="1019">
        <v>0</v>
      </c>
      <c r="AH169" s="1019">
        <v>0</v>
      </c>
      <c r="AI169" s="1019">
        <v>0</v>
      </c>
      <c r="AJ169" s="1019">
        <v>0</v>
      </c>
      <c r="AK169" s="1019">
        <v>0</v>
      </c>
      <c r="AL169" s="1019">
        <v>0</v>
      </c>
      <c r="AM169" s="1019">
        <v>0</v>
      </c>
      <c r="AN169" s="1019">
        <v>0</v>
      </c>
      <c r="AO169" s="1019">
        <v>0</v>
      </c>
      <c r="AP169" s="1019">
        <v>0</v>
      </c>
      <c r="AQ169" s="1019">
        <v>0</v>
      </c>
      <c r="AR169" s="1019">
        <v>0</v>
      </c>
      <c r="AS169" s="1019">
        <v>0</v>
      </c>
      <c r="AT169" s="1019">
        <v>0</v>
      </c>
      <c r="AU169" s="1019">
        <v>0</v>
      </c>
      <c r="AV169" s="1019">
        <v>0</v>
      </c>
      <c r="AW169" s="1019">
        <v>0</v>
      </c>
      <c r="AX169" s="1019">
        <v>0</v>
      </c>
      <c r="AY169" s="1019">
        <v>0</v>
      </c>
      <c r="AZ169" s="1019">
        <v>0</v>
      </c>
      <c r="BA169" s="1019">
        <v>0</v>
      </c>
      <c r="BB169" s="1019">
        <v>0</v>
      </c>
      <c r="BC169" s="1019">
        <v>0</v>
      </c>
      <c r="BD169" s="1019">
        <v>0</v>
      </c>
      <c r="BE169" s="1019">
        <v>0</v>
      </c>
      <c r="BF169" s="1019">
        <v>0</v>
      </c>
      <c r="BG169" s="1019">
        <v>0</v>
      </c>
      <c r="BH169" s="1019">
        <v>0</v>
      </c>
      <c r="BI169" s="1019">
        <v>0</v>
      </c>
      <c r="BJ169" s="1019">
        <v>0</v>
      </c>
      <c r="BK169" s="1019">
        <v>0</v>
      </c>
      <c r="BL169" s="1019">
        <v>0</v>
      </c>
      <c r="BM169" s="1019">
        <v>0</v>
      </c>
      <c r="BN169" s="1019">
        <v>0</v>
      </c>
      <c r="BO169" s="1019">
        <v>0</v>
      </c>
      <c r="BP169" s="1019">
        <v>0</v>
      </c>
      <c r="BQ169" s="1019">
        <v>0</v>
      </c>
      <c r="BR169" s="1019">
        <v>0</v>
      </c>
      <c r="BS169" s="1019">
        <f>31579+178949</f>
        <v>210528</v>
      </c>
      <c r="BT169" s="1019">
        <v>0</v>
      </c>
      <c r="BU169" s="1019">
        <v>0</v>
      </c>
      <c r="BV169" s="1019">
        <v>0</v>
      </c>
      <c r="BW169" s="1019">
        <v>0</v>
      </c>
      <c r="BX169" s="1019">
        <v>0</v>
      </c>
      <c r="BY169" s="1019">
        <v>0</v>
      </c>
      <c r="BZ169" s="111"/>
      <c r="CA169" s="111"/>
      <c r="CB169" s="111"/>
      <c r="CC169" s="111"/>
      <c r="CD169" s="111"/>
      <c r="CE169" s="111"/>
      <c r="CF169" s="111"/>
      <c r="CG169" s="111"/>
      <c r="CH169" s="111"/>
      <c r="CI169" s="111"/>
      <c r="CJ169" s="111"/>
      <c r="CK169" s="111"/>
      <c r="CL169" s="111"/>
      <c r="CM169" s="111"/>
      <c r="CN169" s="111"/>
      <c r="CO169" s="111"/>
      <c r="CP169" s="111"/>
      <c r="CQ169" s="111"/>
      <c r="CR169" s="111"/>
      <c r="CS169" s="111"/>
      <c r="CT169" s="111"/>
      <c r="CU169" s="111"/>
      <c r="CV169" s="111"/>
      <c r="CW169" s="111"/>
      <c r="CX169" s="111"/>
      <c r="CY169" s="111"/>
      <c r="CZ169" s="111"/>
      <c r="DA169" s="111"/>
      <c r="DB169" s="111"/>
      <c r="DC169" s="111"/>
      <c r="DD169" s="111"/>
      <c r="DE169" s="111"/>
      <c r="DF169" s="111"/>
      <c r="DG169" s="111"/>
      <c r="DH169" s="111"/>
      <c r="DI169" s="111"/>
      <c r="DJ169" s="111"/>
      <c r="DK169" s="111"/>
      <c r="DL169" s="111"/>
      <c r="DM169" s="111"/>
      <c r="DN169" s="111"/>
      <c r="DO169" s="111"/>
      <c r="DP169" s="111"/>
      <c r="DQ169" s="111"/>
      <c r="DR169" s="111"/>
      <c r="DS169" s="111"/>
      <c r="DT169" s="111"/>
      <c r="DU169" s="111"/>
      <c r="DV169" s="111"/>
      <c r="DW169" s="111"/>
      <c r="DX169" s="111"/>
      <c r="DY169" s="111"/>
    </row>
    <row r="170" spans="2:129" s="3" customFormat="1" ht="11.7" hidden="1" customHeight="1" outlineLevel="2" x14ac:dyDescent="0.3">
      <c r="B170" s="113" t="s">
        <v>718</v>
      </c>
      <c r="C170" s="230"/>
      <c r="G170" s="127"/>
      <c r="H170" s="127"/>
      <c r="I170" s="1019">
        <v>0</v>
      </c>
      <c r="J170" s="1019">
        <v>0</v>
      </c>
      <c r="K170" s="1019">
        <v>0</v>
      </c>
      <c r="L170" s="1019">
        <v>0</v>
      </c>
      <c r="M170" s="1019">
        <v>0</v>
      </c>
      <c r="N170" s="1019">
        <v>0</v>
      </c>
      <c r="O170" s="1019">
        <v>0</v>
      </c>
      <c r="P170" s="1019">
        <v>0</v>
      </c>
      <c r="Q170" s="1019">
        <v>0</v>
      </c>
      <c r="R170" s="1019">
        <v>0</v>
      </c>
      <c r="S170" s="1019">
        <v>0</v>
      </c>
      <c r="T170" s="1019">
        <v>0</v>
      </c>
      <c r="U170" s="1019">
        <v>0</v>
      </c>
      <c r="V170" s="1019">
        <v>0</v>
      </c>
      <c r="W170" s="1019">
        <v>0</v>
      </c>
      <c r="X170" s="1019">
        <v>0</v>
      </c>
      <c r="Y170" s="1019">
        <v>0</v>
      </c>
      <c r="Z170" s="1019">
        <v>0</v>
      </c>
      <c r="AA170" s="1019">
        <v>0</v>
      </c>
      <c r="AB170" s="1019">
        <v>0</v>
      </c>
      <c r="AC170" s="1019">
        <v>0</v>
      </c>
      <c r="AD170" s="1019">
        <v>0</v>
      </c>
      <c r="AE170" s="1019">
        <v>0</v>
      </c>
      <c r="AF170" s="1019">
        <v>0</v>
      </c>
      <c r="AG170" s="1019">
        <v>0</v>
      </c>
      <c r="AH170" s="1019">
        <v>0</v>
      </c>
      <c r="AI170" s="1019">
        <v>0</v>
      </c>
      <c r="AJ170" s="1019">
        <v>0</v>
      </c>
      <c r="AK170" s="1019">
        <v>0</v>
      </c>
      <c r="AL170" s="1019">
        <v>0</v>
      </c>
      <c r="AM170" s="1019">
        <v>0</v>
      </c>
      <c r="AN170" s="1019">
        <v>0</v>
      </c>
      <c r="AO170" s="1019">
        <v>0</v>
      </c>
      <c r="AP170" s="1019">
        <v>0</v>
      </c>
      <c r="AQ170" s="1019">
        <v>0</v>
      </c>
      <c r="AR170" s="1019">
        <v>0</v>
      </c>
      <c r="AS170" s="1019">
        <v>0</v>
      </c>
      <c r="AT170" s="1019">
        <v>0</v>
      </c>
      <c r="AU170" s="1019">
        <v>0</v>
      </c>
      <c r="AV170" s="1019">
        <v>0</v>
      </c>
      <c r="AW170" s="1019">
        <v>0</v>
      </c>
      <c r="AX170" s="1019">
        <v>0</v>
      </c>
      <c r="AY170" s="1019">
        <v>0</v>
      </c>
      <c r="AZ170" s="1019">
        <v>0</v>
      </c>
      <c r="BA170" s="1019">
        <v>0</v>
      </c>
      <c r="BB170" s="1019">
        <v>0</v>
      </c>
      <c r="BC170" s="1019">
        <v>0</v>
      </c>
      <c r="BD170" s="1019">
        <v>0</v>
      </c>
      <c r="BE170" s="1019">
        <v>0</v>
      </c>
      <c r="BF170" s="1019">
        <v>0</v>
      </c>
      <c r="BG170" s="1019">
        <v>0</v>
      </c>
      <c r="BH170" s="1019">
        <v>0</v>
      </c>
      <c r="BI170" s="1019">
        <v>0</v>
      </c>
      <c r="BJ170" s="1019">
        <v>0</v>
      </c>
      <c r="BK170" s="1019">
        <v>8218365</v>
      </c>
      <c r="BL170" s="1019">
        <v>-8025295</v>
      </c>
      <c r="BM170" s="1019">
        <v>0</v>
      </c>
      <c r="BN170" s="1019">
        <v>0</v>
      </c>
      <c r="BO170" s="1019">
        <v>0</v>
      </c>
      <c r="BP170" s="1019">
        <v>88456</v>
      </c>
      <c r="BQ170" s="1019">
        <v>0</v>
      </c>
      <c r="BR170" s="1019">
        <v>0</v>
      </c>
      <c r="BS170" s="1019">
        <v>0</v>
      </c>
      <c r="BT170" s="1019">
        <v>0</v>
      </c>
      <c r="BU170" s="1019">
        <v>0</v>
      </c>
      <c r="BV170" s="1019">
        <v>0</v>
      </c>
      <c r="BW170" s="1019">
        <v>0</v>
      </c>
      <c r="BX170" s="1019">
        <f>30450+262550</f>
        <v>293000</v>
      </c>
      <c r="BY170" s="1019">
        <f>30450+262550</f>
        <v>293000</v>
      </c>
      <c r="BZ170" s="111"/>
      <c r="CA170" s="111"/>
      <c r="CB170" s="111"/>
      <c r="CC170" s="111"/>
      <c r="CD170" s="111"/>
      <c r="CE170" s="111"/>
      <c r="CF170" s="111"/>
      <c r="CG170" s="111"/>
      <c r="CH170" s="111"/>
      <c r="CI170" s="111"/>
      <c r="CJ170" s="111"/>
      <c r="CK170" s="111"/>
      <c r="CL170" s="111"/>
      <c r="CM170" s="111"/>
      <c r="CN170" s="111"/>
      <c r="CO170" s="111"/>
      <c r="CP170" s="111"/>
      <c r="CQ170" s="111"/>
      <c r="CR170" s="111"/>
      <c r="CS170" s="111"/>
      <c r="CT170" s="111"/>
      <c r="CU170" s="111"/>
      <c r="CV170" s="111"/>
      <c r="CW170" s="111"/>
      <c r="CX170" s="111"/>
      <c r="CY170" s="111"/>
      <c r="CZ170" s="111"/>
      <c r="DA170" s="111"/>
      <c r="DB170" s="111"/>
      <c r="DC170" s="111"/>
      <c r="DD170" s="111"/>
      <c r="DE170" s="111"/>
      <c r="DF170" s="111"/>
      <c r="DG170" s="111"/>
      <c r="DH170" s="111"/>
      <c r="DI170" s="111"/>
      <c r="DJ170" s="111"/>
      <c r="DK170" s="111"/>
      <c r="DL170" s="111"/>
      <c r="DM170" s="111"/>
      <c r="DN170" s="111"/>
      <c r="DO170" s="111"/>
      <c r="DP170" s="111"/>
      <c r="DQ170" s="111"/>
      <c r="DR170" s="111"/>
      <c r="DS170" s="111"/>
      <c r="DT170" s="111"/>
      <c r="DU170" s="111"/>
      <c r="DV170" s="111"/>
      <c r="DW170" s="111"/>
      <c r="DX170" s="111"/>
      <c r="DY170" s="111"/>
    </row>
    <row r="171" spans="2:129" s="3" customFormat="1" ht="11.7" hidden="1" customHeight="1" outlineLevel="2" x14ac:dyDescent="0.3">
      <c r="B171" s="113" t="s">
        <v>733</v>
      </c>
      <c r="C171" s="230"/>
      <c r="G171" s="127"/>
      <c r="H171" s="127"/>
      <c r="I171" s="1019">
        <v>0</v>
      </c>
      <c r="J171" s="1019">
        <v>0</v>
      </c>
      <c r="K171" s="1019">
        <v>0</v>
      </c>
      <c r="L171" s="1019">
        <v>0</v>
      </c>
      <c r="M171" s="1019">
        <v>0</v>
      </c>
      <c r="N171" s="1019">
        <v>0</v>
      </c>
      <c r="O171" s="1019">
        <v>0</v>
      </c>
      <c r="P171" s="1019">
        <v>0</v>
      </c>
      <c r="Q171" s="1019">
        <v>0</v>
      </c>
      <c r="R171" s="1019">
        <v>0</v>
      </c>
      <c r="S171" s="1019">
        <v>0</v>
      </c>
      <c r="T171" s="1019">
        <v>0</v>
      </c>
      <c r="U171" s="1019">
        <v>0</v>
      </c>
      <c r="V171" s="1019">
        <v>0</v>
      </c>
      <c r="W171" s="1019">
        <v>0</v>
      </c>
      <c r="X171" s="1019">
        <v>0</v>
      </c>
      <c r="Y171" s="1019">
        <v>0</v>
      </c>
      <c r="Z171" s="1019">
        <v>0</v>
      </c>
      <c r="AA171" s="1019">
        <v>0</v>
      </c>
      <c r="AB171" s="1019">
        <v>0</v>
      </c>
      <c r="AC171" s="1019">
        <v>0</v>
      </c>
      <c r="AD171" s="1019">
        <v>0</v>
      </c>
      <c r="AE171" s="1019">
        <v>0</v>
      </c>
      <c r="AF171" s="1019">
        <v>0</v>
      </c>
      <c r="AG171" s="1019">
        <v>0</v>
      </c>
      <c r="AH171" s="1019">
        <v>0</v>
      </c>
      <c r="AI171" s="1019">
        <v>0</v>
      </c>
      <c r="AJ171" s="1019">
        <v>0</v>
      </c>
      <c r="AK171" s="1019">
        <v>0</v>
      </c>
      <c r="AL171" s="1019">
        <v>0</v>
      </c>
      <c r="AM171" s="1019">
        <v>0</v>
      </c>
      <c r="AN171" s="1019">
        <v>0</v>
      </c>
      <c r="AO171" s="1019">
        <v>0</v>
      </c>
      <c r="AP171" s="1019">
        <v>0</v>
      </c>
      <c r="AQ171" s="1019">
        <v>0</v>
      </c>
      <c r="AR171" s="1019">
        <v>0</v>
      </c>
      <c r="AS171" s="1019">
        <v>0</v>
      </c>
      <c r="AT171" s="1019">
        <v>0</v>
      </c>
      <c r="AU171" s="1019">
        <v>0</v>
      </c>
      <c r="AV171" s="1019">
        <v>0</v>
      </c>
      <c r="AW171" s="1019">
        <v>0</v>
      </c>
      <c r="AX171" s="1019">
        <v>0</v>
      </c>
      <c r="AY171" s="1019">
        <v>0</v>
      </c>
      <c r="AZ171" s="1019">
        <v>0</v>
      </c>
      <c r="BA171" s="1019">
        <v>0</v>
      </c>
      <c r="BB171" s="1019">
        <v>0</v>
      </c>
      <c r="BC171" s="1019">
        <v>0</v>
      </c>
      <c r="BD171" s="1019">
        <v>0</v>
      </c>
      <c r="BE171" s="1019">
        <v>0</v>
      </c>
      <c r="BF171" s="1019">
        <v>0</v>
      </c>
      <c r="BG171" s="1019">
        <v>0</v>
      </c>
      <c r="BH171" s="1019">
        <v>0</v>
      </c>
      <c r="BI171" s="1019">
        <v>0</v>
      </c>
      <c r="BJ171" s="1019">
        <v>0</v>
      </c>
      <c r="BK171" s="1019">
        <v>1123776</v>
      </c>
      <c r="BL171" s="1019">
        <v>0</v>
      </c>
      <c r="BM171" s="1019">
        <v>0</v>
      </c>
      <c r="BN171" s="1019">
        <v>0</v>
      </c>
      <c r="BO171" s="1019">
        <v>0</v>
      </c>
      <c r="BP171" s="1019">
        <v>0</v>
      </c>
      <c r="BQ171" s="1019">
        <v>125200</v>
      </c>
      <c r="BR171" s="1019">
        <v>0</v>
      </c>
      <c r="BS171" s="1019">
        <v>0</v>
      </c>
      <c r="BT171" s="1019">
        <v>0</v>
      </c>
      <c r="BU171" s="1019">
        <v>0</v>
      </c>
      <c r="BV171" s="1019">
        <v>0</v>
      </c>
      <c r="BW171" s="1019">
        <f>16183+184655+91700+1046380</f>
        <v>1338918</v>
      </c>
      <c r="BX171" s="1019">
        <v>0</v>
      </c>
      <c r="BY171" s="1019">
        <v>0</v>
      </c>
      <c r="BZ171" s="111"/>
      <c r="CA171" s="111"/>
      <c r="CB171" s="111"/>
      <c r="CC171" s="111"/>
      <c r="CD171" s="111"/>
      <c r="CE171" s="111"/>
      <c r="CF171" s="111"/>
      <c r="CG171" s="111"/>
      <c r="CH171" s="111"/>
      <c r="CI171" s="111"/>
      <c r="CJ171" s="111"/>
      <c r="CK171" s="111"/>
      <c r="CL171" s="111"/>
      <c r="CM171" s="111"/>
      <c r="CN171" s="111"/>
      <c r="CO171" s="111"/>
      <c r="CP171" s="111"/>
      <c r="CQ171" s="111"/>
      <c r="CR171" s="111"/>
      <c r="CS171" s="111"/>
      <c r="CT171" s="111"/>
      <c r="CU171" s="111"/>
      <c r="CV171" s="111"/>
      <c r="CW171" s="111"/>
      <c r="CX171" s="111"/>
      <c r="CY171" s="111"/>
      <c r="CZ171" s="111"/>
      <c r="DA171" s="111"/>
      <c r="DB171" s="111"/>
      <c r="DC171" s="111"/>
      <c r="DD171" s="111"/>
      <c r="DE171" s="111"/>
      <c r="DF171" s="111"/>
      <c r="DG171" s="111"/>
      <c r="DH171" s="111"/>
      <c r="DI171" s="111"/>
      <c r="DJ171" s="111"/>
      <c r="DK171" s="111"/>
      <c r="DL171" s="111"/>
      <c r="DM171" s="111"/>
      <c r="DN171" s="111"/>
      <c r="DO171" s="111"/>
      <c r="DP171" s="111"/>
      <c r="DQ171" s="111"/>
      <c r="DR171" s="111"/>
      <c r="DS171" s="111"/>
      <c r="DT171" s="111"/>
      <c r="DU171" s="111"/>
      <c r="DV171" s="111"/>
      <c r="DW171" s="111"/>
      <c r="DX171" s="111"/>
      <c r="DY171" s="111"/>
    </row>
    <row r="172" spans="2:129" s="3" customFormat="1" ht="11.7" hidden="1" customHeight="1" outlineLevel="2" x14ac:dyDescent="0.3">
      <c r="B172" s="113" t="s">
        <v>734</v>
      </c>
      <c r="C172" s="230"/>
      <c r="G172" s="127"/>
      <c r="H172" s="127"/>
      <c r="I172" s="1019">
        <v>0</v>
      </c>
      <c r="J172" s="1019">
        <v>0</v>
      </c>
      <c r="K172" s="1019">
        <v>0</v>
      </c>
      <c r="L172" s="1019">
        <v>0</v>
      </c>
      <c r="M172" s="1019">
        <v>0</v>
      </c>
      <c r="N172" s="1019">
        <v>0</v>
      </c>
      <c r="O172" s="1019">
        <v>0</v>
      </c>
      <c r="P172" s="1019">
        <v>0</v>
      </c>
      <c r="Q172" s="1019">
        <v>0</v>
      </c>
      <c r="R172" s="1019">
        <v>0</v>
      </c>
      <c r="S172" s="1019">
        <v>0</v>
      </c>
      <c r="T172" s="1019">
        <v>0</v>
      </c>
      <c r="U172" s="1019">
        <v>0</v>
      </c>
      <c r="V172" s="1019">
        <v>0</v>
      </c>
      <c r="W172" s="1019">
        <v>0</v>
      </c>
      <c r="X172" s="1019">
        <v>0</v>
      </c>
      <c r="Y172" s="1019">
        <v>0</v>
      </c>
      <c r="Z172" s="1019">
        <v>0</v>
      </c>
      <c r="AA172" s="1019">
        <v>0</v>
      </c>
      <c r="AB172" s="1019">
        <v>0</v>
      </c>
      <c r="AC172" s="1019">
        <v>0</v>
      </c>
      <c r="AD172" s="1019">
        <v>0</v>
      </c>
      <c r="AE172" s="1019">
        <v>0</v>
      </c>
      <c r="AF172" s="1019">
        <v>0</v>
      </c>
      <c r="AG172" s="1019">
        <v>0</v>
      </c>
      <c r="AH172" s="1019">
        <v>0</v>
      </c>
      <c r="AI172" s="1019">
        <v>0</v>
      </c>
      <c r="AJ172" s="1019">
        <v>0</v>
      </c>
      <c r="AK172" s="1019">
        <v>0</v>
      </c>
      <c r="AL172" s="1019">
        <v>0</v>
      </c>
      <c r="AM172" s="1019">
        <v>0</v>
      </c>
      <c r="AN172" s="1019">
        <v>0</v>
      </c>
      <c r="AO172" s="1019">
        <v>0</v>
      </c>
      <c r="AP172" s="1019">
        <v>0</v>
      </c>
      <c r="AQ172" s="1019">
        <v>0</v>
      </c>
      <c r="AR172" s="1019">
        <v>0</v>
      </c>
      <c r="AS172" s="1019">
        <v>0</v>
      </c>
      <c r="AT172" s="1019">
        <v>0</v>
      </c>
      <c r="AU172" s="1019">
        <v>0</v>
      </c>
      <c r="AV172" s="1019">
        <v>0</v>
      </c>
      <c r="AW172" s="1019">
        <v>0</v>
      </c>
      <c r="AX172" s="1019">
        <v>0</v>
      </c>
      <c r="AY172" s="1019">
        <v>0</v>
      </c>
      <c r="AZ172" s="1019">
        <v>0</v>
      </c>
      <c r="BA172" s="1019">
        <v>0</v>
      </c>
      <c r="BB172" s="1019">
        <v>0</v>
      </c>
      <c r="BC172" s="1019">
        <v>0</v>
      </c>
      <c r="BD172" s="1019">
        <v>0</v>
      </c>
      <c r="BE172" s="1019">
        <v>0</v>
      </c>
      <c r="BF172" s="1019">
        <v>0</v>
      </c>
      <c r="BG172" s="1019">
        <v>0</v>
      </c>
      <c r="BH172" s="1019">
        <v>0</v>
      </c>
      <c r="BI172" s="1019">
        <v>0</v>
      </c>
      <c r="BJ172" s="1019">
        <v>0</v>
      </c>
      <c r="BK172" s="1019">
        <v>1460976</v>
      </c>
      <c r="BL172" s="1019">
        <v>0</v>
      </c>
      <c r="BM172" s="1019">
        <v>0</v>
      </c>
      <c r="BN172" s="1019">
        <v>0</v>
      </c>
      <c r="BO172" s="1019">
        <v>0</v>
      </c>
      <c r="BP172" s="1019">
        <v>0</v>
      </c>
      <c r="BQ172" s="1019">
        <v>0</v>
      </c>
      <c r="BR172" s="1019">
        <v>0</v>
      </c>
      <c r="BS172" s="1019">
        <v>0</v>
      </c>
      <c r="BT172" s="1019">
        <v>0</v>
      </c>
      <c r="BU172" s="1019">
        <v>0</v>
      </c>
      <c r="BV172" s="1019">
        <v>0</v>
      </c>
      <c r="BW172" s="1019">
        <v>0</v>
      </c>
      <c r="BX172" s="1019">
        <v>0</v>
      </c>
      <c r="BY172" s="1019">
        <v>0</v>
      </c>
      <c r="BZ172" s="111"/>
      <c r="CA172" s="111"/>
      <c r="CB172" s="111"/>
      <c r="CC172" s="111"/>
      <c r="CD172" s="111"/>
      <c r="CE172" s="111"/>
      <c r="CF172" s="111"/>
      <c r="CG172" s="111"/>
      <c r="CH172" s="111"/>
      <c r="CI172" s="111"/>
      <c r="CJ172" s="111"/>
      <c r="CK172" s="111"/>
      <c r="CL172" s="111"/>
      <c r="CM172" s="111"/>
      <c r="CN172" s="111"/>
      <c r="CO172" s="111"/>
      <c r="CP172" s="111"/>
      <c r="CQ172" s="111"/>
      <c r="CR172" s="111"/>
      <c r="CS172" s="111"/>
      <c r="CT172" s="111"/>
      <c r="CU172" s="111"/>
      <c r="CV172" s="111"/>
      <c r="CW172" s="111"/>
      <c r="CX172" s="111"/>
      <c r="CY172" s="111"/>
      <c r="CZ172" s="111"/>
      <c r="DA172" s="111"/>
      <c r="DB172" s="111"/>
      <c r="DC172" s="111"/>
      <c r="DD172" s="111"/>
      <c r="DE172" s="111"/>
      <c r="DF172" s="111"/>
      <c r="DG172" s="111"/>
      <c r="DH172" s="111"/>
      <c r="DI172" s="111"/>
      <c r="DJ172" s="111"/>
      <c r="DK172" s="111"/>
      <c r="DL172" s="111"/>
      <c r="DM172" s="111"/>
      <c r="DN172" s="111"/>
      <c r="DO172" s="111"/>
      <c r="DP172" s="111"/>
      <c r="DQ172" s="111"/>
      <c r="DR172" s="111"/>
      <c r="DS172" s="111"/>
      <c r="DT172" s="111"/>
      <c r="DU172" s="111"/>
      <c r="DV172" s="111"/>
      <c r="DW172" s="111"/>
      <c r="DX172" s="111"/>
      <c r="DY172" s="111"/>
    </row>
    <row r="173" spans="2:129" s="3" customFormat="1" ht="11.7" hidden="1" customHeight="1" outlineLevel="2" x14ac:dyDescent="0.3">
      <c r="B173" s="113" t="s">
        <v>683</v>
      </c>
      <c r="C173" s="230"/>
      <c r="G173" s="127"/>
      <c r="H173" s="127"/>
      <c r="I173" s="1019">
        <v>0</v>
      </c>
      <c r="J173" s="1019">
        <v>0</v>
      </c>
      <c r="K173" s="1019">
        <v>0</v>
      </c>
      <c r="L173" s="1019">
        <v>0</v>
      </c>
      <c r="M173" s="1019">
        <v>0</v>
      </c>
      <c r="N173" s="1019">
        <v>0</v>
      </c>
      <c r="O173" s="1019">
        <v>0</v>
      </c>
      <c r="P173" s="1019">
        <v>0</v>
      </c>
      <c r="Q173" s="1019">
        <v>0</v>
      </c>
      <c r="R173" s="1019">
        <v>0</v>
      </c>
      <c r="S173" s="1019">
        <v>0</v>
      </c>
      <c r="T173" s="1019">
        <v>0</v>
      </c>
      <c r="U173" s="1019">
        <v>0</v>
      </c>
      <c r="V173" s="1019">
        <v>0</v>
      </c>
      <c r="W173" s="1019">
        <v>0</v>
      </c>
      <c r="X173" s="1019">
        <v>0</v>
      </c>
      <c r="Y173" s="1019">
        <v>0</v>
      </c>
      <c r="Z173" s="1019">
        <v>0</v>
      </c>
      <c r="AA173" s="1019">
        <v>0</v>
      </c>
      <c r="AB173" s="1019">
        <v>0</v>
      </c>
      <c r="AC173" s="1019">
        <v>0</v>
      </c>
      <c r="AD173" s="1019">
        <v>0</v>
      </c>
      <c r="AE173" s="1019">
        <v>0</v>
      </c>
      <c r="AF173" s="1019">
        <v>0</v>
      </c>
      <c r="AG173" s="1019">
        <v>0</v>
      </c>
      <c r="AH173" s="1019">
        <v>0</v>
      </c>
      <c r="AI173" s="1019">
        <v>0</v>
      </c>
      <c r="AJ173" s="1019">
        <v>0</v>
      </c>
      <c r="AK173" s="1019">
        <v>0</v>
      </c>
      <c r="AL173" s="1019">
        <v>0</v>
      </c>
      <c r="AM173" s="1019">
        <v>0</v>
      </c>
      <c r="AN173" s="1019">
        <v>0</v>
      </c>
      <c r="AO173" s="1019">
        <v>0</v>
      </c>
      <c r="AP173" s="1019">
        <v>0</v>
      </c>
      <c r="AQ173" s="1019">
        <v>0</v>
      </c>
      <c r="AR173" s="1019">
        <v>0</v>
      </c>
      <c r="AS173" s="1019">
        <v>0</v>
      </c>
      <c r="AT173" s="1019">
        <v>0</v>
      </c>
      <c r="AU173" s="1019">
        <v>0</v>
      </c>
      <c r="AV173" s="1019">
        <v>0</v>
      </c>
      <c r="AW173" s="1019">
        <v>0</v>
      </c>
      <c r="AX173" s="1019">
        <v>0</v>
      </c>
      <c r="AY173" s="1019">
        <v>0</v>
      </c>
      <c r="AZ173" s="1019">
        <v>0</v>
      </c>
      <c r="BA173" s="1019">
        <v>0</v>
      </c>
      <c r="BB173" s="1019">
        <v>0</v>
      </c>
      <c r="BC173" s="1019">
        <v>0</v>
      </c>
      <c r="BD173" s="1019">
        <v>0</v>
      </c>
      <c r="BE173" s="1019">
        <v>0</v>
      </c>
      <c r="BF173" s="1019">
        <v>0</v>
      </c>
      <c r="BG173" s="1019">
        <v>0</v>
      </c>
      <c r="BH173" s="1019">
        <v>0</v>
      </c>
      <c r="BI173" s="1019">
        <v>0</v>
      </c>
      <c r="BJ173" s="1019">
        <v>0</v>
      </c>
      <c r="BK173" s="1019">
        <v>0</v>
      </c>
      <c r="BL173" s="1019">
        <v>0</v>
      </c>
      <c r="BM173" s="1019">
        <v>0</v>
      </c>
      <c r="BN173" s="1019">
        <v>628385.72</v>
      </c>
      <c r="BO173" s="1019">
        <v>164857</v>
      </c>
      <c r="BP173" s="1019">
        <v>0</v>
      </c>
      <c r="BQ173" s="1019">
        <v>17796</v>
      </c>
      <c r="BR173" s="1019">
        <v>0</v>
      </c>
      <c r="BS173" s="1019">
        <v>0</v>
      </c>
      <c r="BT173" s="1019">
        <v>0</v>
      </c>
      <c r="BU173" s="1019">
        <v>0</v>
      </c>
      <c r="BV173" s="1019">
        <v>137036</v>
      </c>
      <c r="BW173" s="1019">
        <v>0</v>
      </c>
      <c r="BX173" s="1019">
        <v>0</v>
      </c>
      <c r="BY173" s="1019">
        <v>104265</v>
      </c>
      <c r="BZ173" s="111"/>
      <c r="CA173" s="111"/>
      <c r="CB173" s="111"/>
      <c r="CC173" s="111"/>
      <c r="CD173" s="111"/>
      <c r="CE173" s="111"/>
      <c r="CF173" s="111"/>
      <c r="CG173" s="111"/>
      <c r="CH173" s="111"/>
      <c r="CI173" s="111"/>
      <c r="CJ173" s="111"/>
      <c r="CK173" s="111"/>
      <c r="CL173" s="111"/>
      <c r="CM173" s="111"/>
      <c r="CN173" s="111"/>
      <c r="CO173" s="111"/>
      <c r="CP173" s="111"/>
      <c r="CQ173" s="111"/>
      <c r="CR173" s="111"/>
      <c r="CS173" s="111"/>
      <c r="CT173" s="111"/>
      <c r="CU173" s="111"/>
      <c r="CV173" s="111"/>
      <c r="CW173" s="111"/>
      <c r="CX173" s="111"/>
      <c r="CY173" s="111"/>
      <c r="CZ173" s="111"/>
      <c r="DA173" s="111"/>
      <c r="DB173" s="111"/>
      <c r="DC173" s="111"/>
      <c r="DD173" s="111"/>
      <c r="DE173" s="111"/>
      <c r="DF173" s="111"/>
      <c r="DG173" s="111"/>
      <c r="DH173" s="111"/>
      <c r="DI173" s="111"/>
      <c r="DJ173" s="111"/>
      <c r="DK173" s="111"/>
      <c r="DL173" s="111"/>
      <c r="DM173" s="111"/>
      <c r="DN173" s="111"/>
      <c r="DO173" s="111"/>
      <c r="DP173" s="111"/>
      <c r="DQ173" s="111"/>
      <c r="DR173" s="111"/>
      <c r="DS173" s="111"/>
      <c r="DT173" s="111"/>
      <c r="DU173" s="111"/>
      <c r="DV173" s="111"/>
      <c r="DW173" s="111"/>
      <c r="DX173" s="111"/>
      <c r="DY173" s="111"/>
    </row>
    <row r="174" spans="2:129" s="3" customFormat="1" ht="11.7" hidden="1" customHeight="1" outlineLevel="2" x14ac:dyDescent="0.3">
      <c r="B174" s="113" t="s">
        <v>684</v>
      </c>
      <c r="C174" s="230"/>
      <c r="G174" s="127"/>
      <c r="H174" s="127"/>
      <c r="I174" s="1019">
        <v>0</v>
      </c>
      <c r="J174" s="1019">
        <v>0</v>
      </c>
      <c r="K174" s="1019">
        <v>0</v>
      </c>
      <c r="L174" s="1019">
        <v>0</v>
      </c>
      <c r="M174" s="1019">
        <v>0</v>
      </c>
      <c r="N174" s="1019">
        <v>0</v>
      </c>
      <c r="O174" s="1019">
        <v>0</v>
      </c>
      <c r="P174" s="1019">
        <v>0</v>
      </c>
      <c r="Q174" s="1019">
        <v>0</v>
      </c>
      <c r="R174" s="1019">
        <v>0</v>
      </c>
      <c r="S174" s="1019">
        <v>0</v>
      </c>
      <c r="T174" s="1019">
        <v>0</v>
      </c>
      <c r="U174" s="1019">
        <v>0</v>
      </c>
      <c r="V174" s="1019">
        <v>0</v>
      </c>
      <c r="W174" s="1019">
        <v>0</v>
      </c>
      <c r="X174" s="1019">
        <v>0</v>
      </c>
      <c r="Y174" s="1019">
        <v>0</v>
      </c>
      <c r="Z174" s="1019">
        <v>0</v>
      </c>
      <c r="AA174" s="1019">
        <v>0</v>
      </c>
      <c r="AB174" s="1019">
        <v>0</v>
      </c>
      <c r="AC174" s="1019">
        <v>0</v>
      </c>
      <c r="AD174" s="1019">
        <v>0</v>
      </c>
      <c r="AE174" s="1019">
        <v>0</v>
      </c>
      <c r="AF174" s="1019">
        <v>0</v>
      </c>
      <c r="AG174" s="1019">
        <v>0</v>
      </c>
      <c r="AH174" s="1019">
        <v>0</v>
      </c>
      <c r="AI174" s="1019">
        <v>0</v>
      </c>
      <c r="AJ174" s="1019">
        <v>0</v>
      </c>
      <c r="AK174" s="1019">
        <v>0</v>
      </c>
      <c r="AL174" s="1019">
        <v>0</v>
      </c>
      <c r="AM174" s="1019">
        <v>0</v>
      </c>
      <c r="AN174" s="1019">
        <v>0</v>
      </c>
      <c r="AO174" s="1019">
        <v>0</v>
      </c>
      <c r="AP174" s="1019">
        <v>0</v>
      </c>
      <c r="AQ174" s="1019">
        <v>0</v>
      </c>
      <c r="AR174" s="1019">
        <v>0</v>
      </c>
      <c r="AS174" s="1019">
        <v>0</v>
      </c>
      <c r="AT174" s="1019">
        <v>0</v>
      </c>
      <c r="AU174" s="1019">
        <v>0</v>
      </c>
      <c r="AV174" s="1019">
        <v>0</v>
      </c>
      <c r="AW174" s="1019">
        <v>0</v>
      </c>
      <c r="AX174" s="1019">
        <v>0</v>
      </c>
      <c r="AY174" s="1019">
        <v>0</v>
      </c>
      <c r="AZ174" s="1019">
        <v>0</v>
      </c>
      <c r="BA174" s="1019">
        <v>0</v>
      </c>
      <c r="BB174" s="1019">
        <v>0</v>
      </c>
      <c r="BC174" s="1019">
        <v>0</v>
      </c>
      <c r="BD174" s="1019">
        <v>0</v>
      </c>
      <c r="BE174" s="1019">
        <v>0</v>
      </c>
      <c r="BF174" s="1019">
        <v>0</v>
      </c>
      <c r="BG174" s="1019">
        <v>0</v>
      </c>
      <c r="BH174" s="1019">
        <v>0</v>
      </c>
      <c r="BI174" s="1019">
        <v>735500</v>
      </c>
      <c r="BJ174" s="1019">
        <v>0</v>
      </c>
      <c r="BK174" s="1019">
        <v>0</v>
      </c>
      <c r="BL174" s="1019">
        <v>0</v>
      </c>
      <c r="BM174" s="1019">
        <v>218200</v>
      </c>
      <c r="BN174" s="1019">
        <v>0</v>
      </c>
      <c r="BO174" s="1019">
        <v>0</v>
      </c>
      <c r="BP174" s="1019">
        <v>0</v>
      </c>
      <c r="BQ174" s="1019">
        <v>0</v>
      </c>
      <c r="BR174" s="1019">
        <v>0</v>
      </c>
      <c r="BS174" s="1019">
        <v>553400</v>
      </c>
      <c r="BT174" s="1019">
        <v>0</v>
      </c>
      <c r="BU174" s="1019">
        <v>0</v>
      </c>
      <c r="BV174" s="1019">
        <v>0</v>
      </c>
      <c r="BW174" s="1019">
        <v>0</v>
      </c>
      <c r="BX174" s="1019">
        <v>0</v>
      </c>
      <c r="BY174" s="1019">
        <v>8999</v>
      </c>
      <c r="BZ174" s="111"/>
      <c r="CA174" s="111"/>
      <c r="CB174" s="111"/>
      <c r="CC174" s="111"/>
      <c r="CD174" s="111"/>
      <c r="CE174" s="111"/>
      <c r="CF174" s="111"/>
      <c r="CG174" s="111"/>
      <c r="CH174" s="111"/>
      <c r="CI174" s="111"/>
      <c r="CJ174" s="111"/>
      <c r="CK174" s="111"/>
      <c r="CL174" s="111"/>
      <c r="CM174" s="111"/>
      <c r="CN174" s="111"/>
      <c r="CO174" s="111"/>
      <c r="CP174" s="111"/>
      <c r="CQ174" s="111"/>
      <c r="CR174" s="111"/>
      <c r="CS174" s="111"/>
      <c r="CT174" s="111"/>
      <c r="CU174" s="111"/>
      <c r="CV174" s="111"/>
      <c r="CW174" s="111"/>
      <c r="CX174" s="111"/>
      <c r="CY174" s="111"/>
      <c r="CZ174" s="111"/>
      <c r="DA174" s="111"/>
      <c r="DB174" s="111"/>
      <c r="DC174" s="111"/>
      <c r="DD174" s="111"/>
      <c r="DE174" s="111"/>
      <c r="DF174" s="111"/>
      <c r="DG174" s="111"/>
      <c r="DH174" s="111"/>
      <c r="DI174" s="111"/>
      <c r="DJ174" s="111"/>
      <c r="DK174" s="111"/>
      <c r="DL174" s="111"/>
      <c r="DM174" s="111"/>
      <c r="DN174" s="111"/>
      <c r="DO174" s="111"/>
      <c r="DP174" s="111"/>
      <c r="DQ174" s="111"/>
      <c r="DR174" s="111"/>
      <c r="DS174" s="111"/>
      <c r="DT174" s="111"/>
      <c r="DU174" s="111"/>
      <c r="DV174" s="111"/>
      <c r="DW174" s="111"/>
      <c r="DX174" s="111"/>
      <c r="DY174" s="111"/>
    </row>
    <row r="175" spans="2:129" s="3" customFormat="1" ht="11.7" hidden="1" customHeight="1" outlineLevel="2" x14ac:dyDescent="0.3">
      <c r="B175" s="113" t="s">
        <v>791</v>
      </c>
      <c r="C175" s="230"/>
      <c r="G175" s="127"/>
      <c r="H175" s="127"/>
      <c r="I175" s="1019">
        <v>0</v>
      </c>
      <c r="J175" s="1019">
        <v>0</v>
      </c>
      <c r="K175" s="1019">
        <v>0</v>
      </c>
      <c r="L175" s="1019">
        <v>0</v>
      </c>
      <c r="M175" s="1019">
        <v>0</v>
      </c>
      <c r="N175" s="1019">
        <v>0</v>
      </c>
      <c r="O175" s="1019">
        <v>0</v>
      </c>
      <c r="P175" s="1019">
        <v>0</v>
      </c>
      <c r="Q175" s="1019">
        <v>0</v>
      </c>
      <c r="R175" s="1019">
        <v>0</v>
      </c>
      <c r="S175" s="1019">
        <v>0</v>
      </c>
      <c r="T175" s="1019">
        <v>0</v>
      </c>
      <c r="U175" s="1019">
        <v>0</v>
      </c>
      <c r="V175" s="1019">
        <v>0</v>
      </c>
      <c r="W175" s="1019">
        <v>0</v>
      </c>
      <c r="X175" s="1019">
        <v>0</v>
      </c>
      <c r="Y175" s="1019">
        <v>0</v>
      </c>
      <c r="Z175" s="1019">
        <v>0</v>
      </c>
      <c r="AA175" s="1019">
        <v>0</v>
      </c>
      <c r="AB175" s="1019">
        <v>0</v>
      </c>
      <c r="AC175" s="1019">
        <v>0</v>
      </c>
      <c r="AD175" s="1019">
        <v>0</v>
      </c>
      <c r="AE175" s="1019">
        <v>0</v>
      </c>
      <c r="AF175" s="1019">
        <v>0</v>
      </c>
      <c r="AG175" s="1019">
        <v>0</v>
      </c>
      <c r="AH175" s="1019">
        <v>0</v>
      </c>
      <c r="AI175" s="1019">
        <v>0</v>
      </c>
      <c r="AJ175" s="1019">
        <v>0</v>
      </c>
      <c r="AK175" s="1019">
        <v>0</v>
      </c>
      <c r="AL175" s="1019">
        <v>0</v>
      </c>
      <c r="AM175" s="1019">
        <v>0</v>
      </c>
      <c r="AN175" s="1019">
        <v>0</v>
      </c>
      <c r="AO175" s="1019">
        <v>0</v>
      </c>
      <c r="AP175" s="1019">
        <v>0</v>
      </c>
      <c r="AQ175" s="1019">
        <v>0</v>
      </c>
      <c r="AR175" s="1019">
        <v>0</v>
      </c>
      <c r="AS175" s="1019">
        <v>0</v>
      </c>
      <c r="AT175" s="1019">
        <v>0</v>
      </c>
      <c r="AU175" s="1019">
        <v>0</v>
      </c>
      <c r="AV175" s="1019">
        <v>0</v>
      </c>
      <c r="AW175" s="1019">
        <v>0</v>
      </c>
      <c r="AX175" s="1019">
        <v>0</v>
      </c>
      <c r="AY175" s="1019">
        <v>0</v>
      </c>
      <c r="AZ175" s="1019">
        <v>0</v>
      </c>
      <c r="BA175" s="1019">
        <v>0</v>
      </c>
      <c r="BB175" s="1019">
        <v>0</v>
      </c>
      <c r="BC175" s="1019">
        <v>0</v>
      </c>
      <c r="BD175" s="1019">
        <v>0</v>
      </c>
      <c r="BE175" s="1019">
        <v>0</v>
      </c>
      <c r="BF175" s="1019">
        <v>0</v>
      </c>
      <c r="BG175" s="1019">
        <v>0</v>
      </c>
      <c r="BH175" s="1019">
        <v>0</v>
      </c>
      <c r="BI175" s="1019">
        <v>0</v>
      </c>
      <c r="BJ175" s="1019">
        <v>0</v>
      </c>
      <c r="BK175" s="1019">
        <v>0</v>
      </c>
      <c r="BL175" s="1019">
        <v>0</v>
      </c>
      <c r="BM175" s="1019">
        <v>0</v>
      </c>
      <c r="BN175" s="1019">
        <v>0</v>
      </c>
      <c r="BO175" s="1019">
        <v>0</v>
      </c>
      <c r="BP175" s="1019">
        <v>0</v>
      </c>
      <c r="BQ175" s="1019">
        <v>0</v>
      </c>
      <c r="BR175" s="1019">
        <v>0</v>
      </c>
      <c r="BS175" s="1019">
        <v>0</v>
      </c>
      <c r="BT175" s="1019">
        <v>0</v>
      </c>
      <c r="BU175" s="1019">
        <v>0</v>
      </c>
      <c r="BV175" s="1019">
        <f>82800+469200</f>
        <v>552000</v>
      </c>
      <c r="BW175" s="1019">
        <v>0</v>
      </c>
      <c r="BX175" s="1019">
        <v>0</v>
      </c>
      <c r="BY175" s="1019">
        <v>0</v>
      </c>
      <c r="BZ175" s="111"/>
      <c r="CA175" s="111"/>
      <c r="CB175" s="111"/>
      <c r="CC175" s="111"/>
      <c r="CD175" s="111"/>
      <c r="CE175" s="111"/>
      <c r="CF175" s="111"/>
      <c r="CG175" s="111"/>
      <c r="CH175" s="111"/>
      <c r="CI175" s="111"/>
      <c r="CJ175" s="111"/>
      <c r="CK175" s="111"/>
      <c r="CL175" s="111"/>
      <c r="CM175" s="111"/>
      <c r="CN175" s="111"/>
      <c r="CO175" s="111"/>
      <c r="CP175" s="111"/>
      <c r="CQ175" s="111"/>
      <c r="CR175" s="111"/>
      <c r="CS175" s="111"/>
      <c r="CT175" s="111"/>
      <c r="CU175" s="111"/>
      <c r="CV175" s="111"/>
      <c r="CW175" s="111"/>
      <c r="CX175" s="111"/>
      <c r="CY175" s="111"/>
      <c r="CZ175" s="111"/>
      <c r="DA175" s="111"/>
      <c r="DB175" s="111"/>
      <c r="DC175" s="111"/>
      <c r="DD175" s="111"/>
      <c r="DE175" s="111"/>
      <c r="DF175" s="111"/>
      <c r="DG175" s="111"/>
      <c r="DH175" s="111"/>
      <c r="DI175" s="111"/>
      <c r="DJ175" s="111"/>
      <c r="DK175" s="111"/>
      <c r="DL175" s="111"/>
      <c r="DM175" s="111"/>
      <c r="DN175" s="111"/>
      <c r="DO175" s="111"/>
      <c r="DP175" s="111"/>
      <c r="DQ175" s="111"/>
      <c r="DR175" s="111"/>
      <c r="DS175" s="111"/>
      <c r="DT175" s="111"/>
      <c r="DU175" s="111"/>
      <c r="DV175" s="111"/>
      <c r="DW175" s="111"/>
      <c r="DX175" s="111"/>
      <c r="DY175" s="111"/>
    </row>
    <row r="176" spans="2:129" s="3" customFormat="1" ht="11.7" hidden="1" customHeight="1" outlineLevel="2" x14ac:dyDescent="0.3">
      <c r="B176" s="113" t="s">
        <v>719</v>
      </c>
      <c r="C176" s="230"/>
      <c r="G176" s="127"/>
      <c r="H176" s="127"/>
      <c r="I176" s="1019">
        <v>0</v>
      </c>
      <c r="J176" s="1019">
        <v>0</v>
      </c>
      <c r="K176" s="1019">
        <v>0</v>
      </c>
      <c r="L176" s="1019">
        <v>0</v>
      </c>
      <c r="M176" s="1019">
        <v>0</v>
      </c>
      <c r="N176" s="1019">
        <v>0</v>
      </c>
      <c r="O176" s="1019">
        <v>0</v>
      </c>
      <c r="P176" s="1019">
        <v>0</v>
      </c>
      <c r="Q176" s="1019">
        <v>0</v>
      </c>
      <c r="R176" s="1019">
        <v>0</v>
      </c>
      <c r="S176" s="1019">
        <v>0</v>
      </c>
      <c r="T176" s="1019">
        <v>0</v>
      </c>
      <c r="U176" s="1019">
        <v>0</v>
      </c>
      <c r="V176" s="1019">
        <v>0</v>
      </c>
      <c r="W176" s="1019">
        <v>0</v>
      </c>
      <c r="X176" s="1019">
        <v>0</v>
      </c>
      <c r="Y176" s="1019">
        <v>0</v>
      </c>
      <c r="Z176" s="1019">
        <v>0</v>
      </c>
      <c r="AA176" s="1019">
        <v>0</v>
      </c>
      <c r="AB176" s="1019">
        <v>0</v>
      </c>
      <c r="AC176" s="1019">
        <v>0</v>
      </c>
      <c r="AD176" s="1019">
        <v>0</v>
      </c>
      <c r="AE176" s="1019">
        <v>0</v>
      </c>
      <c r="AF176" s="1019">
        <v>0</v>
      </c>
      <c r="AG176" s="1019">
        <v>0</v>
      </c>
      <c r="AH176" s="1019">
        <v>0</v>
      </c>
      <c r="AI176" s="1019">
        <v>0</v>
      </c>
      <c r="AJ176" s="1019">
        <v>0</v>
      </c>
      <c r="AK176" s="1019">
        <v>0</v>
      </c>
      <c r="AL176" s="1019">
        <v>0</v>
      </c>
      <c r="AM176" s="1019">
        <v>0</v>
      </c>
      <c r="AN176" s="1019">
        <v>0</v>
      </c>
      <c r="AO176" s="1019">
        <v>0</v>
      </c>
      <c r="AP176" s="1019">
        <v>0</v>
      </c>
      <c r="AQ176" s="1019">
        <v>0</v>
      </c>
      <c r="AR176" s="1019">
        <v>0</v>
      </c>
      <c r="AS176" s="1019">
        <v>0</v>
      </c>
      <c r="AT176" s="1019">
        <v>0</v>
      </c>
      <c r="AU176" s="1019">
        <v>0</v>
      </c>
      <c r="AV176" s="1019">
        <v>0</v>
      </c>
      <c r="AW176" s="1019">
        <v>0</v>
      </c>
      <c r="AX176" s="1019">
        <v>0</v>
      </c>
      <c r="AY176" s="1019">
        <v>0</v>
      </c>
      <c r="AZ176" s="1019">
        <v>0</v>
      </c>
      <c r="BA176" s="1019">
        <v>0</v>
      </c>
      <c r="BB176" s="1019">
        <v>0</v>
      </c>
      <c r="BC176" s="1019">
        <v>0</v>
      </c>
      <c r="BD176" s="1019">
        <v>0</v>
      </c>
      <c r="BE176" s="1019">
        <v>0</v>
      </c>
      <c r="BF176" s="1019">
        <v>0</v>
      </c>
      <c r="BG176" s="1019">
        <v>0</v>
      </c>
      <c r="BH176" s="1019">
        <v>0</v>
      </c>
      <c r="BI176" s="1019">
        <v>0</v>
      </c>
      <c r="BJ176" s="1019">
        <v>0</v>
      </c>
      <c r="BK176" s="1019">
        <v>6588203</v>
      </c>
      <c r="BL176" s="1019">
        <v>-6588203</v>
      </c>
      <c r="BM176" s="1019">
        <v>0</v>
      </c>
      <c r="BN176" s="1019">
        <v>0</v>
      </c>
      <c r="BO176" s="1019">
        <v>0</v>
      </c>
      <c r="BP176" s="1019">
        <v>0</v>
      </c>
      <c r="BQ176" s="1019">
        <v>0</v>
      </c>
      <c r="BR176" s="1019">
        <v>0</v>
      </c>
      <c r="BS176" s="1019">
        <v>0</v>
      </c>
      <c r="BT176" s="1019">
        <v>0</v>
      </c>
      <c r="BU176" s="1019">
        <v>248000</v>
      </c>
      <c r="BV176" s="1019">
        <f>444583+248000</f>
        <v>692583</v>
      </c>
      <c r="BW176" s="1019">
        <v>0</v>
      </c>
      <c r="BX176" s="1019">
        <v>0</v>
      </c>
      <c r="BY176" s="1019">
        <v>201096</v>
      </c>
      <c r="BZ176" s="111" t="s">
        <v>795</v>
      </c>
      <c r="CA176" s="111"/>
      <c r="CB176" s="111"/>
      <c r="CC176" s="111"/>
      <c r="CD176" s="111"/>
      <c r="CE176" s="111"/>
      <c r="CF176" s="111"/>
      <c r="CG176" s="111"/>
      <c r="CH176" s="111"/>
      <c r="CI176" s="111"/>
      <c r="CJ176" s="111"/>
      <c r="CK176" s="111"/>
      <c r="CL176" s="111"/>
      <c r="CM176" s="111"/>
      <c r="CN176" s="111"/>
      <c r="CO176" s="111"/>
      <c r="CP176" s="111"/>
      <c r="CQ176" s="111"/>
      <c r="CR176" s="111"/>
      <c r="CS176" s="111"/>
      <c r="CT176" s="111"/>
      <c r="CU176" s="111"/>
      <c r="CV176" s="111"/>
      <c r="CW176" s="111"/>
      <c r="CX176" s="111"/>
      <c r="CY176" s="111"/>
      <c r="CZ176" s="111"/>
      <c r="DA176" s="111"/>
      <c r="DB176" s="111"/>
      <c r="DC176" s="111"/>
      <c r="DD176" s="111"/>
      <c r="DE176" s="111"/>
      <c r="DF176" s="111"/>
      <c r="DG176" s="111"/>
      <c r="DH176" s="111"/>
      <c r="DI176" s="111"/>
      <c r="DJ176" s="111"/>
      <c r="DK176" s="111"/>
      <c r="DL176" s="111"/>
      <c r="DM176" s="111"/>
      <c r="DN176" s="111"/>
      <c r="DO176" s="111"/>
      <c r="DP176" s="111"/>
      <c r="DQ176" s="111"/>
      <c r="DR176" s="111"/>
      <c r="DS176" s="111"/>
      <c r="DT176" s="111"/>
      <c r="DU176" s="111"/>
      <c r="DV176" s="111"/>
      <c r="DW176" s="111"/>
      <c r="DX176" s="111"/>
      <c r="DY176" s="111"/>
    </row>
    <row r="177" spans="2:129" s="3" customFormat="1" ht="11.7" hidden="1" customHeight="1" outlineLevel="2" x14ac:dyDescent="0.3">
      <c r="B177" s="113" t="s">
        <v>685</v>
      </c>
      <c r="C177" s="230"/>
      <c r="G177" s="127"/>
      <c r="H177" s="127"/>
      <c r="I177" s="1019">
        <v>0</v>
      </c>
      <c r="J177" s="1019">
        <v>0</v>
      </c>
      <c r="K177" s="1019">
        <v>0</v>
      </c>
      <c r="L177" s="1019">
        <v>0</v>
      </c>
      <c r="M177" s="1019">
        <v>0</v>
      </c>
      <c r="N177" s="1019">
        <v>0</v>
      </c>
      <c r="O177" s="1019">
        <v>0</v>
      </c>
      <c r="P177" s="1019">
        <v>0</v>
      </c>
      <c r="Q177" s="1019">
        <v>0</v>
      </c>
      <c r="R177" s="1019">
        <v>0</v>
      </c>
      <c r="S177" s="1019">
        <v>0</v>
      </c>
      <c r="T177" s="1019">
        <v>0</v>
      </c>
      <c r="U177" s="1019">
        <v>0</v>
      </c>
      <c r="V177" s="1019">
        <v>0</v>
      </c>
      <c r="W177" s="1019">
        <v>0</v>
      </c>
      <c r="X177" s="1019">
        <v>0</v>
      </c>
      <c r="Y177" s="1019">
        <v>0</v>
      </c>
      <c r="Z177" s="1019">
        <v>0</v>
      </c>
      <c r="AA177" s="1019">
        <v>0</v>
      </c>
      <c r="AB177" s="1019">
        <v>0</v>
      </c>
      <c r="AC177" s="1019">
        <v>0</v>
      </c>
      <c r="AD177" s="1019">
        <v>0</v>
      </c>
      <c r="AE177" s="1019">
        <v>0</v>
      </c>
      <c r="AF177" s="1019">
        <v>0</v>
      </c>
      <c r="AG177" s="1019">
        <v>0</v>
      </c>
      <c r="AH177" s="1019">
        <v>0</v>
      </c>
      <c r="AI177" s="1019">
        <v>0</v>
      </c>
      <c r="AJ177" s="1019">
        <v>0</v>
      </c>
      <c r="AK177" s="1019">
        <v>0</v>
      </c>
      <c r="AL177" s="1019">
        <v>0</v>
      </c>
      <c r="AM177" s="1019">
        <v>0</v>
      </c>
      <c r="AN177" s="1019">
        <v>0</v>
      </c>
      <c r="AO177" s="1019">
        <v>0</v>
      </c>
      <c r="AP177" s="1019">
        <v>0</v>
      </c>
      <c r="AQ177" s="1019">
        <v>0</v>
      </c>
      <c r="AR177" s="1019">
        <v>0</v>
      </c>
      <c r="AS177" s="1019">
        <v>0</v>
      </c>
      <c r="AT177" s="1019">
        <v>0</v>
      </c>
      <c r="AU177" s="1019">
        <v>0</v>
      </c>
      <c r="AV177" s="1019">
        <v>0</v>
      </c>
      <c r="AW177" s="1019">
        <v>0</v>
      </c>
      <c r="AX177" s="1019">
        <v>0</v>
      </c>
      <c r="AY177" s="1019">
        <v>0</v>
      </c>
      <c r="AZ177" s="1019">
        <v>0</v>
      </c>
      <c r="BA177" s="1019">
        <v>0</v>
      </c>
      <c r="BB177" s="1019">
        <v>0</v>
      </c>
      <c r="BC177" s="1019">
        <v>0</v>
      </c>
      <c r="BD177" s="1019">
        <v>0</v>
      </c>
      <c r="BE177" s="1019">
        <v>0</v>
      </c>
      <c r="BF177" s="1019">
        <v>0</v>
      </c>
      <c r="BG177" s="1019">
        <v>0</v>
      </c>
      <c r="BH177" s="1019">
        <v>0</v>
      </c>
      <c r="BI177" s="1019">
        <v>0</v>
      </c>
      <c r="BJ177" s="1019">
        <v>0</v>
      </c>
      <c r="BK177" s="1019">
        <v>0</v>
      </c>
      <c r="BL177" s="1019">
        <v>250000</v>
      </c>
      <c r="BM177" s="1019">
        <v>-50000</v>
      </c>
      <c r="BN177" s="1019">
        <v>280000</v>
      </c>
      <c r="BO177" s="1019">
        <v>0</v>
      </c>
      <c r="BP177" s="1019">
        <v>200000</v>
      </c>
      <c r="BQ177" s="1019">
        <v>0</v>
      </c>
      <c r="BR177" s="1019">
        <v>200000</v>
      </c>
      <c r="BS177" s="1019">
        <v>0</v>
      </c>
      <c r="BT177" s="1019">
        <v>200000</v>
      </c>
      <c r="BU177" s="1019">
        <v>0</v>
      </c>
      <c r="BV177" s="1019">
        <v>0</v>
      </c>
      <c r="BW177" s="1019">
        <v>1119538</v>
      </c>
      <c r="BX177" s="1019">
        <v>572078</v>
      </c>
      <c r="BY177" s="1019">
        <v>200000</v>
      </c>
      <c r="BZ177" s="111"/>
      <c r="CA177" s="111"/>
      <c r="CB177" s="111"/>
      <c r="CC177" s="111"/>
      <c r="CD177" s="111"/>
      <c r="CE177" s="111"/>
      <c r="CF177" s="111"/>
      <c r="CG177" s="111"/>
      <c r="CH177" s="111"/>
      <c r="CI177" s="111"/>
      <c r="CJ177" s="111"/>
      <c r="CK177" s="111"/>
      <c r="CL177" s="111"/>
      <c r="CM177" s="111"/>
      <c r="CN177" s="111"/>
      <c r="CO177" s="111"/>
      <c r="CP177" s="111"/>
      <c r="CQ177" s="111"/>
      <c r="CR177" s="111"/>
      <c r="CS177" s="111"/>
      <c r="CT177" s="111"/>
      <c r="CU177" s="111"/>
      <c r="CV177" s="111"/>
      <c r="CW177" s="111"/>
      <c r="CX177" s="111"/>
      <c r="CY177" s="111"/>
      <c r="CZ177" s="111"/>
      <c r="DA177" s="111"/>
      <c r="DB177" s="111"/>
      <c r="DC177" s="111"/>
      <c r="DD177" s="111"/>
      <c r="DE177" s="111"/>
      <c r="DF177" s="111"/>
      <c r="DG177" s="111"/>
      <c r="DH177" s="111"/>
      <c r="DI177" s="111"/>
      <c r="DJ177" s="111"/>
      <c r="DK177" s="111"/>
      <c r="DL177" s="111"/>
      <c r="DM177" s="111"/>
      <c r="DN177" s="111"/>
      <c r="DO177" s="111"/>
      <c r="DP177" s="111"/>
      <c r="DQ177" s="111"/>
      <c r="DR177" s="111"/>
      <c r="DS177" s="111"/>
      <c r="DT177" s="111"/>
      <c r="DU177" s="111"/>
      <c r="DV177" s="111"/>
      <c r="DW177" s="111"/>
      <c r="DX177" s="111"/>
      <c r="DY177" s="111"/>
    </row>
    <row r="178" spans="2:129" s="3" customFormat="1" ht="11.7" hidden="1" customHeight="1" outlineLevel="2" x14ac:dyDescent="0.3">
      <c r="B178" s="113" t="s">
        <v>781</v>
      </c>
      <c r="C178" s="230"/>
      <c r="G178" s="127"/>
      <c r="H178" s="127"/>
      <c r="I178" s="1019">
        <v>0</v>
      </c>
      <c r="J178" s="1019">
        <v>0</v>
      </c>
      <c r="K178" s="1019">
        <v>0</v>
      </c>
      <c r="L178" s="1019">
        <v>0</v>
      </c>
      <c r="M178" s="1019">
        <v>0</v>
      </c>
      <c r="N178" s="1019">
        <v>0</v>
      </c>
      <c r="O178" s="1019">
        <v>0</v>
      </c>
      <c r="P178" s="1019">
        <v>0</v>
      </c>
      <c r="Q178" s="1019">
        <v>0</v>
      </c>
      <c r="R178" s="1019">
        <v>0</v>
      </c>
      <c r="S178" s="1019">
        <v>0</v>
      </c>
      <c r="T178" s="1019">
        <v>0</v>
      </c>
      <c r="U178" s="1019">
        <v>0</v>
      </c>
      <c r="V178" s="1019">
        <v>0</v>
      </c>
      <c r="W178" s="1019">
        <v>0</v>
      </c>
      <c r="X178" s="1019">
        <v>0</v>
      </c>
      <c r="Y178" s="1019">
        <v>0</v>
      </c>
      <c r="Z178" s="1019">
        <v>0</v>
      </c>
      <c r="AA178" s="1019">
        <v>0</v>
      </c>
      <c r="AB178" s="1019">
        <v>0</v>
      </c>
      <c r="AC178" s="1019">
        <v>0</v>
      </c>
      <c r="AD178" s="1019">
        <v>0</v>
      </c>
      <c r="AE178" s="1019">
        <v>0</v>
      </c>
      <c r="AF178" s="1019">
        <v>0</v>
      </c>
      <c r="AG178" s="1019">
        <v>0</v>
      </c>
      <c r="AH178" s="1019">
        <v>0</v>
      </c>
      <c r="AI178" s="1019">
        <v>0</v>
      </c>
      <c r="AJ178" s="1019">
        <v>0</v>
      </c>
      <c r="AK178" s="1019">
        <v>0</v>
      </c>
      <c r="AL178" s="1019">
        <v>0</v>
      </c>
      <c r="AM178" s="1019">
        <v>0</v>
      </c>
      <c r="AN178" s="1019">
        <v>0</v>
      </c>
      <c r="AO178" s="1019">
        <v>0</v>
      </c>
      <c r="AP178" s="1019">
        <v>0</v>
      </c>
      <c r="AQ178" s="1019">
        <v>0</v>
      </c>
      <c r="AR178" s="1019">
        <v>0</v>
      </c>
      <c r="AS178" s="1019">
        <v>0</v>
      </c>
      <c r="AT178" s="1019">
        <v>0</v>
      </c>
      <c r="AU178" s="1019">
        <v>0</v>
      </c>
      <c r="AV178" s="1019">
        <v>0</v>
      </c>
      <c r="AW178" s="1019">
        <v>0</v>
      </c>
      <c r="AX178" s="1019">
        <v>0</v>
      </c>
      <c r="AY178" s="1019">
        <v>0</v>
      </c>
      <c r="AZ178" s="1019">
        <v>0</v>
      </c>
      <c r="BA178" s="1019">
        <v>0</v>
      </c>
      <c r="BB178" s="1019">
        <v>0</v>
      </c>
      <c r="BC178" s="1019">
        <v>0</v>
      </c>
      <c r="BD178" s="1019">
        <v>0</v>
      </c>
      <c r="BE178" s="1019">
        <v>0</v>
      </c>
      <c r="BF178" s="1019">
        <v>0</v>
      </c>
      <c r="BG178" s="1019">
        <v>0</v>
      </c>
      <c r="BH178" s="1019">
        <v>0</v>
      </c>
      <c r="BI178" s="1019">
        <v>0</v>
      </c>
      <c r="BJ178" s="1019">
        <v>0</v>
      </c>
      <c r="BK178" s="1019">
        <v>0</v>
      </c>
      <c r="BL178" s="1019">
        <v>0</v>
      </c>
      <c r="BM178" s="1019">
        <v>0</v>
      </c>
      <c r="BN178" s="1019">
        <v>0</v>
      </c>
      <c r="BO178" s="1019">
        <v>0</v>
      </c>
      <c r="BP178" s="1019">
        <v>0</v>
      </c>
      <c r="BQ178" s="1019">
        <v>0</v>
      </c>
      <c r="BR178" s="1019">
        <v>0</v>
      </c>
      <c r="BS178" s="1019">
        <f>119970+679830</f>
        <v>799800</v>
      </c>
      <c r="BT178" s="1019">
        <f>107160+709240</f>
        <v>816400</v>
      </c>
      <c r="BU178" s="1019">
        <f>75210+426190</f>
        <v>501400</v>
      </c>
      <c r="BV178" s="1019">
        <f>51735+293165</f>
        <v>344900</v>
      </c>
      <c r="BW178" s="1019">
        <f>45960+365440</f>
        <v>411400</v>
      </c>
      <c r="BX178" s="1019">
        <f>51210+325190</f>
        <v>376400</v>
      </c>
      <c r="BY178" s="1019">
        <f>45960+260440</f>
        <v>306400</v>
      </c>
      <c r="BZ178" s="111"/>
      <c r="CA178" s="111"/>
      <c r="CB178" s="111"/>
      <c r="CC178" s="111"/>
      <c r="CD178" s="111"/>
      <c r="CE178" s="111"/>
      <c r="CF178" s="111"/>
      <c r="CG178" s="111"/>
      <c r="CH178" s="111"/>
      <c r="CI178" s="111"/>
      <c r="CJ178" s="111"/>
      <c r="CK178" s="111"/>
      <c r="CL178" s="111"/>
      <c r="CM178" s="111"/>
      <c r="CN178" s="111"/>
      <c r="CO178" s="111"/>
      <c r="CP178" s="111"/>
      <c r="CQ178" s="111"/>
      <c r="CR178" s="111"/>
      <c r="CS178" s="111"/>
      <c r="CT178" s="111"/>
      <c r="CU178" s="111"/>
      <c r="CV178" s="111"/>
      <c r="CW178" s="111"/>
      <c r="CX178" s="111"/>
      <c r="CY178" s="111"/>
      <c r="CZ178" s="111"/>
      <c r="DA178" s="111"/>
      <c r="DB178" s="111"/>
      <c r="DC178" s="111"/>
      <c r="DD178" s="111"/>
      <c r="DE178" s="111"/>
      <c r="DF178" s="111"/>
      <c r="DG178" s="111"/>
      <c r="DH178" s="111"/>
      <c r="DI178" s="111"/>
      <c r="DJ178" s="111"/>
      <c r="DK178" s="111"/>
      <c r="DL178" s="111"/>
      <c r="DM178" s="111"/>
      <c r="DN178" s="111"/>
      <c r="DO178" s="111"/>
      <c r="DP178" s="111"/>
      <c r="DQ178" s="111"/>
      <c r="DR178" s="111"/>
      <c r="DS178" s="111"/>
      <c r="DT178" s="111"/>
      <c r="DU178" s="111"/>
      <c r="DV178" s="111"/>
      <c r="DW178" s="111"/>
      <c r="DX178" s="111"/>
      <c r="DY178" s="111"/>
    </row>
    <row r="179" spans="2:129" s="3" customFormat="1" ht="11.7" hidden="1" customHeight="1" outlineLevel="2" x14ac:dyDescent="0.3">
      <c r="B179" s="113" t="s">
        <v>686</v>
      </c>
      <c r="C179" s="230"/>
      <c r="G179" s="127"/>
      <c r="H179" s="127"/>
      <c r="I179" s="1019">
        <v>0</v>
      </c>
      <c r="J179" s="1019">
        <v>0</v>
      </c>
      <c r="K179" s="1019">
        <v>0</v>
      </c>
      <c r="L179" s="1019">
        <v>0</v>
      </c>
      <c r="M179" s="1019">
        <v>0</v>
      </c>
      <c r="N179" s="1019">
        <v>0</v>
      </c>
      <c r="O179" s="1019">
        <v>0</v>
      </c>
      <c r="P179" s="1019">
        <v>0</v>
      </c>
      <c r="Q179" s="1019">
        <v>0</v>
      </c>
      <c r="R179" s="1019">
        <v>0</v>
      </c>
      <c r="S179" s="1019">
        <v>0</v>
      </c>
      <c r="T179" s="1019">
        <v>0</v>
      </c>
      <c r="U179" s="1019">
        <v>0</v>
      </c>
      <c r="V179" s="1019">
        <v>0</v>
      </c>
      <c r="W179" s="1019">
        <v>0</v>
      </c>
      <c r="X179" s="1019">
        <v>0</v>
      </c>
      <c r="Y179" s="1019">
        <v>0</v>
      </c>
      <c r="Z179" s="1019">
        <v>0</v>
      </c>
      <c r="AA179" s="1019">
        <v>0</v>
      </c>
      <c r="AB179" s="1019">
        <v>0</v>
      </c>
      <c r="AC179" s="1019">
        <v>0</v>
      </c>
      <c r="AD179" s="1019">
        <v>0</v>
      </c>
      <c r="AE179" s="1019">
        <v>0</v>
      </c>
      <c r="AF179" s="1019">
        <v>0</v>
      </c>
      <c r="AG179" s="1019">
        <v>0</v>
      </c>
      <c r="AH179" s="1019">
        <v>0</v>
      </c>
      <c r="AI179" s="1019">
        <v>0</v>
      </c>
      <c r="AJ179" s="1019">
        <v>0</v>
      </c>
      <c r="AK179" s="1019">
        <v>0</v>
      </c>
      <c r="AL179" s="1019">
        <v>0</v>
      </c>
      <c r="AM179" s="1019">
        <v>0</v>
      </c>
      <c r="AN179" s="1019">
        <v>0</v>
      </c>
      <c r="AO179" s="1019">
        <v>0</v>
      </c>
      <c r="AP179" s="1019">
        <v>0</v>
      </c>
      <c r="AQ179" s="1019">
        <v>0</v>
      </c>
      <c r="AR179" s="1019">
        <v>0</v>
      </c>
      <c r="AS179" s="1019">
        <v>0</v>
      </c>
      <c r="AT179" s="1019">
        <v>0</v>
      </c>
      <c r="AU179" s="1019">
        <v>0</v>
      </c>
      <c r="AV179" s="1019">
        <v>0</v>
      </c>
      <c r="AW179" s="1019">
        <v>0</v>
      </c>
      <c r="AX179" s="1019">
        <v>0</v>
      </c>
      <c r="AY179" s="1019">
        <v>0</v>
      </c>
      <c r="AZ179" s="1019">
        <v>0</v>
      </c>
      <c r="BA179" s="1019">
        <v>0</v>
      </c>
      <c r="BB179" s="1019">
        <v>0</v>
      </c>
      <c r="BC179" s="1019">
        <v>0</v>
      </c>
      <c r="BD179" s="1019">
        <v>0</v>
      </c>
      <c r="BE179" s="1019">
        <v>0</v>
      </c>
      <c r="BF179" s="1019">
        <v>0</v>
      </c>
      <c r="BG179" s="1019">
        <v>0</v>
      </c>
      <c r="BH179" s="1019">
        <v>0</v>
      </c>
      <c r="BI179" s="1019">
        <v>760369</v>
      </c>
      <c r="BJ179" s="1019">
        <v>1092082</v>
      </c>
      <c r="BK179" s="1019">
        <v>3009580</v>
      </c>
      <c r="BL179" s="1019">
        <v>3383988</v>
      </c>
      <c r="BM179" s="1019">
        <v>3651348.43</v>
      </c>
      <c r="BN179" s="1019">
        <v>3733511.82</v>
      </c>
      <c r="BO179" s="1019">
        <v>12295194</v>
      </c>
      <c r="BP179" s="1019">
        <v>672609</v>
      </c>
      <c r="BQ179" s="1019">
        <v>-123036</v>
      </c>
      <c r="BR179" s="1019">
        <f>758050+4619302</f>
        <v>5377352</v>
      </c>
      <c r="BS179" s="1019">
        <f>1375565+7618444</f>
        <v>8994009</v>
      </c>
      <c r="BT179" s="1019">
        <f>706645+133746+3428944</f>
        <v>4269335</v>
      </c>
      <c r="BU179" s="1019">
        <f>1246639+3213567</f>
        <v>4460206</v>
      </c>
      <c r="BV179" s="1019">
        <f>1286081+2841256</f>
        <v>4127337</v>
      </c>
      <c r="BW179" s="1019">
        <f>617258+3497770</f>
        <v>4115028</v>
      </c>
      <c r="BX179" s="1019">
        <f>672411+3950234</f>
        <v>4622645</v>
      </c>
      <c r="BY179" s="1019">
        <f>687554+3896135</f>
        <v>4583689</v>
      </c>
      <c r="BZ179" s="111"/>
      <c r="CA179" s="111"/>
      <c r="CB179" s="111"/>
      <c r="CC179" s="111"/>
      <c r="CD179" s="111"/>
      <c r="CE179" s="111"/>
      <c r="CF179" s="111"/>
      <c r="CG179" s="111"/>
      <c r="CH179" s="111"/>
      <c r="CI179" s="111"/>
      <c r="CJ179" s="111"/>
      <c r="CK179" s="111"/>
      <c r="CL179" s="111"/>
      <c r="CM179" s="111"/>
      <c r="CN179" s="111"/>
      <c r="CO179" s="111"/>
      <c r="CP179" s="111"/>
      <c r="CQ179" s="111"/>
      <c r="CR179" s="111"/>
      <c r="CS179" s="111"/>
      <c r="CT179" s="111"/>
      <c r="CU179" s="111"/>
      <c r="CV179" s="111"/>
      <c r="CW179" s="111"/>
      <c r="CX179" s="111"/>
      <c r="CY179" s="111"/>
      <c r="CZ179" s="111"/>
      <c r="DA179" s="111"/>
      <c r="DB179" s="111"/>
      <c r="DC179" s="111"/>
      <c r="DD179" s="111"/>
      <c r="DE179" s="111"/>
      <c r="DF179" s="111"/>
      <c r="DG179" s="111"/>
      <c r="DH179" s="111"/>
      <c r="DI179" s="111"/>
      <c r="DJ179" s="111"/>
      <c r="DK179" s="111"/>
      <c r="DL179" s="111"/>
      <c r="DM179" s="111"/>
      <c r="DN179" s="111"/>
      <c r="DO179" s="111"/>
      <c r="DP179" s="111"/>
      <c r="DQ179" s="111"/>
      <c r="DR179" s="111"/>
      <c r="DS179" s="111"/>
      <c r="DT179" s="111"/>
      <c r="DU179" s="111"/>
      <c r="DV179" s="111"/>
      <c r="DW179" s="111"/>
      <c r="DX179" s="111"/>
      <c r="DY179" s="111"/>
    </row>
    <row r="180" spans="2:129" s="3" customFormat="1" ht="11.7" hidden="1" customHeight="1" outlineLevel="2" x14ac:dyDescent="0.3">
      <c r="B180" s="113" t="s">
        <v>776</v>
      </c>
      <c r="C180" s="230"/>
      <c r="G180" s="127"/>
      <c r="H180" s="127"/>
      <c r="I180" s="1019">
        <v>0</v>
      </c>
      <c r="J180" s="1019">
        <v>0</v>
      </c>
      <c r="K180" s="1019">
        <v>0</v>
      </c>
      <c r="L180" s="1019">
        <v>0</v>
      </c>
      <c r="M180" s="1019">
        <v>0</v>
      </c>
      <c r="N180" s="1019">
        <v>0</v>
      </c>
      <c r="O180" s="1019">
        <v>0</v>
      </c>
      <c r="P180" s="1019">
        <v>0</v>
      </c>
      <c r="Q180" s="1019">
        <v>0</v>
      </c>
      <c r="R180" s="1019">
        <v>0</v>
      </c>
      <c r="S180" s="1019">
        <v>0</v>
      </c>
      <c r="T180" s="1019">
        <v>0</v>
      </c>
      <c r="U180" s="1019">
        <v>0</v>
      </c>
      <c r="V180" s="1019">
        <v>0</v>
      </c>
      <c r="W180" s="1019">
        <v>0</v>
      </c>
      <c r="X180" s="1019">
        <v>0</v>
      </c>
      <c r="Y180" s="1019">
        <v>0</v>
      </c>
      <c r="Z180" s="1019">
        <v>0</v>
      </c>
      <c r="AA180" s="1019">
        <v>0</v>
      </c>
      <c r="AB180" s="1019">
        <v>0</v>
      </c>
      <c r="AC180" s="1019">
        <v>0</v>
      </c>
      <c r="AD180" s="1019">
        <v>0</v>
      </c>
      <c r="AE180" s="1019">
        <v>0</v>
      </c>
      <c r="AF180" s="1019">
        <v>0</v>
      </c>
      <c r="AG180" s="1019">
        <v>0</v>
      </c>
      <c r="AH180" s="1019">
        <v>0</v>
      </c>
      <c r="AI180" s="1019">
        <v>0</v>
      </c>
      <c r="AJ180" s="1019">
        <v>0</v>
      </c>
      <c r="AK180" s="1019">
        <v>0</v>
      </c>
      <c r="AL180" s="1019">
        <v>0</v>
      </c>
      <c r="AM180" s="1019">
        <v>0</v>
      </c>
      <c r="AN180" s="1019">
        <v>0</v>
      </c>
      <c r="AO180" s="1019">
        <v>0</v>
      </c>
      <c r="AP180" s="1019">
        <v>0</v>
      </c>
      <c r="AQ180" s="1019">
        <v>0</v>
      </c>
      <c r="AR180" s="1019">
        <v>0</v>
      </c>
      <c r="AS180" s="1019">
        <v>0</v>
      </c>
      <c r="AT180" s="1019">
        <v>0</v>
      </c>
      <c r="AU180" s="1019">
        <v>0</v>
      </c>
      <c r="AV180" s="1019">
        <v>0</v>
      </c>
      <c r="AW180" s="1019">
        <v>0</v>
      </c>
      <c r="AX180" s="1019">
        <v>0</v>
      </c>
      <c r="AY180" s="1019">
        <v>0</v>
      </c>
      <c r="AZ180" s="1019">
        <v>0</v>
      </c>
      <c r="BA180" s="1019">
        <v>0</v>
      </c>
      <c r="BB180" s="1019">
        <v>0</v>
      </c>
      <c r="BC180" s="1019">
        <v>0</v>
      </c>
      <c r="BD180" s="1019">
        <v>0</v>
      </c>
      <c r="BE180" s="1019">
        <v>0</v>
      </c>
      <c r="BF180" s="1019">
        <v>0</v>
      </c>
      <c r="BG180" s="1019">
        <v>0</v>
      </c>
      <c r="BH180" s="1019">
        <v>0</v>
      </c>
      <c r="BI180" s="1019">
        <v>0</v>
      </c>
      <c r="BJ180" s="1019">
        <v>0</v>
      </c>
      <c r="BK180" s="1019">
        <v>0</v>
      </c>
      <c r="BL180" s="1019">
        <v>0</v>
      </c>
      <c r="BM180" s="1019">
        <v>0</v>
      </c>
      <c r="BN180" s="1019">
        <v>0</v>
      </c>
      <c r="BO180" s="1019">
        <v>0</v>
      </c>
      <c r="BP180" s="1019">
        <v>333000</v>
      </c>
      <c r="BQ180" s="1019">
        <v>0</v>
      </c>
      <c r="BR180" s="1019">
        <v>1190000</v>
      </c>
      <c r="BS180" s="1019"/>
      <c r="BT180" s="1019">
        <v>1960000</v>
      </c>
      <c r="BU180" s="1019">
        <v>2940000</v>
      </c>
      <c r="BV180" s="1019">
        <v>-6090000</v>
      </c>
      <c r="BW180" s="1019">
        <v>0</v>
      </c>
      <c r="BX180" s="1019">
        <v>0</v>
      </c>
      <c r="BY180" s="1019">
        <v>0</v>
      </c>
      <c r="BZ180" s="111"/>
      <c r="CA180" s="111"/>
      <c r="CB180" s="111"/>
      <c r="CC180" s="111"/>
      <c r="CD180" s="111"/>
      <c r="CE180" s="111"/>
      <c r="CF180" s="111"/>
      <c r="CG180" s="111"/>
      <c r="CH180" s="111"/>
      <c r="CI180" s="111"/>
      <c r="CJ180" s="111"/>
      <c r="CK180" s="111"/>
      <c r="CL180" s="111"/>
      <c r="CM180" s="111"/>
      <c r="CN180" s="111"/>
      <c r="CO180" s="111"/>
      <c r="CP180" s="111"/>
      <c r="CQ180" s="111"/>
      <c r="CR180" s="111"/>
      <c r="CS180" s="111"/>
      <c r="CT180" s="111"/>
      <c r="CU180" s="111"/>
      <c r="CV180" s="111"/>
      <c r="CW180" s="111"/>
      <c r="CX180" s="111"/>
      <c r="CY180" s="111"/>
      <c r="CZ180" s="111"/>
      <c r="DA180" s="111"/>
      <c r="DB180" s="111"/>
      <c r="DC180" s="111"/>
      <c r="DD180" s="111"/>
      <c r="DE180" s="111"/>
      <c r="DF180" s="111"/>
      <c r="DG180" s="111"/>
      <c r="DH180" s="111"/>
      <c r="DI180" s="111"/>
      <c r="DJ180" s="111"/>
      <c r="DK180" s="111"/>
      <c r="DL180" s="111"/>
      <c r="DM180" s="111"/>
      <c r="DN180" s="111"/>
      <c r="DO180" s="111"/>
      <c r="DP180" s="111"/>
      <c r="DQ180" s="111"/>
      <c r="DR180" s="111"/>
      <c r="DS180" s="111"/>
      <c r="DT180" s="111"/>
      <c r="DU180" s="111"/>
      <c r="DV180" s="111"/>
      <c r="DW180" s="111"/>
      <c r="DX180" s="111"/>
      <c r="DY180" s="111"/>
    </row>
    <row r="181" spans="2:129" s="3" customFormat="1" ht="11.7" hidden="1" customHeight="1" outlineLevel="2" x14ac:dyDescent="0.3">
      <c r="B181" s="113" t="s">
        <v>687</v>
      </c>
      <c r="C181" s="230"/>
      <c r="G181" s="127"/>
      <c r="H181" s="127"/>
      <c r="I181" s="1019">
        <v>0</v>
      </c>
      <c r="J181" s="1019">
        <v>0</v>
      </c>
      <c r="K181" s="1019">
        <v>0</v>
      </c>
      <c r="L181" s="1019">
        <v>0</v>
      </c>
      <c r="M181" s="1019">
        <v>0</v>
      </c>
      <c r="N181" s="1019">
        <v>0</v>
      </c>
      <c r="O181" s="1019">
        <v>0</v>
      </c>
      <c r="P181" s="1019">
        <v>0</v>
      </c>
      <c r="Q181" s="1019">
        <v>0</v>
      </c>
      <c r="R181" s="1019">
        <v>0</v>
      </c>
      <c r="S181" s="1019">
        <v>0</v>
      </c>
      <c r="T181" s="1019">
        <v>0</v>
      </c>
      <c r="U181" s="1019">
        <v>0</v>
      </c>
      <c r="V181" s="1019">
        <v>0</v>
      </c>
      <c r="W181" s="1019">
        <v>0</v>
      </c>
      <c r="X181" s="1019">
        <v>0</v>
      </c>
      <c r="Y181" s="1019">
        <v>0</v>
      </c>
      <c r="Z181" s="1019">
        <v>0</v>
      </c>
      <c r="AA181" s="1019">
        <v>0</v>
      </c>
      <c r="AB181" s="1019">
        <v>0</v>
      </c>
      <c r="AC181" s="1019">
        <v>0</v>
      </c>
      <c r="AD181" s="1019">
        <v>0</v>
      </c>
      <c r="AE181" s="1019">
        <v>0</v>
      </c>
      <c r="AF181" s="1019">
        <v>0</v>
      </c>
      <c r="AG181" s="1019">
        <v>0</v>
      </c>
      <c r="AH181" s="1019">
        <v>0</v>
      </c>
      <c r="AI181" s="1019">
        <v>0</v>
      </c>
      <c r="AJ181" s="1019">
        <v>0</v>
      </c>
      <c r="AK181" s="1019">
        <v>0</v>
      </c>
      <c r="AL181" s="1019">
        <v>0</v>
      </c>
      <c r="AM181" s="1019">
        <v>0</v>
      </c>
      <c r="AN181" s="1019">
        <v>0</v>
      </c>
      <c r="AO181" s="1019">
        <v>0</v>
      </c>
      <c r="AP181" s="1019">
        <v>0</v>
      </c>
      <c r="AQ181" s="1019">
        <v>0</v>
      </c>
      <c r="AR181" s="1019">
        <v>0</v>
      </c>
      <c r="AS181" s="1019">
        <v>0</v>
      </c>
      <c r="AT181" s="1019">
        <v>0</v>
      </c>
      <c r="AU181" s="1019">
        <v>0</v>
      </c>
      <c r="AV181" s="1019">
        <v>0</v>
      </c>
      <c r="AW181" s="1019">
        <v>0</v>
      </c>
      <c r="AX181" s="1019">
        <v>0</v>
      </c>
      <c r="AY181" s="1019">
        <v>0</v>
      </c>
      <c r="AZ181" s="1019">
        <v>0</v>
      </c>
      <c r="BA181" s="1019">
        <v>0</v>
      </c>
      <c r="BB181" s="1019">
        <v>0</v>
      </c>
      <c r="BC181" s="1019">
        <v>0</v>
      </c>
      <c r="BD181" s="1019">
        <v>0</v>
      </c>
      <c r="BE181" s="1019">
        <v>0</v>
      </c>
      <c r="BF181" s="1019">
        <v>0</v>
      </c>
      <c r="BG181" s="1019">
        <v>0</v>
      </c>
      <c r="BH181" s="1019">
        <v>0</v>
      </c>
      <c r="BI181" s="1019">
        <v>0</v>
      </c>
      <c r="BJ181" s="1019">
        <v>0</v>
      </c>
      <c r="BK181" s="1019">
        <v>1541680</v>
      </c>
      <c r="BL181" s="1019">
        <v>1541680</v>
      </c>
      <c r="BM181" s="1019">
        <v>0</v>
      </c>
      <c r="BN181" s="1019">
        <v>1411301</v>
      </c>
      <c r="BO181" s="1019">
        <v>-606397</v>
      </c>
      <c r="BP181" s="1019">
        <v>-84971</v>
      </c>
      <c r="BQ181" s="1019">
        <v>100530</v>
      </c>
      <c r="BR181" s="1019">
        <f>1520497+420272</f>
        <v>1940769</v>
      </c>
      <c r="BS181" s="1019">
        <f>123120+574562</f>
        <v>697682</v>
      </c>
      <c r="BT181" s="1019">
        <f>112364+688134</f>
        <v>800498</v>
      </c>
      <c r="BU181" s="1019">
        <f>181051+1483879</f>
        <v>1664930</v>
      </c>
      <c r="BV181" s="1019">
        <f>313765+552865</f>
        <v>866630</v>
      </c>
      <c r="BW181" s="1019">
        <f>164307+931073</f>
        <v>1095380</v>
      </c>
      <c r="BX181" s="1019">
        <f>106923+605917</f>
        <v>712840</v>
      </c>
      <c r="BY181" s="1019">
        <f>129332+610500</f>
        <v>739832</v>
      </c>
      <c r="BZ181" s="111"/>
      <c r="CA181" s="111"/>
      <c r="CB181" s="111"/>
      <c r="CC181" s="111"/>
      <c r="CD181" s="111"/>
      <c r="CE181" s="111"/>
      <c r="CF181" s="111"/>
      <c r="CG181" s="111"/>
      <c r="CH181" s="111"/>
      <c r="CI181" s="111"/>
      <c r="CJ181" s="111"/>
      <c r="CK181" s="111"/>
      <c r="CL181" s="111"/>
      <c r="CM181" s="111"/>
      <c r="CN181" s="111"/>
      <c r="CO181" s="111"/>
      <c r="CP181" s="111"/>
      <c r="CQ181" s="111"/>
      <c r="CR181" s="111"/>
      <c r="CS181" s="111"/>
      <c r="CT181" s="111"/>
      <c r="CU181" s="111"/>
      <c r="CV181" s="111"/>
      <c r="CW181" s="111"/>
      <c r="CX181" s="111"/>
      <c r="CY181" s="111"/>
      <c r="CZ181" s="111"/>
      <c r="DA181" s="111"/>
      <c r="DB181" s="111"/>
      <c r="DC181" s="111"/>
      <c r="DD181" s="111"/>
      <c r="DE181" s="111"/>
      <c r="DF181" s="111"/>
      <c r="DG181" s="111"/>
      <c r="DH181" s="111"/>
      <c r="DI181" s="111"/>
      <c r="DJ181" s="111"/>
      <c r="DK181" s="111"/>
      <c r="DL181" s="111"/>
      <c r="DM181" s="111"/>
      <c r="DN181" s="111"/>
      <c r="DO181" s="111"/>
      <c r="DP181" s="111"/>
      <c r="DQ181" s="111"/>
      <c r="DR181" s="111"/>
      <c r="DS181" s="111"/>
      <c r="DT181" s="111"/>
      <c r="DU181" s="111"/>
      <c r="DV181" s="111"/>
      <c r="DW181" s="111"/>
      <c r="DX181" s="111"/>
      <c r="DY181" s="111"/>
    </row>
    <row r="182" spans="2:129" s="3" customFormat="1" ht="11.7" hidden="1" customHeight="1" outlineLevel="2" x14ac:dyDescent="0.3">
      <c r="B182" s="113" t="s">
        <v>721</v>
      </c>
      <c r="C182" s="230"/>
      <c r="G182" s="127"/>
      <c r="H182" s="127"/>
      <c r="I182" s="1019">
        <v>0</v>
      </c>
      <c r="J182" s="1019">
        <v>0</v>
      </c>
      <c r="K182" s="1019">
        <v>0</v>
      </c>
      <c r="L182" s="1019">
        <v>0</v>
      </c>
      <c r="M182" s="1019">
        <v>0</v>
      </c>
      <c r="N182" s="1019">
        <v>0</v>
      </c>
      <c r="O182" s="1019">
        <v>0</v>
      </c>
      <c r="P182" s="1019">
        <v>0</v>
      </c>
      <c r="Q182" s="1019">
        <v>0</v>
      </c>
      <c r="R182" s="1019">
        <v>0</v>
      </c>
      <c r="S182" s="1019">
        <v>0</v>
      </c>
      <c r="T182" s="1019">
        <v>0</v>
      </c>
      <c r="U182" s="1019">
        <v>0</v>
      </c>
      <c r="V182" s="1019">
        <v>0</v>
      </c>
      <c r="W182" s="1019">
        <v>0</v>
      </c>
      <c r="X182" s="1019">
        <v>0</v>
      </c>
      <c r="Y182" s="1019">
        <v>0</v>
      </c>
      <c r="Z182" s="1019">
        <v>0</v>
      </c>
      <c r="AA182" s="1019">
        <v>0</v>
      </c>
      <c r="AB182" s="1019">
        <v>0</v>
      </c>
      <c r="AC182" s="1019">
        <v>0</v>
      </c>
      <c r="AD182" s="1019">
        <v>0</v>
      </c>
      <c r="AE182" s="1019">
        <v>0</v>
      </c>
      <c r="AF182" s="1019">
        <v>0</v>
      </c>
      <c r="AG182" s="1019">
        <v>0</v>
      </c>
      <c r="AH182" s="1019">
        <v>0</v>
      </c>
      <c r="AI182" s="1019">
        <v>0</v>
      </c>
      <c r="AJ182" s="1019">
        <v>0</v>
      </c>
      <c r="AK182" s="1019">
        <v>0</v>
      </c>
      <c r="AL182" s="1019">
        <v>0</v>
      </c>
      <c r="AM182" s="1019">
        <v>0</v>
      </c>
      <c r="AN182" s="1019">
        <v>0</v>
      </c>
      <c r="AO182" s="1019">
        <v>0</v>
      </c>
      <c r="AP182" s="1019">
        <v>0</v>
      </c>
      <c r="AQ182" s="1019">
        <v>0</v>
      </c>
      <c r="AR182" s="1019">
        <v>0</v>
      </c>
      <c r="AS182" s="1019">
        <v>0</v>
      </c>
      <c r="AT182" s="1019">
        <v>0</v>
      </c>
      <c r="AU182" s="1019">
        <v>0</v>
      </c>
      <c r="AV182" s="1019">
        <v>0</v>
      </c>
      <c r="AW182" s="1019">
        <v>0</v>
      </c>
      <c r="AX182" s="1019">
        <v>0</v>
      </c>
      <c r="AY182" s="1019">
        <v>0</v>
      </c>
      <c r="AZ182" s="1019">
        <v>0</v>
      </c>
      <c r="BA182" s="1019">
        <v>0</v>
      </c>
      <c r="BB182" s="1019">
        <v>0</v>
      </c>
      <c r="BC182" s="1019">
        <v>0</v>
      </c>
      <c r="BD182" s="1019">
        <v>0</v>
      </c>
      <c r="BE182" s="1019">
        <v>0</v>
      </c>
      <c r="BF182" s="1019">
        <v>0</v>
      </c>
      <c r="BG182" s="1019">
        <v>0</v>
      </c>
      <c r="BH182" s="1019">
        <v>0</v>
      </c>
      <c r="BI182" s="1019">
        <v>0</v>
      </c>
      <c r="BJ182" s="1019">
        <v>0</v>
      </c>
      <c r="BK182" s="1019">
        <v>0</v>
      </c>
      <c r="BL182" s="1019">
        <v>0</v>
      </c>
      <c r="BM182" s="1019">
        <v>0</v>
      </c>
      <c r="BN182" s="1019">
        <v>114277.31</v>
      </c>
      <c r="BO182" s="1019">
        <v>0</v>
      </c>
      <c r="BP182" s="1019">
        <v>0</v>
      </c>
      <c r="BQ182" s="1019">
        <v>0</v>
      </c>
      <c r="BR182" s="1019">
        <f>38242+216693</f>
        <v>254935</v>
      </c>
      <c r="BS182" s="1019">
        <f>23618+133832</f>
        <v>157450</v>
      </c>
      <c r="BT182" s="1019">
        <f>21624+122542</f>
        <v>144166</v>
      </c>
      <c r="BU182" s="1019">
        <f>177231+1004304</f>
        <v>1181535</v>
      </c>
      <c r="BV182" s="1019">
        <f>22268+126193</f>
        <v>148461</v>
      </c>
      <c r="BW182" s="1019">
        <f>23001+130336</f>
        <v>153337</v>
      </c>
      <c r="BX182" s="1019">
        <f>22537+127714</f>
        <v>150251</v>
      </c>
      <c r="BY182" s="1019">
        <f>33951+390528</f>
        <v>424479</v>
      </c>
      <c r="BZ182" s="111"/>
      <c r="CA182" s="111"/>
      <c r="CB182" s="111"/>
      <c r="CC182" s="111"/>
      <c r="CD182" s="111"/>
      <c r="CE182" s="111"/>
      <c r="CF182" s="111"/>
      <c r="CG182" s="111"/>
      <c r="CH182" s="111"/>
      <c r="CI182" s="111"/>
      <c r="CJ182" s="111"/>
      <c r="CK182" s="111"/>
      <c r="CL182" s="111"/>
      <c r="CM182" s="111"/>
      <c r="CN182" s="111"/>
      <c r="CO182" s="111"/>
      <c r="CP182" s="111"/>
      <c r="CQ182" s="111"/>
      <c r="CR182" s="111"/>
      <c r="CS182" s="111"/>
      <c r="CT182" s="111"/>
      <c r="CU182" s="111"/>
      <c r="CV182" s="111"/>
      <c r="CW182" s="111"/>
      <c r="CX182" s="111"/>
      <c r="CY182" s="111"/>
      <c r="CZ182" s="111"/>
      <c r="DA182" s="111"/>
      <c r="DB182" s="111"/>
      <c r="DC182" s="111"/>
      <c r="DD182" s="111"/>
      <c r="DE182" s="111"/>
      <c r="DF182" s="111"/>
      <c r="DG182" s="111"/>
      <c r="DH182" s="111"/>
      <c r="DI182" s="111"/>
      <c r="DJ182" s="111"/>
      <c r="DK182" s="111"/>
      <c r="DL182" s="111"/>
      <c r="DM182" s="111"/>
      <c r="DN182" s="111"/>
      <c r="DO182" s="111"/>
      <c r="DP182" s="111"/>
      <c r="DQ182" s="111"/>
      <c r="DR182" s="111"/>
      <c r="DS182" s="111"/>
      <c r="DT182" s="111"/>
      <c r="DU182" s="111"/>
      <c r="DV182" s="111"/>
      <c r="DW182" s="111"/>
      <c r="DX182" s="111"/>
      <c r="DY182" s="111"/>
    </row>
    <row r="183" spans="2:129" s="3" customFormat="1" ht="11.7" hidden="1" customHeight="1" outlineLevel="2" x14ac:dyDescent="0.3">
      <c r="B183" s="113" t="s">
        <v>688</v>
      </c>
      <c r="C183" s="230"/>
      <c r="G183" s="127"/>
      <c r="H183" s="127"/>
      <c r="I183" s="1019">
        <v>0</v>
      </c>
      <c r="J183" s="1019">
        <v>0</v>
      </c>
      <c r="K183" s="1019">
        <v>0</v>
      </c>
      <c r="L183" s="1019">
        <v>0</v>
      </c>
      <c r="M183" s="1019">
        <v>0</v>
      </c>
      <c r="N183" s="1019">
        <v>0</v>
      </c>
      <c r="O183" s="1019">
        <v>0</v>
      </c>
      <c r="P183" s="1019">
        <v>0</v>
      </c>
      <c r="Q183" s="1019">
        <v>0</v>
      </c>
      <c r="R183" s="1019">
        <v>0</v>
      </c>
      <c r="S183" s="1019">
        <v>0</v>
      </c>
      <c r="T183" s="1019">
        <v>0</v>
      </c>
      <c r="U183" s="1019">
        <v>0</v>
      </c>
      <c r="V183" s="1019">
        <v>0</v>
      </c>
      <c r="W183" s="1019">
        <v>0</v>
      </c>
      <c r="X183" s="1019">
        <v>0</v>
      </c>
      <c r="Y183" s="1019">
        <v>0</v>
      </c>
      <c r="Z183" s="1019">
        <v>0</v>
      </c>
      <c r="AA183" s="1019">
        <v>0</v>
      </c>
      <c r="AB183" s="1019">
        <v>0</v>
      </c>
      <c r="AC183" s="1019">
        <v>0</v>
      </c>
      <c r="AD183" s="1019">
        <v>0</v>
      </c>
      <c r="AE183" s="1019">
        <v>0</v>
      </c>
      <c r="AF183" s="1019">
        <v>0</v>
      </c>
      <c r="AG183" s="1019">
        <v>0</v>
      </c>
      <c r="AH183" s="1019">
        <v>0</v>
      </c>
      <c r="AI183" s="1019">
        <v>0</v>
      </c>
      <c r="AJ183" s="1019">
        <v>0</v>
      </c>
      <c r="AK183" s="1019">
        <v>0</v>
      </c>
      <c r="AL183" s="1019">
        <v>0</v>
      </c>
      <c r="AM183" s="1019">
        <v>0</v>
      </c>
      <c r="AN183" s="1019">
        <v>0</v>
      </c>
      <c r="AO183" s="1019">
        <v>0</v>
      </c>
      <c r="AP183" s="1019">
        <v>0</v>
      </c>
      <c r="AQ183" s="1019">
        <v>0</v>
      </c>
      <c r="AR183" s="1019">
        <v>0</v>
      </c>
      <c r="AS183" s="1019">
        <v>0</v>
      </c>
      <c r="AT183" s="1019">
        <v>0</v>
      </c>
      <c r="AU183" s="1019">
        <v>0</v>
      </c>
      <c r="AV183" s="1019">
        <v>0</v>
      </c>
      <c r="AW183" s="1019">
        <v>0</v>
      </c>
      <c r="AX183" s="1019">
        <v>0</v>
      </c>
      <c r="AY183" s="1019">
        <v>0</v>
      </c>
      <c r="AZ183" s="1019">
        <v>0</v>
      </c>
      <c r="BA183" s="1019">
        <v>0</v>
      </c>
      <c r="BB183" s="1019">
        <v>0</v>
      </c>
      <c r="BC183" s="1019">
        <v>0</v>
      </c>
      <c r="BD183" s="1019">
        <v>0</v>
      </c>
      <c r="BE183" s="1019">
        <v>0</v>
      </c>
      <c r="BF183" s="1019">
        <v>0</v>
      </c>
      <c r="BG183" s="1019">
        <v>0</v>
      </c>
      <c r="BH183" s="1019">
        <v>0</v>
      </c>
      <c r="BI183" s="1019">
        <v>0</v>
      </c>
      <c r="BJ183" s="1019">
        <v>0</v>
      </c>
      <c r="BK183" s="1019">
        <v>0</v>
      </c>
      <c r="BL183" s="1019">
        <v>0</v>
      </c>
      <c r="BM183" s="1019">
        <v>0</v>
      </c>
      <c r="BN183" s="1019">
        <v>300000</v>
      </c>
      <c r="BO183" s="1019">
        <v>150000</v>
      </c>
      <c r="BP183" s="1019">
        <v>450000</v>
      </c>
      <c r="BQ183" s="1019">
        <v>150000</v>
      </c>
      <c r="BR183" s="1019">
        <v>150000</v>
      </c>
      <c r="BS183" s="1019">
        <v>0</v>
      </c>
      <c r="BT183" s="1019">
        <f>130500+739500</f>
        <v>870000</v>
      </c>
      <c r="BU183" s="1019">
        <f>22500+127500</f>
        <v>150000</v>
      </c>
      <c r="BV183" s="1019">
        <f>22500+127500</f>
        <v>150000</v>
      </c>
      <c r="BW183" s="1019">
        <f>-22500+172500</f>
        <v>150000</v>
      </c>
      <c r="BX183" s="1019">
        <f>37452+212231</f>
        <v>249683</v>
      </c>
      <c r="BY183" s="1019">
        <f>164700+1147365</f>
        <v>1312065</v>
      </c>
      <c r="BZ183" s="111"/>
      <c r="CA183" s="111"/>
      <c r="CB183" s="111"/>
      <c r="CC183" s="111"/>
      <c r="CD183" s="111"/>
      <c r="CE183" s="111"/>
      <c r="CF183" s="111"/>
      <c r="CG183" s="111"/>
      <c r="CH183" s="111"/>
      <c r="CI183" s="111"/>
      <c r="CJ183" s="111"/>
      <c r="CK183" s="111"/>
      <c r="CL183" s="111"/>
      <c r="CM183" s="111"/>
      <c r="CN183" s="111"/>
      <c r="CO183" s="111"/>
      <c r="CP183" s="111"/>
      <c r="CQ183" s="111"/>
      <c r="CR183" s="111"/>
      <c r="CS183" s="111"/>
      <c r="CT183" s="111"/>
      <c r="CU183" s="111"/>
      <c r="CV183" s="111"/>
      <c r="CW183" s="111"/>
      <c r="CX183" s="111"/>
      <c r="CY183" s="111"/>
      <c r="CZ183" s="111"/>
      <c r="DA183" s="111"/>
      <c r="DB183" s="111"/>
      <c r="DC183" s="111"/>
      <c r="DD183" s="111"/>
      <c r="DE183" s="111"/>
      <c r="DF183" s="111"/>
      <c r="DG183" s="111"/>
      <c r="DH183" s="111"/>
      <c r="DI183" s="111"/>
      <c r="DJ183" s="111"/>
      <c r="DK183" s="111"/>
      <c r="DL183" s="111"/>
      <c r="DM183" s="111"/>
      <c r="DN183" s="111"/>
      <c r="DO183" s="111"/>
      <c r="DP183" s="111"/>
      <c r="DQ183" s="111"/>
      <c r="DR183" s="111"/>
      <c r="DS183" s="111"/>
      <c r="DT183" s="111"/>
      <c r="DU183" s="111"/>
      <c r="DV183" s="111"/>
      <c r="DW183" s="111"/>
      <c r="DX183" s="111"/>
      <c r="DY183" s="111"/>
    </row>
    <row r="184" spans="2:129" s="3" customFormat="1" ht="11.7" hidden="1" customHeight="1" outlineLevel="2" x14ac:dyDescent="0.3">
      <c r="B184" s="113" t="s">
        <v>793</v>
      </c>
      <c r="C184" s="230"/>
      <c r="G184" s="127"/>
      <c r="H184" s="127"/>
      <c r="I184" s="1019">
        <v>0</v>
      </c>
      <c r="J184" s="1019">
        <v>0</v>
      </c>
      <c r="K184" s="1019">
        <v>0</v>
      </c>
      <c r="L184" s="1019">
        <v>0</v>
      </c>
      <c r="M184" s="1019">
        <v>0</v>
      </c>
      <c r="N184" s="1019">
        <v>0</v>
      </c>
      <c r="O184" s="1019">
        <v>0</v>
      </c>
      <c r="P184" s="1019">
        <v>0</v>
      </c>
      <c r="Q184" s="1019">
        <v>0</v>
      </c>
      <c r="R184" s="1019">
        <v>0</v>
      </c>
      <c r="S184" s="1019">
        <v>0</v>
      </c>
      <c r="T184" s="1019">
        <v>0</v>
      </c>
      <c r="U184" s="1019">
        <v>0</v>
      </c>
      <c r="V184" s="1019">
        <v>0</v>
      </c>
      <c r="W184" s="1019">
        <v>0</v>
      </c>
      <c r="X184" s="1019">
        <v>0</v>
      </c>
      <c r="Y184" s="1019">
        <v>0</v>
      </c>
      <c r="Z184" s="1019">
        <v>0</v>
      </c>
      <c r="AA184" s="1019">
        <v>0</v>
      </c>
      <c r="AB184" s="1019">
        <v>0</v>
      </c>
      <c r="AC184" s="1019">
        <v>0</v>
      </c>
      <c r="AD184" s="1019">
        <v>0</v>
      </c>
      <c r="AE184" s="1019">
        <v>0</v>
      </c>
      <c r="AF184" s="1019">
        <v>0</v>
      </c>
      <c r="AG184" s="1019">
        <v>0</v>
      </c>
      <c r="AH184" s="1019">
        <v>0</v>
      </c>
      <c r="AI184" s="1019">
        <v>0</v>
      </c>
      <c r="AJ184" s="1019">
        <v>0</v>
      </c>
      <c r="AK184" s="1019">
        <v>0</v>
      </c>
      <c r="AL184" s="1019">
        <v>0</v>
      </c>
      <c r="AM184" s="1019">
        <v>0</v>
      </c>
      <c r="AN184" s="1019">
        <v>0</v>
      </c>
      <c r="AO184" s="1019">
        <v>0</v>
      </c>
      <c r="AP184" s="1019">
        <v>0</v>
      </c>
      <c r="AQ184" s="1019">
        <v>0</v>
      </c>
      <c r="AR184" s="1019">
        <v>0</v>
      </c>
      <c r="AS184" s="1019">
        <v>0</v>
      </c>
      <c r="AT184" s="1019">
        <v>0</v>
      </c>
      <c r="AU184" s="1019">
        <v>0</v>
      </c>
      <c r="AV184" s="1019">
        <v>0</v>
      </c>
      <c r="AW184" s="1019">
        <v>0</v>
      </c>
      <c r="AX184" s="1019">
        <v>0</v>
      </c>
      <c r="AY184" s="1019">
        <v>0</v>
      </c>
      <c r="AZ184" s="1019">
        <v>0</v>
      </c>
      <c r="BA184" s="1019">
        <v>0</v>
      </c>
      <c r="BB184" s="1019">
        <v>0</v>
      </c>
      <c r="BC184" s="1019">
        <v>0</v>
      </c>
      <c r="BD184" s="1019">
        <v>0</v>
      </c>
      <c r="BE184" s="1019">
        <v>0</v>
      </c>
      <c r="BF184" s="1019">
        <v>0</v>
      </c>
      <c r="BG184" s="1019">
        <v>0</v>
      </c>
      <c r="BH184" s="1019">
        <v>0</v>
      </c>
      <c r="BI184" s="1019">
        <v>0</v>
      </c>
      <c r="BJ184" s="1019">
        <v>0</v>
      </c>
      <c r="BK184" s="1019">
        <v>0</v>
      </c>
      <c r="BL184" s="1019">
        <v>0</v>
      </c>
      <c r="BM184" s="1019">
        <v>0</v>
      </c>
      <c r="BN184" s="1019">
        <v>0</v>
      </c>
      <c r="BO184" s="1019">
        <v>0</v>
      </c>
      <c r="BP184" s="1019">
        <v>0</v>
      </c>
      <c r="BQ184" s="1019">
        <v>0</v>
      </c>
      <c r="BR184" s="1019">
        <v>0</v>
      </c>
      <c r="BS184" s="1019">
        <v>0</v>
      </c>
      <c r="BT184" s="1019">
        <v>121574</v>
      </c>
      <c r="BU184" s="1019">
        <v>0</v>
      </c>
      <c r="BV184" s="1019">
        <v>443823</v>
      </c>
      <c r="BW184" s="1019">
        <v>0</v>
      </c>
      <c r="BX184" s="1019">
        <v>1686682</v>
      </c>
      <c r="BY184" s="1019">
        <v>13220</v>
      </c>
      <c r="BZ184" s="111"/>
      <c r="CA184" s="111"/>
      <c r="CB184" s="111"/>
      <c r="CC184" s="111"/>
      <c r="CD184" s="111"/>
      <c r="CE184" s="111"/>
      <c r="CF184" s="111"/>
      <c r="CG184" s="111"/>
      <c r="CH184" s="111"/>
      <c r="CI184" s="111"/>
      <c r="CJ184" s="111"/>
      <c r="CK184" s="111"/>
      <c r="CL184" s="111"/>
      <c r="CM184" s="111"/>
      <c r="CN184" s="111"/>
      <c r="CO184" s="111"/>
      <c r="CP184" s="111"/>
      <c r="CQ184" s="111"/>
      <c r="CR184" s="111"/>
      <c r="CS184" s="111"/>
      <c r="CT184" s="111"/>
      <c r="CU184" s="111"/>
      <c r="CV184" s="111"/>
      <c r="CW184" s="111"/>
      <c r="CX184" s="111"/>
      <c r="CY184" s="111"/>
      <c r="CZ184" s="111"/>
      <c r="DA184" s="111"/>
      <c r="DB184" s="111"/>
      <c r="DC184" s="111"/>
      <c r="DD184" s="111"/>
      <c r="DE184" s="111"/>
      <c r="DF184" s="111"/>
      <c r="DG184" s="111"/>
      <c r="DH184" s="111"/>
      <c r="DI184" s="111"/>
      <c r="DJ184" s="111"/>
      <c r="DK184" s="111"/>
      <c r="DL184" s="111"/>
      <c r="DM184" s="111"/>
      <c r="DN184" s="111"/>
      <c r="DO184" s="111"/>
      <c r="DP184" s="111"/>
      <c r="DQ184" s="111"/>
      <c r="DR184" s="111"/>
      <c r="DS184" s="111"/>
      <c r="DT184" s="111"/>
      <c r="DU184" s="111"/>
      <c r="DV184" s="111"/>
      <c r="DW184" s="111"/>
      <c r="DX184" s="111"/>
      <c r="DY184" s="111"/>
    </row>
    <row r="185" spans="2:129" s="3" customFormat="1" ht="11.7" hidden="1" customHeight="1" outlineLevel="2" x14ac:dyDescent="0.3">
      <c r="B185" s="113" t="s">
        <v>689</v>
      </c>
      <c r="C185" s="230"/>
      <c r="G185" s="127"/>
      <c r="H185" s="127"/>
      <c r="I185" s="1019">
        <v>0</v>
      </c>
      <c r="J185" s="1019">
        <v>0</v>
      </c>
      <c r="K185" s="1019">
        <v>0</v>
      </c>
      <c r="L185" s="1019">
        <v>0</v>
      </c>
      <c r="M185" s="1019">
        <v>0</v>
      </c>
      <c r="N185" s="1019">
        <v>0</v>
      </c>
      <c r="O185" s="1019">
        <v>0</v>
      </c>
      <c r="P185" s="1019">
        <v>0</v>
      </c>
      <c r="Q185" s="1019">
        <v>0</v>
      </c>
      <c r="R185" s="1019">
        <v>0</v>
      </c>
      <c r="S185" s="1019">
        <v>0</v>
      </c>
      <c r="T185" s="1019">
        <v>0</v>
      </c>
      <c r="U185" s="1019">
        <v>0</v>
      </c>
      <c r="V185" s="1019">
        <v>0</v>
      </c>
      <c r="W185" s="1019">
        <v>0</v>
      </c>
      <c r="X185" s="1019">
        <v>0</v>
      </c>
      <c r="Y185" s="1019">
        <v>0</v>
      </c>
      <c r="Z185" s="1019">
        <v>0</v>
      </c>
      <c r="AA185" s="1019">
        <v>0</v>
      </c>
      <c r="AB185" s="1019">
        <v>0</v>
      </c>
      <c r="AC185" s="1019">
        <v>0</v>
      </c>
      <c r="AD185" s="1019">
        <v>0</v>
      </c>
      <c r="AE185" s="1019">
        <v>0</v>
      </c>
      <c r="AF185" s="1019">
        <v>0</v>
      </c>
      <c r="AG185" s="1019">
        <v>0</v>
      </c>
      <c r="AH185" s="1019">
        <v>0</v>
      </c>
      <c r="AI185" s="1019">
        <v>0</v>
      </c>
      <c r="AJ185" s="1019">
        <v>0</v>
      </c>
      <c r="AK185" s="1019">
        <v>0</v>
      </c>
      <c r="AL185" s="1019">
        <v>0</v>
      </c>
      <c r="AM185" s="1019">
        <v>0</v>
      </c>
      <c r="AN185" s="1019">
        <v>0</v>
      </c>
      <c r="AO185" s="1019">
        <v>0</v>
      </c>
      <c r="AP185" s="1019">
        <v>0</v>
      </c>
      <c r="AQ185" s="1019">
        <v>0</v>
      </c>
      <c r="AR185" s="1019">
        <v>0</v>
      </c>
      <c r="AS185" s="1019">
        <v>0</v>
      </c>
      <c r="AT185" s="1019">
        <v>0</v>
      </c>
      <c r="AU185" s="1019">
        <v>0</v>
      </c>
      <c r="AV185" s="1019">
        <v>0</v>
      </c>
      <c r="AW185" s="1019">
        <v>0</v>
      </c>
      <c r="AX185" s="1019">
        <v>0</v>
      </c>
      <c r="AY185" s="1019">
        <v>0</v>
      </c>
      <c r="AZ185" s="1019">
        <v>0</v>
      </c>
      <c r="BA185" s="1019">
        <v>0</v>
      </c>
      <c r="BB185" s="1019">
        <v>0</v>
      </c>
      <c r="BC185" s="1019">
        <v>0</v>
      </c>
      <c r="BD185" s="1019">
        <v>0</v>
      </c>
      <c r="BE185" s="1019">
        <v>0</v>
      </c>
      <c r="BF185" s="1019">
        <v>0</v>
      </c>
      <c r="BG185" s="1019">
        <v>0</v>
      </c>
      <c r="BH185" s="1019">
        <v>0</v>
      </c>
      <c r="BI185" s="1019">
        <v>202500</v>
      </c>
      <c r="BJ185" s="1019">
        <v>180000</v>
      </c>
      <c r="BK185" s="1019">
        <v>180000</v>
      </c>
      <c r="BL185" s="1019">
        <v>180000</v>
      </c>
      <c r="BM185" s="1019">
        <v>180000</v>
      </c>
      <c r="BN185" s="1019">
        <v>180000</v>
      </c>
      <c r="BO185" s="1019">
        <v>180000</v>
      </c>
      <c r="BP185" s="1019">
        <v>180000</v>
      </c>
      <c r="BQ185" s="1019">
        <v>0</v>
      </c>
      <c r="BR185" s="1019">
        <v>0</v>
      </c>
      <c r="BS185" s="1019">
        <v>0</v>
      </c>
      <c r="BT185" s="1019">
        <v>0</v>
      </c>
      <c r="BU185" s="1019">
        <v>0</v>
      </c>
      <c r="BV185" s="1019">
        <v>0</v>
      </c>
      <c r="BW185" s="1019">
        <v>1050000</v>
      </c>
      <c r="BX185" s="1019">
        <v>0</v>
      </c>
      <c r="BY185" s="1019">
        <v>1300000</v>
      </c>
      <c r="BZ185" s="111"/>
      <c r="CA185" s="111"/>
      <c r="CB185" s="111"/>
      <c r="CC185" s="111"/>
      <c r="CD185" s="111"/>
      <c r="CE185" s="111"/>
      <c r="CF185" s="111"/>
      <c r="CG185" s="111"/>
      <c r="CH185" s="111"/>
      <c r="CI185" s="111"/>
      <c r="CJ185" s="111"/>
      <c r="CK185" s="111"/>
      <c r="CL185" s="111"/>
      <c r="CM185" s="111"/>
      <c r="CN185" s="111"/>
      <c r="CO185" s="111"/>
      <c r="CP185" s="111"/>
      <c r="CQ185" s="111"/>
      <c r="CR185" s="111"/>
      <c r="CS185" s="111"/>
      <c r="CT185" s="111"/>
      <c r="CU185" s="111"/>
      <c r="CV185" s="111"/>
      <c r="CW185" s="111"/>
      <c r="CX185" s="111"/>
      <c r="CY185" s="111"/>
      <c r="CZ185" s="111"/>
      <c r="DA185" s="111"/>
      <c r="DB185" s="111"/>
      <c r="DC185" s="111"/>
      <c r="DD185" s="111"/>
      <c r="DE185" s="111"/>
      <c r="DF185" s="111"/>
      <c r="DG185" s="111"/>
      <c r="DH185" s="111"/>
      <c r="DI185" s="111"/>
      <c r="DJ185" s="111"/>
      <c r="DK185" s="111"/>
      <c r="DL185" s="111"/>
      <c r="DM185" s="111"/>
      <c r="DN185" s="111"/>
      <c r="DO185" s="111"/>
      <c r="DP185" s="111"/>
      <c r="DQ185" s="111"/>
      <c r="DR185" s="111"/>
      <c r="DS185" s="111"/>
      <c r="DT185" s="111"/>
      <c r="DU185" s="111"/>
      <c r="DV185" s="111"/>
      <c r="DW185" s="111"/>
      <c r="DX185" s="111"/>
      <c r="DY185" s="111"/>
    </row>
    <row r="186" spans="2:129" s="3" customFormat="1" ht="11.7" hidden="1" customHeight="1" outlineLevel="2" x14ac:dyDescent="0.3">
      <c r="B186" s="113" t="s">
        <v>690</v>
      </c>
      <c r="C186" s="230"/>
      <c r="G186" s="127"/>
      <c r="H186" s="127"/>
      <c r="I186" s="1019">
        <v>0</v>
      </c>
      <c r="J186" s="1019">
        <v>0</v>
      </c>
      <c r="K186" s="1019">
        <v>0</v>
      </c>
      <c r="L186" s="1019">
        <v>0</v>
      </c>
      <c r="M186" s="1019">
        <v>0</v>
      </c>
      <c r="N186" s="1019">
        <v>0</v>
      </c>
      <c r="O186" s="1019">
        <v>0</v>
      </c>
      <c r="P186" s="1019">
        <v>0</v>
      </c>
      <c r="Q186" s="1019">
        <v>0</v>
      </c>
      <c r="R186" s="1019">
        <v>0</v>
      </c>
      <c r="S186" s="1019">
        <v>0</v>
      </c>
      <c r="T186" s="1019">
        <v>0</v>
      </c>
      <c r="U186" s="1019">
        <v>0</v>
      </c>
      <c r="V186" s="1019">
        <v>0</v>
      </c>
      <c r="W186" s="1019">
        <v>0</v>
      </c>
      <c r="X186" s="1019">
        <v>0</v>
      </c>
      <c r="Y186" s="1019">
        <v>0</v>
      </c>
      <c r="Z186" s="1019">
        <v>0</v>
      </c>
      <c r="AA186" s="1019">
        <v>0</v>
      </c>
      <c r="AB186" s="1019">
        <v>0</v>
      </c>
      <c r="AC186" s="1019">
        <v>0</v>
      </c>
      <c r="AD186" s="1019">
        <v>0</v>
      </c>
      <c r="AE186" s="1019">
        <v>0</v>
      </c>
      <c r="AF186" s="1019">
        <v>0</v>
      </c>
      <c r="AG186" s="1019">
        <v>0</v>
      </c>
      <c r="AH186" s="1019">
        <v>0</v>
      </c>
      <c r="AI186" s="1019">
        <v>0</v>
      </c>
      <c r="AJ186" s="1019">
        <v>0</v>
      </c>
      <c r="AK186" s="1019">
        <v>0</v>
      </c>
      <c r="AL186" s="1019">
        <v>0</v>
      </c>
      <c r="AM186" s="1019">
        <v>0</v>
      </c>
      <c r="AN186" s="1019">
        <v>0</v>
      </c>
      <c r="AO186" s="1019">
        <v>0</v>
      </c>
      <c r="AP186" s="1019">
        <v>0</v>
      </c>
      <c r="AQ186" s="1019">
        <v>0</v>
      </c>
      <c r="AR186" s="1019">
        <v>0</v>
      </c>
      <c r="AS186" s="1019">
        <v>0</v>
      </c>
      <c r="AT186" s="1019">
        <v>0</v>
      </c>
      <c r="AU186" s="1019">
        <v>0</v>
      </c>
      <c r="AV186" s="1019">
        <v>0</v>
      </c>
      <c r="AW186" s="1019">
        <v>0</v>
      </c>
      <c r="AX186" s="1019">
        <v>0</v>
      </c>
      <c r="AY186" s="1019">
        <v>0</v>
      </c>
      <c r="AZ186" s="1019">
        <v>0</v>
      </c>
      <c r="BA186" s="1019">
        <v>0</v>
      </c>
      <c r="BB186" s="1019">
        <v>0</v>
      </c>
      <c r="BC186" s="1019">
        <v>0</v>
      </c>
      <c r="BD186" s="1019">
        <v>0</v>
      </c>
      <c r="BE186" s="1019">
        <v>0</v>
      </c>
      <c r="BF186" s="1019">
        <v>0</v>
      </c>
      <c r="BG186" s="1019">
        <v>0</v>
      </c>
      <c r="BH186" s="1019">
        <v>0</v>
      </c>
      <c r="BI186" s="1019">
        <v>69494</v>
      </c>
      <c r="BJ186" s="1019">
        <v>0</v>
      </c>
      <c r="BK186" s="1019">
        <v>0</v>
      </c>
      <c r="BL186" s="1019">
        <v>0</v>
      </c>
      <c r="BM186" s="1019">
        <v>0</v>
      </c>
      <c r="BN186" s="1019">
        <v>0</v>
      </c>
      <c r="BO186" s="1019">
        <v>0</v>
      </c>
      <c r="BP186" s="1019">
        <v>0</v>
      </c>
      <c r="BQ186" s="1019">
        <v>0</v>
      </c>
      <c r="BR186" s="1019">
        <v>0</v>
      </c>
      <c r="BS186" s="1019">
        <v>0</v>
      </c>
      <c r="BT186" s="1019">
        <v>0</v>
      </c>
      <c r="BU186" s="1019">
        <v>0</v>
      </c>
      <c r="BV186" s="1019">
        <v>0</v>
      </c>
      <c r="BW186" s="1019">
        <v>0</v>
      </c>
      <c r="BX186" s="1019">
        <v>0</v>
      </c>
      <c r="BY186" s="1019">
        <v>0</v>
      </c>
      <c r="BZ186" s="111"/>
      <c r="CA186" s="111"/>
      <c r="CB186" s="111"/>
      <c r="CC186" s="111"/>
      <c r="CD186" s="111"/>
      <c r="CE186" s="111"/>
      <c r="CF186" s="111"/>
      <c r="CG186" s="111"/>
      <c r="CH186" s="111"/>
      <c r="CI186" s="111"/>
      <c r="CJ186" s="111"/>
      <c r="CK186" s="111"/>
      <c r="CL186" s="111"/>
      <c r="CM186" s="111"/>
      <c r="CN186" s="111"/>
      <c r="CO186" s="111"/>
      <c r="CP186" s="111"/>
      <c r="CQ186" s="111"/>
      <c r="CR186" s="111"/>
      <c r="CS186" s="111"/>
      <c r="CT186" s="111"/>
      <c r="CU186" s="111"/>
      <c r="CV186" s="111"/>
      <c r="CW186" s="111"/>
      <c r="CX186" s="111"/>
      <c r="CY186" s="111"/>
      <c r="CZ186" s="111"/>
      <c r="DA186" s="111"/>
      <c r="DB186" s="111"/>
      <c r="DC186" s="111"/>
      <c r="DD186" s="111"/>
      <c r="DE186" s="111"/>
      <c r="DF186" s="111"/>
      <c r="DG186" s="111"/>
      <c r="DH186" s="111"/>
      <c r="DI186" s="111"/>
      <c r="DJ186" s="111"/>
      <c r="DK186" s="111"/>
      <c r="DL186" s="111"/>
      <c r="DM186" s="111"/>
      <c r="DN186" s="111"/>
      <c r="DO186" s="111"/>
      <c r="DP186" s="111"/>
      <c r="DQ186" s="111"/>
      <c r="DR186" s="111"/>
      <c r="DS186" s="111"/>
      <c r="DT186" s="111"/>
      <c r="DU186" s="111"/>
      <c r="DV186" s="111"/>
      <c r="DW186" s="111"/>
      <c r="DX186" s="111"/>
      <c r="DY186" s="111"/>
    </row>
    <row r="187" spans="2:129" s="3" customFormat="1" ht="11.7" hidden="1" customHeight="1" outlineLevel="2" x14ac:dyDescent="0.3">
      <c r="B187" s="329"/>
      <c r="C187" s="230"/>
      <c r="G187" s="127"/>
      <c r="H187" s="127"/>
      <c r="I187" s="1019"/>
      <c r="J187" s="1019"/>
      <c r="K187" s="1019"/>
      <c r="L187" s="1019"/>
      <c r="M187" s="1019"/>
      <c r="N187" s="1019"/>
      <c r="O187" s="1019"/>
      <c r="P187" s="1019"/>
      <c r="Q187" s="1019"/>
      <c r="R187" s="1019"/>
      <c r="S187" s="1019"/>
      <c r="T187" s="1019"/>
      <c r="U187" s="1019"/>
      <c r="V187" s="1019"/>
      <c r="W187" s="1019"/>
      <c r="X187" s="1019"/>
      <c r="Y187" s="1019"/>
      <c r="Z187" s="1019"/>
      <c r="AA187" s="1019"/>
      <c r="AB187" s="1019"/>
      <c r="AC187" s="1019"/>
      <c r="AD187" s="1019"/>
      <c r="AE187" s="1019"/>
      <c r="AF187" s="1019"/>
      <c r="AG187" s="1019"/>
      <c r="AH187" s="1019"/>
      <c r="AI187" s="1019"/>
      <c r="AJ187" s="1019"/>
      <c r="AK187" s="1019"/>
      <c r="AL187" s="1019"/>
      <c r="AM187" s="1019"/>
      <c r="AN187" s="1019"/>
      <c r="AO187" s="1019"/>
      <c r="AP187" s="1019"/>
      <c r="AQ187" s="1019"/>
      <c r="AR187" s="1019"/>
      <c r="AS187" s="1019"/>
      <c r="AT187" s="1019"/>
      <c r="AU187" s="1019"/>
      <c r="AV187" s="1019"/>
      <c r="AW187" s="1019"/>
      <c r="AX187" s="1019"/>
      <c r="AY187" s="1019"/>
      <c r="AZ187" s="1019"/>
      <c r="BA187" s="1019"/>
      <c r="BB187" s="1019"/>
      <c r="BC187" s="1019"/>
      <c r="BD187" s="1019"/>
      <c r="BE187" s="1019"/>
      <c r="BF187" s="1019"/>
      <c r="BG187" s="1019"/>
      <c r="BH187" s="1019"/>
      <c r="BI187" s="1019"/>
      <c r="BJ187" s="1019"/>
      <c r="BK187" s="1019"/>
      <c r="BL187" s="1019"/>
      <c r="BM187" s="1019"/>
      <c r="BN187" s="1019"/>
      <c r="BO187" s="1019"/>
      <c r="BP187" s="1019"/>
      <c r="BQ187" s="1019"/>
      <c r="BR187" s="1019"/>
      <c r="BS187" s="1019"/>
      <c r="BT187" s="1019"/>
      <c r="BU187" s="1019"/>
      <c r="BV187" s="1019"/>
      <c r="BW187" s="1019"/>
      <c r="BX187" s="1019"/>
      <c r="BY187" s="1019">
        <v>0</v>
      </c>
      <c r="BZ187" s="111"/>
      <c r="CA187" s="111"/>
      <c r="CB187" s="111"/>
      <c r="CC187" s="111"/>
      <c r="CD187" s="111"/>
      <c r="CE187" s="111"/>
      <c r="CF187" s="111"/>
      <c r="CG187" s="111"/>
      <c r="CH187" s="111"/>
      <c r="CI187" s="111"/>
      <c r="CJ187" s="111"/>
      <c r="CK187" s="111"/>
      <c r="CL187" s="111"/>
      <c r="CM187" s="111"/>
      <c r="CN187" s="111"/>
      <c r="CO187" s="111"/>
      <c r="CP187" s="111"/>
      <c r="CQ187" s="111"/>
      <c r="CR187" s="111"/>
      <c r="CS187" s="111"/>
      <c r="CT187" s="111"/>
      <c r="CU187" s="111"/>
      <c r="CV187" s="111"/>
      <c r="CW187" s="111"/>
      <c r="CX187" s="111"/>
      <c r="CY187" s="111"/>
      <c r="CZ187" s="111"/>
      <c r="DA187" s="111"/>
      <c r="DB187" s="111"/>
      <c r="DC187" s="111"/>
      <c r="DD187" s="111"/>
      <c r="DE187" s="111"/>
      <c r="DF187" s="111"/>
      <c r="DG187" s="111"/>
      <c r="DH187" s="111"/>
      <c r="DI187" s="111"/>
      <c r="DJ187" s="111"/>
      <c r="DK187" s="111"/>
      <c r="DL187" s="111"/>
      <c r="DM187" s="111"/>
      <c r="DN187" s="111"/>
      <c r="DO187" s="111"/>
      <c r="DP187" s="111"/>
      <c r="DQ187" s="111"/>
      <c r="DR187" s="111"/>
      <c r="DS187" s="111"/>
      <c r="DT187" s="111"/>
      <c r="DU187" s="111"/>
      <c r="DV187" s="111"/>
      <c r="DW187" s="111"/>
      <c r="DX187" s="111"/>
      <c r="DY187" s="111"/>
    </row>
    <row r="188" spans="2:129" s="3" customFormat="1" ht="11.7" hidden="1" customHeight="1" outlineLevel="2" x14ac:dyDescent="0.3">
      <c r="B188" s="195" t="s">
        <v>97</v>
      </c>
      <c r="C188" s="230"/>
      <c r="G188" s="127"/>
      <c r="H188" s="127"/>
      <c r="I188" s="1019"/>
      <c r="J188" s="1019"/>
      <c r="K188" s="1019"/>
      <c r="L188" s="1019"/>
      <c r="M188" s="1019"/>
      <c r="N188" s="1019"/>
      <c r="O188" s="1019"/>
      <c r="P188" s="1019"/>
      <c r="Q188" s="1019"/>
      <c r="R188" s="1019"/>
      <c r="S188" s="1019"/>
      <c r="T188" s="1019"/>
      <c r="U188" s="1019"/>
      <c r="V188" s="1019"/>
      <c r="W188" s="1019"/>
      <c r="X188" s="1019"/>
      <c r="Y188" s="1019"/>
      <c r="Z188" s="1019"/>
      <c r="AA188" s="1019"/>
      <c r="AB188" s="1019"/>
      <c r="AC188" s="1019"/>
      <c r="AD188" s="1019"/>
      <c r="AE188" s="1019"/>
      <c r="AF188" s="1019"/>
      <c r="AG188" s="1019"/>
      <c r="AH188" s="1019"/>
      <c r="AI188" s="1019"/>
      <c r="AJ188" s="1019"/>
      <c r="AK188" s="1019"/>
      <c r="AL188" s="1019"/>
      <c r="AM188" s="1019"/>
      <c r="AN188" s="1019"/>
      <c r="AO188" s="1019"/>
      <c r="AP188" s="1019"/>
      <c r="AQ188" s="1019"/>
      <c r="AR188" s="1019"/>
      <c r="AS188" s="1019"/>
      <c r="AT188" s="1019"/>
      <c r="AU188" s="1019"/>
      <c r="AV188" s="1019"/>
      <c r="AW188" s="1019"/>
      <c r="AX188" s="1019"/>
      <c r="AY188" s="1019"/>
      <c r="AZ188" s="1019"/>
      <c r="BA188" s="1019"/>
      <c r="BB188" s="1019"/>
      <c r="BC188" s="1019"/>
      <c r="BD188" s="1019"/>
      <c r="BE188" s="1019"/>
      <c r="BF188" s="1019"/>
      <c r="BG188" s="1019"/>
      <c r="BH188" s="1019"/>
      <c r="BI188" s="1019"/>
      <c r="BJ188" s="1019"/>
      <c r="BK188" s="1019"/>
      <c r="BL188" s="1019"/>
      <c r="BM188" s="1019"/>
      <c r="BN188" s="1019"/>
      <c r="BO188" s="1019"/>
      <c r="BP188" s="1019"/>
      <c r="BQ188" s="1019"/>
      <c r="BR188" s="1019"/>
      <c r="BS188" s="1019"/>
      <c r="BT188" s="1019"/>
      <c r="BU188" s="1019"/>
      <c r="BV188" s="1019"/>
      <c r="BW188" s="1019"/>
      <c r="BX188" s="1019"/>
      <c r="BY188" s="1019">
        <v>0</v>
      </c>
      <c r="BZ188" s="111"/>
      <c r="CA188" s="111"/>
      <c r="CB188" s="111"/>
      <c r="CC188" s="111"/>
      <c r="CD188" s="111"/>
      <c r="CE188" s="111"/>
      <c r="CF188" s="111"/>
      <c r="CG188" s="111"/>
      <c r="CH188" s="111"/>
      <c r="CI188" s="111"/>
      <c r="CJ188" s="111"/>
      <c r="CK188" s="111"/>
      <c r="CL188" s="111"/>
      <c r="CM188" s="111"/>
      <c r="CN188" s="111"/>
      <c r="CO188" s="111"/>
      <c r="CP188" s="111"/>
      <c r="CQ188" s="111"/>
      <c r="CR188" s="111"/>
      <c r="CS188" s="111"/>
      <c r="CT188" s="111"/>
      <c r="CU188" s="111"/>
      <c r="CV188" s="111"/>
      <c r="CW188" s="111"/>
      <c r="CX188" s="111"/>
      <c r="CY188" s="111"/>
      <c r="CZ188" s="111"/>
      <c r="DA188" s="111"/>
      <c r="DB188" s="111"/>
      <c r="DC188" s="111"/>
      <c r="DD188" s="111"/>
      <c r="DE188" s="111"/>
      <c r="DF188" s="111"/>
      <c r="DG188" s="111"/>
      <c r="DH188" s="111"/>
      <c r="DI188" s="111"/>
      <c r="DJ188" s="111"/>
      <c r="DK188" s="111"/>
      <c r="DL188" s="111"/>
      <c r="DM188" s="111"/>
      <c r="DN188" s="111"/>
      <c r="DO188" s="111"/>
      <c r="DP188" s="111"/>
      <c r="DQ188" s="111"/>
      <c r="DR188" s="111"/>
      <c r="DS188" s="111"/>
      <c r="DT188" s="111"/>
      <c r="DU188" s="111"/>
      <c r="DV188" s="111"/>
      <c r="DW188" s="111"/>
      <c r="DX188" s="111"/>
      <c r="DY188" s="111"/>
    </row>
    <row r="189" spans="2:129" s="3" customFormat="1" ht="11.7" hidden="1" customHeight="1" outlineLevel="2" x14ac:dyDescent="0.3">
      <c r="B189" s="113" t="s">
        <v>691</v>
      </c>
      <c r="C189" s="230"/>
      <c r="G189" s="127"/>
      <c r="H189" s="127"/>
      <c r="I189" s="1019">
        <v>0</v>
      </c>
      <c r="J189" s="1019">
        <v>0</v>
      </c>
      <c r="K189" s="1019">
        <v>0</v>
      </c>
      <c r="L189" s="1019">
        <v>0</v>
      </c>
      <c r="M189" s="1019">
        <v>0</v>
      </c>
      <c r="N189" s="1019">
        <v>0</v>
      </c>
      <c r="O189" s="1019">
        <v>0</v>
      </c>
      <c r="P189" s="1019">
        <v>0</v>
      </c>
      <c r="Q189" s="1019">
        <v>0</v>
      </c>
      <c r="R189" s="1019">
        <v>0</v>
      </c>
      <c r="S189" s="1019">
        <v>0</v>
      </c>
      <c r="T189" s="1019">
        <v>0</v>
      </c>
      <c r="U189" s="1019">
        <v>0</v>
      </c>
      <c r="V189" s="1019">
        <v>0</v>
      </c>
      <c r="W189" s="1019">
        <v>0</v>
      </c>
      <c r="X189" s="1019">
        <v>0</v>
      </c>
      <c r="Y189" s="1019">
        <v>0</v>
      </c>
      <c r="Z189" s="1019">
        <v>0</v>
      </c>
      <c r="AA189" s="1019">
        <v>0</v>
      </c>
      <c r="AB189" s="1019">
        <v>0</v>
      </c>
      <c r="AC189" s="1019">
        <v>0</v>
      </c>
      <c r="AD189" s="1019">
        <v>0</v>
      </c>
      <c r="AE189" s="1019">
        <v>0</v>
      </c>
      <c r="AF189" s="1019">
        <v>0</v>
      </c>
      <c r="AG189" s="1019">
        <v>0</v>
      </c>
      <c r="AH189" s="1019">
        <v>0</v>
      </c>
      <c r="AI189" s="1019">
        <v>0</v>
      </c>
      <c r="AJ189" s="1019">
        <v>0</v>
      </c>
      <c r="AK189" s="1019">
        <v>0</v>
      </c>
      <c r="AL189" s="1019">
        <v>0</v>
      </c>
      <c r="AM189" s="1019">
        <v>0</v>
      </c>
      <c r="AN189" s="1019">
        <v>0</v>
      </c>
      <c r="AO189" s="1019">
        <v>0</v>
      </c>
      <c r="AP189" s="1019">
        <v>0</v>
      </c>
      <c r="AQ189" s="1019">
        <v>0</v>
      </c>
      <c r="AR189" s="1019">
        <v>0</v>
      </c>
      <c r="AS189" s="1019">
        <v>0</v>
      </c>
      <c r="AT189" s="1019">
        <v>0</v>
      </c>
      <c r="AU189" s="1019">
        <v>0</v>
      </c>
      <c r="AV189" s="1019">
        <v>0</v>
      </c>
      <c r="AW189" s="1019">
        <v>0</v>
      </c>
      <c r="AX189" s="1019">
        <v>0</v>
      </c>
      <c r="AY189" s="1019">
        <v>0</v>
      </c>
      <c r="AZ189" s="1019">
        <v>0</v>
      </c>
      <c r="BA189" s="1019">
        <v>0</v>
      </c>
      <c r="BB189" s="1019">
        <v>0</v>
      </c>
      <c r="BC189" s="1019">
        <v>0</v>
      </c>
      <c r="BD189" s="1019">
        <v>0</v>
      </c>
      <c r="BE189" s="1019">
        <v>0</v>
      </c>
      <c r="BF189" s="1019">
        <v>0</v>
      </c>
      <c r="BG189" s="1019">
        <v>0</v>
      </c>
      <c r="BH189" s="1019">
        <v>0</v>
      </c>
      <c r="BI189" s="1019">
        <v>0</v>
      </c>
      <c r="BJ189" s="1019">
        <v>913911</v>
      </c>
      <c r="BK189" s="1019">
        <v>3633321</v>
      </c>
      <c r="BL189" s="1019">
        <v>1378702</v>
      </c>
      <c r="BM189" s="1019">
        <v>2912709</v>
      </c>
      <c r="BN189" s="1019">
        <v>2234414</v>
      </c>
      <c r="BO189" s="1019">
        <v>2541109</v>
      </c>
      <c r="BP189" s="1019">
        <v>1600017</v>
      </c>
      <c r="BQ189" s="1019">
        <v>1192806</v>
      </c>
      <c r="BR189" s="1019">
        <v>4163602</v>
      </c>
      <c r="BS189" s="1019">
        <v>3136115</v>
      </c>
      <c r="BT189" s="1019">
        <v>2439446</v>
      </c>
      <c r="BU189" s="1019">
        <v>3493873</v>
      </c>
      <c r="BV189" s="1019">
        <v>2875465</v>
      </c>
      <c r="BW189" s="1019">
        <v>3321163</v>
      </c>
      <c r="BX189" s="1019">
        <v>0</v>
      </c>
      <c r="BY189" s="1019">
        <v>0</v>
      </c>
      <c r="BZ189" s="111"/>
      <c r="CA189" s="111"/>
      <c r="CB189" s="111"/>
      <c r="CC189" s="111"/>
      <c r="CD189" s="111"/>
      <c r="CE189" s="111"/>
      <c r="CF189" s="111"/>
      <c r="CG189" s="111"/>
      <c r="CH189" s="111"/>
      <c r="CI189" s="111"/>
      <c r="CJ189" s="111"/>
      <c r="CK189" s="111"/>
      <c r="CL189" s="111"/>
      <c r="CM189" s="111"/>
      <c r="CN189" s="111"/>
      <c r="CO189" s="111"/>
      <c r="CP189" s="111"/>
      <c r="CQ189" s="111"/>
      <c r="CR189" s="111"/>
      <c r="CS189" s="111"/>
      <c r="CT189" s="111"/>
      <c r="CU189" s="111"/>
      <c r="CV189" s="111"/>
      <c r="CW189" s="111"/>
      <c r="CX189" s="111"/>
      <c r="CY189" s="111"/>
      <c r="CZ189" s="111"/>
      <c r="DA189" s="111"/>
      <c r="DB189" s="111"/>
      <c r="DC189" s="111"/>
      <c r="DD189" s="111"/>
      <c r="DE189" s="111"/>
      <c r="DF189" s="111"/>
      <c r="DG189" s="111"/>
      <c r="DH189" s="111"/>
      <c r="DI189" s="111"/>
      <c r="DJ189" s="111"/>
      <c r="DK189" s="111"/>
      <c r="DL189" s="111"/>
      <c r="DM189" s="111"/>
      <c r="DN189" s="111"/>
      <c r="DO189" s="111"/>
      <c r="DP189" s="111"/>
      <c r="DQ189" s="111"/>
      <c r="DR189" s="111"/>
      <c r="DS189" s="111"/>
      <c r="DT189" s="111"/>
      <c r="DU189" s="111"/>
      <c r="DV189" s="111"/>
      <c r="DW189" s="111"/>
      <c r="DX189" s="111"/>
      <c r="DY189" s="111"/>
    </row>
    <row r="190" spans="2:129" s="3" customFormat="1" ht="11.7" hidden="1" customHeight="1" outlineLevel="2" x14ac:dyDescent="0.3">
      <c r="B190" s="113" t="s">
        <v>692</v>
      </c>
      <c r="C190" s="230"/>
      <c r="G190" s="127"/>
      <c r="H190" s="127"/>
      <c r="I190" s="1019">
        <v>0</v>
      </c>
      <c r="J190" s="1019">
        <v>0</v>
      </c>
      <c r="K190" s="1019">
        <v>0</v>
      </c>
      <c r="L190" s="1019">
        <v>0</v>
      </c>
      <c r="M190" s="1019">
        <v>0</v>
      </c>
      <c r="N190" s="1019">
        <v>0</v>
      </c>
      <c r="O190" s="1019">
        <v>0</v>
      </c>
      <c r="P190" s="1019">
        <v>0</v>
      </c>
      <c r="Q190" s="1019">
        <v>0</v>
      </c>
      <c r="R190" s="1019">
        <v>0</v>
      </c>
      <c r="S190" s="1019">
        <v>0</v>
      </c>
      <c r="T190" s="1019">
        <v>0</v>
      </c>
      <c r="U190" s="1019">
        <v>0</v>
      </c>
      <c r="V190" s="1019">
        <v>0</v>
      </c>
      <c r="W190" s="1019">
        <v>0</v>
      </c>
      <c r="X190" s="1019">
        <v>0</v>
      </c>
      <c r="Y190" s="1019">
        <v>0</v>
      </c>
      <c r="Z190" s="1019">
        <v>0</v>
      </c>
      <c r="AA190" s="1019">
        <v>0</v>
      </c>
      <c r="AB190" s="1019">
        <v>0</v>
      </c>
      <c r="AC190" s="1019">
        <v>0</v>
      </c>
      <c r="AD190" s="1019">
        <v>0</v>
      </c>
      <c r="AE190" s="1019">
        <v>0</v>
      </c>
      <c r="AF190" s="1019">
        <v>0</v>
      </c>
      <c r="AG190" s="1019">
        <v>0</v>
      </c>
      <c r="AH190" s="1019">
        <v>0</v>
      </c>
      <c r="AI190" s="1019">
        <v>0</v>
      </c>
      <c r="AJ190" s="1019">
        <v>0</v>
      </c>
      <c r="AK190" s="1019">
        <v>0</v>
      </c>
      <c r="AL190" s="1019">
        <v>0</v>
      </c>
      <c r="AM190" s="1019">
        <v>0</v>
      </c>
      <c r="AN190" s="1019">
        <v>0</v>
      </c>
      <c r="AO190" s="1019">
        <v>0</v>
      </c>
      <c r="AP190" s="1019">
        <v>0</v>
      </c>
      <c r="AQ190" s="1019">
        <v>0</v>
      </c>
      <c r="AR190" s="1019">
        <v>0</v>
      </c>
      <c r="AS190" s="1019">
        <v>0</v>
      </c>
      <c r="AT190" s="1019">
        <v>0</v>
      </c>
      <c r="AU190" s="1019">
        <v>0</v>
      </c>
      <c r="AV190" s="1019">
        <v>0</v>
      </c>
      <c r="AW190" s="1019">
        <v>0</v>
      </c>
      <c r="AX190" s="1019">
        <v>0</v>
      </c>
      <c r="AY190" s="1019">
        <v>0</v>
      </c>
      <c r="AZ190" s="1019">
        <v>0</v>
      </c>
      <c r="BA190" s="1019">
        <v>0</v>
      </c>
      <c r="BB190" s="1019">
        <v>0</v>
      </c>
      <c r="BC190" s="1019">
        <v>0</v>
      </c>
      <c r="BD190" s="1019">
        <v>0</v>
      </c>
      <c r="BE190" s="1019">
        <v>0</v>
      </c>
      <c r="BF190" s="1019">
        <v>0</v>
      </c>
      <c r="BG190" s="1019">
        <v>0</v>
      </c>
      <c r="BH190" s="1019">
        <v>0</v>
      </c>
      <c r="BI190" s="1019">
        <v>0</v>
      </c>
      <c r="BJ190" s="1019">
        <v>0</v>
      </c>
      <c r="BK190" s="1019">
        <v>5000</v>
      </c>
      <c r="BL190" s="1019">
        <v>0</v>
      </c>
      <c r="BM190" s="1019">
        <v>17970</v>
      </c>
      <c r="BN190" s="1019">
        <v>367446</v>
      </c>
      <c r="BO190" s="1019">
        <v>200686</v>
      </c>
      <c r="BP190" s="1019">
        <v>42</v>
      </c>
      <c r="BQ190" s="1019">
        <v>0</v>
      </c>
      <c r="BR190" s="1019">
        <v>0</v>
      </c>
      <c r="BS190" s="1019">
        <v>0</v>
      </c>
      <c r="BT190" s="1019">
        <v>0</v>
      </c>
      <c r="BU190" s="1019">
        <v>0</v>
      </c>
      <c r="BV190" s="1019">
        <v>0</v>
      </c>
      <c r="BW190" s="1019">
        <v>29073</v>
      </c>
      <c r="BX190" s="1019">
        <v>0</v>
      </c>
      <c r="BY190" s="1019">
        <v>31493</v>
      </c>
      <c r="BZ190" s="111"/>
      <c r="CA190" s="111"/>
      <c r="CB190" s="111"/>
      <c r="CC190" s="111"/>
      <c r="CD190" s="111"/>
      <c r="CE190" s="111"/>
      <c r="CF190" s="111"/>
      <c r="CG190" s="111"/>
      <c r="CH190" s="111"/>
      <c r="CI190" s="111"/>
      <c r="CJ190" s="111"/>
      <c r="CK190" s="111"/>
      <c r="CL190" s="111"/>
      <c r="CM190" s="111"/>
      <c r="CN190" s="111"/>
      <c r="CO190" s="111"/>
      <c r="CP190" s="111"/>
      <c r="CQ190" s="111"/>
      <c r="CR190" s="111"/>
      <c r="CS190" s="111"/>
      <c r="CT190" s="111"/>
      <c r="CU190" s="111"/>
      <c r="CV190" s="111"/>
      <c r="CW190" s="111"/>
      <c r="CX190" s="111"/>
      <c r="CY190" s="111"/>
      <c r="CZ190" s="111"/>
      <c r="DA190" s="111"/>
      <c r="DB190" s="111"/>
      <c r="DC190" s="111"/>
      <c r="DD190" s="111"/>
      <c r="DE190" s="111"/>
      <c r="DF190" s="111"/>
      <c r="DG190" s="111"/>
      <c r="DH190" s="111"/>
      <c r="DI190" s="111"/>
      <c r="DJ190" s="111"/>
      <c r="DK190" s="111"/>
      <c r="DL190" s="111"/>
      <c r="DM190" s="111"/>
      <c r="DN190" s="111"/>
      <c r="DO190" s="111"/>
      <c r="DP190" s="111"/>
      <c r="DQ190" s="111"/>
      <c r="DR190" s="111"/>
      <c r="DS190" s="111"/>
      <c r="DT190" s="111"/>
      <c r="DU190" s="111"/>
      <c r="DV190" s="111"/>
      <c r="DW190" s="111"/>
      <c r="DX190" s="111"/>
      <c r="DY190" s="111"/>
    </row>
    <row r="191" spans="2:129" s="3" customFormat="1" ht="11.7" hidden="1" customHeight="1" outlineLevel="2" x14ac:dyDescent="0.3">
      <c r="B191" s="329"/>
      <c r="C191" s="230"/>
      <c r="G191" s="127"/>
      <c r="H191" s="127"/>
      <c r="I191" s="1019"/>
      <c r="J191" s="1019"/>
      <c r="K191" s="1019"/>
      <c r="L191" s="1019"/>
      <c r="M191" s="1019"/>
      <c r="N191" s="1019"/>
      <c r="O191" s="1019"/>
      <c r="P191" s="1019"/>
      <c r="Q191" s="1019"/>
      <c r="R191" s="1019"/>
      <c r="S191" s="1019"/>
      <c r="T191" s="1019"/>
      <c r="U191" s="1019"/>
      <c r="V191" s="1019"/>
      <c r="W191" s="1019"/>
      <c r="X191" s="1019"/>
      <c r="Y191" s="1019"/>
      <c r="Z191" s="1019"/>
      <c r="AA191" s="1019"/>
      <c r="AB191" s="1019"/>
      <c r="AC191" s="1019"/>
      <c r="AD191" s="1019"/>
      <c r="AE191" s="1019"/>
      <c r="AF191" s="1019"/>
      <c r="AG191" s="1019"/>
      <c r="AH191" s="1019"/>
      <c r="AI191" s="1019"/>
      <c r="AJ191" s="1019"/>
      <c r="AK191" s="1019"/>
      <c r="AL191" s="1019"/>
      <c r="AM191" s="1019"/>
      <c r="AN191" s="1019"/>
      <c r="AO191" s="1019"/>
      <c r="AP191" s="1019"/>
      <c r="AQ191" s="1019"/>
      <c r="AR191" s="1019"/>
      <c r="AS191" s="1019"/>
      <c r="AT191" s="1019"/>
      <c r="AU191" s="1019"/>
      <c r="AV191" s="1019"/>
      <c r="AW191" s="1019"/>
      <c r="AX191" s="1019"/>
      <c r="AY191" s="1019"/>
      <c r="AZ191" s="1019"/>
      <c r="BA191" s="1019"/>
      <c r="BB191" s="1019"/>
      <c r="BC191" s="1019"/>
      <c r="BD191" s="1019"/>
      <c r="BE191" s="1019"/>
      <c r="BF191" s="1019"/>
      <c r="BG191" s="1019"/>
      <c r="BH191" s="1019"/>
      <c r="BI191" s="1019"/>
      <c r="BJ191" s="1019"/>
      <c r="BK191" s="1019"/>
      <c r="BL191" s="1019"/>
      <c r="BM191" s="1019"/>
      <c r="BN191" s="1019"/>
      <c r="BO191" s="1019"/>
      <c r="BP191" s="1019"/>
      <c r="BQ191" s="1019"/>
      <c r="BR191" s="1019"/>
      <c r="BS191" s="1019"/>
      <c r="BT191" s="1019"/>
      <c r="BU191" s="1019"/>
      <c r="BV191" s="1019"/>
      <c r="BW191" s="1019"/>
      <c r="BX191" s="1019"/>
      <c r="BY191" s="1019"/>
      <c r="BZ191" s="111"/>
      <c r="CA191" s="111"/>
      <c r="CB191" s="111"/>
      <c r="CC191" s="111"/>
      <c r="CD191" s="111"/>
      <c r="CE191" s="111"/>
      <c r="CF191" s="111"/>
      <c r="CG191" s="111"/>
      <c r="CH191" s="111"/>
      <c r="CI191" s="111"/>
      <c r="CJ191" s="111"/>
      <c r="CK191" s="111"/>
      <c r="CL191" s="111"/>
      <c r="CM191" s="111"/>
      <c r="CN191" s="111"/>
      <c r="CO191" s="111"/>
      <c r="CP191" s="111"/>
      <c r="CQ191" s="111"/>
      <c r="CR191" s="111"/>
      <c r="CS191" s="111"/>
      <c r="CT191" s="111"/>
      <c r="CU191" s="111"/>
      <c r="CV191" s="111"/>
      <c r="CW191" s="111"/>
      <c r="CX191" s="111"/>
      <c r="CY191" s="111"/>
      <c r="CZ191" s="111"/>
      <c r="DA191" s="111"/>
      <c r="DB191" s="111"/>
      <c r="DC191" s="111"/>
      <c r="DD191" s="111"/>
      <c r="DE191" s="111"/>
      <c r="DF191" s="111"/>
      <c r="DG191" s="111"/>
      <c r="DH191" s="111"/>
      <c r="DI191" s="111"/>
      <c r="DJ191" s="111"/>
      <c r="DK191" s="111"/>
      <c r="DL191" s="111"/>
      <c r="DM191" s="111"/>
      <c r="DN191" s="111"/>
      <c r="DO191" s="111"/>
      <c r="DP191" s="111"/>
      <c r="DQ191" s="111"/>
      <c r="DR191" s="111"/>
      <c r="DS191" s="111"/>
      <c r="DT191" s="111"/>
      <c r="DU191" s="111"/>
      <c r="DV191" s="111"/>
      <c r="DW191" s="111"/>
      <c r="DX191" s="111"/>
      <c r="DY191" s="111"/>
    </row>
    <row r="192" spans="2:129" s="3" customFormat="1" ht="11.7" hidden="1" customHeight="1" outlineLevel="2" x14ac:dyDescent="0.3">
      <c r="B192" s="195" t="s">
        <v>262</v>
      </c>
      <c r="C192" s="230"/>
      <c r="G192" s="127"/>
      <c r="H192" s="127"/>
      <c r="I192" s="1019"/>
      <c r="J192" s="1019"/>
      <c r="K192" s="1019"/>
      <c r="L192" s="1019"/>
      <c r="M192" s="1019"/>
      <c r="N192" s="1019"/>
      <c r="O192" s="1019"/>
      <c r="P192" s="1019"/>
      <c r="Q192" s="1019"/>
      <c r="R192" s="1019"/>
      <c r="S192" s="1019"/>
      <c r="T192" s="1019"/>
      <c r="U192" s="1019"/>
      <c r="V192" s="1019"/>
      <c r="W192" s="1019"/>
      <c r="X192" s="1019"/>
      <c r="Y192" s="1019"/>
      <c r="Z192" s="1019"/>
      <c r="AA192" s="1019"/>
      <c r="AB192" s="1019"/>
      <c r="AC192" s="1019"/>
      <c r="AD192" s="1019"/>
      <c r="AE192" s="1019"/>
      <c r="AF192" s="1019"/>
      <c r="AG192" s="1019"/>
      <c r="AH192" s="1019"/>
      <c r="AI192" s="1019"/>
      <c r="AJ192" s="1019"/>
      <c r="AK192" s="1019"/>
      <c r="AL192" s="1019"/>
      <c r="AM192" s="1019"/>
      <c r="AN192" s="1019"/>
      <c r="AO192" s="1019"/>
      <c r="AP192" s="1019"/>
      <c r="AQ192" s="1019"/>
      <c r="AR192" s="1019"/>
      <c r="AS192" s="1019"/>
      <c r="AT192" s="1019"/>
      <c r="AU192" s="1019"/>
      <c r="AV192" s="1019"/>
      <c r="AW192" s="1019"/>
      <c r="AX192" s="1019"/>
      <c r="AY192" s="1019"/>
      <c r="AZ192" s="1019"/>
      <c r="BA192" s="1019"/>
      <c r="BB192" s="1019"/>
      <c r="BC192" s="1019"/>
      <c r="BD192" s="1019"/>
      <c r="BE192" s="1019"/>
      <c r="BF192" s="1019"/>
      <c r="BG192" s="1019"/>
      <c r="BH192" s="1019"/>
      <c r="BI192" s="1019"/>
      <c r="BJ192" s="1019"/>
      <c r="BK192" s="1019"/>
      <c r="BL192" s="1019"/>
      <c r="BM192" s="1019"/>
      <c r="BN192" s="1019"/>
      <c r="BO192" s="1019"/>
      <c r="BP192" s="1019"/>
      <c r="BQ192" s="1019"/>
      <c r="BR192" s="1019"/>
      <c r="BS192" s="1019"/>
      <c r="BT192" s="1019"/>
      <c r="BU192" s="1019"/>
      <c r="BV192" s="1019"/>
      <c r="BW192" s="1019"/>
      <c r="BX192" s="1019"/>
      <c r="BY192" s="1019"/>
      <c r="BZ192" s="1019"/>
      <c r="CA192" s="111"/>
      <c r="CB192" s="111"/>
      <c r="CC192" s="111"/>
      <c r="CD192" s="111"/>
      <c r="CE192" s="111"/>
      <c r="CF192" s="111"/>
      <c r="CG192" s="111"/>
      <c r="CH192" s="111"/>
      <c r="CI192" s="111"/>
      <c r="CJ192" s="111"/>
      <c r="CK192" s="111"/>
      <c r="CL192" s="111"/>
      <c r="CM192" s="111"/>
      <c r="CN192" s="111"/>
      <c r="CO192" s="111"/>
      <c r="CP192" s="111"/>
      <c r="CQ192" s="111"/>
      <c r="CR192" s="111"/>
      <c r="CS192" s="111"/>
      <c r="CT192" s="111"/>
      <c r="CU192" s="111"/>
      <c r="CV192" s="111"/>
      <c r="CW192" s="111"/>
      <c r="CX192" s="111"/>
      <c r="CY192" s="111"/>
      <c r="CZ192" s="111"/>
      <c r="DA192" s="111"/>
      <c r="DB192" s="111"/>
      <c r="DC192" s="111"/>
      <c r="DD192" s="111"/>
      <c r="DE192" s="111"/>
      <c r="DF192" s="111"/>
      <c r="DG192" s="111"/>
      <c r="DH192" s="111"/>
      <c r="DI192" s="111"/>
      <c r="DJ192" s="111"/>
      <c r="DK192" s="111"/>
      <c r="DL192" s="111"/>
      <c r="DM192" s="111"/>
      <c r="DN192" s="111"/>
      <c r="DO192" s="111"/>
      <c r="DP192" s="111"/>
      <c r="DQ192" s="111"/>
      <c r="DR192" s="111"/>
      <c r="DS192" s="111"/>
      <c r="DT192" s="111"/>
      <c r="DU192" s="111"/>
      <c r="DV192" s="111"/>
      <c r="DW192" s="111"/>
      <c r="DX192" s="111"/>
      <c r="DY192" s="111"/>
    </row>
    <row r="193" spans="2:129" s="3" customFormat="1" ht="11.7" hidden="1" customHeight="1" outlineLevel="2" x14ac:dyDescent="0.3">
      <c r="B193" s="113" t="s">
        <v>693</v>
      </c>
      <c r="C193" s="230"/>
      <c r="G193" s="127"/>
      <c r="H193" s="127"/>
      <c r="I193" s="1019">
        <v>0</v>
      </c>
      <c r="J193" s="1019">
        <v>0</v>
      </c>
      <c r="K193" s="1019">
        <v>0</v>
      </c>
      <c r="L193" s="1019">
        <v>0</v>
      </c>
      <c r="M193" s="1019">
        <v>0</v>
      </c>
      <c r="N193" s="1019">
        <v>0</v>
      </c>
      <c r="O193" s="1019">
        <v>0</v>
      </c>
      <c r="P193" s="1019">
        <v>0</v>
      </c>
      <c r="Q193" s="1019">
        <v>0</v>
      </c>
      <c r="R193" s="1019">
        <v>0</v>
      </c>
      <c r="S193" s="1019">
        <v>0</v>
      </c>
      <c r="T193" s="1019">
        <v>0</v>
      </c>
      <c r="U193" s="1019">
        <v>0</v>
      </c>
      <c r="V193" s="1019">
        <v>0</v>
      </c>
      <c r="W193" s="1019">
        <v>0</v>
      </c>
      <c r="X193" s="1019">
        <v>0</v>
      </c>
      <c r="Y193" s="1019">
        <v>0</v>
      </c>
      <c r="Z193" s="1019">
        <v>0</v>
      </c>
      <c r="AA193" s="1019">
        <v>0</v>
      </c>
      <c r="AB193" s="1019">
        <v>0</v>
      </c>
      <c r="AC193" s="1019">
        <v>0</v>
      </c>
      <c r="AD193" s="1019">
        <v>0</v>
      </c>
      <c r="AE193" s="1019">
        <v>0</v>
      </c>
      <c r="AF193" s="1019">
        <v>0</v>
      </c>
      <c r="AG193" s="1019">
        <v>0</v>
      </c>
      <c r="AH193" s="1019">
        <v>0</v>
      </c>
      <c r="AI193" s="1019">
        <v>0</v>
      </c>
      <c r="AJ193" s="1019">
        <v>0</v>
      </c>
      <c r="AK193" s="1019">
        <v>0</v>
      </c>
      <c r="AL193" s="1019">
        <v>0</v>
      </c>
      <c r="AM193" s="1019">
        <v>0</v>
      </c>
      <c r="AN193" s="1019">
        <v>0</v>
      </c>
      <c r="AO193" s="1019">
        <v>0</v>
      </c>
      <c r="AP193" s="1019">
        <v>0</v>
      </c>
      <c r="AQ193" s="1019">
        <v>0</v>
      </c>
      <c r="AR193" s="1019">
        <v>0</v>
      </c>
      <c r="AS193" s="1019">
        <v>0</v>
      </c>
      <c r="AT193" s="1019">
        <v>0</v>
      </c>
      <c r="AU193" s="1019">
        <v>0</v>
      </c>
      <c r="AV193" s="1019">
        <v>0</v>
      </c>
      <c r="AW193" s="1019">
        <v>0</v>
      </c>
      <c r="AX193" s="1019">
        <v>0</v>
      </c>
      <c r="AY193" s="1019">
        <v>0</v>
      </c>
      <c r="AZ193" s="1019">
        <v>0</v>
      </c>
      <c r="BA193" s="1019">
        <v>0</v>
      </c>
      <c r="BB193" s="1019">
        <v>0</v>
      </c>
      <c r="BC193" s="1019">
        <v>0</v>
      </c>
      <c r="BD193" s="1019">
        <v>0</v>
      </c>
      <c r="BE193" s="1019">
        <v>0</v>
      </c>
      <c r="BF193" s="1019">
        <v>0</v>
      </c>
      <c r="BG193" s="1019">
        <v>0</v>
      </c>
      <c r="BH193" s="1019">
        <v>0</v>
      </c>
      <c r="BI193" s="1019">
        <v>4678473</v>
      </c>
      <c r="BJ193" s="1019">
        <v>10306449</v>
      </c>
      <c r="BK193" s="1019">
        <v>6748265</v>
      </c>
      <c r="BL193" s="1019">
        <v>9481333</v>
      </c>
      <c r="BM193" s="1019">
        <v>24699632.350000001</v>
      </c>
      <c r="BN193" s="1019">
        <v>10348023</v>
      </c>
      <c r="BO193" s="1019">
        <v>8973576</v>
      </c>
      <c r="BP193" s="1019">
        <v>9428079</v>
      </c>
      <c r="BQ193" s="1019">
        <v>9010234</v>
      </c>
      <c r="BR193" s="1019">
        <v>7358316</v>
      </c>
      <c r="BS193" s="1019">
        <v>15284241</v>
      </c>
      <c r="BT193" s="1019">
        <v>8958035</v>
      </c>
      <c r="BU193" s="1019">
        <v>8506007</v>
      </c>
      <c r="BV193" s="1019">
        <v>7388592</v>
      </c>
      <c r="BW193" s="1019">
        <v>11968998</v>
      </c>
      <c r="BX193" s="1019">
        <v>5922094</v>
      </c>
      <c r="BY193" s="1019">
        <v>5922094</v>
      </c>
      <c r="BZ193" s="111"/>
      <c r="CA193" s="111"/>
      <c r="CB193" s="111"/>
      <c r="CC193" s="111"/>
      <c r="CD193" s="111"/>
      <c r="CE193" s="111"/>
      <c r="CF193" s="111"/>
      <c r="CG193" s="111"/>
      <c r="CH193" s="111"/>
      <c r="CI193" s="111"/>
      <c r="CJ193" s="111"/>
      <c r="CK193" s="111"/>
      <c r="CL193" s="111"/>
      <c r="CM193" s="111"/>
      <c r="CN193" s="111"/>
      <c r="CO193" s="111"/>
      <c r="CP193" s="111"/>
      <c r="CQ193" s="111"/>
      <c r="CR193" s="111"/>
      <c r="CS193" s="111"/>
      <c r="CT193" s="111"/>
      <c r="CU193" s="111"/>
      <c r="CV193" s="111"/>
      <c r="CW193" s="111"/>
      <c r="CX193" s="111"/>
      <c r="CY193" s="111"/>
      <c r="CZ193" s="111"/>
      <c r="DA193" s="111"/>
      <c r="DB193" s="111"/>
      <c r="DC193" s="111"/>
      <c r="DD193" s="111"/>
      <c r="DE193" s="111"/>
      <c r="DF193" s="111"/>
      <c r="DG193" s="111"/>
      <c r="DH193" s="111"/>
      <c r="DI193" s="111"/>
      <c r="DJ193" s="111"/>
      <c r="DK193" s="111"/>
      <c r="DL193" s="111"/>
      <c r="DM193" s="111"/>
      <c r="DN193" s="111"/>
      <c r="DO193" s="111"/>
      <c r="DP193" s="111"/>
      <c r="DQ193" s="111"/>
      <c r="DR193" s="111"/>
      <c r="DS193" s="111"/>
      <c r="DT193" s="111"/>
      <c r="DU193" s="111"/>
      <c r="DV193" s="111"/>
      <c r="DW193" s="111"/>
      <c r="DX193" s="111"/>
      <c r="DY193" s="111"/>
    </row>
    <row r="194" spans="2:129" s="3" customFormat="1" ht="11.7" hidden="1" customHeight="1" outlineLevel="2" x14ac:dyDescent="0.3">
      <c r="B194" s="113" t="s">
        <v>694</v>
      </c>
      <c r="C194" s="230"/>
      <c r="G194" s="127"/>
      <c r="H194" s="127"/>
      <c r="I194" s="1019">
        <v>0</v>
      </c>
      <c r="J194" s="1019">
        <v>0</v>
      </c>
      <c r="K194" s="1019">
        <v>0</v>
      </c>
      <c r="L194" s="1019">
        <v>0</v>
      </c>
      <c r="M194" s="1019">
        <v>0</v>
      </c>
      <c r="N194" s="1019">
        <v>0</v>
      </c>
      <c r="O194" s="1019">
        <v>0</v>
      </c>
      <c r="P194" s="1019">
        <v>0</v>
      </c>
      <c r="Q194" s="1019">
        <v>0</v>
      </c>
      <c r="R194" s="1019">
        <v>0</v>
      </c>
      <c r="S194" s="1019">
        <v>0</v>
      </c>
      <c r="T194" s="1019">
        <v>0</v>
      </c>
      <c r="U194" s="1019">
        <v>0</v>
      </c>
      <c r="V194" s="1019">
        <v>0</v>
      </c>
      <c r="W194" s="1019">
        <v>0</v>
      </c>
      <c r="X194" s="1019">
        <v>0</v>
      </c>
      <c r="Y194" s="1019">
        <v>0</v>
      </c>
      <c r="Z194" s="1019">
        <v>0</v>
      </c>
      <c r="AA194" s="1019">
        <v>0</v>
      </c>
      <c r="AB194" s="1019">
        <v>0</v>
      </c>
      <c r="AC194" s="1019">
        <v>0</v>
      </c>
      <c r="AD194" s="1019">
        <v>0</v>
      </c>
      <c r="AE194" s="1019">
        <v>0</v>
      </c>
      <c r="AF194" s="1019">
        <v>0</v>
      </c>
      <c r="AG194" s="1019">
        <v>0</v>
      </c>
      <c r="AH194" s="1019">
        <v>0</v>
      </c>
      <c r="AI194" s="1019">
        <v>0</v>
      </c>
      <c r="AJ194" s="1019">
        <v>0</v>
      </c>
      <c r="AK194" s="1019">
        <v>0</v>
      </c>
      <c r="AL194" s="1019">
        <v>0</v>
      </c>
      <c r="AM194" s="1019">
        <v>0</v>
      </c>
      <c r="AN194" s="1019">
        <v>0</v>
      </c>
      <c r="AO194" s="1019">
        <v>0</v>
      </c>
      <c r="AP194" s="1019">
        <v>0</v>
      </c>
      <c r="AQ194" s="1019">
        <v>0</v>
      </c>
      <c r="AR194" s="1019">
        <v>0</v>
      </c>
      <c r="AS194" s="1019">
        <v>0</v>
      </c>
      <c r="AT194" s="1019">
        <v>0</v>
      </c>
      <c r="AU194" s="1019">
        <v>0</v>
      </c>
      <c r="AV194" s="1019">
        <v>0</v>
      </c>
      <c r="AW194" s="1019">
        <v>0</v>
      </c>
      <c r="AX194" s="1019">
        <v>0</v>
      </c>
      <c r="AY194" s="1019">
        <v>0</v>
      </c>
      <c r="AZ194" s="1019">
        <v>0</v>
      </c>
      <c r="BA194" s="1019">
        <v>0</v>
      </c>
      <c r="BB194" s="1019">
        <v>0</v>
      </c>
      <c r="BC194" s="1019">
        <v>0</v>
      </c>
      <c r="BD194" s="1019">
        <v>0</v>
      </c>
      <c r="BE194" s="1019">
        <v>0</v>
      </c>
      <c r="BF194" s="1019">
        <v>0</v>
      </c>
      <c r="BG194" s="1019">
        <v>0</v>
      </c>
      <c r="BH194" s="1019">
        <v>0</v>
      </c>
      <c r="BI194" s="1019">
        <v>0</v>
      </c>
      <c r="BJ194" s="1019">
        <v>147115</v>
      </c>
      <c r="BK194" s="1019">
        <v>-23390</v>
      </c>
      <c r="BL194" s="1019">
        <v>-123725</v>
      </c>
      <c r="BM194" s="1019">
        <v>0</v>
      </c>
      <c r="BN194" s="1019">
        <v>0</v>
      </c>
      <c r="BO194" s="1019">
        <v>0</v>
      </c>
      <c r="BP194" s="1019">
        <v>0</v>
      </c>
      <c r="BQ194" s="1019">
        <v>0</v>
      </c>
      <c r="BR194" s="1019">
        <v>0</v>
      </c>
      <c r="BS194" s="1019">
        <v>0</v>
      </c>
      <c r="BT194" s="1019">
        <v>0</v>
      </c>
      <c r="BU194" s="1019">
        <v>0</v>
      </c>
      <c r="BV194" s="1019">
        <v>0</v>
      </c>
      <c r="BW194" s="1019">
        <v>0</v>
      </c>
      <c r="BX194" s="1019">
        <v>0</v>
      </c>
      <c r="BY194" s="1192">
        <v>0</v>
      </c>
      <c r="BZ194" s="111"/>
      <c r="CA194" s="111"/>
      <c r="CB194" s="111"/>
      <c r="CC194" s="111"/>
      <c r="CD194" s="111"/>
      <c r="CE194" s="111"/>
      <c r="CF194" s="111"/>
      <c r="CG194" s="111"/>
      <c r="CH194" s="111"/>
      <c r="CI194" s="111"/>
      <c r="CJ194" s="111"/>
      <c r="CK194" s="111"/>
      <c r="CL194" s="111"/>
      <c r="CM194" s="111"/>
      <c r="CN194" s="111"/>
      <c r="CO194" s="111"/>
      <c r="CP194" s="111"/>
      <c r="CQ194" s="111"/>
      <c r="CR194" s="111"/>
      <c r="CS194" s="111"/>
      <c r="CT194" s="111"/>
      <c r="CU194" s="111"/>
      <c r="CV194" s="111"/>
      <c r="CW194" s="111"/>
      <c r="CX194" s="111"/>
      <c r="CY194" s="111"/>
      <c r="CZ194" s="111"/>
      <c r="DA194" s="111"/>
      <c r="DB194" s="111"/>
      <c r="DC194" s="111"/>
      <c r="DD194" s="111"/>
      <c r="DE194" s="111"/>
      <c r="DF194" s="111"/>
      <c r="DG194" s="111"/>
      <c r="DH194" s="111"/>
      <c r="DI194" s="111"/>
      <c r="DJ194" s="111"/>
      <c r="DK194" s="111"/>
      <c r="DL194" s="111"/>
      <c r="DM194" s="111"/>
      <c r="DN194" s="111"/>
      <c r="DO194" s="111"/>
      <c r="DP194" s="111"/>
      <c r="DQ194" s="111"/>
      <c r="DR194" s="111"/>
      <c r="DS194" s="111"/>
      <c r="DT194" s="111"/>
      <c r="DU194" s="111"/>
      <c r="DV194" s="111"/>
      <c r="DW194" s="111"/>
      <c r="DX194" s="111"/>
      <c r="DY194" s="111"/>
    </row>
    <row r="195" spans="2:129" s="3" customFormat="1" ht="11.7" hidden="1" customHeight="1" outlineLevel="2" x14ac:dyDescent="0.3">
      <c r="B195" s="113" t="s">
        <v>695</v>
      </c>
      <c r="C195" s="230"/>
      <c r="G195" s="127"/>
      <c r="H195" s="127"/>
      <c r="I195" s="1019">
        <v>0</v>
      </c>
      <c r="J195" s="1019">
        <v>0</v>
      </c>
      <c r="K195" s="1019">
        <v>0</v>
      </c>
      <c r="L195" s="1019">
        <v>0</v>
      </c>
      <c r="M195" s="1019">
        <v>0</v>
      </c>
      <c r="N195" s="1019">
        <v>0</v>
      </c>
      <c r="O195" s="1019">
        <v>0</v>
      </c>
      <c r="P195" s="1019">
        <v>0</v>
      </c>
      <c r="Q195" s="1019">
        <v>0</v>
      </c>
      <c r="R195" s="1019">
        <v>0</v>
      </c>
      <c r="S195" s="1019">
        <v>0</v>
      </c>
      <c r="T195" s="1019">
        <v>0</v>
      </c>
      <c r="U195" s="1019">
        <v>0</v>
      </c>
      <c r="V195" s="1019">
        <v>0</v>
      </c>
      <c r="W195" s="1019">
        <v>0</v>
      </c>
      <c r="X195" s="1019">
        <v>0</v>
      </c>
      <c r="Y195" s="1019">
        <v>0</v>
      </c>
      <c r="Z195" s="1019">
        <v>0</v>
      </c>
      <c r="AA195" s="1019">
        <v>0</v>
      </c>
      <c r="AB195" s="1019">
        <v>0</v>
      </c>
      <c r="AC195" s="1019">
        <v>0</v>
      </c>
      <c r="AD195" s="1019">
        <v>0</v>
      </c>
      <c r="AE195" s="1019">
        <v>0</v>
      </c>
      <c r="AF195" s="1019">
        <v>0</v>
      </c>
      <c r="AG195" s="1019">
        <v>0</v>
      </c>
      <c r="AH195" s="1019">
        <v>0</v>
      </c>
      <c r="AI195" s="1019">
        <v>0</v>
      </c>
      <c r="AJ195" s="1019">
        <v>0</v>
      </c>
      <c r="AK195" s="1019">
        <v>0</v>
      </c>
      <c r="AL195" s="1019">
        <v>0</v>
      </c>
      <c r="AM195" s="1019">
        <v>0</v>
      </c>
      <c r="AN195" s="1019">
        <v>0</v>
      </c>
      <c r="AO195" s="1019">
        <v>0</v>
      </c>
      <c r="AP195" s="1019">
        <v>0</v>
      </c>
      <c r="AQ195" s="1019">
        <v>0</v>
      </c>
      <c r="AR195" s="1019">
        <v>0</v>
      </c>
      <c r="AS195" s="1019">
        <v>0</v>
      </c>
      <c r="AT195" s="1019">
        <v>0</v>
      </c>
      <c r="AU195" s="1019">
        <v>0</v>
      </c>
      <c r="AV195" s="1019">
        <v>0</v>
      </c>
      <c r="AW195" s="1019">
        <v>0</v>
      </c>
      <c r="AX195" s="1019">
        <v>0</v>
      </c>
      <c r="AY195" s="1019">
        <v>0</v>
      </c>
      <c r="AZ195" s="1019">
        <v>0</v>
      </c>
      <c r="BA195" s="1019">
        <v>0</v>
      </c>
      <c r="BB195" s="1019">
        <v>0</v>
      </c>
      <c r="BC195" s="1019">
        <v>0</v>
      </c>
      <c r="BD195" s="1019">
        <v>0</v>
      </c>
      <c r="BE195" s="1019">
        <v>0</v>
      </c>
      <c r="BF195" s="1019">
        <v>0</v>
      </c>
      <c r="BG195" s="1019">
        <v>0</v>
      </c>
      <c r="BH195" s="1019">
        <v>0</v>
      </c>
      <c r="BI195" s="1019">
        <v>314924</v>
      </c>
      <c r="BJ195" s="1019">
        <v>2052738</v>
      </c>
      <c r="BK195" s="1019">
        <v>115289</v>
      </c>
      <c r="BL195" s="1019">
        <v>289458</v>
      </c>
      <c r="BM195" s="1019">
        <v>10899578</v>
      </c>
      <c r="BN195" s="1019">
        <v>1664088</v>
      </c>
      <c r="BO195" s="1019">
        <v>1419866</v>
      </c>
      <c r="BP195" s="1019">
        <v>1679318</v>
      </c>
      <c r="BQ195" s="1019">
        <v>-2618017</v>
      </c>
      <c r="BR195" s="1019">
        <v>1664968</v>
      </c>
      <c r="BS195" s="1019">
        <v>1203827</v>
      </c>
      <c r="BT195" s="1019">
        <v>2060577</v>
      </c>
      <c r="BU195" s="1019">
        <v>1381027</v>
      </c>
      <c r="BV195" s="1019">
        <v>921232</v>
      </c>
      <c r="BW195" s="1019">
        <v>1442470</v>
      </c>
      <c r="BX195" s="1019">
        <v>910140</v>
      </c>
      <c r="BY195" s="1019">
        <v>910140</v>
      </c>
      <c r="BZ195" s="111"/>
      <c r="CA195" s="111"/>
      <c r="CB195" s="111"/>
      <c r="CC195" s="111"/>
      <c r="CD195" s="111"/>
      <c r="CE195" s="111"/>
      <c r="CF195" s="111"/>
      <c r="CG195" s="111"/>
      <c r="CH195" s="111"/>
      <c r="CI195" s="111"/>
      <c r="CJ195" s="111"/>
      <c r="CK195" s="111"/>
      <c r="CL195" s="111"/>
      <c r="CM195" s="111"/>
      <c r="CN195" s="111"/>
      <c r="CO195" s="111"/>
      <c r="CP195" s="111"/>
      <c r="CQ195" s="111"/>
      <c r="CR195" s="111"/>
      <c r="CS195" s="111"/>
      <c r="CT195" s="111"/>
      <c r="CU195" s="111"/>
      <c r="CV195" s="111"/>
      <c r="CW195" s="111"/>
      <c r="CX195" s="111"/>
      <c r="CY195" s="111"/>
      <c r="CZ195" s="111"/>
      <c r="DA195" s="111"/>
      <c r="DB195" s="111"/>
      <c r="DC195" s="111"/>
      <c r="DD195" s="111"/>
      <c r="DE195" s="111"/>
      <c r="DF195" s="111"/>
      <c r="DG195" s="111"/>
      <c r="DH195" s="111"/>
      <c r="DI195" s="111"/>
      <c r="DJ195" s="111"/>
      <c r="DK195" s="111"/>
      <c r="DL195" s="111"/>
      <c r="DM195" s="111"/>
      <c r="DN195" s="111"/>
      <c r="DO195" s="111"/>
      <c r="DP195" s="111"/>
      <c r="DQ195" s="111"/>
      <c r="DR195" s="111"/>
      <c r="DS195" s="111"/>
      <c r="DT195" s="111"/>
      <c r="DU195" s="111"/>
      <c r="DV195" s="111"/>
      <c r="DW195" s="111"/>
      <c r="DX195" s="111"/>
      <c r="DY195" s="111"/>
    </row>
    <row r="196" spans="2:129" s="3" customFormat="1" ht="11.7" hidden="1" customHeight="1" outlineLevel="2" x14ac:dyDescent="0.3">
      <c r="B196" s="329"/>
      <c r="C196" s="230"/>
      <c r="G196" s="127"/>
      <c r="H196" s="127"/>
      <c r="I196" s="1019"/>
      <c r="J196" s="1019"/>
      <c r="K196" s="1019"/>
      <c r="L196" s="1019"/>
      <c r="M196" s="1019"/>
      <c r="N196" s="1019"/>
      <c r="O196" s="1019"/>
      <c r="P196" s="1019"/>
      <c r="Q196" s="1019"/>
      <c r="R196" s="1019"/>
      <c r="S196" s="1019"/>
      <c r="T196" s="1019"/>
      <c r="U196" s="1019"/>
      <c r="V196" s="1019"/>
      <c r="W196" s="1019"/>
      <c r="X196" s="1019"/>
      <c r="Y196" s="1019"/>
      <c r="Z196" s="1019"/>
      <c r="AA196" s="1019"/>
      <c r="AB196" s="1019"/>
      <c r="AC196" s="1019"/>
      <c r="AD196" s="1019"/>
      <c r="AE196" s="1019"/>
      <c r="AF196" s="1019"/>
      <c r="AG196" s="1019"/>
      <c r="AH196" s="1019"/>
      <c r="AI196" s="1019"/>
      <c r="AJ196" s="1019"/>
      <c r="AK196" s="1019"/>
      <c r="AL196" s="1019"/>
      <c r="AM196" s="1019"/>
      <c r="AN196" s="1019"/>
      <c r="AO196" s="1019"/>
      <c r="AP196" s="1019"/>
      <c r="AQ196" s="1019"/>
      <c r="AR196" s="1019"/>
      <c r="AS196" s="1019"/>
      <c r="AT196" s="1019"/>
      <c r="AU196" s="1019"/>
      <c r="AV196" s="1019"/>
      <c r="AW196" s="1019"/>
      <c r="AX196" s="1019"/>
      <c r="AY196" s="1019"/>
      <c r="AZ196" s="1019"/>
      <c r="BA196" s="1019"/>
      <c r="BB196" s="1019"/>
      <c r="BC196" s="1019"/>
      <c r="BD196" s="1019"/>
      <c r="BE196" s="1019"/>
      <c r="BF196" s="1019"/>
      <c r="BG196" s="1019"/>
      <c r="BH196" s="1019"/>
      <c r="BI196" s="1019"/>
      <c r="BJ196" s="1019"/>
      <c r="BK196" s="1019"/>
      <c r="BL196" s="1019"/>
      <c r="BM196" s="1019"/>
      <c r="BN196" s="1019"/>
      <c r="BO196" s="1019"/>
      <c r="BP196" s="1019"/>
      <c r="BQ196" s="1019"/>
      <c r="BR196" s="1019"/>
      <c r="BS196" s="1019"/>
      <c r="BT196" s="1019"/>
      <c r="BU196" s="1019"/>
      <c r="BV196" s="1019"/>
      <c r="BW196" s="1019"/>
      <c r="BX196" s="1019"/>
      <c r="BY196" s="1019"/>
      <c r="BZ196" s="111"/>
      <c r="CA196" s="111"/>
      <c r="CB196" s="111"/>
      <c r="CC196" s="111"/>
      <c r="CD196" s="111"/>
      <c r="CE196" s="111"/>
      <c r="CF196" s="111"/>
      <c r="CG196" s="111"/>
      <c r="CH196" s="111"/>
      <c r="CI196" s="111"/>
      <c r="CJ196" s="111"/>
      <c r="CK196" s="111"/>
      <c r="CL196" s="111"/>
      <c r="CM196" s="111"/>
      <c r="CN196" s="111"/>
      <c r="CO196" s="111"/>
      <c r="CP196" s="111"/>
      <c r="CQ196" s="111"/>
      <c r="CR196" s="111"/>
      <c r="CS196" s="111"/>
      <c r="CT196" s="111"/>
      <c r="CU196" s="111"/>
      <c r="CV196" s="111"/>
      <c r="CW196" s="111"/>
      <c r="CX196" s="111"/>
      <c r="CY196" s="111"/>
      <c r="CZ196" s="111"/>
      <c r="DA196" s="111"/>
      <c r="DB196" s="111"/>
      <c r="DC196" s="111"/>
      <c r="DD196" s="111"/>
      <c r="DE196" s="111"/>
      <c r="DF196" s="111"/>
      <c r="DG196" s="111"/>
      <c r="DH196" s="111"/>
      <c r="DI196" s="111"/>
      <c r="DJ196" s="111"/>
      <c r="DK196" s="111"/>
      <c r="DL196" s="111"/>
      <c r="DM196" s="111"/>
      <c r="DN196" s="111"/>
      <c r="DO196" s="111"/>
      <c r="DP196" s="111"/>
      <c r="DQ196" s="111"/>
      <c r="DR196" s="111"/>
      <c r="DS196" s="111"/>
      <c r="DT196" s="111"/>
      <c r="DU196" s="111"/>
      <c r="DV196" s="111"/>
      <c r="DW196" s="111"/>
      <c r="DX196" s="111"/>
      <c r="DY196" s="111"/>
    </row>
    <row r="197" spans="2:129" s="3" customFormat="1" ht="11.7" hidden="1" customHeight="1" outlineLevel="2" x14ac:dyDescent="0.3">
      <c r="B197" s="195" t="s">
        <v>727</v>
      </c>
      <c r="C197" s="230"/>
      <c r="G197" s="127"/>
      <c r="H197" s="127"/>
      <c r="I197" s="1019"/>
      <c r="J197" s="1019"/>
      <c r="K197" s="1019"/>
      <c r="L197" s="1019"/>
      <c r="M197" s="1019"/>
      <c r="N197" s="1019"/>
      <c r="O197" s="1019"/>
      <c r="P197" s="1019"/>
      <c r="Q197" s="1019"/>
      <c r="R197" s="1019"/>
      <c r="S197" s="1019"/>
      <c r="T197" s="1019"/>
      <c r="U197" s="1019"/>
      <c r="V197" s="1019"/>
      <c r="W197" s="1019"/>
      <c r="X197" s="1019"/>
      <c r="Y197" s="1019"/>
      <c r="Z197" s="1019"/>
      <c r="AA197" s="1019"/>
      <c r="AB197" s="1019"/>
      <c r="AC197" s="1019"/>
      <c r="AD197" s="1019"/>
      <c r="AE197" s="1019"/>
      <c r="AF197" s="1019"/>
      <c r="AG197" s="1019"/>
      <c r="AH197" s="1019"/>
      <c r="AI197" s="1019"/>
      <c r="AJ197" s="1019"/>
      <c r="AK197" s="1019"/>
      <c r="AL197" s="1019"/>
      <c r="AM197" s="1019"/>
      <c r="AN197" s="1019"/>
      <c r="AO197" s="1019"/>
      <c r="AP197" s="1019"/>
      <c r="AQ197" s="1019"/>
      <c r="AR197" s="1019"/>
      <c r="AS197" s="1019"/>
      <c r="AT197" s="1019"/>
      <c r="AU197" s="1019"/>
      <c r="AV197" s="1019"/>
      <c r="AW197" s="1019"/>
      <c r="AX197" s="1019"/>
      <c r="AY197" s="1019"/>
      <c r="AZ197" s="1019"/>
      <c r="BA197" s="1019"/>
      <c r="BB197" s="1019"/>
      <c r="BC197" s="1019"/>
      <c r="BD197" s="1019"/>
      <c r="BE197" s="1019"/>
      <c r="BF197" s="1019"/>
      <c r="BG197" s="1019"/>
      <c r="BH197" s="1019"/>
      <c r="BI197" s="1019"/>
      <c r="BJ197" s="1019"/>
      <c r="BK197" s="1019"/>
      <c r="BL197" s="1019"/>
      <c r="BM197" s="1019"/>
      <c r="BN197" s="1019"/>
      <c r="BO197" s="1019"/>
      <c r="BP197" s="1019"/>
      <c r="BQ197" s="1019"/>
      <c r="BR197" s="1019"/>
      <c r="BS197" s="1019"/>
      <c r="BT197" s="1019"/>
      <c r="BU197" s="1019"/>
      <c r="BV197" s="1019"/>
      <c r="BW197" s="1019"/>
      <c r="BX197" s="1019"/>
      <c r="BY197" s="1019"/>
      <c r="BZ197" s="111"/>
      <c r="CA197" s="111"/>
      <c r="CB197" s="111"/>
      <c r="CC197" s="111"/>
      <c r="CD197" s="111"/>
      <c r="CE197" s="111"/>
      <c r="CF197" s="111"/>
      <c r="CG197" s="111"/>
      <c r="CH197" s="111"/>
      <c r="CI197" s="111"/>
      <c r="CJ197" s="111"/>
      <c r="CK197" s="111"/>
      <c r="CL197" s="111"/>
      <c r="CM197" s="111"/>
      <c r="CN197" s="111"/>
      <c r="CO197" s="111"/>
      <c r="CP197" s="111"/>
      <c r="CQ197" s="111"/>
      <c r="CR197" s="111"/>
      <c r="CS197" s="111"/>
      <c r="CT197" s="111"/>
      <c r="CU197" s="111"/>
      <c r="CV197" s="111"/>
      <c r="CW197" s="111"/>
      <c r="CX197" s="111"/>
      <c r="CY197" s="111"/>
      <c r="CZ197" s="111"/>
      <c r="DA197" s="111"/>
      <c r="DB197" s="111"/>
      <c r="DC197" s="111"/>
      <c r="DD197" s="111"/>
      <c r="DE197" s="111"/>
      <c r="DF197" s="111"/>
      <c r="DG197" s="111"/>
      <c r="DH197" s="111"/>
      <c r="DI197" s="111"/>
      <c r="DJ197" s="111"/>
      <c r="DK197" s="111"/>
      <c r="DL197" s="111"/>
      <c r="DM197" s="111"/>
      <c r="DN197" s="111"/>
      <c r="DO197" s="111"/>
      <c r="DP197" s="111"/>
      <c r="DQ197" s="111"/>
      <c r="DR197" s="111"/>
      <c r="DS197" s="111"/>
      <c r="DT197" s="111"/>
      <c r="DU197" s="111"/>
      <c r="DV197" s="111"/>
      <c r="DW197" s="111"/>
      <c r="DX197" s="111"/>
      <c r="DY197" s="111"/>
    </row>
    <row r="198" spans="2:129" s="3" customFormat="1" ht="11.7" hidden="1" customHeight="1" outlineLevel="2" x14ac:dyDescent="0.3">
      <c r="B198" s="113" t="s">
        <v>696</v>
      </c>
      <c r="C198" s="230"/>
      <c r="G198" s="127"/>
      <c r="H198" s="127"/>
      <c r="I198" s="1019">
        <v>0</v>
      </c>
      <c r="J198" s="1019">
        <v>0</v>
      </c>
      <c r="K198" s="1019">
        <v>0</v>
      </c>
      <c r="L198" s="1019">
        <v>0</v>
      </c>
      <c r="M198" s="1019">
        <v>0</v>
      </c>
      <c r="N198" s="1019">
        <v>0</v>
      </c>
      <c r="O198" s="1019">
        <v>0</v>
      </c>
      <c r="P198" s="1019">
        <v>0</v>
      </c>
      <c r="Q198" s="1019">
        <v>0</v>
      </c>
      <c r="R198" s="1019">
        <v>0</v>
      </c>
      <c r="S198" s="1019">
        <v>0</v>
      </c>
      <c r="T198" s="1019">
        <v>0</v>
      </c>
      <c r="U198" s="1019">
        <v>0</v>
      </c>
      <c r="V198" s="1019">
        <v>0</v>
      </c>
      <c r="W198" s="1019">
        <v>0</v>
      </c>
      <c r="X198" s="1019">
        <v>0</v>
      </c>
      <c r="Y198" s="1019">
        <v>0</v>
      </c>
      <c r="Z198" s="1019">
        <v>0</v>
      </c>
      <c r="AA198" s="1019">
        <v>0</v>
      </c>
      <c r="AB198" s="1019">
        <v>0</v>
      </c>
      <c r="AC198" s="1019">
        <v>0</v>
      </c>
      <c r="AD198" s="1019">
        <v>0</v>
      </c>
      <c r="AE198" s="1019">
        <v>0</v>
      </c>
      <c r="AF198" s="1019">
        <v>0</v>
      </c>
      <c r="AG198" s="1019">
        <v>0</v>
      </c>
      <c r="AH198" s="1019">
        <v>0</v>
      </c>
      <c r="AI198" s="1019">
        <v>0</v>
      </c>
      <c r="AJ198" s="1019">
        <v>0</v>
      </c>
      <c r="AK198" s="1019">
        <v>0</v>
      </c>
      <c r="AL198" s="1019">
        <v>0</v>
      </c>
      <c r="AM198" s="1019">
        <v>0</v>
      </c>
      <c r="AN198" s="1019">
        <v>0</v>
      </c>
      <c r="AO198" s="1019">
        <v>0</v>
      </c>
      <c r="AP198" s="1019">
        <v>0</v>
      </c>
      <c r="AQ198" s="1019">
        <v>0</v>
      </c>
      <c r="AR198" s="1019">
        <v>0</v>
      </c>
      <c r="AS198" s="1019">
        <v>0</v>
      </c>
      <c r="AT198" s="1019">
        <v>0</v>
      </c>
      <c r="AU198" s="1019">
        <v>0</v>
      </c>
      <c r="AV198" s="1019">
        <v>0</v>
      </c>
      <c r="AW198" s="1019">
        <v>0</v>
      </c>
      <c r="AX198" s="1019">
        <v>0</v>
      </c>
      <c r="AY198" s="1019">
        <v>0</v>
      </c>
      <c r="AZ198" s="1019">
        <v>0</v>
      </c>
      <c r="BA198" s="1019">
        <v>0</v>
      </c>
      <c r="BB198" s="1019">
        <v>0</v>
      </c>
      <c r="BC198" s="1019">
        <v>0</v>
      </c>
      <c r="BD198" s="1019">
        <v>0</v>
      </c>
      <c r="BE198" s="1019">
        <v>0</v>
      </c>
      <c r="BF198" s="1019">
        <v>0</v>
      </c>
      <c r="BG198" s="1019">
        <v>0</v>
      </c>
      <c r="BH198" s="1019">
        <v>0</v>
      </c>
      <c r="BI198" s="1019">
        <v>134518</v>
      </c>
      <c r="BJ198" s="1019">
        <v>422517</v>
      </c>
      <c r="BK198" s="1019">
        <v>1526440</v>
      </c>
      <c r="BL198" s="1019">
        <v>2738481</v>
      </c>
      <c r="BM198" s="1019">
        <v>2962496</v>
      </c>
      <c r="BN198" s="1019">
        <v>1244633</v>
      </c>
      <c r="BO198" s="1019">
        <v>2579165</v>
      </c>
      <c r="BP198" s="1019">
        <v>3041536</v>
      </c>
      <c r="BQ198" s="1019">
        <v>2828483</v>
      </c>
      <c r="BR198" s="1019">
        <v>2342090</v>
      </c>
      <c r="BS198" s="1019">
        <v>3169253</v>
      </c>
      <c r="BT198" s="1019">
        <v>3160824</v>
      </c>
      <c r="BU198" s="1019">
        <v>2571293</v>
      </c>
      <c r="BV198" s="1019">
        <v>2901997</v>
      </c>
      <c r="BW198" s="1019">
        <f>111421+3199971</f>
        <v>3311392</v>
      </c>
      <c r="BX198" s="1019">
        <f>55976+3151118</f>
        <v>3207094</v>
      </c>
      <c r="BY198" s="1019">
        <f>81655+3679210</f>
        <v>3760865</v>
      </c>
      <c r="BZ198" s="111"/>
      <c r="CA198" s="111"/>
      <c r="CB198" s="111"/>
      <c r="CC198" s="111"/>
      <c r="CD198" s="111"/>
      <c r="CE198" s="111"/>
      <c r="CF198" s="111"/>
      <c r="CG198" s="111"/>
      <c r="CH198" s="111"/>
      <c r="CI198" s="111"/>
      <c r="CJ198" s="111"/>
      <c r="CK198" s="111"/>
      <c r="CL198" s="111"/>
      <c r="CM198" s="111"/>
      <c r="CN198" s="111"/>
      <c r="CO198" s="111"/>
      <c r="CP198" s="111"/>
      <c r="CQ198" s="111"/>
      <c r="CR198" s="111"/>
      <c r="CS198" s="111"/>
      <c r="CT198" s="111"/>
      <c r="CU198" s="111"/>
      <c r="CV198" s="111"/>
      <c r="CW198" s="111"/>
      <c r="CX198" s="111"/>
      <c r="CY198" s="111"/>
      <c r="CZ198" s="111"/>
      <c r="DA198" s="111"/>
      <c r="DB198" s="111"/>
      <c r="DC198" s="111"/>
      <c r="DD198" s="111"/>
      <c r="DE198" s="111"/>
      <c r="DF198" s="111"/>
      <c r="DG198" s="111"/>
      <c r="DH198" s="111"/>
      <c r="DI198" s="111"/>
      <c r="DJ198" s="111"/>
      <c r="DK198" s="111"/>
      <c r="DL198" s="111"/>
      <c r="DM198" s="111"/>
      <c r="DN198" s="111"/>
      <c r="DO198" s="111"/>
      <c r="DP198" s="111"/>
      <c r="DQ198" s="111"/>
      <c r="DR198" s="111"/>
      <c r="DS198" s="111"/>
      <c r="DT198" s="111"/>
      <c r="DU198" s="111"/>
      <c r="DV198" s="111"/>
      <c r="DW198" s="111"/>
      <c r="DX198" s="111"/>
      <c r="DY198" s="111"/>
    </row>
    <row r="199" spans="2:129" s="3" customFormat="1" ht="11.7" hidden="1" customHeight="1" outlineLevel="2" x14ac:dyDescent="0.3">
      <c r="B199" s="329"/>
      <c r="C199" s="230"/>
      <c r="G199" s="127"/>
      <c r="H199" s="127"/>
      <c r="I199" s="1019"/>
      <c r="J199" s="1019"/>
      <c r="K199" s="1019"/>
      <c r="L199" s="1019"/>
      <c r="M199" s="1019"/>
      <c r="N199" s="1019"/>
      <c r="O199" s="1019"/>
      <c r="P199" s="1019"/>
      <c r="Q199" s="1019"/>
      <c r="R199" s="1019"/>
      <c r="S199" s="1019"/>
      <c r="T199" s="1019"/>
      <c r="U199" s="1019"/>
      <c r="V199" s="1019"/>
      <c r="W199" s="1019"/>
      <c r="X199" s="1019"/>
      <c r="Y199" s="1019"/>
      <c r="Z199" s="1019"/>
      <c r="AA199" s="1019"/>
      <c r="AB199" s="1019"/>
      <c r="AC199" s="1019"/>
      <c r="AD199" s="1019"/>
      <c r="AE199" s="1019"/>
      <c r="AF199" s="1019"/>
      <c r="AG199" s="1019"/>
      <c r="AH199" s="1019"/>
      <c r="AI199" s="1019"/>
      <c r="AJ199" s="1019"/>
      <c r="AK199" s="1019"/>
      <c r="AL199" s="1019"/>
      <c r="AM199" s="1019"/>
      <c r="AN199" s="1019"/>
      <c r="AO199" s="1019"/>
      <c r="AP199" s="1019"/>
      <c r="AQ199" s="1019"/>
      <c r="AR199" s="1019"/>
      <c r="AS199" s="1019"/>
      <c r="AT199" s="1019"/>
      <c r="AU199" s="1019"/>
      <c r="AV199" s="1019"/>
      <c r="AW199" s="1019"/>
      <c r="AX199" s="1019"/>
      <c r="AY199" s="1019"/>
      <c r="AZ199" s="1019"/>
      <c r="BA199" s="1019"/>
      <c r="BB199" s="1019"/>
      <c r="BC199" s="1019"/>
      <c r="BD199" s="1019"/>
      <c r="BE199" s="1019"/>
      <c r="BF199" s="1019"/>
      <c r="BG199" s="1019"/>
      <c r="BH199" s="1019"/>
      <c r="BI199" s="1019"/>
      <c r="BJ199" s="1019"/>
      <c r="BK199" s="1019"/>
      <c r="BL199" s="1019"/>
      <c r="BM199" s="1019"/>
      <c r="BN199" s="1019"/>
      <c r="BO199" s="1019"/>
      <c r="BP199" s="1019"/>
      <c r="BQ199" s="1019"/>
      <c r="BR199" s="1019"/>
      <c r="BS199" s="1019"/>
      <c r="BT199" s="1019"/>
      <c r="BU199" s="1019"/>
      <c r="BV199" s="1019"/>
      <c r="BW199" s="1019"/>
      <c r="BX199" s="1019"/>
      <c r="BY199" s="1019"/>
      <c r="BZ199" s="111"/>
      <c r="CA199" s="111"/>
      <c r="CB199" s="111"/>
      <c r="CC199" s="111"/>
      <c r="CD199" s="111"/>
      <c r="CE199" s="111"/>
      <c r="CF199" s="111"/>
      <c r="CG199" s="111"/>
      <c r="CH199" s="111"/>
      <c r="CI199" s="111"/>
      <c r="CJ199" s="111"/>
      <c r="CK199" s="111"/>
      <c r="CL199" s="111"/>
      <c r="CM199" s="111"/>
      <c r="CN199" s="111"/>
      <c r="CO199" s="111"/>
      <c r="CP199" s="111"/>
      <c r="CQ199" s="111"/>
      <c r="CR199" s="111"/>
      <c r="CS199" s="111"/>
      <c r="CT199" s="111"/>
      <c r="CU199" s="111"/>
      <c r="CV199" s="111"/>
      <c r="CW199" s="111"/>
      <c r="CX199" s="111"/>
      <c r="CY199" s="111"/>
      <c r="CZ199" s="111"/>
      <c r="DA199" s="111"/>
      <c r="DB199" s="111"/>
      <c r="DC199" s="111"/>
      <c r="DD199" s="111"/>
      <c r="DE199" s="111"/>
      <c r="DF199" s="111"/>
      <c r="DG199" s="111"/>
      <c r="DH199" s="111"/>
      <c r="DI199" s="111"/>
      <c r="DJ199" s="111"/>
      <c r="DK199" s="111"/>
      <c r="DL199" s="111"/>
      <c r="DM199" s="111"/>
      <c r="DN199" s="111"/>
      <c r="DO199" s="111"/>
      <c r="DP199" s="111"/>
      <c r="DQ199" s="111"/>
      <c r="DR199" s="111"/>
      <c r="DS199" s="111"/>
      <c r="DT199" s="111"/>
      <c r="DU199" s="111"/>
      <c r="DV199" s="111"/>
      <c r="DW199" s="111"/>
      <c r="DX199" s="111"/>
      <c r="DY199" s="111"/>
    </row>
    <row r="200" spans="2:129" s="3" customFormat="1" ht="11.7" hidden="1" customHeight="1" outlineLevel="2" x14ac:dyDescent="0.3">
      <c r="B200" s="195" t="s">
        <v>728</v>
      </c>
      <c r="C200" s="230"/>
      <c r="G200" s="127"/>
      <c r="H200" s="127"/>
      <c r="I200" s="1019"/>
      <c r="J200" s="1019"/>
      <c r="K200" s="1019"/>
      <c r="L200" s="1019"/>
      <c r="M200" s="1019"/>
      <c r="N200" s="1019"/>
      <c r="O200" s="1019"/>
      <c r="P200" s="1019"/>
      <c r="Q200" s="1019"/>
      <c r="R200" s="1019"/>
      <c r="S200" s="1019"/>
      <c r="T200" s="1019"/>
      <c r="U200" s="1019"/>
      <c r="V200" s="1019"/>
      <c r="W200" s="1019"/>
      <c r="X200" s="1019"/>
      <c r="Y200" s="1019"/>
      <c r="Z200" s="1019"/>
      <c r="AA200" s="1019"/>
      <c r="AB200" s="1019"/>
      <c r="AC200" s="1019"/>
      <c r="AD200" s="1019"/>
      <c r="AE200" s="1019"/>
      <c r="AF200" s="1019"/>
      <c r="AG200" s="1019"/>
      <c r="AH200" s="1019"/>
      <c r="AI200" s="1019"/>
      <c r="AJ200" s="1019"/>
      <c r="AK200" s="1019"/>
      <c r="AL200" s="1019"/>
      <c r="AM200" s="1019"/>
      <c r="AN200" s="1019"/>
      <c r="AO200" s="1019"/>
      <c r="AP200" s="1019"/>
      <c r="AQ200" s="1019"/>
      <c r="AR200" s="1019"/>
      <c r="AS200" s="1019"/>
      <c r="AT200" s="1019"/>
      <c r="AU200" s="1019"/>
      <c r="AV200" s="1019"/>
      <c r="AW200" s="1019"/>
      <c r="AX200" s="1019"/>
      <c r="AY200" s="1019"/>
      <c r="AZ200" s="1019"/>
      <c r="BA200" s="1019"/>
      <c r="BB200" s="1019"/>
      <c r="BC200" s="1019"/>
      <c r="BD200" s="1019"/>
      <c r="BE200" s="1019"/>
      <c r="BF200" s="1019"/>
      <c r="BG200" s="1019"/>
      <c r="BH200" s="1019"/>
      <c r="BI200" s="1019"/>
      <c r="BJ200" s="1019"/>
      <c r="BK200" s="1019"/>
      <c r="BL200" s="1019"/>
      <c r="BM200" s="1019"/>
      <c r="BN200" s="1019"/>
      <c r="BO200" s="1019"/>
      <c r="BP200" s="1019"/>
      <c r="BQ200" s="1019"/>
      <c r="BR200" s="1019"/>
      <c r="BS200" s="1019"/>
      <c r="BT200" s="1019"/>
      <c r="BU200" s="1019"/>
      <c r="BV200" s="1019"/>
      <c r="BW200" s="1019"/>
      <c r="BX200" s="1019"/>
      <c r="BY200" s="1019"/>
      <c r="BZ200" s="111"/>
      <c r="CA200" s="111"/>
      <c r="CB200" s="111"/>
      <c r="CC200" s="111"/>
      <c r="CD200" s="111"/>
      <c r="CE200" s="111"/>
      <c r="CF200" s="111"/>
      <c r="CG200" s="111"/>
      <c r="CH200" s="111"/>
      <c r="CI200" s="111"/>
      <c r="CJ200" s="111"/>
      <c r="CK200" s="111"/>
      <c r="CL200" s="111"/>
      <c r="CM200" s="111"/>
      <c r="CN200" s="111"/>
      <c r="CO200" s="111"/>
      <c r="CP200" s="111"/>
      <c r="CQ200" s="111"/>
      <c r="CR200" s="111"/>
      <c r="CS200" s="111"/>
      <c r="CT200" s="111"/>
      <c r="CU200" s="111"/>
      <c r="CV200" s="111"/>
      <c r="CW200" s="111"/>
      <c r="CX200" s="111"/>
      <c r="CY200" s="111"/>
      <c r="CZ200" s="111"/>
      <c r="DA200" s="111"/>
      <c r="DB200" s="111"/>
      <c r="DC200" s="111"/>
      <c r="DD200" s="111"/>
      <c r="DE200" s="111"/>
      <c r="DF200" s="111"/>
      <c r="DG200" s="111"/>
      <c r="DH200" s="111"/>
      <c r="DI200" s="111"/>
      <c r="DJ200" s="111"/>
      <c r="DK200" s="111"/>
      <c r="DL200" s="111"/>
      <c r="DM200" s="111"/>
      <c r="DN200" s="111"/>
      <c r="DO200" s="111"/>
      <c r="DP200" s="111"/>
      <c r="DQ200" s="111"/>
      <c r="DR200" s="111"/>
      <c r="DS200" s="111"/>
      <c r="DT200" s="111"/>
      <c r="DU200" s="111"/>
      <c r="DV200" s="111"/>
      <c r="DW200" s="111"/>
      <c r="DX200" s="111"/>
      <c r="DY200" s="111"/>
    </row>
    <row r="201" spans="2:129" s="3" customFormat="1" ht="11.7" hidden="1" customHeight="1" outlineLevel="2" x14ac:dyDescent="0.3">
      <c r="B201" s="113" t="s">
        <v>697</v>
      </c>
      <c r="C201" s="230"/>
      <c r="G201" s="127"/>
      <c r="H201" s="127"/>
      <c r="I201" s="1019">
        <v>0</v>
      </c>
      <c r="J201" s="1019">
        <v>0</v>
      </c>
      <c r="K201" s="1019">
        <v>0</v>
      </c>
      <c r="L201" s="1019">
        <v>0</v>
      </c>
      <c r="M201" s="1019">
        <v>0</v>
      </c>
      <c r="N201" s="1019">
        <v>0</v>
      </c>
      <c r="O201" s="1019">
        <v>0</v>
      </c>
      <c r="P201" s="1019">
        <v>0</v>
      </c>
      <c r="Q201" s="1019">
        <v>0</v>
      </c>
      <c r="R201" s="1019">
        <v>0</v>
      </c>
      <c r="S201" s="1019">
        <v>0</v>
      </c>
      <c r="T201" s="1019">
        <v>0</v>
      </c>
      <c r="U201" s="1019">
        <v>0</v>
      </c>
      <c r="V201" s="1019">
        <v>0</v>
      </c>
      <c r="W201" s="1019">
        <v>0</v>
      </c>
      <c r="X201" s="1019">
        <v>0</v>
      </c>
      <c r="Y201" s="1019">
        <v>0</v>
      </c>
      <c r="Z201" s="1019">
        <v>0</v>
      </c>
      <c r="AA201" s="1019">
        <v>0</v>
      </c>
      <c r="AB201" s="1019">
        <v>0</v>
      </c>
      <c r="AC201" s="1019">
        <v>0</v>
      </c>
      <c r="AD201" s="1019">
        <v>0</v>
      </c>
      <c r="AE201" s="1019">
        <v>0</v>
      </c>
      <c r="AF201" s="1019">
        <v>0</v>
      </c>
      <c r="AG201" s="1019">
        <v>0</v>
      </c>
      <c r="AH201" s="1019">
        <v>0</v>
      </c>
      <c r="AI201" s="1019">
        <v>0</v>
      </c>
      <c r="AJ201" s="1019">
        <v>0</v>
      </c>
      <c r="AK201" s="1019">
        <v>0</v>
      </c>
      <c r="AL201" s="1019">
        <v>0</v>
      </c>
      <c r="AM201" s="1019">
        <v>0</v>
      </c>
      <c r="AN201" s="1019">
        <v>0</v>
      </c>
      <c r="AO201" s="1019">
        <v>0</v>
      </c>
      <c r="AP201" s="1019">
        <v>0</v>
      </c>
      <c r="AQ201" s="1019">
        <v>0</v>
      </c>
      <c r="AR201" s="1019">
        <v>0</v>
      </c>
      <c r="AS201" s="1019">
        <v>0</v>
      </c>
      <c r="AT201" s="1019">
        <v>0</v>
      </c>
      <c r="AU201" s="1019">
        <v>0</v>
      </c>
      <c r="AV201" s="1019">
        <v>0</v>
      </c>
      <c r="AW201" s="1019">
        <v>0</v>
      </c>
      <c r="AX201" s="1019">
        <v>0</v>
      </c>
      <c r="AY201" s="1019">
        <v>0</v>
      </c>
      <c r="AZ201" s="1019">
        <v>0</v>
      </c>
      <c r="BA201" s="1019">
        <v>0</v>
      </c>
      <c r="BB201" s="1019">
        <v>0</v>
      </c>
      <c r="BC201" s="1019">
        <v>0</v>
      </c>
      <c r="BD201" s="1019">
        <v>0</v>
      </c>
      <c r="BE201" s="1019">
        <v>0</v>
      </c>
      <c r="BF201" s="1019">
        <v>0</v>
      </c>
      <c r="BG201" s="1019">
        <v>0</v>
      </c>
      <c r="BH201" s="1019">
        <v>0</v>
      </c>
      <c r="BI201" s="1019">
        <v>620234</v>
      </c>
      <c r="BJ201" s="1019">
        <v>639275</v>
      </c>
      <c r="BK201" s="1019">
        <v>631591</v>
      </c>
      <c r="BL201" s="1019">
        <v>634800</v>
      </c>
      <c r="BM201" s="1019">
        <v>645147</v>
      </c>
      <c r="BN201" s="1019">
        <v>654177</v>
      </c>
      <c r="BO201" s="1019">
        <v>663317</v>
      </c>
      <c r="BP201" s="1019">
        <v>669312</v>
      </c>
      <c r="BQ201" s="1019">
        <v>678554</v>
      </c>
      <c r="BR201" s="1019">
        <v>2127021</v>
      </c>
      <c r="BS201" s="1019">
        <v>692607</v>
      </c>
      <c r="BT201" s="1019">
        <v>2239687</v>
      </c>
      <c r="BU201" s="1019">
        <v>773434</v>
      </c>
      <c r="BV201" s="1019">
        <v>776550</v>
      </c>
      <c r="BW201" s="1019">
        <v>3288379</v>
      </c>
      <c r="BX201" s="1019">
        <v>782585</v>
      </c>
      <c r="BY201" s="1019">
        <v>2558300</v>
      </c>
      <c r="BZ201" s="111"/>
      <c r="CA201" s="111"/>
      <c r="CB201" s="111"/>
      <c r="CC201" s="111"/>
      <c r="CD201" s="111"/>
      <c r="CE201" s="111"/>
      <c r="CF201" s="111"/>
      <c r="CG201" s="111"/>
      <c r="CH201" s="111"/>
      <c r="CI201" s="111"/>
      <c r="CJ201" s="111"/>
      <c r="CK201" s="111"/>
      <c r="CL201" s="111"/>
      <c r="CM201" s="111"/>
      <c r="CN201" s="111"/>
      <c r="CO201" s="111"/>
      <c r="CP201" s="111"/>
      <c r="CQ201" s="111"/>
      <c r="CR201" s="111"/>
      <c r="CS201" s="111"/>
      <c r="CT201" s="111"/>
      <c r="CU201" s="111"/>
      <c r="CV201" s="111"/>
      <c r="CW201" s="111"/>
      <c r="CX201" s="111"/>
      <c r="CY201" s="111"/>
      <c r="CZ201" s="111"/>
      <c r="DA201" s="111"/>
      <c r="DB201" s="111"/>
      <c r="DC201" s="111"/>
      <c r="DD201" s="111"/>
      <c r="DE201" s="111"/>
      <c r="DF201" s="111"/>
      <c r="DG201" s="111"/>
      <c r="DH201" s="111"/>
      <c r="DI201" s="111"/>
      <c r="DJ201" s="111"/>
      <c r="DK201" s="111"/>
      <c r="DL201" s="111"/>
      <c r="DM201" s="111"/>
      <c r="DN201" s="111"/>
      <c r="DO201" s="111"/>
      <c r="DP201" s="111"/>
      <c r="DQ201" s="111"/>
      <c r="DR201" s="111"/>
      <c r="DS201" s="111"/>
      <c r="DT201" s="111"/>
      <c r="DU201" s="111"/>
      <c r="DV201" s="111"/>
      <c r="DW201" s="111"/>
      <c r="DX201" s="111"/>
      <c r="DY201" s="111"/>
    </row>
    <row r="202" spans="2:129" s="3" customFormat="1" ht="11.7" hidden="1" customHeight="1" outlineLevel="2" x14ac:dyDescent="0.3">
      <c r="B202" s="113" t="s">
        <v>782</v>
      </c>
      <c r="C202" s="230"/>
      <c r="G202" s="127"/>
      <c r="H202" s="127"/>
      <c r="I202" s="1019">
        <v>0</v>
      </c>
      <c r="J202" s="1019">
        <v>0</v>
      </c>
      <c r="K202" s="1019">
        <v>0</v>
      </c>
      <c r="L202" s="1019">
        <v>0</v>
      </c>
      <c r="M202" s="1019">
        <v>0</v>
      </c>
      <c r="N202" s="1019">
        <v>0</v>
      </c>
      <c r="O202" s="1019">
        <v>0</v>
      </c>
      <c r="P202" s="1019">
        <v>0</v>
      </c>
      <c r="Q202" s="1019">
        <v>0</v>
      </c>
      <c r="R202" s="1019">
        <v>0</v>
      </c>
      <c r="S202" s="1019">
        <v>0</v>
      </c>
      <c r="T202" s="1019">
        <v>0</v>
      </c>
      <c r="U202" s="1019">
        <v>0</v>
      </c>
      <c r="V202" s="1019">
        <v>0</v>
      </c>
      <c r="W202" s="1019">
        <v>0</v>
      </c>
      <c r="X202" s="1019">
        <v>0</v>
      </c>
      <c r="Y202" s="1019">
        <v>0</v>
      </c>
      <c r="Z202" s="1019">
        <v>0</v>
      </c>
      <c r="AA202" s="1019">
        <v>0</v>
      </c>
      <c r="AB202" s="1019">
        <v>0</v>
      </c>
      <c r="AC202" s="1019">
        <v>0</v>
      </c>
      <c r="AD202" s="1019">
        <v>0</v>
      </c>
      <c r="AE202" s="1019">
        <v>0</v>
      </c>
      <c r="AF202" s="1019">
        <v>0</v>
      </c>
      <c r="AG202" s="1019">
        <v>0</v>
      </c>
      <c r="AH202" s="1019">
        <v>0</v>
      </c>
      <c r="AI202" s="1019">
        <v>0</v>
      </c>
      <c r="AJ202" s="1019">
        <v>0</v>
      </c>
      <c r="AK202" s="1019">
        <v>0</v>
      </c>
      <c r="AL202" s="1019">
        <v>0</v>
      </c>
      <c r="AM202" s="1019">
        <v>0</v>
      </c>
      <c r="AN202" s="1019">
        <v>0</v>
      </c>
      <c r="AO202" s="1019">
        <v>0</v>
      </c>
      <c r="AP202" s="1019">
        <v>0</v>
      </c>
      <c r="AQ202" s="1019">
        <v>0</v>
      </c>
      <c r="AR202" s="1019">
        <v>0</v>
      </c>
      <c r="AS202" s="1019">
        <v>0</v>
      </c>
      <c r="AT202" s="1019">
        <v>0</v>
      </c>
      <c r="AU202" s="1019">
        <v>0</v>
      </c>
      <c r="AV202" s="1019">
        <v>0</v>
      </c>
      <c r="AW202" s="1019">
        <v>0</v>
      </c>
      <c r="AX202" s="1019">
        <v>0</v>
      </c>
      <c r="AY202" s="1019">
        <v>0</v>
      </c>
      <c r="AZ202" s="1019">
        <v>0</v>
      </c>
      <c r="BA202" s="1019">
        <v>0</v>
      </c>
      <c r="BB202" s="1019">
        <v>0</v>
      </c>
      <c r="BC202" s="1019">
        <v>0</v>
      </c>
      <c r="BD202" s="1019">
        <v>0</v>
      </c>
      <c r="BE202" s="1019">
        <v>0</v>
      </c>
      <c r="BF202" s="1019">
        <v>0</v>
      </c>
      <c r="BG202" s="1019">
        <v>0</v>
      </c>
      <c r="BH202" s="1019">
        <v>0</v>
      </c>
      <c r="BI202" s="1019">
        <v>0</v>
      </c>
      <c r="BJ202" s="1019">
        <v>0</v>
      </c>
      <c r="BK202" s="1019">
        <v>0</v>
      </c>
      <c r="BL202" s="1019">
        <v>0</v>
      </c>
      <c r="BM202" s="1019">
        <v>0</v>
      </c>
      <c r="BN202" s="1019">
        <v>0</v>
      </c>
      <c r="BO202" s="1019">
        <v>0</v>
      </c>
      <c r="BP202" s="1019">
        <v>0</v>
      </c>
      <c r="BQ202" s="1019">
        <v>0</v>
      </c>
      <c r="BR202" s="1019">
        <v>0</v>
      </c>
      <c r="BS202" s="1019">
        <v>690808</v>
      </c>
      <c r="BT202" s="1019">
        <v>0</v>
      </c>
      <c r="BU202" s="1019">
        <v>947692</v>
      </c>
      <c r="BV202" s="1019">
        <v>0</v>
      </c>
      <c r="BW202" s="1019">
        <v>0</v>
      </c>
      <c r="BX202" s="1019">
        <v>0</v>
      </c>
      <c r="BY202" s="1019">
        <v>0</v>
      </c>
      <c r="BZ202" s="111"/>
      <c r="CA202" s="111"/>
      <c r="CB202" s="111"/>
      <c r="CC202" s="111"/>
      <c r="CD202" s="111"/>
      <c r="CE202" s="111"/>
      <c r="CF202" s="111"/>
      <c r="CG202" s="111"/>
      <c r="CH202" s="111"/>
      <c r="CI202" s="111"/>
      <c r="CJ202" s="111"/>
      <c r="CK202" s="111"/>
      <c r="CL202" s="111"/>
      <c r="CM202" s="111"/>
      <c r="CN202" s="111"/>
      <c r="CO202" s="111"/>
      <c r="CP202" s="111"/>
      <c r="CQ202" s="111"/>
      <c r="CR202" s="111"/>
      <c r="CS202" s="111"/>
      <c r="CT202" s="111"/>
      <c r="CU202" s="111"/>
      <c r="CV202" s="111"/>
      <c r="CW202" s="111"/>
      <c r="CX202" s="111"/>
      <c r="CY202" s="111"/>
      <c r="CZ202" s="111"/>
      <c r="DA202" s="111"/>
      <c r="DB202" s="111"/>
      <c r="DC202" s="111"/>
      <c r="DD202" s="111"/>
      <c r="DE202" s="111"/>
      <c r="DF202" s="111"/>
      <c r="DG202" s="111"/>
      <c r="DH202" s="111"/>
      <c r="DI202" s="111"/>
      <c r="DJ202" s="111"/>
      <c r="DK202" s="111"/>
      <c r="DL202" s="111"/>
      <c r="DM202" s="111"/>
      <c r="DN202" s="111"/>
      <c r="DO202" s="111"/>
      <c r="DP202" s="111"/>
      <c r="DQ202" s="111"/>
      <c r="DR202" s="111"/>
      <c r="DS202" s="111"/>
      <c r="DT202" s="111"/>
      <c r="DU202" s="111"/>
      <c r="DV202" s="111"/>
      <c r="DW202" s="111"/>
      <c r="DX202" s="111"/>
      <c r="DY202" s="111"/>
    </row>
    <row r="203" spans="2:129" s="3" customFormat="1" ht="11.7" hidden="1" customHeight="1" outlineLevel="2" x14ac:dyDescent="0.3">
      <c r="B203" s="113" t="s">
        <v>698</v>
      </c>
      <c r="C203" s="230"/>
      <c r="G203" s="127"/>
      <c r="H203" s="127"/>
      <c r="I203" s="1019">
        <v>0</v>
      </c>
      <c r="J203" s="1019">
        <v>0</v>
      </c>
      <c r="K203" s="1019">
        <v>0</v>
      </c>
      <c r="L203" s="1019">
        <v>0</v>
      </c>
      <c r="M203" s="1019">
        <v>0</v>
      </c>
      <c r="N203" s="1019">
        <v>0</v>
      </c>
      <c r="O203" s="1019">
        <v>0</v>
      </c>
      <c r="P203" s="1019">
        <v>0</v>
      </c>
      <c r="Q203" s="1019">
        <v>0</v>
      </c>
      <c r="R203" s="1019">
        <v>0</v>
      </c>
      <c r="S203" s="1019">
        <v>0</v>
      </c>
      <c r="T203" s="1019">
        <v>0</v>
      </c>
      <c r="U203" s="1019">
        <v>0</v>
      </c>
      <c r="V203" s="1019">
        <v>0</v>
      </c>
      <c r="W203" s="1019">
        <v>0</v>
      </c>
      <c r="X203" s="1019">
        <v>0</v>
      </c>
      <c r="Y203" s="1019">
        <v>0</v>
      </c>
      <c r="Z203" s="1019">
        <v>0</v>
      </c>
      <c r="AA203" s="1019">
        <v>0</v>
      </c>
      <c r="AB203" s="1019">
        <v>0</v>
      </c>
      <c r="AC203" s="1019">
        <v>0</v>
      </c>
      <c r="AD203" s="1019">
        <v>0</v>
      </c>
      <c r="AE203" s="1019">
        <v>0</v>
      </c>
      <c r="AF203" s="1019">
        <v>0</v>
      </c>
      <c r="AG203" s="1019">
        <v>0</v>
      </c>
      <c r="AH203" s="1019">
        <v>0</v>
      </c>
      <c r="AI203" s="1019">
        <v>0</v>
      </c>
      <c r="AJ203" s="1019">
        <v>0</v>
      </c>
      <c r="AK203" s="1019">
        <v>0</v>
      </c>
      <c r="AL203" s="1019">
        <v>0</v>
      </c>
      <c r="AM203" s="1019">
        <v>0</v>
      </c>
      <c r="AN203" s="1019">
        <v>0</v>
      </c>
      <c r="AO203" s="1019">
        <v>0</v>
      </c>
      <c r="AP203" s="1019">
        <v>0</v>
      </c>
      <c r="AQ203" s="1019">
        <v>0</v>
      </c>
      <c r="AR203" s="1019">
        <v>0</v>
      </c>
      <c r="AS203" s="1019">
        <v>0</v>
      </c>
      <c r="AT203" s="1019">
        <v>0</v>
      </c>
      <c r="AU203" s="1019">
        <v>0</v>
      </c>
      <c r="AV203" s="1019">
        <v>0</v>
      </c>
      <c r="AW203" s="1019">
        <v>0</v>
      </c>
      <c r="AX203" s="1019">
        <v>0</v>
      </c>
      <c r="AY203" s="1019">
        <v>0</v>
      </c>
      <c r="AZ203" s="1019">
        <v>0</v>
      </c>
      <c r="BA203" s="1019">
        <v>0</v>
      </c>
      <c r="BB203" s="1019">
        <v>0</v>
      </c>
      <c r="BC203" s="1019">
        <v>0</v>
      </c>
      <c r="BD203" s="1019">
        <v>0</v>
      </c>
      <c r="BE203" s="1019">
        <v>0</v>
      </c>
      <c r="BF203" s="1019">
        <v>0</v>
      </c>
      <c r="BG203" s="1019">
        <v>0</v>
      </c>
      <c r="BH203" s="1019">
        <v>0</v>
      </c>
      <c r="BI203" s="1019">
        <v>0</v>
      </c>
      <c r="BJ203" s="1019">
        <v>0</v>
      </c>
      <c r="BK203" s="1019">
        <v>8112293</v>
      </c>
      <c r="BL203" s="1019">
        <v>0</v>
      </c>
      <c r="BM203" s="1019">
        <v>1497399</v>
      </c>
      <c r="BN203" s="1019">
        <v>9438306</v>
      </c>
      <c r="BO203" s="1019">
        <v>0</v>
      </c>
      <c r="BP203" s="1019">
        <v>0</v>
      </c>
      <c r="BQ203" s="1019">
        <v>0</v>
      </c>
      <c r="BR203" s="1019">
        <v>2779894</v>
      </c>
      <c r="BS203" s="1019">
        <v>16442555</v>
      </c>
      <c r="BT203" s="1019">
        <v>0</v>
      </c>
      <c r="BU203" s="1019">
        <v>0</v>
      </c>
      <c r="BV203" s="1019">
        <v>0</v>
      </c>
      <c r="BW203" s="1019">
        <v>0</v>
      </c>
      <c r="BX203" s="1019">
        <v>0</v>
      </c>
      <c r="BY203" s="1019">
        <v>30000</v>
      </c>
      <c r="BZ203" s="111"/>
      <c r="CA203" s="111"/>
      <c r="CB203" s="111"/>
      <c r="CC203" s="111"/>
      <c r="CD203" s="111"/>
      <c r="CE203" s="111"/>
      <c r="CF203" s="111"/>
      <c r="CG203" s="111"/>
      <c r="CH203" s="111"/>
      <c r="CI203" s="111"/>
      <c r="CJ203" s="111"/>
      <c r="CK203" s="111"/>
      <c r="CL203" s="111"/>
      <c r="CM203" s="111"/>
      <c r="CN203" s="111"/>
      <c r="CO203" s="111"/>
      <c r="CP203" s="111"/>
      <c r="CQ203" s="111"/>
      <c r="CR203" s="111"/>
      <c r="CS203" s="111"/>
      <c r="CT203" s="111"/>
      <c r="CU203" s="111"/>
      <c r="CV203" s="111"/>
      <c r="CW203" s="111"/>
      <c r="CX203" s="111"/>
      <c r="CY203" s="111"/>
      <c r="CZ203" s="111"/>
      <c r="DA203" s="111"/>
      <c r="DB203" s="111"/>
      <c r="DC203" s="111"/>
      <c r="DD203" s="111"/>
      <c r="DE203" s="111"/>
      <c r="DF203" s="111"/>
      <c r="DG203" s="111"/>
      <c r="DH203" s="111"/>
      <c r="DI203" s="111"/>
      <c r="DJ203" s="111"/>
      <c r="DK203" s="111"/>
      <c r="DL203" s="111"/>
      <c r="DM203" s="111"/>
      <c r="DN203" s="111"/>
      <c r="DO203" s="111"/>
      <c r="DP203" s="111"/>
      <c r="DQ203" s="111"/>
      <c r="DR203" s="111"/>
      <c r="DS203" s="111"/>
      <c r="DT203" s="111"/>
      <c r="DU203" s="111"/>
      <c r="DV203" s="111"/>
      <c r="DW203" s="111"/>
      <c r="DX203" s="111"/>
      <c r="DY203" s="111"/>
    </row>
    <row r="204" spans="2:129" s="3" customFormat="1" ht="11.7" hidden="1" customHeight="1" outlineLevel="2" x14ac:dyDescent="0.3">
      <c r="B204" s="113" t="s">
        <v>699</v>
      </c>
      <c r="C204" s="230"/>
      <c r="G204" s="127"/>
      <c r="H204" s="127"/>
      <c r="I204" s="1019">
        <v>0</v>
      </c>
      <c r="J204" s="1019">
        <v>0</v>
      </c>
      <c r="K204" s="1019">
        <v>0</v>
      </c>
      <c r="L204" s="1019">
        <v>0</v>
      </c>
      <c r="M204" s="1019">
        <v>0</v>
      </c>
      <c r="N204" s="1019">
        <v>0</v>
      </c>
      <c r="O204" s="1019">
        <v>0</v>
      </c>
      <c r="P204" s="1019">
        <v>0</v>
      </c>
      <c r="Q204" s="1019">
        <v>0</v>
      </c>
      <c r="R204" s="1019">
        <v>0</v>
      </c>
      <c r="S204" s="1019">
        <v>0</v>
      </c>
      <c r="T204" s="1019">
        <v>0</v>
      </c>
      <c r="U204" s="1019">
        <v>0</v>
      </c>
      <c r="V204" s="1019">
        <v>0</v>
      </c>
      <c r="W204" s="1019">
        <v>0</v>
      </c>
      <c r="X204" s="1019">
        <v>0</v>
      </c>
      <c r="Y204" s="1019">
        <v>0</v>
      </c>
      <c r="Z204" s="1019">
        <v>0</v>
      </c>
      <c r="AA204" s="1019">
        <v>0</v>
      </c>
      <c r="AB204" s="1019">
        <v>0</v>
      </c>
      <c r="AC204" s="1019">
        <v>0</v>
      </c>
      <c r="AD204" s="1019">
        <v>0</v>
      </c>
      <c r="AE204" s="1019">
        <v>0</v>
      </c>
      <c r="AF204" s="1019">
        <v>0</v>
      </c>
      <c r="AG204" s="1019">
        <v>0</v>
      </c>
      <c r="AH204" s="1019">
        <v>0</v>
      </c>
      <c r="AI204" s="1019">
        <v>0</v>
      </c>
      <c r="AJ204" s="1019">
        <v>0</v>
      </c>
      <c r="AK204" s="1019">
        <v>0</v>
      </c>
      <c r="AL204" s="1019">
        <v>0</v>
      </c>
      <c r="AM204" s="1019">
        <v>0</v>
      </c>
      <c r="AN204" s="1019">
        <v>0</v>
      </c>
      <c r="AO204" s="1019">
        <v>0</v>
      </c>
      <c r="AP204" s="1019">
        <v>0</v>
      </c>
      <c r="AQ204" s="1019">
        <v>0</v>
      </c>
      <c r="AR204" s="1019">
        <v>0</v>
      </c>
      <c r="AS204" s="1019">
        <v>0</v>
      </c>
      <c r="AT204" s="1019">
        <v>0</v>
      </c>
      <c r="AU204" s="1019">
        <v>0</v>
      </c>
      <c r="AV204" s="1019">
        <v>0</v>
      </c>
      <c r="AW204" s="1019">
        <v>0</v>
      </c>
      <c r="AX204" s="1019">
        <v>0</v>
      </c>
      <c r="AY204" s="1019">
        <v>0</v>
      </c>
      <c r="AZ204" s="1019">
        <v>0</v>
      </c>
      <c r="BA204" s="1019">
        <v>0</v>
      </c>
      <c r="BB204" s="1019">
        <v>0</v>
      </c>
      <c r="BC204" s="1019">
        <v>0</v>
      </c>
      <c r="BD204" s="1019">
        <v>0</v>
      </c>
      <c r="BE204" s="1019">
        <v>0</v>
      </c>
      <c r="BF204" s="1019">
        <v>0</v>
      </c>
      <c r="BG204" s="1019">
        <v>0</v>
      </c>
      <c r="BH204" s="1019">
        <v>0</v>
      </c>
      <c r="BI204" s="1019">
        <v>1181608</v>
      </c>
      <c r="BJ204" s="1019">
        <v>12020927</v>
      </c>
      <c r="BK204" s="1019">
        <v>2606355</v>
      </c>
      <c r="BL204" s="1019">
        <v>7723675</v>
      </c>
      <c r="BM204" s="1019">
        <v>17921106</v>
      </c>
      <c r="BN204" s="1019">
        <v>4296255</v>
      </c>
      <c r="BO204" s="1019">
        <v>7352879</v>
      </c>
      <c r="BP204" s="1019">
        <v>4913857</v>
      </c>
      <c r="BQ204" s="1019">
        <v>4798061</v>
      </c>
      <c r="BR204" s="1019">
        <v>3050093</v>
      </c>
      <c r="BS204" s="1019">
        <f>713203+2108547</f>
        <v>2821750</v>
      </c>
      <c r="BT204" s="1019">
        <v>2772682</v>
      </c>
      <c r="BU204" s="1019">
        <f>375624-1913084</f>
        <v>-1537460</v>
      </c>
      <c r="BV204" s="1019">
        <v>3410371</v>
      </c>
      <c r="BW204" s="1019">
        <v>2897023</v>
      </c>
      <c r="BX204" s="1019">
        <v>2877682</v>
      </c>
      <c r="BY204" s="1019">
        <v>2617576</v>
      </c>
      <c r="BZ204" s="111"/>
      <c r="CA204" s="111"/>
      <c r="CB204" s="111"/>
      <c r="CC204" s="111"/>
      <c r="CD204" s="111"/>
      <c r="CE204" s="111"/>
      <c r="CF204" s="111"/>
      <c r="CG204" s="111"/>
      <c r="CH204" s="111"/>
      <c r="CI204" s="111"/>
      <c r="CJ204" s="111"/>
      <c r="CK204" s="111"/>
      <c r="CL204" s="111"/>
      <c r="CM204" s="111"/>
      <c r="CN204" s="111"/>
      <c r="CO204" s="111"/>
      <c r="CP204" s="111"/>
      <c r="CQ204" s="111"/>
      <c r="CR204" s="111"/>
      <c r="CS204" s="111"/>
      <c r="CT204" s="111"/>
      <c r="CU204" s="111"/>
      <c r="CV204" s="111"/>
      <c r="CW204" s="111"/>
      <c r="CX204" s="111"/>
      <c r="CY204" s="111"/>
      <c r="CZ204" s="111"/>
      <c r="DA204" s="111"/>
      <c r="DB204" s="111"/>
      <c r="DC204" s="111"/>
      <c r="DD204" s="111"/>
      <c r="DE204" s="111"/>
      <c r="DF204" s="111"/>
      <c r="DG204" s="111"/>
      <c r="DH204" s="111"/>
      <c r="DI204" s="111"/>
      <c r="DJ204" s="111"/>
      <c r="DK204" s="111"/>
      <c r="DL204" s="111"/>
      <c r="DM204" s="111"/>
      <c r="DN204" s="111"/>
      <c r="DO204" s="111"/>
      <c r="DP204" s="111"/>
      <c r="DQ204" s="111"/>
      <c r="DR204" s="111"/>
      <c r="DS204" s="111"/>
      <c r="DT204" s="111"/>
      <c r="DU204" s="111"/>
      <c r="DV204" s="111"/>
      <c r="DW204" s="111"/>
      <c r="DX204" s="111"/>
      <c r="DY204" s="111"/>
    </row>
    <row r="205" spans="2:129" s="3" customFormat="1" ht="11.7" hidden="1" customHeight="1" outlineLevel="2" x14ac:dyDescent="0.3">
      <c r="B205" s="113" t="s">
        <v>700</v>
      </c>
      <c r="C205" s="230"/>
      <c r="G205" s="127"/>
      <c r="H205" s="127"/>
      <c r="I205" s="1019">
        <v>0</v>
      </c>
      <c r="J205" s="1019">
        <v>0</v>
      </c>
      <c r="K205" s="1019">
        <v>0</v>
      </c>
      <c r="L205" s="1019">
        <v>0</v>
      </c>
      <c r="M205" s="1019">
        <v>0</v>
      </c>
      <c r="N205" s="1019">
        <v>0</v>
      </c>
      <c r="O205" s="1019">
        <v>0</v>
      </c>
      <c r="P205" s="1019">
        <v>0</v>
      </c>
      <c r="Q205" s="1019">
        <v>0</v>
      </c>
      <c r="R205" s="1019">
        <v>0</v>
      </c>
      <c r="S205" s="1019">
        <v>0</v>
      </c>
      <c r="T205" s="1019">
        <v>0</v>
      </c>
      <c r="U205" s="1019">
        <v>0</v>
      </c>
      <c r="V205" s="1019">
        <v>0</v>
      </c>
      <c r="W205" s="1019">
        <v>0</v>
      </c>
      <c r="X205" s="1019">
        <v>0</v>
      </c>
      <c r="Y205" s="1019">
        <v>0</v>
      </c>
      <c r="Z205" s="1019">
        <v>0</v>
      </c>
      <c r="AA205" s="1019">
        <v>0</v>
      </c>
      <c r="AB205" s="1019">
        <v>0</v>
      </c>
      <c r="AC205" s="1019">
        <v>0</v>
      </c>
      <c r="AD205" s="1019">
        <v>0</v>
      </c>
      <c r="AE205" s="1019">
        <v>0</v>
      </c>
      <c r="AF205" s="1019">
        <v>0</v>
      </c>
      <c r="AG205" s="1019">
        <v>0</v>
      </c>
      <c r="AH205" s="1019">
        <v>0</v>
      </c>
      <c r="AI205" s="1019">
        <v>0</v>
      </c>
      <c r="AJ205" s="1019">
        <v>0</v>
      </c>
      <c r="AK205" s="1019">
        <v>0</v>
      </c>
      <c r="AL205" s="1019">
        <v>0</v>
      </c>
      <c r="AM205" s="1019">
        <v>0</v>
      </c>
      <c r="AN205" s="1019">
        <v>0</v>
      </c>
      <c r="AO205" s="1019">
        <v>0</v>
      </c>
      <c r="AP205" s="1019">
        <v>0</v>
      </c>
      <c r="AQ205" s="1019">
        <v>0</v>
      </c>
      <c r="AR205" s="1019">
        <v>0</v>
      </c>
      <c r="AS205" s="1019">
        <v>0</v>
      </c>
      <c r="AT205" s="1019">
        <v>0</v>
      </c>
      <c r="AU205" s="1019">
        <v>0</v>
      </c>
      <c r="AV205" s="1019">
        <v>0</v>
      </c>
      <c r="AW205" s="1019">
        <v>0</v>
      </c>
      <c r="AX205" s="1019">
        <v>0</v>
      </c>
      <c r="AY205" s="1019">
        <v>0</v>
      </c>
      <c r="AZ205" s="1019">
        <v>0</v>
      </c>
      <c r="BA205" s="1019">
        <v>0</v>
      </c>
      <c r="BB205" s="1019">
        <v>0</v>
      </c>
      <c r="BC205" s="1019">
        <v>0</v>
      </c>
      <c r="BD205" s="1019">
        <v>0</v>
      </c>
      <c r="BE205" s="1019">
        <v>0</v>
      </c>
      <c r="BF205" s="1019">
        <v>0</v>
      </c>
      <c r="BG205" s="1019">
        <v>0</v>
      </c>
      <c r="BH205" s="1019">
        <v>0</v>
      </c>
      <c r="BI205" s="1019">
        <v>0</v>
      </c>
      <c r="BJ205" s="1019">
        <v>0</v>
      </c>
      <c r="BK205" s="1019">
        <v>0</v>
      </c>
      <c r="BL205" s="1019">
        <v>0</v>
      </c>
      <c r="BM205" s="1019">
        <v>0</v>
      </c>
      <c r="BN205" s="1019">
        <v>0</v>
      </c>
      <c r="BO205" s="1019">
        <v>15950</v>
      </c>
      <c r="BP205" s="1019">
        <v>43545</v>
      </c>
      <c r="BQ205" s="1019">
        <v>6530</v>
      </c>
      <c r="BR205" s="1019">
        <v>6590</v>
      </c>
      <c r="BS205" s="1019">
        <v>0</v>
      </c>
      <c r="BT205" s="1019">
        <v>0</v>
      </c>
      <c r="BU205" s="1019">
        <v>0</v>
      </c>
      <c r="BV205" s="1019">
        <v>0</v>
      </c>
      <c r="BW205" s="1019">
        <v>0</v>
      </c>
      <c r="BX205" s="1019">
        <v>0</v>
      </c>
      <c r="BY205" s="1019">
        <v>0</v>
      </c>
      <c r="BZ205" s="111"/>
      <c r="CA205" s="111"/>
      <c r="CB205" s="111"/>
      <c r="CC205" s="111"/>
      <c r="CD205" s="111"/>
      <c r="CE205" s="111"/>
      <c r="CF205" s="111"/>
      <c r="CG205" s="111"/>
      <c r="CH205" s="111"/>
      <c r="CI205" s="111"/>
      <c r="CJ205" s="111"/>
      <c r="CK205" s="111"/>
      <c r="CL205" s="111"/>
      <c r="CM205" s="111"/>
      <c r="CN205" s="111"/>
      <c r="CO205" s="111"/>
      <c r="CP205" s="111"/>
      <c r="CQ205" s="111"/>
      <c r="CR205" s="111"/>
      <c r="CS205" s="111"/>
      <c r="CT205" s="111"/>
      <c r="CU205" s="111"/>
      <c r="CV205" s="111"/>
      <c r="CW205" s="111"/>
      <c r="CX205" s="111"/>
      <c r="CY205" s="111"/>
      <c r="CZ205" s="111"/>
      <c r="DA205" s="111"/>
      <c r="DB205" s="111"/>
      <c r="DC205" s="111"/>
      <c r="DD205" s="111"/>
      <c r="DE205" s="111"/>
      <c r="DF205" s="111"/>
      <c r="DG205" s="111"/>
      <c r="DH205" s="111"/>
      <c r="DI205" s="111"/>
      <c r="DJ205" s="111"/>
      <c r="DK205" s="111"/>
      <c r="DL205" s="111"/>
      <c r="DM205" s="111"/>
      <c r="DN205" s="111"/>
      <c r="DO205" s="111"/>
      <c r="DP205" s="111"/>
      <c r="DQ205" s="111"/>
      <c r="DR205" s="111"/>
      <c r="DS205" s="111"/>
      <c r="DT205" s="111"/>
      <c r="DU205" s="111"/>
      <c r="DV205" s="111"/>
      <c r="DW205" s="111"/>
      <c r="DX205" s="111"/>
      <c r="DY205" s="111"/>
    </row>
    <row r="206" spans="2:129" s="3" customFormat="1" ht="11.7" hidden="1" customHeight="1" outlineLevel="2" x14ac:dyDescent="0.3">
      <c r="B206" s="113" t="s">
        <v>701</v>
      </c>
      <c r="C206" s="230"/>
      <c r="G206" s="127"/>
      <c r="H206" s="127"/>
      <c r="I206" s="1019">
        <v>0</v>
      </c>
      <c r="J206" s="1019">
        <v>0</v>
      </c>
      <c r="K206" s="1019">
        <v>0</v>
      </c>
      <c r="L206" s="1019">
        <v>0</v>
      </c>
      <c r="M206" s="1019">
        <v>0</v>
      </c>
      <c r="N206" s="1019">
        <v>0</v>
      </c>
      <c r="O206" s="1019">
        <v>0</v>
      </c>
      <c r="P206" s="1019">
        <v>0</v>
      </c>
      <c r="Q206" s="1019">
        <v>0</v>
      </c>
      <c r="R206" s="1019">
        <v>0</v>
      </c>
      <c r="S206" s="1019">
        <v>0</v>
      </c>
      <c r="T206" s="1019">
        <v>0</v>
      </c>
      <c r="U206" s="1019">
        <v>0</v>
      </c>
      <c r="V206" s="1019">
        <v>0</v>
      </c>
      <c r="W206" s="1019">
        <v>0</v>
      </c>
      <c r="X206" s="1019">
        <v>0</v>
      </c>
      <c r="Y206" s="1019">
        <v>0</v>
      </c>
      <c r="Z206" s="1019">
        <v>0</v>
      </c>
      <c r="AA206" s="1019">
        <v>0</v>
      </c>
      <c r="AB206" s="1019">
        <v>0</v>
      </c>
      <c r="AC206" s="1019">
        <v>0</v>
      </c>
      <c r="AD206" s="1019">
        <v>0</v>
      </c>
      <c r="AE206" s="1019">
        <v>0</v>
      </c>
      <c r="AF206" s="1019">
        <v>0</v>
      </c>
      <c r="AG206" s="1019">
        <v>0</v>
      </c>
      <c r="AH206" s="1019">
        <v>0</v>
      </c>
      <c r="AI206" s="1019">
        <v>0</v>
      </c>
      <c r="AJ206" s="1019">
        <v>0</v>
      </c>
      <c r="AK206" s="1019">
        <v>0</v>
      </c>
      <c r="AL206" s="1019">
        <v>0</v>
      </c>
      <c r="AM206" s="1019">
        <v>0</v>
      </c>
      <c r="AN206" s="1019">
        <v>0</v>
      </c>
      <c r="AO206" s="1019">
        <v>0</v>
      </c>
      <c r="AP206" s="1019">
        <v>0</v>
      </c>
      <c r="AQ206" s="1019">
        <v>0</v>
      </c>
      <c r="AR206" s="1019">
        <v>0</v>
      </c>
      <c r="AS206" s="1019">
        <v>0</v>
      </c>
      <c r="AT206" s="1019">
        <v>0</v>
      </c>
      <c r="AU206" s="1019">
        <v>0</v>
      </c>
      <c r="AV206" s="1019">
        <v>0</v>
      </c>
      <c r="AW206" s="1019">
        <v>0</v>
      </c>
      <c r="AX206" s="1019">
        <v>0</v>
      </c>
      <c r="AY206" s="1019">
        <v>0</v>
      </c>
      <c r="AZ206" s="1019">
        <v>0</v>
      </c>
      <c r="BA206" s="1019">
        <v>0</v>
      </c>
      <c r="BB206" s="1019">
        <v>0</v>
      </c>
      <c r="BC206" s="1019">
        <v>0</v>
      </c>
      <c r="BD206" s="1019">
        <v>0</v>
      </c>
      <c r="BE206" s="1019">
        <v>0</v>
      </c>
      <c r="BF206" s="1019">
        <v>0</v>
      </c>
      <c r="BG206" s="1019">
        <v>0</v>
      </c>
      <c r="BH206" s="1019">
        <v>0</v>
      </c>
      <c r="BI206" s="1019">
        <v>0</v>
      </c>
      <c r="BJ206" s="1019">
        <v>0</v>
      </c>
      <c r="BK206" s="1019">
        <v>0</v>
      </c>
      <c r="BL206" s="1019">
        <v>0</v>
      </c>
      <c r="BM206" s="1019">
        <v>0</v>
      </c>
      <c r="BN206" s="1019">
        <v>507402</v>
      </c>
      <c r="BO206" s="1019">
        <v>0</v>
      </c>
      <c r="BP206" s="1019">
        <v>0</v>
      </c>
      <c r="BQ206" s="1019">
        <v>0</v>
      </c>
      <c r="BR206" s="1019">
        <v>0</v>
      </c>
      <c r="BS206" s="1019">
        <f>47363+268388</f>
        <v>315751</v>
      </c>
      <c r="BT206" s="1019">
        <f>9661+94033</f>
        <v>103694</v>
      </c>
      <c r="BU206" s="1019">
        <f>35011+198395</f>
        <v>233406</v>
      </c>
      <c r="BV206" s="1019">
        <v>145055</v>
      </c>
      <c r="BW206" s="1019">
        <f>28457+161255</f>
        <v>189712</v>
      </c>
      <c r="BX206" s="1019">
        <v>193911</v>
      </c>
      <c r="BY206" s="1019">
        <f>108124+527060</f>
        <v>635184</v>
      </c>
      <c r="BZ206" s="111" t="s">
        <v>796</v>
      </c>
      <c r="CA206" s="111"/>
      <c r="CB206" s="111"/>
      <c r="CC206" s="111"/>
      <c r="CD206" s="111"/>
      <c r="CE206" s="111"/>
      <c r="CF206" s="111"/>
      <c r="CG206" s="111"/>
      <c r="CH206" s="111"/>
      <c r="CI206" s="111"/>
      <c r="CJ206" s="111"/>
      <c r="CK206" s="111"/>
      <c r="CL206" s="111"/>
      <c r="CM206" s="111"/>
      <c r="CN206" s="111"/>
      <c r="CO206" s="111"/>
      <c r="CP206" s="111"/>
      <c r="CQ206" s="111"/>
      <c r="CR206" s="111"/>
      <c r="CS206" s="111"/>
      <c r="CT206" s="111"/>
      <c r="CU206" s="111"/>
      <c r="CV206" s="111"/>
      <c r="CW206" s="111"/>
      <c r="CX206" s="111"/>
      <c r="CY206" s="111"/>
      <c r="CZ206" s="111"/>
      <c r="DA206" s="111"/>
      <c r="DB206" s="111"/>
      <c r="DC206" s="111"/>
      <c r="DD206" s="111"/>
      <c r="DE206" s="111"/>
      <c r="DF206" s="111"/>
      <c r="DG206" s="111"/>
      <c r="DH206" s="111"/>
      <c r="DI206" s="111"/>
      <c r="DJ206" s="111"/>
      <c r="DK206" s="111"/>
      <c r="DL206" s="111"/>
      <c r="DM206" s="111"/>
      <c r="DN206" s="111"/>
      <c r="DO206" s="111"/>
      <c r="DP206" s="111"/>
      <c r="DQ206" s="111"/>
      <c r="DR206" s="111"/>
      <c r="DS206" s="111"/>
      <c r="DT206" s="111"/>
      <c r="DU206" s="111"/>
      <c r="DV206" s="111"/>
      <c r="DW206" s="111"/>
      <c r="DX206" s="111"/>
      <c r="DY206" s="111"/>
    </row>
    <row r="207" spans="2:129" s="3" customFormat="1" ht="11.7" hidden="1" customHeight="1" outlineLevel="2" x14ac:dyDescent="0.3">
      <c r="B207" s="113" t="s">
        <v>702</v>
      </c>
      <c r="C207" s="230"/>
      <c r="G207" s="127"/>
      <c r="H207" s="127"/>
      <c r="I207" s="1019">
        <v>0</v>
      </c>
      <c r="J207" s="1019">
        <v>0</v>
      </c>
      <c r="K207" s="1019">
        <v>0</v>
      </c>
      <c r="L207" s="1019">
        <v>0</v>
      </c>
      <c r="M207" s="1019">
        <v>0</v>
      </c>
      <c r="N207" s="1019">
        <v>0</v>
      </c>
      <c r="O207" s="1019">
        <v>0</v>
      </c>
      <c r="P207" s="1019">
        <v>0</v>
      </c>
      <c r="Q207" s="1019">
        <v>0</v>
      </c>
      <c r="R207" s="1019">
        <v>0</v>
      </c>
      <c r="S207" s="1019">
        <v>0</v>
      </c>
      <c r="T207" s="1019">
        <v>0</v>
      </c>
      <c r="U207" s="1019">
        <v>0</v>
      </c>
      <c r="V207" s="1019">
        <v>0</v>
      </c>
      <c r="W207" s="1019">
        <v>0</v>
      </c>
      <c r="X207" s="1019">
        <v>0</v>
      </c>
      <c r="Y207" s="1019">
        <v>0</v>
      </c>
      <c r="Z207" s="1019">
        <v>0</v>
      </c>
      <c r="AA207" s="1019">
        <v>0</v>
      </c>
      <c r="AB207" s="1019">
        <v>0</v>
      </c>
      <c r="AC207" s="1019">
        <v>0</v>
      </c>
      <c r="AD207" s="1019">
        <v>0</v>
      </c>
      <c r="AE207" s="1019">
        <v>0</v>
      </c>
      <c r="AF207" s="1019">
        <v>0</v>
      </c>
      <c r="AG207" s="1019">
        <v>0</v>
      </c>
      <c r="AH207" s="1019">
        <v>0</v>
      </c>
      <c r="AI207" s="1019">
        <v>0</v>
      </c>
      <c r="AJ207" s="1019">
        <v>0</v>
      </c>
      <c r="AK207" s="1019">
        <v>0</v>
      </c>
      <c r="AL207" s="1019">
        <v>0</v>
      </c>
      <c r="AM207" s="1019">
        <v>0</v>
      </c>
      <c r="AN207" s="1019">
        <v>0</v>
      </c>
      <c r="AO207" s="1019">
        <v>0</v>
      </c>
      <c r="AP207" s="1019">
        <v>0</v>
      </c>
      <c r="AQ207" s="1019">
        <v>0</v>
      </c>
      <c r="AR207" s="1019">
        <v>0</v>
      </c>
      <c r="AS207" s="1019">
        <v>0</v>
      </c>
      <c r="AT207" s="1019">
        <v>0</v>
      </c>
      <c r="AU207" s="1019">
        <v>0</v>
      </c>
      <c r="AV207" s="1019">
        <v>0</v>
      </c>
      <c r="AW207" s="1019">
        <v>0</v>
      </c>
      <c r="AX207" s="1019">
        <v>0</v>
      </c>
      <c r="AY207" s="1019">
        <v>0</v>
      </c>
      <c r="AZ207" s="1019">
        <v>0</v>
      </c>
      <c r="BA207" s="1019">
        <v>0</v>
      </c>
      <c r="BB207" s="1019">
        <v>0</v>
      </c>
      <c r="BC207" s="1019">
        <v>0</v>
      </c>
      <c r="BD207" s="1019">
        <v>0</v>
      </c>
      <c r="BE207" s="1019">
        <v>0</v>
      </c>
      <c r="BF207" s="1019">
        <v>0</v>
      </c>
      <c r="BG207" s="1019">
        <v>0</v>
      </c>
      <c r="BH207" s="1019">
        <v>0</v>
      </c>
      <c r="BI207" s="1019">
        <v>0</v>
      </c>
      <c r="BJ207" s="1019">
        <v>0</v>
      </c>
      <c r="BK207" s="1019">
        <v>0</v>
      </c>
      <c r="BL207" s="1019">
        <v>0</v>
      </c>
      <c r="BM207" s="1019">
        <v>3703559</v>
      </c>
      <c r="BN207" s="1019">
        <v>0</v>
      </c>
      <c r="BO207" s="1019">
        <v>0</v>
      </c>
      <c r="BP207" s="1019">
        <v>399732</v>
      </c>
      <c r="BQ207" s="1019">
        <v>0</v>
      </c>
      <c r="BR207" s="1019">
        <v>47968</v>
      </c>
      <c r="BS207" s="1019">
        <v>0</v>
      </c>
      <c r="BT207" s="1019">
        <v>363145</v>
      </c>
      <c r="BU207" s="1019">
        <f>7569+42894</f>
        <v>50463</v>
      </c>
      <c r="BV207" s="1019">
        <v>0</v>
      </c>
      <c r="BW207" s="1019">
        <v>0</v>
      </c>
      <c r="BX207" s="1019">
        <v>0</v>
      </c>
      <c r="BY207" s="1019">
        <v>0</v>
      </c>
      <c r="BZ207" s="111"/>
      <c r="CA207" s="111"/>
      <c r="CB207" s="111"/>
      <c r="CC207" s="111"/>
      <c r="CD207" s="111"/>
      <c r="CE207" s="111"/>
      <c r="CF207" s="111"/>
      <c r="CG207" s="111"/>
      <c r="CH207" s="111"/>
      <c r="CI207" s="111"/>
      <c r="CJ207" s="111"/>
      <c r="CK207" s="111"/>
      <c r="CL207" s="111"/>
      <c r="CM207" s="111"/>
      <c r="CN207" s="111"/>
      <c r="CO207" s="111"/>
      <c r="CP207" s="111"/>
      <c r="CQ207" s="111"/>
      <c r="CR207" s="111"/>
      <c r="CS207" s="111"/>
      <c r="CT207" s="111"/>
      <c r="CU207" s="111"/>
      <c r="CV207" s="111"/>
      <c r="CW207" s="111"/>
      <c r="CX207" s="111"/>
      <c r="CY207" s="111"/>
      <c r="CZ207" s="111"/>
      <c r="DA207" s="111"/>
      <c r="DB207" s="111"/>
      <c r="DC207" s="111"/>
      <c r="DD207" s="111"/>
      <c r="DE207" s="111"/>
      <c r="DF207" s="111"/>
      <c r="DG207" s="111"/>
      <c r="DH207" s="111"/>
      <c r="DI207" s="111"/>
      <c r="DJ207" s="111"/>
      <c r="DK207" s="111"/>
      <c r="DL207" s="111"/>
      <c r="DM207" s="111"/>
      <c r="DN207" s="111"/>
      <c r="DO207" s="111"/>
      <c r="DP207" s="111"/>
      <c r="DQ207" s="111"/>
      <c r="DR207" s="111"/>
      <c r="DS207" s="111"/>
      <c r="DT207" s="111"/>
      <c r="DU207" s="111"/>
      <c r="DV207" s="111"/>
      <c r="DW207" s="111"/>
      <c r="DX207" s="111"/>
      <c r="DY207" s="111"/>
    </row>
    <row r="208" spans="2:129" s="3" customFormat="1" ht="11.7" hidden="1" customHeight="1" outlineLevel="2" x14ac:dyDescent="0.3">
      <c r="B208" s="113" t="s">
        <v>784</v>
      </c>
      <c r="C208" s="230"/>
      <c r="G208" s="127"/>
      <c r="H208" s="127"/>
      <c r="I208" s="1019">
        <v>0</v>
      </c>
      <c r="J208" s="1019">
        <v>0</v>
      </c>
      <c r="K208" s="1019">
        <v>0</v>
      </c>
      <c r="L208" s="1019">
        <v>0</v>
      </c>
      <c r="M208" s="1019">
        <v>0</v>
      </c>
      <c r="N208" s="1019">
        <v>0</v>
      </c>
      <c r="O208" s="1019">
        <v>0</v>
      </c>
      <c r="P208" s="1019">
        <v>0</v>
      </c>
      <c r="Q208" s="1019">
        <v>0</v>
      </c>
      <c r="R208" s="1019">
        <v>0</v>
      </c>
      <c r="S208" s="1019">
        <v>0</v>
      </c>
      <c r="T208" s="1019">
        <v>0</v>
      </c>
      <c r="U208" s="1019">
        <v>0</v>
      </c>
      <c r="V208" s="1019">
        <v>0</v>
      </c>
      <c r="W208" s="1019">
        <v>0</v>
      </c>
      <c r="X208" s="1019">
        <v>0</v>
      </c>
      <c r="Y208" s="1019">
        <v>0</v>
      </c>
      <c r="Z208" s="1019">
        <v>0</v>
      </c>
      <c r="AA208" s="1019">
        <v>0</v>
      </c>
      <c r="AB208" s="1019">
        <v>0</v>
      </c>
      <c r="AC208" s="1019">
        <v>0</v>
      </c>
      <c r="AD208" s="1019">
        <v>0</v>
      </c>
      <c r="AE208" s="1019">
        <v>0</v>
      </c>
      <c r="AF208" s="1019">
        <v>0</v>
      </c>
      <c r="AG208" s="1019">
        <v>0</v>
      </c>
      <c r="AH208" s="1019">
        <v>0</v>
      </c>
      <c r="AI208" s="1019">
        <v>0</v>
      </c>
      <c r="AJ208" s="1019">
        <v>0</v>
      </c>
      <c r="AK208" s="1019">
        <v>0</v>
      </c>
      <c r="AL208" s="1019">
        <v>0</v>
      </c>
      <c r="AM208" s="1019">
        <v>0</v>
      </c>
      <c r="AN208" s="1019">
        <v>0</v>
      </c>
      <c r="AO208" s="1019">
        <v>0</v>
      </c>
      <c r="AP208" s="1019">
        <v>0</v>
      </c>
      <c r="AQ208" s="1019">
        <v>0</v>
      </c>
      <c r="AR208" s="1019">
        <v>0</v>
      </c>
      <c r="AS208" s="1019">
        <v>0</v>
      </c>
      <c r="AT208" s="1019">
        <v>0</v>
      </c>
      <c r="AU208" s="1019">
        <v>0</v>
      </c>
      <c r="AV208" s="1019">
        <v>0</v>
      </c>
      <c r="AW208" s="1019">
        <v>0</v>
      </c>
      <c r="AX208" s="1019">
        <v>0</v>
      </c>
      <c r="AY208" s="1019">
        <v>0</v>
      </c>
      <c r="AZ208" s="1019">
        <v>0</v>
      </c>
      <c r="BA208" s="1019">
        <v>0</v>
      </c>
      <c r="BB208" s="1019">
        <v>0</v>
      </c>
      <c r="BC208" s="1019">
        <v>0</v>
      </c>
      <c r="BD208" s="1019">
        <v>0</v>
      </c>
      <c r="BE208" s="1019">
        <v>0</v>
      </c>
      <c r="BF208" s="1019">
        <v>0</v>
      </c>
      <c r="BG208" s="1019">
        <v>0</v>
      </c>
      <c r="BH208" s="1019">
        <v>0</v>
      </c>
      <c r="BI208" s="1019">
        <v>0</v>
      </c>
      <c r="BJ208" s="1019">
        <v>0</v>
      </c>
      <c r="BK208" s="1019">
        <v>0</v>
      </c>
      <c r="BL208" s="1019">
        <v>0</v>
      </c>
      <c r="BM208" s="1019">
        <v>0</v>
      </c>
      <c r="BN208" s="1019">
        <v>0</v>
      </c>
      <c r="BO208" s="1019">
        <v>0</v>
      </c>
      <c r="BP208" s="1019">
        <v>0</v>
      </c>
      <c r="BQ208" s="1019">
        <v>0</v>
      </c>
      <c r="BR208" s="1019">
        <v>0</v>
      </c>
      <c r="BS208" s="1019">
        <v>0</v>
      </c>
      <c r="BT208" s="1019">
        <v>125366</v>
      </c>
      <c r="BU208" s="1019">
        <v>0</v>
      </c>
      <c r="BV208" s="1019">
        <v>0</v>
      </c>
      <c r="BW208" s="1019">
        <v>0</v>
      </c>
      <c r="BX208" s="1019">
        <v>0</v>
      </c>
      <c r="BY208" s="1019">
        <v>0</v>
      </c>
      <c r="BZ208" s="111"/>
      <c r="CA208" s="111"/>
      <c r="CB208" s="111"/>
      <c r="CC208" s="111"/>
      <c r="CD208" s="111"/>
      <c r="CE208" s="111"/>
      <c r="CF208" s="111"/>
      <c r="CG208" s="111"/>
      <c r="CH208" s="111"/>
      <c r="CI208" s="111"/>
      <c r="CJ208" s="111"/>
      <c r="CK208" s="111"/>
      <c r="CL208" s="111"/>
      <c r="CM208" s="111"/>
      <c r="CN208" s="111"/>
      <c r="CO208" s="111"/>
      <c r="CP208" s="111"/>
      <c r="CQ208" s="111"/>
      <c r="CR208" s="111"/>
      <c r="CS208" s="111"/>
      <c r="CT208" s="111"/>
      <c r="CU208" s="111"/>
      <c r="CV208" s="111"/>
      <c r="CW208" s="111"/>
      <c r="CX208" s="111"/>
      <c r="CY208" s="111"/>
      <c r="CZ208" s="111"/>
      <c r="DA208" s="111"/>
      <c r="DB208" s="111"/>
      <c r="DC208" s="111"/>
      <c r="DD208" s="111"/>
      <c r="DE208" s="111"/>
      <c r="DF208" s="111"/>
      <c r="DG208" s="111"/>
      <c r="DH208" s="111"/>
      <c r="DI208" s="111"/>
      <c r="DJ208" s="111"/>
      <c r="DK208" s="111"/>
      <c r="DL208" s="111"/>
      <c r="DM208" s="111"/>
      <c r="DN208" s="111"/>
      <c r="DO208" s="111"/>
      <c r="DP208" s="111"/>
      <c r="DQ208" s="111"/>
      <c r="DR208" s="111"/>
      <c r="DS208" s="111"/>
      <c r="DT208" s="111"/>
      <c r="DU208" s="111"/>
      <c r="DV208" s="111"/>
      <c r="DW208" s="111"/>
      <c r="DX208" s="111"/>
      <c r="DY208" s="111"/>
    </row>
    <row r="209" spans="2:129" s="3" customFormat="1" ht="11.7" hidden="1" customHeight="1" outlineLevel="2" x14ac:dyDescent="0.3">
      <c r="B209" s="113" t="s">
        <v>703</v>
      </c>
      <c r="C209" s="230"/>
      <c r="G209" s="127"/>
      <c r="H209" s="127"/>
      <c r="I209" s="1019">
        <v>0</v>
      </c>
      <c r="J209" s="1019">
        <v>0</v>
      </c>
      <c r="K209" s="1019">
        <v>0</v>
      </c>
      <c r="L209" s="1019">
        <v>0</v>
      </c>
      <c r="M209" s="1019">
        <v>0</v>
      </c>
      <c r="N209" s="1019">
        <v>0</v>
      </c>
      <c r="O209" s="1019">
        <v>0</v>
      </c>
      <c r="P209" s="1019">
        <v>0</v>
      </c>
      <c r="Q209" s="1019">
        <v>0</v>
      </c>
      <c r="R209" s="1019">
        <v>0</v>
      </c>
      <c r="S209" s="1019">
        <v>0</v>
      </c>
      <c r="T209" s="1019">
        <v>0</v>
      </c>
      <c r="U209" s="1019">
        <v>0</v>
      </c>
      <c r="V209" s="1019">
        <v>0</v>
      </c>
      <c r="W209" s="1019">
        <v>0</v>
      </c>
      <c r="X209" s="1019">
        <v>0</v>
      </c>
      <c r="Y209" s="1019">
        <v>0</v>
      </c>
      <c r="Z209" s="1019">
        <v>0</v>
      </c>
      <c r="AA209" s="1019">
        <v>0</v>
      </c>
      <c r="AB209" s="1019">
        <v>0</v>
      </c>
      <c r="AC209" s="1019">
        <v>0</v>
      </c>
      <c r="AD209" s="1019">
        <v>0</v>
      </c>
      <c r="AE209" s="1019">
        <v>0</v>
      </c>
      <c r="AF209" s="1019">
        <v>0</v>
      </c>
      <c r="AG209" s="1019">
        <v>0</v>
      </c>
      <c r="AH209" s="1019">
        <v>0</v>
      </c>
      <c r="AI209" s="1019">
        <v>0</v>
      </c>
      <c r="AJ209" s="1019">
        <v>0</v>
      </c>
      <c r="AK209" s="1019">
        <v>0</v>
      </c>
      <c r="AL209" s="1019">
        <v>0</v>
      </c>
      <c r="AM209" s="1019">
        <v>0</v>
      </c>
      <c r="AN209" s="1019">
        <v>0</v>
      </c>
      <c r="AO209" s="1019">
        <v>0</v>
      </c>
      <c r="AP209" s="1019">
        <v>0</v>
      </c>
      <c r="AQ209" s="1019">
        <v>0</v>
      </c>
      <c r="AR209" s="1019">
        <v>0</v>
      </c>
      <c r="AS209" s="1019">
        <v>0</v>
      </c>
      <c r="AT209" s="1019">
        <v>0</v>
      </c>
      <c r="AU209" s="1019">
        <v>0</v>
      </c>
      <c r="AV209" s="1019">
        <v>0</v>
      </c>
      <c r="AW209" s="1019">
        <v>0</v>
      </c>
      <c r="AX209" s="1019">
        <v>0</v>
      </c>
      <c r="AY209" s="1019">
        <v>0</v>
      </c>
      <c r="AZ209" s="1019">
        <v>0</v>
      </c>
      <c r="BA209" s="1019">
        <v>0</v>
      </c>
      <c r="BB209" s="1019">
        <v>0</v>
      </c>
      <c r="BC209" s="1019">
        <v>0</v>
      </c>
      <c r="BD209" s="1019">
        <v>0</v>
      </c>
      <c r="BE209" s="1019">
        <v>0</v>
      </c>
      <c r="BF209" s="1019">
        <v>0</v>
      </c>
      <c r="BG209" s="1019">
        <v>0</v>
      </c>
      <c r="BH209" s="1019">
        <v>0</v>
      </c>
      <c r="BI209" s="1019">
        <v>119166</v>
      </c>
      <c r="BJ209" s="1019">
        <v>22295</v>
      </c>
      <c r="BK209" s="1019">
        <v>236984</v>
      </c>
      <c r="BL209" s="1019">
        <v>112077</v>
      </c>
      <c r="BM209" s="1019">
        <v>248787</v>
      </c>
      <c r="BN209" s="1019">
        <v>229983</v>
      </c>
      <c r="BO209" s="1019">
        <v>112910</v>
      </c>
      <c r="BP209" s="1019">
        <v>364390</v>
      </c>
      <c r="BQ209" s="1019">
        <v>69379</v>
      </c>
      <c r="BR209" s="1019">
        <v>-21282</v>
      </c>
      <c r="BS209" s="1019">
        <v>0</v>
      </c>
      <c r="BT209" s="1019">
        <v>0</v>
      </c>
      <c r="BU209" s="1019">
        <v>-525331</v>
      </c>
      <c r="BV209" s="1019">
        <v>0</v>
      </c>
      <c r="BW209" s="1019">
        <v>0</v>
      </c>
      <c r="BX209" s="1019">
        <v>0</v>
      </c>
      <c r="BY209" s="1019">
        <v>0</v>
      </c>
      <c r="BZ209" s="111"/>
      <c r="CA209" s="111"/>
      <c r="CB209" s="111"/>
      <c r="CC209" s="111"/>
      <c r="CD209" s="111"/>
      <c r="CE209" s="111"/>
      <c r="CF209" s="111"/>
      <c r="CG209" s="111"/>
      <c r="CH209" s="111"/>
      <c r="CI209" s="111"/>
      <c r="CJ209" s="111"/>
      <c r="CK209" s="111"/>
      <c r="CL209" s="111"/>
      <c r="CM209" s="111"/>
      <c r="CN209" s="111"/>
      <c r="CO209" s="111"/>
      <c r="CP209" s="111"/>
      <c r="CQ209" s="111"/>
      <c r="CR209" s="111"/>
      <c r="CS209" s="111"/>
      <c r="CT209" s="111"/>
      <c r="CU209" s="111"/>
      <c r="CV209" s="111"/>
      <c r="CW209" s="111"/>
      <c r="CX209" s="111"/>
      <c r="CY209" s="111"/>
      <c r="CZ209" s="111"/>
      <c r="DA209" s="111"/>
      <c r="DB209" s="111"/>
      <c r="DC209" s="111"/>
      <c r="DD209" s="111"/>
      <c r="DE209" s="111"/>
      <c r="DF209" s="111"/>
      <c r="DG209" s="111"/>
      <c r="DH209" s="111"/>
      <c r="DI209" s="111"/>
      <c r="DJ209" s="111"/>
      <c r="DK209" s="111"/>
      <c r="DL209" s="111"/>
      <c r="DM209" s="111"/>
      <c r="DN209" s="111"/>
      <c r="DO209" s="111"/>
      <c r="DP209" s="111"/>
      <c r="DQ209" s="111"/>
      <c r="DR209" s="111"/>
      <c r="DS209" s="111"/>
      <c r="DT209" s="111"/>
      <c r="DU209" s="111"/>
      <c r="DV209" s="111"/>
      <c r="DW209" s="111"/>
      <c r="DX209" s="111"/>
      <c r="DY209" s="111"/>
    </row>
    <row r="210" spans="2:129" s="3" customFormat="1" ht="11.7" hidden="1" customHeight="1" outlineLevel="2" x14ac:dyDescent="0.3">
      <c r="B210" s="113" t="s">
        <v>735</v>
      </c>
      <c r="C210" s="230"/>
      <c r="G210" s="127"/>
      <c r="H210" s="127"/>
      <c r="I210" s="1019">
        <v>0</v>
      </c>
      <c r="J210" s="1019">
        <v>0</v>
      </c>
      <c r="K210" s="1019">
        <v>0</v>
      </c>
      <c r="L210" s="1019">
        <v>0</v>
      </c>
      <c r="M210" s="1019">
        <v>0</v>
      </c>
      <c r="N210" s="1019">
        <v>0</v>
      </c>
      <c r="O210" s="1019">
        <v>0</v>
      </c>
      <c r="P210" s="1019">
        <v>0</v>
      </c>
      <c r="Q210" s="1019">
        <v>0</v>
      </c>
      <c r="R210" s="1019">
        <v>0</v>
      </c>
      <c r="S210" s="1019">
        <v>0</v>
      </c>
      <c r="T210" s="1019">
        <v>0</v>
      </c>
      <c r="U210" s="1019">
        <v>0</v>
      </c>
      <c r="V210" s="1019">
        <v>0</v>
      </c>
      <c r="W210" s="1019">
        <v>0</v>
      </c>
      <c r="X210" s="1019">
        <v>0</v>
      </c>
      <c r="Y210" s="1019">
        <v>0</v>
      </c>
      <c r="Z210" s="1019">
        <v>0</v>
      </c>
      <c r="AA210" s="1019">
        <v>0</v>
      </c>
      <c r="AB210" s="1019">
        <v>0</v>
      </c>
      <c r="AC210" s="1019">
        <v>0</v>
      </c>
      <c r="AD210" s="1019">
        <v>0</v>
      </c>
      <c r="AE210" s="1019">
        <v>0</v>
      </c>
      <c r="AF210" s="1019">
        <v>0</v>
      </c>
      <c r="AG210" s="1019">
        <v>0</v>
      </c>
      <c r="AH210" s="1019">
        <v>0</v>
      </c>
      <c r="AI210" s="1019">
        <v>0</v>
      </c>
      <c r="AJ210" s="1019">
        <v>0</v>
      </c>
      <c r="AK210" s="1019">
        <v>0</v>
      </c>
      <c r="AL210" s="1019">
        <v>0</v>
      </c>
      <c r="AM210" s="1019">
        <v>0</v>
      </c>
      <c r="AN210" s="1019">
        <v>0</v>
      </c>
      <c r="AO210" s="1019">
        <v>0</v>
      </c>
      <c r="AP210" s="1019">
        <v>0</v>
      </c>
      <c r="AQ210" s="1019">
        <v>0</v>
      </c>
      <c r="AR210" s="1019">
        <v>0</v>
      </c>
      <c r="AS210" s="1019">
        <v>0</v>
      </c>
      <c r="AT210" s="1019">
        <v>0</v>
      </c>
      <c r="AU210" s="1019">
        <v>0</v>
      </c>
      <c r="AV210" s="1019">
        <v>0</v>
      </c>
      <c r="AW210" s="1019">
        <v>0</v>
      </c>
      <c r="AX210" s="1019">
        <v>0</v>
      </c>
      <c r="AY210" s="1019">
        <v>0</v>
      </c>
      <c r="AZ210" s="1019">
        <v>0</v>
      </c>
      <c r="BA210" s="1019">
        <v>0</v>
      </c>
      <c r="BB210" s="1019">
        <v>0</v>
      </c>
      <c r="BC210" s="1019">
        <v>0</v>
      </c>
      <c r="BD210" s="1019">
        <v>0</v>
      </c>
      <c r="BE210" s="1019">
        <v>0</v>
      </c>
      <c r="BF210" s="1019">
        <v>0</v>
      </c>
      <c r="BG210" s="1019">
        <v>0</v>
      </c>
      <c r="BH210" s="1019">
        <v>0</v>
      </c>
      <c r="BI210" s="1019">
        <v>0</v>
      </c>
      <c r="BJ210" s="1019">
        <v>0</v>
      </c>
      <c r="BK210" s="1019">
        <v>0</v>
      </c>
      <c r="BL210" s="1019">
        <v>0</v>
      </c>
      <c r="BM210" s="1019">
        <v>0</v>
      </c>
      <c r="BN210" s="1019">
        <v>1388426</v>
      </c>
      <c r="BO210" s="1019">
        <v>0</v>
      </c>
      <c r="BP210" s="1019">
        <v>0</v>
      </c>
      <c r="BQ210" s="1019">
        <v>0</v>
      </c>
      <c r="BR210" s="1019">
        <v>0</v>
      </c>
      <c r="BS210" s="1019">
        <v>0</v>
      </c>
      <c r="BT210" s="1019">
        <v>0</v>
      </c>
      <c r="BU210" s="1019">
        <v>0</v>
      </c>
      <c r="BV210" s="1019">
        <v>0</v>
      </c>
      <c r="BW210" s="1019">
        <v>0</v>
      </c>
      <c r="BX210" s="1019">
        <v>0</v>
      </c>
      <c r="BY210" s="1019">
        <v>0</v>
      </c>
      <c r="BZ210" s="111"/>
      <c r="CA210" s="111"/>
      <c r="CB210" s="111"/>
      <c r="CC210" s="111"/>
      <c r="CD210" s="111"/>
      <c r="CE210" s="111"/>
      <c r="CF210" s="111"/>
      <c r="CG210" s="111"/>
      <c r="CH210" s="111"/>
      <c r="CI210" s="111"/>
      <c r="CJ210" s="111"/>
      <c r="CK210" s="111"/>
      <c r="CL210" s="111"/>
      <c r="CM210" s="111"/>
      <c r="CN210" s="111"/>
      <c r="CO210" s="111"/>
      <c r="CP210" s="111"/>
      <c r="CQ210" s="111"/>
      <c r="CR210" s="111"/>
      <c r="CS210" s="111"/>
      <c r="CT210" s="111"/>
      <c r="CU210" s="111"/>
      <c r="CV210" s="111"/>
      <c r="CW210" s="111"/>
      <c r="CX210" s="111"/>
      <c r="CY210" s="111"/>
      <c r="CZ210" s="111"/>
      <c r="DA210" s="111"/>
      <c r="DB210" s="111"/>
      <c r="DC210" s="111"/>
      <c r="DD210" s="111"/>
      <c r="DE210" s="111"/>
      <c r="DF210" s="111"/>
      <c r="DG210" s="111"/>
      <c r="DH210" s="111"/>
      <c r="DI210" s="111"/>
      <c r="DJ210" s="111"/>
      <c r="DK210" s="111"/>
      <c r="DL210" s="111"/>
      <c r="DM210" s="111"/>
      <c r="DN210" s="111"/>
      <c r="DO210" s="111"/>
      <c r="DP210" s="111"/>
      <c r="DQ210" s="111"/>
      <c r="DR210" s="111"/>
      <c r="DS210" s="111"/>
      <c r="DT210" s="111"/>
      <c r="DU210" s="111"/>
      <c r="DV210" s="111"/>
      <c r="DW210" s="111"/>
      <c r="DX210" s="111"/>
      <c r="DY210" s="111"/>
    </row>
    <row r="211" spans="2:129" s="3" customFormat="1" ht="11.7" hidden="1" customHeight="1" outlineLevel="2" x14ac:dyDescent="0.3">
      <c r="B211" s="113" t="s">
        <v>722</v>
      </c>
      <c r="C211" s="230"/>
      <c r="G211" s="127"/>
      <c r="H211" s="127"/>
      <c r="I211" s="1019">
        <v>0</v>
      </c>
      <c r="J211" s="1019">
        <v>0</v>
      </c>
      <c r="K211" s="1019">
        <v>0</v>
      </c>
      <c r="L211" s="1019">
        <v>0</v>
      </c>
      <c r="M211" s="1019">
        <v>0</v>
      </c>
      <c r="N211" s="1019">
        <v>0</v>
      </c>
      <c r="O211" s="1019">
        <v>0</v>
      </c>
      <c r="P211" s="1019">
        <v>0</v>
      </c>
      <c r="Q211" s="1019">
        <v>0</v>
      </c>
      <c r="R211" s="1019">
        <v>0</v>
      </c>
      <c r="S211" s="1019">
        <v>0</v>
      </c>
      <c r="T211" s="1019">
        <v>0</v>
      </c>
      <c r="U211" s="1019">
        <v>0</v>
      </c>
      <c r="V211" s="1019">
        <v>0</v>
      </c>
      <c r="W211" s="1019">
        <v>0</v>
      </c>
      <c r="X211" s="1019">
        <v>0</v>
      </c>
      <c r="Y211" s="1019">
        <v>0</v>
      </c>
      <c r="Z211" s="1019">
        <v>0</v>
      </c>
      <c r="AA211" s="1019">
        <v>0</v>
      </c>
      <c r="AB211" s="1019">
        <v>0</v>
      </c>
      <c r="AC211" s="1019">
        <v>0</v>
      </c>
      <c r="AD211" s="1019">
        <v>0</v>
      </c>
      <c r="AE211" s="1019">
        <v>0</v>
      </c>
      <c r="AF211" s="1019">
        <v>0</v>
      </c>
      <c r="AG211" s="1019">
        <v>0</v>
      </c>
      <c r="AH211" s="1019">
        <v>0</v>
      </c>
      <c r="AI211" s="1019">
        <v>0</v>
      </c>
      <c r="AJ211" s="1019">
        <v>0</v>
      </c>
      <c r="AK211" s="1019">
        <v>0</v>
      </c>
      <c r="AL211" s="1019">
        <v>0</v>
      </c>
      <c r="AM211" s="1019">
        <v>0</v>
      </c>
      <c r="AN211" s="1019">
        <v>0</v>
      </c>
      <c r="AO211" s="1019">
        <v>0</v>
      </c>
      <c r="AP211" s="1019">
        <v>0</v>
      </c>
      <c r="AQ211" s="1019">
        <v>0</v>
      </c>
      <c r="AR211" s="1019">
        <v>0</v>
      </c>
      <c r="AS211" s="1019">
        <v>0</v>
      </c>
      <c r="AT211" s="1019">
        <v>0</v>
      </c>
      <c r="AU211" s="1019">
        <v>0</v>
      </c>
      <c r="AV211" s="1019">
        <v>0</v>
      </c>
      <c r="AW211" s="1019">
        <v>0</v>
      </c>
      <c r="AX211" s="1019">
        <v>0</v>
      </c>
      <c r="AY211" s="1019">
        <v>0</v>
      </c>
      <c r="AZ211" s="1019">
        <v>0</v>
      </c>
      <c r="BA211" s="1019">
        <v>0</v>
      </c>
      <c r="BB211" s="1019">
        <v>0</v>
      </c>
      <c r="BC211" s="1019">
        <v>0</v>
      </c>
      <c r="BD211" s="1019">
        <v>0</v>
      </c>
      <c r="BE211" s="1019">
        <v>0</v>
      </c>
      <c r="BF211" s="1019">
        <v>0</v>
      </c>
      <c r="BG211" s="1019">
        <v>0</v>
      </c>
      <c r="BH211" s="1019">
        <v>0</v>
      </c>
      <c r="BI211" s="1019">
        <v>0</v>
      </c>
      <c r="BJ211" s="1019">
        <v>0</v>
      </c>
      <c r="BK211" s="1019">
        <v>0</v>
      </c>
      <c r="BL211" s="1019">
        <v>0</v>
      </c>
      <c r="BM211" s="1019">
        <v>0</v>
      </c>
      <c r="BN211" s="1019">
        <v>199000</v>
      </c>
      <c r="BO211" s="1019">
        <v>0</v>
      </c>
      <c r="BP211" s="1019">
        <v>0</v>
      </c>
      <c r="BQ211" s="1019">
        <v>291946</v>
      </c>
      <c r="BR211" s="1019">
        <v>-347416</v>
      </c>
      <c r="BS211" s="1019">
        <v>0</v>
      </c>
      <c r="BT211" s="1019">
        <v>0</v>
      </c>
      <c r="BU211" s="1019">
        <v>0</v>
      </c>
      <c r="BV211" s="1019">
        <v>0</v>
      </c>
      <c r="BW211" s="1019">
        <v>0</v>
      </c>
      <c r="BX211" s="1019">
        <v>0</v>
      </c>
      <c r="BY211" s="1019">
        <v>42717</v>
      </c>
      <c r="BZ211" s="111"/>
      <c r="CA211" s="111"/>
      <c r="CB211" s="111"/>
      <c r="CC211" s="111"/>
      <c r="CD211" s="111"/>
      <c r="CE211" s="111"/>
      <c r="CF211" s="111"/>
      <c r="CG211" s="111"/>
      <c r="CH211" s="111"/>
      <c r="CI211" s="111"/>
      <c r="CJ211" s="111"/>
      <c r="CK211" s="111"/>
      <c r="CL211" s="111"/>
      <c r="CM211" s="111"/>
      <c r="CN211" s="111"/>
      <c r="CO211" s="111"/>
      <c r="CP211" s="111"/>
      <c r="CQ211" s="111"/>
      <c r="CR211" s="111"/>
      <c r="CS211" s="111"/>
      <c r="CT211" s="111"/>
      <c r="CU211" s="111"/>
      <c r="CV211" s="111"/>
      <c r="CW211" s="111"/>
      <c r="CX211" s="111"/>
      <c r="CY211" s="111"/>
      <c r="CZ211" s="111"/>
      <c r="DA211" s="111"/>
      <c r="DB211" s="111"/>
      <c r="DC211" s="111"/>
      <c r="DD211" s="111"/>
      <c r="DE211" s="111"/>
      <c r="DF211" s="111"/>
      <c r="DG211" s="111"/>
      <c r="DH211" s="111"/>
      <c r="DI211" s="111"/>
      <c r="DJ211" s="111"/>
      <c r="DK211" s="111"/>
      <c r="DL211" s="111"/>
      <c r="DM211" s="111"/>
      <c r="DN211" s="111"/>
      <c r="DO211" s="111"/>
      <c r="DP211" s="111"/>
      <c r="DQ211" s="111"/>
      <c r="DR211" s="111"/>
      <c r="DS211" s="111"/>
      <c r="DT211" s="111"/>
      <c r="DU211" s="111"/>
      <c r="DV211" s="111"/>
      <c r="DW211" s="111"/>
      <c r="DX211" s="111"/>
      <c r="DY211" s="111"/>
    </row>
    <row r="212" spans="2:129" s="3" customFormat="1" ht="11.7" hidden="1" customHeight="1" outlineLevel="2" x14ac:dyDescent="0.3">
      <c r="B212" s="113" t="s">
        <v>704</v>
      </c>
      <c r="C212" s="230"/>
      <c r="G212" s="127"/>
      <c r="H212" s="127"/>
      <c r="I212" s="1019">
        <v>0</v>
      </c>
      <c r="J212" s="1019">
        <v>0</v>
      </c>
      <c r="K212" s="1019">
        <v>0</v>
      </c>
      <c r="L212" s="1019">
        <v>0</v>
      </c>
      <c r="M212" s="1019">
        <v>0</v>
      </c>
      <c r="N212" s="1019">
        <v>0</v>
      </c>
      <c r="O212" s="1019">
        <v>0</v>
      </c>
      <c r="P212" s="1019">
        <v>0</v>
      </c>
      <c r="Q212" s="1019">
        <v>0</v>
      </c>
      <c r="R212" s="1019">
        <v>0</v>
      </c>
      <c r="S212" s="1019">
        <v>0</v>
      </c>
      <c r="T212" s="1019">
        <v>0</v>
      </c>
      <c r="U212" s="1019">
        <v>0</v>
      </c>
      <c r="V212" s="1019">
        <v>0</v>
      </c>
      <c r="W212" s="1019">
        <v>0</v>
      </c>
      <c r="X212" s="1019">
        <v>0</v>
      </c>
      <c r="Y212" s="1019">
        <v>0</v>
      </c>
      <c r="Z212" s="1019">
        <v>0</v>
      </c>
      <c r="AA212" s="1019">
        <v>0</v>
      </c>
      <c r="AB212" s="1019">
        <v>0</v>
      </c>
      <c r="AC212" s="1019">
        <v>0</v>
      </c>
      <c r="AD212" s="1019">
        <v>0</v>
      </c>
      <c r="AE212" s="1019">
        <v>0</v>
      </c>
      <c r="AF212" s="1019">
        <v>0</v>
      </c>
      <c r="AG212" s="1019">
        <v>0</v>
      </c>
      <c r="AH212" s="1019">
        <v>0</v>
      </c>
      <c r="AI212" s="1019">
        <v>0</v>
      </c>
      <c r="AJ212" s="1019">
        <v>0</v>
      </c>
      <c r="AK212" s="1019">
        <v>0</v>
      </c>
      <c r="AL212" s="1019">
        <v>0</v>
      </c>
      <c r="AM212" s="1019">
        <v>0</v>
      </c>
      <c r="AN212" s="1019">
        <v>0</v>
      </c>
      <c r="AO212" s="1019">
        <v>0</v>
      </c>
      <c r="AP212" s="1019">
        <v>0</v>
      </c>
      <c r="AQ212" s="1019">
        <v>0</v>
      </c>
      <c r="AR212" s="1019">
        <v>0</v>
      </c>
      <c r="AS212" s="1019">
        <v>0</v>
      </c>
      <c r="AT212" s="1019">
        <v>0</v>
      </c>
      <c r="AU212" s="1019">
        <v>0</v>
      </c>
      <c r="AV212" s="1019">
        <v>0</v>
      </c>
      <c r="AW212" s="1019">
        <v>0</v>
      </c>
      <c r="AX212" s="1019">
        <v>0</v>
      </c>
      <c r="AY212" s="1019">
        <v>0</v>
      </c>
      <c r="AZ212" s="1019">
        <v>0</v>
      </c>
      <c r="BA212" s="1019">
        <v>0</v>
      </c>
      <c r="BB212" s="1019">
        <v>0</v>
      </c>
      <c r="BC212" s="1019">
        <v>0</v>
      </c>
      <c r="BD212" s="1019">
        <v>0</v>
      </c>
      <c r="BE212" s="1019">
        <v>0</v>
      </c>
      <c r="BF212" s="1019">
        <v>0</v>
      </c>
      <c r="BG212" s="1019">
        <v>0</v>
      </c>
      <c r="BH212" s="1019">
        <v>0</v>
      </c>
      <c r="BI212" s="1019">
        <v>2676386</v>
      </c>
      <c r="BJ212" s="1019">
        <v>19749</v>
      </c>
      <c r="BK212" s="1019">
        <v>215762</v>
      </c>
      <c r="BL212" s="1019">
        <v>25733</v>
      </c>
      <c r="BM212" s="1019">
        <v>2290799</v>
      </c>
      <c r="BN212" s="1019">
        <v>539140</v>
      </c>
      <c r="BO212" s="1019">
        <v>4629384</v>
      </c>
      <c r="BP212" s="1019">
        <v>488512</v>
      </c>
      <c r="BQ212" s="1019">
        <v>528109</v>
      </c>
      <c r="BR212" s="1019">
        <v>869476</v>
      </c>
      <c r="BS212" s="1019">
        <f>17923+193657</f>
        <v>211580</v>
      </c>
      <c r="BT212" s="1019">
        <v>1185222</v>
      </c>
      <c r="BU212" s="1019">
        <f>648452+4208613</f>
        <v>4857065</v>
      </c>
      <c r="BV212" s="1019">
        <v>-1220385</v>
      </c>
      <c r="BW212" s="1019">
        <f>4118+1360936</f>
        <v>1365054</v>
      </c>
      <c r="BX212" s="1019">
        <v>892107</v>
      </c>
      <c r="BY212" s="1019">
        <v>0</v>
      </c>
      <c r="BZ212" s="111"/>
      <c r="CA212" s="111"/>
      <c r="CB212" s="111"/>
      <c r="CC212" s="111"/>
      <c r="CD212" s="111"/>
      <c r="CE212" s="111"/>
      <c r="CF212" s="111"/>
      <c r="CG212" s="111"/>
      <c r="CH212" s="111"/>
      <c r="CI212" s="111"/>
      <c r="CJ212" s="111"/>
      <c r="CK212" s="111"/>
      <c r="CL212" s="111"/>
      <c r="CM212" s="111"/>
      <c r="CN212" s="111"/>
      <c r="CO212" s="111"/>
      <c r="CP212" s="111"/>
      <c r="CQ212" s="111"/>
      <c r="CR212" s="111"/>
      <c r="CS212" s="111"/>
      <c r="CT212" s="111"/>
      <c r="CU212" s="111"/>
      <c r="CV212" s="111"/>
      <c r="CW212" s="111"/>
      <c r="CX212" s="111"/>
      <c r="CY212" s="111"/>
      <c r="CZ212" s="111"/>
      <c r="DA212" s="111"/>
      <c r="DB212" s="111"/>
      <c r="DC212" s="111"/>
      <c r="DD212" s="111"/>
      <c r="DE212" s="111"/>
      <c r="DF212" s="111"/>
      <c r="DG212" s="111"/>
      <c r="DH212" s="111"/>
      <c r="DI212" s="111"/>
      <c r="DJ212" s="111"/>
      <c r="DK212" s="111"/>
      <c r="DL212" s="111"/>
      <c r="DM212" s="111"/>
      <c r="DN212" s="111"/>
      <c r="DO212" s="111"/>
      <c r="DP212" s="111"/>
      <c r="DQ212" s="111"/>
      <c r="DR212" s="111"/>
      <c r="DS212" s="111"/>
      <c r="DT212" s="111"/>
      <c r="DU212" s="111"/>
      <c r="DV212" s="111"/>
      <c r="DW212" s="111"/>
      <c r="DX212" s="111"/>
      <c r="DY212" s="111"/>
    </row>
    <row r="213" spans="2:129" s="3" customFormat="1" ht="11.7" hidden="1" customHeight="1" outlineLevel="2" x14ac:dyDescent="0.3">
      <c r="B213" s="113" t="s">
        <v>785</v>
      </c>
      <c r="C213" s="230"/>
      <c r="G213" s="127"/>
      <c r="H213" s="127"/>
      <c r="I213" s="1019">
        <v>0</v>
      </c>
      <c r="J213" s="1019">
        <v>0</v>
      </c>
      <c r="K213" s="1019">
        <v>0</v>
      </c>
      <c r="L213" s="1019">
        <v>0</v>
      </c>
      <c r="M213" s="1019">
        <v>0</v>
      </c>
      <c r="N213" s="1019">
        <v>0</v>
      </c>
      <c r="O213" s="1019">
        <v>0</v>
      </c>
      <c r="P213" s="1019">
        <v>0</v>
      </c>
      <c r="Q213" s="1019">
        <v>0</v>
      </c>
      <c r="R213" s="1019">
        <v>0</v>
      </c>
      <c r="S213" s="1019">
        <v>0</v>
      </c>
      <c r="T213" s="1019">
        <v>0</v>
      </c>
      <c r="U213" s="1019">
        <v>0</v>
      </c>
      <c r="V213" s="1019">
        <v>0</v>
      </c>
      <c r="W213" s="1019">
        <v>0</v>
      </c>
      <c r="X213" s="1019">
        <v>0</v>
      </c>
      <c r="Y213" s="1019">
        <v>0</v>
      </c>
      <c r="Z213" s="1019">
        <v>0</v>
      </c>
      <c r="AA213" s="1019">
        <v>0</v>
      </c>
      <c r="AB213" s="1019">
        <v>0</v>
      </c>
      <c r="AC213" s="1019">
        <v>0</v>
      </c>
      <c r="AD213" s="1019">
        <v>0</v>
      </c>
      <c r="AE213" s="1019">
        <v>0</v>
      </c>
      <c r="AF213" s="1019">
        <v>0</v>
      </c>
      <c r="AG213" s="1019">
        <v>0</v>
      </c>
      <c r="AH213" s="1019">
        <v>0</v>
      </c>
      <c r="AI213" s="1019">
        <v>0</v>
      </c>
      <c r="AJ213" s="1019">
        <v>0</v>
      </c>
      <c r="AK213" s="1019">
        <v>0</v>
      </c>
      <c r="AL213" s="1019">
        <v>0</v>
      </c>
      <c r="AM213" s="1019">
        <v>0</v>
      </c>
      <c r="AN213" s="1019">
        <v>0</v>
      </c>
      <c r="AO213" s="1019">
        <v>0</v>
      </c>
      <c r="AP213" s="1019">
        <v>0</v>
      </c>
      <c r="AQ213" s="1019">
        <v>0</v>
      </c>
      <c r="AR213" s="1019">
        <v>0</v>
      </c>
      <c r="AS213" s="1019">
        <v>0</v>
      </c>
      <c r="AT213" s="1019">
        <v>0</v>
      </c>
      <c r="AU213" s="1019">
        <v>0</v>
      </c>
      <c r="AV213" s="1019">
        <v>0</v>
      </c>
      <c r="AW213" s="1019">
        <v>0</v>
      </c>
      <c r="AX213" s="1019">
        <v>0</v>
      </c>
      <c r="AY213" s="1019">
        <v>0</v>
      </c>
      <c r="AZ213" s="1019">
        <v>0</v>
      </c>
      <c r="BA213" s="1019">
        <v>0</v>
      </c>
      <c r="BB213" s="1019">
        <v>0</v>
      </c>
      <c r="BC213" s="1019">
        <v>0</v>
      </c>
      <c r="BD213" s="1019">
        <v>0</v>
      </c>
      <c r="BE213" s="1019">
        <v>0</v>
      </c>
      <c r="BF213" s="1019">
        <v>0</v>
      </c>
      <c r="BG213" s="1019">
        <v>0</v>
      </c>
      <c r="BH213" s="1019">
        <v>0</v>
      </c>
      <c r="BI213" s="1019">
        <v>0</v>
      </c>
      <c r="BJ213" s="1019">
        <v>0</v>
      </c>
      <c r="BK213" s="1019">
        <v>0</v>
      </c>
      <c r="BL213" s="1019">
        <v>0</v>
      </c>
      <c r="BM213" s="1019">
        <v>0</v>
      </c>
      <c r="BN213" s="1019">
        <v>0</v>
      </c>
      <c r="BO213" s="1019">
        <v>0</v>
      </c>
      <c r="BP213" s="1019">
        <v>0</v>
      </c>
      <c r="BQ213" s="1019">
        <v>0</v>
      </c>
      <c r="BR213" s="1019">
        <v>0</v>
      </c>
      <c r="BS213" s="1019">
        <v>0</v>
      </c>
      <c r="BT213" s="1019">
        <v>52016</v>
      </c>
      <c r="BU213" s="1019">
        <v>0</v>
      </c>
      <c r="BV213" s="1019">
        <v>0</v>
      </c>
      <c r="BW213" s="1019">
        <v>0</v>
      </c>
      <c r="BX213" s="1019">
        <v>0</v>
      </c>
      <c r="BY213" s="1019">
        <v>0</v>
      </c>
      <c r="BZ213" s="111"/>
      <c r="CA213" s="111"/>
      <c r="CB213" s="111"/>
      <c r="CC213" s="111"/>
      <c r="CD213" s="111"/>
      <c r="CE213" s="111"/>
      <c r="CF213" s="111"/>
      <c r="CG213" s="111"/>
      <c r="CH213" s="111"/>
      <c r="CI213" s="111"/>
      <c r="CJ213" s="111"/>
      <c r="CK213" s="111"/>
      <c r="CL213" s="111"/>
      <c r="CM213" s="111"/>
      <c r="CN213" s="111"/>
      <c r="CO213" s="111"/>
      <c r="CP213" s="111"/>
      <c r="CQ213" s="111"/>
      <c r="CR213" s="111"/>
      <c r="CS213" s="111"/>
      <c r="CT213" s="111"/>
      <c r="CU213" s="111"/>
      <c r="CV213" s="111"/>
      <c r="CW213" s="111"/>
      <c r="CX213" s="111"/>
      <c r="CY213" s="111"/>
      <c r="CZ213" s="111"/>
      <c r="DA213" s="111"/>
      <c r="DB213" s="111"/>
      <c r="DC213" s="111"/>
      <c r="DD213" s="111"/>
      <c r="DE213" s="111"/>
      <c r="DF213" s="111"/>
      <c r="DG213" s="111"/>
      <c r="DH213" s="111"/>
      <c r="DI213" s="111"/>
      <c r="DJ213" s="111"/>
      <c r="DK213" s="111"/>
      <c r="DL213" s="111"/>
      <c r="DM213" s="111"/>
      <c r="DN213" s="111"/>
      <c r="DO213" s="111"/>
      <c r="DP213" s="111"/>
      <c r="DQ213" s="111"/>
      <c r="DR213" s="111"/>
      <c r="DS213" s="111"/>
      <c r="DT213" s="111"/>
      <c r="DU213" s="111"/>
      <c r="DV213" s="111"/>
      <c r="DW213" s="111"/>
      <c r="DX213" s="111"/>
      <c r="DY213" s="111"/>
    </row>
    <row r="214" spans="2:129" s="3" customFormat="1" ht="11.7" hidden="1" customHeight="1" outlineLevel="2" x14ac:dyDescent="0.3">
      <c r="B214" s="113" t="s">
        <v>777</v>
      </c>
      <c r="C214" s="230"/>
      <c r="G214" s="127"/>
      <c r="H214" s="127"/>
      <c r="I214" s="1019">
        <v>0</v>
      </c>
      <c r="J214" s="1019">
        <v>0</v>
      </c>
      <c r="K214" s="1019">
        <v>0</v>
      </c>
      <c r="L214" s="1019">
        <v>0</v>
      </c>
      <c r="M214" s="1019">
        <v>0</v>
      </c>
      <c r="N214" s="1019">
        <v>0</v>
      </c>
      <c r="O214" s="1019">
        <v>0</v>
      </c>
      <c r="P214" s="1019">
        <v>0</v>
      </c>
      <c r="Q214" s="1019">
        <v>0</v>
      </c>
      <c r="R214" s="1019">
        <v>0</v>
      </c>
      <c r="S214" s="1019">
        <v>0</v>
      </c>
      <c r="T214" s="1019">
        <v>0</v>
      </c>
      <c r="U214" s="1019">
        <v>0</v>
      </c>
      <c r="V214" s="1019">
        <v>0</v>
      </c>
      <c r="W214" s="1019">
        <v>0</v>
      </c>
      <c r="X214" s="1019">
        <v>0</v>
      </c>
      <c r="Y214" s="1019">
        <v>0</v>
      </c>
      <c r="Z214" s="1019">
        <v>0</v>
      </c>
      <c r="AA214" s="1019">
        <v>0</v>
      </c>
      <c r="AB214" s="1019">
        <v>0</v>
      </c>
      <c r="AC214" s="1019">
        <v>0</v>
      </c>
      <c r="AD214" s="1019">
        <v>0</v>
      </c>
      <c r="AE214" s="1019">
        <v>0</v>
      </c>
      <c r="AF214" s="1019">
        <v>0</v>
      </c>
      <c r="AG214" s="1019">
        <v>0</v>
      </c>
      <c r="AH214" s="1019">
        <v>0</v>
      </c>
      <c r="AI214" s="1019">
        <v>0</v>
      </c>
      <c r="AJ214" s="1019">
        <v>0</v>
      </c>
      <c r="AK214" s="1019">
        <v>0</v>
      </c>
      <c r="AL214" s="1019">
        <v>0</v>
      </c>
      <c r="AM214" s="1019">
        <v>0</v>
      </c>
      <c r="AN214" s="1019">
        <v>0</v>
      </c>
      <c r="AO214" s="1019">
        <v>0</v>
      </c>
      <c r="AP214" s="1019">
        <v>0</v>
      </c>
      <c r="AQ214" s="1019">
        <v>0</v>
      </c>
      <c r="AR214" s="1019">
        <v>0</v>
      </c>
      <c r="AS214" s="1019">
        <v>0</v>
      </c>
      <c r="AT214" s="1019">
        <v>0</v>
      </c>
      <c r="AU214" s="1019">
        <v>0</v>
      </c>
      <c r="AV214" s="1019">
        <v>0</v>
      </c>
      <c r="AW214" s="1019">
        <v>0</v>
      </c>
      <c r="AX214" s="1019">
        <v>0</v>
      </c>
      <c r="AY214" s="1019">
        <v>0</v>
      </c>
      <c r="AZ214" s="1019">
        <v>0</v>
      </c>
      <c r="BA214" s="1019">
        <v>0</v>
      </c>
      <c r="BB214" s="1019">
        <v>0</v>
      </c>
      <c r="BC214" s="1019">
        <v>0</v>
      </c>
      <c r="BD214" s="1019">
        <v>0</v>
      </c>
      <c r="BE214" s="1019">
        <v>0</v>
      </c>
      <c r="BF214" s="1019">
        <v>0</v>
      </c>
      <c r="BG214" s="1019">
        <v>0</v>
      </c>
      <c r="BH214" s="1019">
        <v>0</v>
      </c>
      <c r="BI214" s="1019">
        <v>0</v>
      </c>
      <c r="BJ214" s="1019">
        <v>0</v>
      </c>
      <c r="BK214" s="1019">
        <v>0</v>
      </c>
      <c r="BL214" s="1019">
        <v>0</v>
      </c>
      <c r="BM214" s="1019">
        <v>0</v>
      </c>
      <c r="BN214" s="1019">
        <v>0</v>
      </c>
      <c r="BO214" s="1019">
        <v>0</v>
      </c>
      <c r="BP214" s="1019">
        <v>106650</v>
      </c>
      <c r="BQ214" s="1019">
        <v>0</v>
      </c>
      <c r="BR214" s="1019">
        <v>0</v>
      </c>
      <c r="BS214" s="1019">
        <v>0</v>
      </c>
      <c r="BT214" s="1019">
        <v>618683</v>
      </c>
      <c r="BU214" s="1019">
        <v>0</v>
      </c>
      <c r="BV214" s="1019">
        <v>0</v>
      </c>
      <c r="BW214" s="1019">
        <v>0</v>
      </c>
      <c r="BX214" s="1019">
        <v>0</v>
      </c>
      <c r="BY214" s="1019">
        <v>0</v>
      </c>
      <c r="BZ214" s="111"/>
      <c r="CA214" s="111"/>
      <c r="CB214" s="111"/>
      <c r="CC214" s="111"/>
      <c r="CD214" s="111"/>
      <c r="CE214" s="111"/>
      <c r="CF214" s="111"/>
      <c r="CG214" s="111"/>
      <c r="CH214" s="111"/>
      <c r="CI214" s="111"/>
      <c r="CJ214" s="111"/>
      <c r="CK214" s="111"/>
      <c r="CL214" s="111"/>
      <c r="CM214" s="111"/>
      <c r="CN214" s="111"/>
      <c r="CO214" s="111"/>
      <c r="CP214" s="111"/>
      <c r="CQ214" s="111"/>
      <c r="CR214" s="111"/>
      <c r="CS214" s="111"/>
      <c r="CT214" s="111"/>
      <c r="CU214" s="111"/>
      <c r="CV214" s="111"/>
      <c r="CW214" s="111"/>
      <c r="CX214" s="111"/>
      <c r="CY214" s="111"/>
      <c r="CZ214" s="111"/>
      <c r="DA214" s="111"/>
      <c r="DB214" s="111"/>
      <c r="DC214" s="111"/>
      <c r="DD214" s="111"/>
      <c r="DE214" s="111"/>
      <c r="DF214" s="111"/>
      <c r="DG214" s="111"/>
      <c r="DH214" s="111"/>
      <c r="DI214" s="111"/>
      <c r="DJ214" s="111"/>
      <c r="DK214" s="111"/>
      <c r="DL214" s="111"/>
      <c r="DM214" s="111"/>
      <c r="DN214" s="111"/>
      <c r="DO214" s="111"/>
      <c r="DP214" s="111"/>
      <c r="DQ214" s="111"/>
      <c r="DR214" s="111"/>
      <c r="DS214" s="111"/>
      <c r="DT214" s="111"/>
      <c r="DU214" s="111"/>
      <c r="DV214" s="111"/>
      <c r="DW214" s="111"/>
      <c r="DX214" s="111"/>
      <c r="DY214" s="111"/>
    </row>
    <row r="215" spans="2:129" s="3" customFormat="1" ht="11.7" hidden="1" customHeight="1" outlineLevel="2" x14ac:dyDescent="0.3">
      <c r="B215" s="113" t="s">
        <v>705</v>
      </c>
      <c r="C215" s="230"/>
      <c r="G215" s="127"/>
      <c r="H215" s="127"/>
      <c r="I215" s="1019">
        <v>0</v>
      </c>
      <c r="J215" s="1019">
        <v>0</v>
      </c>
      <c r="K215" s="1019">
        <v>0</v>
      </c>
      <c r="L215" s="1019">
        <v>0</v>
      </c>
      <c r="M215" s="1019">
        <v>0</v>
      </c>
      <c r="N215" s="1019">
        <v>0</v>
      </c>
      <c r="O215" s="1019">
        <v>0</v>
      </c>
      <c r="P215" s="1019">
        <v>0</v>
      </c>
      <c r="Q215" s="1019">
        <v>0</v>
      </c>
      <c r="R215" s="1019">
        <v>0</v>
      </c>
      <c r="S215" s="1019">
        <v>0</v>
      </c>
      <c r="T215" s="1019">
        <v>0</v>
      </c>
      <c r="U215" s="1019">
        <v>0</v>
      </c>
      <c r="V215" s="1019">
        <v>0</v>
      </c>
      <c r="W215" s="1019">
        <v>0</v>
      </c>
      <c r="X215" s="1019">
        <v>0</v>
      </c>
      <c r="Y215" s="1019">
        <v>0</v>
      </c>
      <c r="Z215" s="1019">
        <v>0</v>
      </c>
      <c r="AA215" s="1019">
        <v>0</v>
      </c>
      <c r="AB215" s="1019">
        <v>0</v>
      </c>
      <c r="AC215" s="1019">
        <v>0</v>
      </c>
      <c r="AD215" s="1019">
        <v>0</v>
      </c>
      <c r="AE215" s="1019">
        <v>0</v>
      </c>
      <c r="AF215" s="1019">
        <v>0</v>
      </c>
      <c r="AG215" s="1019">
        <v>0</v>
      </c>
      <c r="AH215" s="1019">
        <v>0</v>
      </c>
      <c r="AI215" s="1019">
        <v>0</v>
      </c>
      <c r="AJ215" s="1019">
        <v>0</v>
      </c>
      <c r="AK215" s="1019">
        <v>0</v>
      </c>
      <c r="AL215" s="1019">
        <v>0</v>
      </c>
      <c r="AM215" s="1019">
        <v>0</v>
      </c>
      <c r="AN215" s="1019">
        <v>0</v>
      </c>
      <c r="AO215" s="1019">
        <v>0</v>
      </c>
      <c r="AP215" s="1019">
        <v>0</v>
      </c>
      <c r="AQ215" s="1019">
        <v>0</v>
      </c>
      <c r="AR215" s="1019">
        <v>0</v>
      </c>
      <c r="AS215" s="1019">
        <v>0</v>
      </c>
      <c r="AT215" s="1019">
        <v>0</v>
      </c>
      <c r="AU215" s="1019">
        <v>0</v>
      </c>
      <c r="AV215" s="1019">
        <v>0</v>
      </c>
      <c r="AW215" s="1019">
        <v>0</v>
      </c>
      <c r="AX215" s="1019">
        <v>0</v>
      </c>
      <c r="AY215" s="1019">
        <v>0</v>
      </c>
      <c r="AZ215" s="1019">
        <v>0</v>
      </c>
      <c r="BA215" s="1019">
        <v>0</v>
      </c>
      <c r="BB215" s="1019">
        <v>0</v>
      </c>
      <c r="BC215" s="1019">
        <v>0</v>
      </c>
      <c r="BD215" s="1019">
        <v>0</v>
      </c>
      <c r="BE215" s="1019">
        <v>0</v>
      </c>
      <c r="BF215" s="1019">
        <v>0</v>
      </c>
      <c r="BG215" s="1019">
        <v>0</v>
      </c>
      <c r="BH215" s="1019">
        <v>0</v>
      </c>
      <c r="BI215" s="1019">
        <v>0</v>
      </c>
      <c r="BJ215" s="1019">
        <v>0</v>
      </c>
      <c r="BK215" s="1019">
        <v>0</v>
      </c>
      <c r="BL215" s="1019">
        <v>0</v>
      </c>
      <c r="BM215" s="1019">
        <v>1631566</v>
      </c>
      <c r="BN215" s="1019">
        <v>0</v>
      </c>
      <c r="BO215" s="1019">
        <v>0</v>
      </c>
      <c r="BP215" s="1019">
        <v>58000</v>
      </c>
      <c r="BQ215" s="1019">
        <v>0</v>
      </c>
      <c r="BR215" s="1019">
        <v>0</v>
      </c>
      <c r="BS215" s="1019">
        <v>0</v>
      </c>
      <c r="BT215" s="1019">
        <v>5699901</v>
      </c>
      <c r="BU215" s="1019">
        <v>0</v>
      </c>
      <c r="BV215" s="1019">
        <v>0</v>
      </c>
      <c r="BW215" s="1019">
        <v>0</v>
      </c>
      <c r="BX215" s="1019">
        <v>0</v>
      </c>
      <c r="BY215" s="1019">
        <v>0</v>
      </c>
      <c r="BZ215" s="111"/>
      <c r="CA215" s="111"/>
      <c r="CB215" s="111"/>
      <c r="CC215" s="111"/>
      <c r="CD215" s="111"/>
      <c r="CE215" s="111"/>
      <c r="CF215" s="111"/>
      <c r="CG215" s="111"/>
      <c r="CH215" s="111"/>
      <c r="CI215" s="111"/>
      <c r="CJ215" s="111"/>
      <c r="CK215" s="111"/>
      <c r="CL215" s="111"/>
      <c r="CM215" s="111"/>
      <c r="CN215" s="111"/>
      <c r="CO215" s="111"/>
      <c r="CP215" s="111"/>
      <c r="CQ215" s="111"/>
      <c r="CR215" s="111"/>
      <c r="CS215" s="111"/>
      <c r="CT215" s="111"/>
      <c r="CU215" s="111"/>
      <c r="CV215" s="111"/>
      <c r="CW215" s="111"/>
      <c r="CX215" s="111"/>
      <c r="CY215" s="111"/>
      <c r="CZ215" s="111"/>
      <c r="DA215" s="111"/>
      <c r="DB215" s="111"/>
      <c r="DC215" s="111"/>
      <c r="DD215" s="111"/>
      <c r="DE215" s="111"/>
      <c r="DF215" s="111"/>
      <c r="DG215" s="111"/>
      <c r="DH215" s="111"/>
      <c r="DI215" s="111"/>
      <c r="DJ215" s="111"/>
      <c r="DK215" s="111"/>
      <c r="DL215" s="111"/>
      <c r="DM215" s="111"/>
      <c r="DN215" s="111"/>
      <c r="DO215" s="111"/>
      <c r="DP215" s="111"/>
      <c r="DQ215" s="111"/>
      <c r="DR215" s="111"/>
      <c r="DS215" s="111"/>
      <c r="DT215" s="111"/>
      <c r="DU215" s="111"/>
      <c r="DV215" s="111"/>
      <c r="DW215" s="111"/>
      <c r="DX215" s="111"/>
      <c r="DY215" s="111"/>
    </row>
    <row r="216" spans="2:129" s="3" customFormat="1" ht="11.7" hidden="1" customHeight="1" outlineLevel="2" x14ac:dyDescent="0.3">
      <c r="B216" s="113" t="s">
        <v>779</v>
      </c>
      <c r="C216" s="230"/>
      <c r="G216" s="127"/>
      <c r="H216" s="127"/>
      <c r="I216" s="1019">
        <v>0</v>
      </c>
      <c r="J216" s="1019">
        <v>0</v>
      </c>
      <c r="K216" s="1019">
        <v>0</v>
      </c>
      <c r="L216" s="1019">
        <v>0</v>
      </c>
      <c r="M216" s="1019">
        <v>0</v>
      </c>
      <c r="N216" s="1019">
        <v>0</v>
      </c>
      <c r="O216" s="1019">
        <v>0</v>
      </c>
      <c r="P216" s="1019">
        <v>0</v>
      </c>
      <c r="Q216" s="1019">
        <v>0</v>
      </c>
      <c r="R216" s="1019">
        <v>0</v>
      </c>
      <c r="S216" s="1019">
        <v>0</v>
      </c>
      <c r="T216" s="1019">
        <v>0</v>
      </c>
      <c r="U216" s="1019">
        <v>0</v>
      </c>
      <c r="V216" s="1019">
        <v>0</v>
      </c>
      <c r="W216" s="1019">
        <v>0</v>
      </c>
      <c r="X216" s="1019">
        <v>0</v>
      </c>
      <c r="Y216" s="1019">
        <v>0</v>
      </c>
      <c r="Z216" s="1019">
        <v>0</v>
      </c>
      <c r="AA216" s="1019">
        <v>0</v>
      </c>
      <c r="AB216" s="1019">
        <v>0</v>
      </c>
      <c r="AC216" s="1019">
        <v>0</v>
      </c>
      <c r="AD216" s="1019">
        <v>0</v>
      </c>
      <c r="AE216" s="1019">
        <v>0</v>
      </c>
      <c r="AF216" s="1019">
        <v>0</v>
      </c>
      <c r="AG216" s="1019">
        <v>0</v>
      </c>
      <c r="AH216" s="1019">
        <v>0</v>
      </c>
      <c r="AI216" s="1019">
        <v>0</v>
      </c>
      <c r="AJ216" s="1019">
        <v>0</v>
      </c>
      <c r="AK216" s="1019">
        <v>0</v>
      </c>
      <c r="AL216" s="1019">
        <v>0</v>
      </c>
      <c r="AM216" s="1019">
        <v>0</v>
      </c>
      <c r="AN216" s="1019">
        <v>0</v>
      </c>
      <c r="AO216" s="1019">
        <v>0</v>
      </c>
      <c r="AP216" s="1019">
        <v>0</v>
      </c>
      <c r="AQ216" s="1019">
        <v>0</v>
      </c>
      <c r="AR216" s="1019">
        <v>0</v>
      </c>
      <c r="AS216" s="1019">
        <v>0</v>
      </c>
      <c r="AT216" s="1019">
        <v>0</v>
      </c>
      <c r="AU216" s="1019">
        <v>0</v>
      </c>
      <c r="AV216" s="1019">
        <v>0</v>
      </c>
      <c r="AW216" s="1019">
        <v>0</v>
      </c>
      <c r="AX216" s="1019">
        <v>0</v>
      </c>
      <c r="AY216" s="1019">
        <v>0</v>
      </c>
      <c r="AZ216" s="1019">
        <v>0</v>
      </c>
      <c r="BA216" s="1019">
        <v>0</v>
      </c>
      <c r="BB216" s="1019">
        <v>0</v>
      </c>
      <c r="BC216" s="1019">
        <v>0</v>
      </c>
      <c r="BD216" s="1019">
        <v>0</v>
      </c>
      <c r="BE216" s="1019">
        <v>0</v>
      </c>
      <c r="BF216" s="1019">
        <v>0</v>
      </c>
      <c r="BG216" s="1019">
        <v>0</v>
      </c>
      <c r="BH216" s="1019">
        <v>0</v>
      </c>
      <c r="BI216" s="1019">
        <v>0</v>
      </c>
      <c r="BJ216" s="1019">
        <v>0</v>
      </c>
      <c r="BK216" s="1019">
        <v>0</v>
      </c>
      <c r="BL216" s="1019">
        <v>0</v>
      </c>
      <c r="BM216" s="1019">
        <v>0</v>
      </c>
      <c r="BN216" s="1019">
        <v>0</v>
      </c>
      <c r="BO216" s="1019">
        <v>0</v>
      </c>
      <c r="BP216" s="1019">
        <v>0</v>
      </c>
      <c r="BQ216" s="1019">
        <v>0</v>
      </c>
      <c r="BR216" s="1019">
        <v>0</v>
      </c>
      <c r="BS216" s="1019">
        <v>-7851</v>
      </c>
      <c r="BT216" s="1019">
        <v>0</v>
      </c>
      <c r="BU216" s="1019">
        <v>0</v>
      </c>
      <c r="BV216" s="1019">
        <v>0</v>
      </c>
      <c r="BW216" s="1019">
        <v>0</v>
      </c>
      <c r="BX216" s="1019">
        <v>0</v>
      </c>
      <c r="BY216" s="1019">
        <v>0</v>
      </c>
      <c r="BZ216" s="111" t="s">
        <v>797</v>
      </c>
      <c r="CA216" s="111"/>
      <c r="CB216" s="111"/>
      <c r="CC216" s="111"/>
      <c r="CD216" s="111"/>
      <c r="CE216" s="111"/>
      <c r="CF216" s="111"/>
      <c r="CG216" s="111"/>
      <c r="CH216" s="111"/>
      <c r="CI216" s="111"/>
      <c r="CJ216" s="111"/>
      <c r="CK216" s="111"/>
      <c r="CL216" s="111"/>
      <c r="CM216" s="111"/>
      <c r="CN216" s="111"/>
      <c r="CO216" s="111"/>
      <c r="CP216" s="111"/>
      <c r="CQ216" s="111"/>
      <c r="CR216" s="111"/>
      <c r="CS216" s="111"/>
      <c r="CT216" s="111"/>
      <c r="CU216" s="111"/>
      <c r="CV216" s="111"/>
      <c r="CW216" s="111"/>
      <c r="CX216" s="111"/>
      <c r="CY216" s="111"/>
      <c r="CZ216" s="111"/>
      <c r="DA216" s="111"/>
      <c r="DB216" s="111"/>
      <c r="DC216" s="111"/>
      <c r="DD216" s="111"/>
      <c r="DE216" s="111"/>
      <c r="DF216" s="111"/>
      <c r="DG216" s="111"/>
      <c r="DH216" s="111"/>
      <c r="DI216" s="111"/>
      <c r="DJ216" s="111"/>
      <c r="DK216" s="111"/>
      <c r="DL216" s="111"/>
      <c r="DM216" s="111"/>
      <c r="DN216" s="111"/>
      <c r="DO216" s="111"/>
      <c r="DP216" s="111"/>
      <c r="DQ216" s="111"/>
      <c r="DR216" s="111"/>
      <c r="DS216" s="111"/>
      <c r="DT216" s="111"/>
      <c r="DU216" s="111"/>
      <c r="DV216" s="111"/>
      <c r="DW216" s="111"/>
      <c r="DX216" s="111"/>
      <c r="DY216" s="111"/>
    </row>
    <row r="217" spans="2:129" s="3" customFormat="1" ht="11.7" hidden="1" customHeight="1" outlineLevel="2" x14ac:dyDescent="0.3">
      <c r="B217" s="113" t="s">
        <v>744</v>
      </c>
      <c r="C217" s="230"/>
      <c r="G217" s="127"/>
      <c r="H217" s="127"/>
      <c r="I217" s="1019">
        <v>0</v>
      </c>
      <c r="J217" s="1019">
        <v>0</v>
      </c>
      <c r="K217" s="1019">
        <v>0</v>
      </c>
      <c r="L217" s="1019">
        <v>0</v>
      </c>
      <c r="M217" s="1019">
        <v>0</v>
      </c>
      <c r="N217" s="1019">
        <v>0</v>
      </c>
      <c r="O217" s="1019">
        <v>0</v>
      </c>
      <c r="P217" s="1019">
        <v>0</v>
      </c>
      <c r="Q217" s="1019">
        <v>0</v>
      </c>
      <c r="R217" s="1019">
        <v>0</v>
      </c>
      <c r="S217" s="1019">
        <v>0</v>
      </c>
      <c r="T217" s="1019">
        <v>0</v>
      </c>
      <c r="U217" s="1019">
        <v>0</v>
      </c>
      <c r="V217" s="1019">
        <v>0</v>
      </c>
      <c r="W217" s="1019">
        <v>0</v>
      </c>
      <c r="X217" s="1019">
        <v>0</v>
      </c>
      <c r="Y217" s="1019">
        <v>0</v>
      </c>
      <c r="Z217" s="1019">
        <v>0</v>
      </c>
      <c r="AA217" s="1019">
        <v>0</v>
      </c>
      <c r="AB217" s="1019">
        <v>0</v>
      </c>
      <c r="AC217" s="1019">
        <v>0</v>
      </c>
      <c r="AD217" s="1019">
        <v>0</v>
      </c>
      <c r="AE217" s="1019">
        <v>0</v>
      </c>
      <c r="AF217" s="1019">
        <v>0</v>
      </c>
      <c r="AG217" s="1019">
        <v>0</v>
      </c>
      <c r="AH217" s="1019">
        <v>0</v>
      </c>
      <c r="AI217" s="1019">
        <v>0</v>
      </c>
      <c r="AJ217" s="1019">
        <v>0</v>
      </c>
      <c r="AK217" s="1019">
        <v>0</v>
      </c>
      <c r="AL217" s="1019">
        <v>0</v>
      </c>
      <c r="AM217" s="1019">
        <v>0</v>
      </c>
      <c r="AN217" s="1019">
        <v>0</v>
      </c>
      <c r="AO217" s="1019">
        <v>0</v>
      </c>
      <c r="AP217" s="1019">
        <v>0</v>
      </c>
      <c r="AQ217" s="1019">
        <v>0</v>
      </c>
      <c r="AR217" s="1019">
        <v>0</v>
      </c>
      <c r="AS217" s="1019">
        <v>0</v>
      </c>
      <c r="AT217" s="1019">
        <v>0</v>
      </c>
      <c r="AU217" s="1019">
        <v>0</v>
      </c>
      <c r="AV217" s="1019">
        <v>0</v>
      </c>
      <c r="AW217" s="1019">
        <v>0</v>
      </c>
      <c r="AX217" s="1019">
        <v>0</v>
      </c>
      <c r="AY217" s="1019">
        <v>0</v>
      </c>
      <c r="AZ217" s="1019">
        <v>0</v>
      </c>
      <c r="BA217" s="1019">
        <v>0</v>
      </c>
      <c r="BB217" s="1019">
        <v>0</v>
      </c>
      <c r="BC217" s="1019">
        <v>0</v>
      </c>
      <c r="BD217" s="1019">
        <v>0</v>
      </c>
      <c r="BE217" s="1019">
        <v>0</v>
      </c>
      <c r="BF217" s="1019">
        <v>0</v>
      </c>
      <c r="BG217" s="1019">
        <v>0</v>
      </c>
      <c r="BH217" s="1019">
        <v>0</v>
      </c>
      <c r="BI217" s="1019">
        <v>0</v>
      </c>
      <c r="BJ217" s="1019">
        <v>0</v>
      </c>
      <c r="BK217" s="1019">
        <v>0</v>
      </c>
      <c r="BL217" s="1019">
        <v>0</v>
      </c>
      <c r="BM217" s="1019">
        <v>0</v>
      </c>
      <c r="BN217" s="1019">
        <v>0</v>
      </c>
      <c r="BO217" s="1019">
        <v>246919</v>
      </c>
      <c r="BP217" s="1019">
        <v>0</v>
      </c>
      <c r="BQ217" s="1019">
        <v>14600</v>
      </c>
      <c r="BR217" s="1019">
        <v>0</v>
      </c>
      <c r="BS217" s="1019">
        <v>0</v>
      </c>
      <c r="BT217" s="1019">
        <v>0</v>
      </c>
      <c r="BU217" s="1019">
        <v>0</v>
      </c>
      <c r="BV217" s="1019">
        <v>0</v>
      </c>
      <c r="BW217" s="1019">
        <v>0</v>
      </c>
      <c r="BX217" s="1019">
        <v>0</v>
      </c>
      <c r="BY217" s="1019">
        <v>0</v>
      </c>
      <c r="BZ217" s="111"/>
      <c r="CA217" s="111"/>
      <c r="CB217" s="111"/>
      <c r="CC217" s="111"/>
      <c r="CD217" s="111"/>
      <c r="CE217" s="111"/>
      <c r="CF217" s="111"/>
      <c r="CG217" s="111"/>
      <c r="CH217" s="111"/>
      <c r="CI217" s="111"/>
      <c r="CJ217" s="111"/>
      <c r="CK217" s="111"/>
      <c r="CL217" s="111"/>
      <c r="CM217" s="111"/>
      <c r="CN217" s="111"/>
      <c r="CO217" s="111"/>
      <c r="CP217" s="111"/>
      <c r="CQ217" s="111"/>
      <c r="CR217" s="111"/>
      <c r="CS217" s="111"/>
      <c r="CT217" s="111"/>
      <c r="CU217" s="111"/>
      <c r="CV217" s="111"/>
      <c r="CW217" s="111"/>
      <c r="CX217" s="111"/>
      <c r="CY217" s="111"/>
      <c r="CZ217" s="111"/>
      <c r="DA217" s="111"/>
      <c r="DB217" s="111"/>
      <c r="DC217" s="111"/>
      <c r="DD217" s="111"/>
      <c r="DE217" s="111"/>
      <c r="DF217" s="111"/>
      <c r="DG217" s="111"/>
      <c r="DH217" s="111"/>
      <c r="DI217" s="111"/>
      <c r="DJ217" s="111"/>
      <c r="DK217" s="111"/>
      <c r="DL217" s="111"/>
      <c r="DM217" s="111"/>
      <c r="DN217" s="111"/>
      <c r="DO217" s="111"/>
      <c r="DP217" s="111"/>
      <c r="DQ217" s="111"/>
      <c r="DR217" s="111"/>
      <c r="DS217" s="111"/>
      <c r="DT217" s="111"/>
      <c r="DU217" s="111"/>
      <c r="DV217" s="111"/>
      <c r="DW217" s="111"/>
      <c r="DX217" s="111"/>
      <c r="DY217" s="111"/>
    </row>
    <row r="218" spans="2:129" s="3" customFormat="1" ht="11.7" hidden="1" customHeight="1" outlineLevel="2" x14ac:dyDescent="0.3">
      <c r="B218" s="113"/>
      <c r="C218" s="230"/>
      <c r="G218" s="127"/>
      <c r="H218" s="127"/>
      <c r="I218" s="1019"/>
      <c r="J218" s="1019"/>
      <c r="K218" s="1019"/>
      <c r="L218" s="1019"/>
      <c r="M218" s="1019"/>
      <c r="N218" s="1019"/>
      <c r="O218" s="1019"/>
      <c r="P218" s="1019"/>
      <c r="Q218" s="1019"/>
      <c r="R218" s="1019"/>
      <c r="S218" s="1019"/>
      <c r="T218" s="1019"/>
      <c r="U218" s="1019"/>
      <c r="V218" s="1019"/>
      <c r="W218" s="1019"/>
      <c r="X218" s="1019"/>
      <c r="Y218" s="1019"/>
      <c r="Z218" s="1019"/>
      <c r="AA218" s="1019"/>
      <c r="AB218" s="1019"/>
      <c r="AC218" s="1019"/>
      <c r="AD218" s="1019"/>
      <c r="AE218" s="1019"/>
      <c r="AF218" s="1019"/>
      <c r="AG218" s="1019"/>
      <c r="AH218" s="1019"/>
      <c r="AI218" s="1019"/>
      <c r="AJ218" s="1019"/>
      <c r="AK218" s="1019"/>
      <c r="AL218" s="1019"/>
      <c r="AM218" s="1019"/>
      <c r="AN218" s="1019"/>
      <c r="AO218" s="1019"/>
      <c r="AP218" s="1019"/>
      <c r="AQ218" s="1019"/>
      <c r="AR218" s="1019"/>
      <c r="AS218" s="1019"/>
      <c r="AT218" s="1019"/>
      <c r="AU218" s="1019"/>
      <c r="AV218" s="1019"/>
      <c r="AW218" s="1019"/>
      <c r="AX218" s="1019"/>
      <c r="AY218" s="1019"/>
      <c r="AZ218" s="1019"/>
      <c r="BA218" s="1019"/>
      <c r="BB218" s="1019"/>
      <c r="BC218" s="1019"/>
      <c r="BD218" s="1019"/>
      <c r="BE218" s="1019"/>
      <c r="BF218" s="1019"/>
      <c r="BG218" s="1019"/>
      <c r="BH218" s="1019"/>
      <c r="BI218" s="1019"/>
      <c r="BJ218" s="1019"/>
      <c r="BK218" s="1019"/>
      <c r="BL218" s="1019"/>
      <c r="BM218" s="1019"/>
      <c r="BN218" s="1019"/>
      <c r="BO218" s="1019"/>
      <c r="BP218" s="1019"/>
      <c r="BQ218" s="1019"/>
      <c r="BR218" s="1019"/>
      <c r="BS218" s="1019"/>
      <c r="BT218" s="1019"/>
      <c r="BU218" s="1019"/>
      <c r="BV218" s="1019"/>
      <c r="BW218" s="1019"/>
      <c r="BX218" s="1019"/>
      <c r="BY218" s="1019"/>
      <c r="BZ218" s="111"/>
      <c r="CA218" s="111"/>
      <c r="CB218" s="111"/>
      <c r="CC218" s="111"/>
      <c r="CD218" s="111"/>
      <c r="CE218" s="111"/>
      <c r="CF218" s="111"/>
      <c r="CG218" s="111"/>
      <c r="CH218" s="111"/>
      <c r="CI218" s="111"/>
      <c r="CJ218" s="111"/>
      <c r="CK218" s="111"/>
      <c r="CL218" s="111"/>
      <c r="CM218" s="111"/>
      <c r="CN218" s="111"/>
      <c r="CO218" s="111"/>
      <c r="CP218" s="111"/>
      <c r="CQ218" s="111"/>
      <c r="CR218" s="111"/>
      <c r="CS218" s="111"/>
      <c r="CT218" s="111"/>
      <c r="CU218" s="111"/>
      <c r="CV218" s="111"/>
      <c r="CW218" s="111"/>
      <c r="CX218" s="111"/>
      <c r="CY218" s="111"/>
      <c r="CZ218" s="111"/>
      <c r="DA218" s="111"/>
      <c r="DB218" s="111"/>
      <c r="DC218" s="111"/>
      <c r="DD218" s="111"/>
      <c r="DE218" s="111"/>
      <c r="DF218" s="111"/>
      <c r="DG218" s="111"/>
      <c r="DH218" s="111"/>
      <c r="DI218" s="111"/>
      <c r="DJ218" s="111"/>
      <c r="DK218" s="111"/>
      <c r="DL218" s="111"/>
      <c r="DM218" s="111"/>
      <c r="DN218" s="111"/>
      <c r="DO218" s="111"/>
      <c r="DP218" s="111"/>
      <c r="DQ218" s="111"/>
      <c r="DR218" s="111"/>
      <c r="DS218" s="111"/>
      <c r="DT218" s="111"/>
      <c r="DU218" s="111"/>
      <c r="DV218" s="111"/>
      <c r="DW218" s="111"/>
      <c r="DX218" s="111"/>
      <c r="DY218" s="111"/>
    </row>
    <row r="219" spans="2:129" s="3" customFormat="1" ht="11.7" hidden="1" customHeight="1" outlineLevel="2" x14ac:dyDescent="0.3">
      <c r="B219" s="195" t="s">
        <v>323</v>
      </c>
      <c r="C219" s="230"/>
      <c r="G219" s="127"/>
      <c r="H219" s="127"/>
      <c r="I219" s="1019"/>
      <c r="J219" s="1019"/>
      <c r="K219" s="1019"/>
      <c r="L219" s="1019"/>
      <c r="M219" s="1019"/>
      <c r="N219" s="1019"/>
      <c r="O219" s="1019"/>
      <c r="P219" s="1019"/>
      <c r="Q219" s="1019"/>
      <c r="R219" s="1019"/>
      <c r="S219" s="1019"/>
      <c r="T219" s="1019"/>
      <c r="U219" s="1019"/>
      <c r="V219" s="1019"/>
      <c r="W219" s="1019"/>
      <c r="X219" s="1019"/>
      <c r="Y219" s="1019"/>
      <c r="Z219" s="1019"/>
      <c r="AA219" s="1019"/>
      <c r="AB219" s="1019"/>
      <c r="AC219" s="1019"/>
      <c r="AD219" s="1019"/>
      <c r="AE219" s="1019"/>
      <c r="AF219" s="1019"/>
      <c r="AG219" s="1019"/>
      <c r="AH219" s="1019"/>
      <c r="AI219" s="1019"/>
      <c r="AJ219" s="1019"/>
      <c r="AK219" s="1019"/>
      <c r="AL219" s="1019"/>
      <c r="AM219" s="1019"/>
      <c r="AN219" s="1019"/>
      <c r="AO219" s="1019"/>
      <c r="AP219" s="1019"/>
      <c r="AQ219" s="1019"/>
      <c r="AR219" s="1019"/>
      <c r="AS219" s="1019"/>
      <c r="AT219" s="1019"/>
      <c r="AU219" s="1019"/>
      <c r="AV219" s="1019"/>
      <c r="AW219" s="1019"/>
      <c r="AX219" s="1019"/>
      <c r="AY219" s="1019"/>
      <c r="AZ219" s="1019"/>
      <c r="BA219" s="1019"/>
      <c r="BB219" s="1019"/>
      <c r="BC219" s="1019"/>
      <c r="BD219" s="1019"/>
      <c r="BE219" s="1019"/>
      <c r="BF219" s="1019"/>
      <c r="BG219" s="1019"/>
      <c r="BH219" s="1019"/>
      <c r="BI219" s="1019"/>
      <c r="BJ219" s="1019"/>
      <c r="BK219" s="1019"/>
      <c r="BL219" s="1019"/>
      <c r="BM219" s="1019"/>
      <c r="BN219" s="1019"/>
      <c r="BO219" s="1019"/>
      <c r="BP219" s="1019"/>
      <c r="BQ219" s="1019"/>
      <c r="BR219" s="1019"/>
      <c r="BS219" s="1019"/>
      <c r="BT219" s="1019"/>
      <c r="BU219" s="1019"/>
      <c r="BV219" s="1019"/>
      <c r="BW219" s="1019"/>
      <c r="BX219" s="1019"/>
      <c r="BY219" s="1019"/>
      <c r="BZ219" s="111"/>
      <c r="CA219" s="111"/>
      <c r="CB219" s="111"/>
      <c r="CC219" s="111"/>
      <c r="CD219" s="111"/>
      <c r="CE219" s="111"/>
      <c r="CF219" s="111"/>
      <c r="CG219" s="111"/>
      <c r="CH219" s="111"/>
      <c r="CI219" s="111"/>
      <c r="CJ219" s="111"/>
      <c r="CK219" s="111"/>
      <c r="CL219" s="111"/>
      <c r="CM219" s="111"/>
      <c r="CN219" s="111"/>
      <c r="CO219" s="111"/>
      <c r="CP219" s="111"/>
      <c r="CQ219" s="111"/>
      <c r="CR219" s="111"/>
      <c r="CS219" s="111"/>
      <c r="CT219" s="111"/>
      <c r="CU219" s="111"/>
      <c r="CV219" s="111"/>
      <c r="CW219" s="111"/>
      <c r="CX219" s="111"/>
      <c r="CY219" s="111"/>
      <c r="CZ219" s="111"/>
      <c r="DA219" s="111"/>
      <c r="DB219" s="111"/>
      <c r="DC219" s="111"/>
      <c r="DD219" s="111"/>
      <c r="DE219" s="111"/>
      <c r="DF219" s="111"/>
      <c r="DG219" s="111"/>
      <c r="DH219" s="111"/>
      <c r="DI219" s="111"/>
      <c r="DJ219" s="111"/>
      <c r="DK219" s="111"/>
      <c r="DL219" s="111"/>
      <c r="DM219" s="111"/>
      <c r="DN219" s="111"/>
      <c r="DO219" s="111"/>
      <c r="DP219" s="111"/>
      <c r="DQ219" s="111"/>
      <c r="DR219" s="111"/>
      <c r="DS219" s="111"/>
      <c r="DT219" s="111"/>
      <c r="DU219" s="111"/>
      <c r="DV219" s="111"/>
      <c r="DW219" s="111"/>
      <c r="DX219" s="111"/>
      <c r="DY219" s="111"/>
    </row>
    <row r="220" spans="2:129" s="3" customFormat="1" ht="11.7" hidden="1" customHeight="1" outlineLevel="2" x14ac:dyDescent="0.3">
      <c r="B220" s="113" t="s">
        <v>706</v>
      </c>
      <c r="C220" s="230"/>
      <c r="G220" s="127"/>
      <c r="H220" s="127"/>
      <c r="I220" s="1019">
        <v>0</v>
      </c>
      <c r="J220" s="1019">
        <v>0</v>
      </c>
      <c r="K220" s="1019">
        <v>0</v>
      </c>
      <c r="L220" s="1019">
        <v>0</v>
      </c>
      <c r="M220" s="1019">
        <v>0</v>
      </c>
      <c r="N220" s="1019">
        <v>0</v>
      </c>
      <c r="O220" s="1019">
        <v>0</v>
      </c>
      <c r="P220" s="1019">
        <v>0</v>
      </c>
      <c r="Q220" s="1019">
        <v>0</v>
      </c>
      <c r="R220" s="1019">
        <v>0</v>
      </c>
      <c r="S220" s="1019">
        <v>0</v>
      </c>
      <c r="T220" s="1019">
        <v>0</v>
      </c>
      <c r="U220" s="1019">
        <v>0</v>
      </c>
      <c r="V220" s="1019">
        <v>0</v>
      </c>
      <c r="W220" s="1019">
        <v>0</v>
      </c>
      <c r="X220" s="1019">
        <v>0</v>
      </c>
      <c r="Y220" s="1019">
        <v>0</v>
      </c>
      <c r="Z220" s="1019">
        <v>0</v>
      </c>
      <c r="AA220" s="1019">
        <v>0</v>
      </c>
      <c r="AB220" s="1019">
        <v>0</v>
      </c>
      <c r="AC220" s="1019">
        <v>0</v>
      </c>
      <c r="AD220" s="1019">
        <v>0</v>
      </c>
      <c r="AE220" s="1019">
        <v>0</v>
      </c>
      <c r="AF220" s="1019">
        <v>0</v>
      </c>
      <c r="AG220" s="1019">
        <v>0</v>
      </c>
      <c r="AH220" s="1019">
        <v>0</v>
      </c>
      <c r="AI220" s="1019">
        <v>0</v>
      </c>
      <c r="AJ220" s="1019">
        <v>0</v>
      </c>
      <c r="AK220" s="1019">
        <v>0</v>
      </c>
      <c r="AL220" s="1019">
        <v>0</v>
      </c>
      <c r="AM220" s="1019">
        <v>0</v>
      </c>
      <c r="AN220" s="1019">
        <v>0</v>
      </c>
      <c r="AO220" s="1019">
        <v>0</v>
      </c>
      <c r="AP220" s="1019">
        <v>0</v>
      </c>
      <c r="AQ220" s="1019">
        <v>0</v>
      </c>
      <c r="AR220" s="1019">
        <v>0</v>
      </c>
      <c r="AS220" s="1019">
        <v>0</v>
      </c>
      <c r="AT220" s="1019">
        <v>0</v>
      </c>
      <c r="AU220" s="1019">
        <v>0</v>
      </c>
      <c r="AV220" s="1019">
        <v>0</v>
      </c>
      <c r="AW220" s="1019">
        <v>0</v>
      </c>
      <c r="AX220" s="1019">
        <v>0</v>
      </c>
      <c r="AY220" s="1019">
        <v>0</v>
      </c>
      <c r="AZ220" s="1019">
        <v>0</v>
      </c>
      <c r="BA220" s="1019">
        <v>0</v>
      </c>
      <c r="BB220" s="1019">
        <v>0</v>
      </c>
      <c r="BC220" s="1019">
        <v>0</v>
      </c>
      <c r="BD220" s="1019">
        <v>0</v>
      </c>
      <c r="BE220" s="1019">
        <v>0</v>
      </c>
      <c r="BF220" s="1019">
        <v>0</v>
      </c>
      <c r="BG220" s="1019">
        <v>0</v>
      </c>
      <c r="BH220" s="1019">
        <v>0</v>
      </c>
      <c r="BI220" s="1019">
        <v>0</v>
      </c>
      <c r="BJ220" s="1019">
        <v>0</v>
      </c>
      <c r="BK220" s="1019">
        <v>0</v>
      </c>
      <c r="BL220" s="1019">
        <v>7422821</v>
      </c>
      <c r="BM220" s="1019">
        <v>0</v>
      </c>
      <c r="BN220" s="1019">
        <v>0</v>
      </c>
      <c r="BO220" s="1019">
        <v>7545517</v>
      </c>
      <c r="BP220" s="1019">
        <v>0</v>
      </c>
      <c r="BQ220" s="1019">
        <v>8018101</v>
      </c>
      <c r="BR220" s="1019">
        <v>0</v>
      </c>
      <c r="BS220" s="1019">
        <v>-21048342</v>
      </c>
      <c r="BT220" s="1019">
        <v>183689</v>
      </c>
      <c r="BU220" s="1019">
        <v>0</v>
      </c>
      <c r="BV220" s="1019">
        <v>0</v>
      </c>
      <c r="BW220" s="1019">
        <v>0</v>
      </c>
      <c r="BX220" s="1019">
        <v>29988724</v>
      </c>
      <c r="BY220" s="1019">
        <v>0</v>
      </c>
      <c r="BZ220" s="111"/>
      <c r="CA220" s="111"/>
      <c r="CB220" s="111"/>
      <c r="CC220" s="111"/>
      <c r="CD220" s="111"/>
      <c r="CE220" s="111"/>
      <c r="CF220" s="111"/>
      <c r="CG220" s="111"/>
      <c r="CH220" s="111"/>
      <c r="CI220" s="111"/>
      <c r="CJ220" s="111"/>
      <c r="CK220" s="111"/>
      <c r="CL220" s="111"/>
      <c r="CM220" s="111"/>
      <c r="CN220" s="111"/>
      <c r="CO220" s="111"/>
      <c r="CP220" s="111"/>
      <c r="CQ220" s="111"/>
      <c r="CR220" s="111"/>
      <c r="CS220" s="111"/>
      <c r="CT220" s="111"/>
      <c r="CU220" s="111"/>
      <c r="CV220" s="111"/>
      <c r="CW220" s="111"/>
      <c r="CX220" s="111"/>
      <c r="CY220" s="111"/>
      <c r="CZ220" s="111"/>
      <c r="DA220" s="111"/>
      <c r="DB220" s="111"/>
      <c r="DC220" s="111"/>
      <c r="DD220" s="111"/>
      <c r="DE220" s="111"/>
      <c r="DF220" s="111"/>
      <c r="DG220" s="111"/>
      <c r="DH220" s="111"/>
      <c r="DI220" s="111"/>
      <c r="DJ220" s="111"/>
      <c r="DK220" s="111"/>
      <c r="DL220" s="111"/>
      <c r="DM220" s="111"/>
      <c r="DN220" s="111"/>
      <c r="DO220" s="111"/>
      <c r="DP220" s="111"/>
      <c r="DQ220" s="111"/>
      <c r="DR220" s="111"/>
      <c r="DS220" s="111"/>
      <c r="DT220" s="111"/>
      <c r="DU220" s="111"/>
      <c r="DV220" s="111"/>
      <c r="DW220" s="111"/>
      <c r="DX220" s="111"/>
      <c r="DY220" s="111"/>
    </row>
    <row r="221" spans="2:129" s="3" customFormat="1" ht="11.7" hidden="1" customHeight="1" outlineLevel="2" x14ac:dyDescent="0.3">
      <c r="B221" s="113"/>
      <c r="C221" s="230"/>
      <c r="G221" s="127"/>
      <c r="H221" s="127"/>
      <c r="I221" s="1019"/>
      <c r="J221" s="1019"/>
      <c r="K221" s="1019"/>
      <c r="L221" s="1019"/>
      <c r="M221" s="1019"/>
      <c r="N221" s="1019"/>
      <c r="O221" s="1019"/>
      <c r="P221" s="1019"/>
      <c r="Q221" s="1019"/>
      <c r="R221" s="1019"/>
      <c r="S221" s="1019"/>
      <c r="T221" s="1019"/>
      <c r="U221" s="1019"/>
      <c r="V221" s="1019"/>
      <c r="W221" s="1019"/>
      <c r="X221" s="1019"/>
      <c r="Y221" s="1019"/>
      <c r="Z221" s="1019"/>
      <c r="AA221" s="1019"/>
      <c r="AB221" s="1019"/>
      <c r="AC221" s="1019"/>
      <c r="AD221" s="1019"/>
      <c r="AE221" s="1019"/>
      <c r="AF221" s="1019"/>
      <c r="AG221" s="1019"/>
      <c r="AH221" s="1019"/>
      <c r="AI221" s="1019"/>
      <c r="AJ221" s="1019"/>
      <c r="AK221" s="1019"/>
      <c r="AL221" s="1019"/>
      <c r="AM221" s="1019"/>
      <c r="AN221" s="1019"/>
      <c r="AO221" s="1019"/>
      <c r="AP221" s="1019"/>
      <c r="AQ221" s="1019"/>
      <c r="AR221" s="1019"/>
      <c r="AS221" s="1019"/>
      <c r="AT221" s="1019"/>
      <c r="AU221" s="1019"/>
      <c r="AV221" s="1019"/>
      <c r="AW221" s="1019"/>
      <c r="AX221" s="1019"/>
      <c r="AY221" s="1019"/>
      <c r="AZ221" s="1019"/>
      <c r="BA221" s="1019"/>
      <c r="BB221" s="1019"/>
      <c r="BC221" s="1019"/>
      <c r="BD221" s="1019"/>
      <c r="BE221" s="1019"/>
      <c r="BF221" s="1019"/>
      <c r="BG221" s="1019"/>
      <c r="BH221" s="1019"/>
      <c r="BI221" s="1019"/>
      <c r="BJ221" s="1019"/>
      <c r="BK221" s="1019"/>
      <c r="BL221" s="1019"/>
      <c r="BM221" s="1019"/>
      <c r="BN221" s="1019"/>
      <c r="BO221" s="1019"/>
      <c r="BP221" s="1019"/>
      <c r="BQ221" s="1019"/>
      <c r="BR221" s="1019"/>
      <c r="BS221" s="1019"/>
      <c r="BT221" s="1019"/>
      <c r="BU221" s="1019"/>
      <c r="BV221" s="1019"/>
      <c r="BW221" s="1019"/>
      <c r="BX221" s="1019"/>
      <c r="BY221" s="1019"/>
      <c r="BZ221" s="111"/>
      <c r="CA221" s="111"/>
      <c r="CB221" s="111"/>
      <c r="CC221" s="111"/>
      <c r="CD221" s="111"/>
      <c r="CE221" s="111"/>
      <c r="CF221" s="111"/>
      <c r="CG221" s="111"/>
      <c r="CH221" s="111"/>
      <c r="CI221" s="111"/>
      <c r="CJ221" s="111"/>
      <c r="CK221" s="111"/>
      <c r="CL221" s="111"/>
      <c r="CM221" s="111"/>
      <c r="CN221" s="111"/>
      <c r="CO221" s="111"/>
      <c r="CP221" s="111"/>
      <c r="CQ221" s="111"/>
      <c r="CR221" s="111"/>
      <c r="CS221" s="111"/>
      <c r="CT221" s="111"/>
      <c r="CU221" s="111"/>
      <c r="CV221" s="111"/>
      <c r="CW221" s="111"/>
      <c r="CX221" s="111"/>
      <c r="CY221" s="111"/>
      <c r="CZ221" s="111"/>
      <c r="DA221" s="111"/>
      <c r="DB221" s="111"/>
      <c r="DC221" s="111"/>
      <c r="DD221" s="111"/>
      <c r="DE221" s="111"/>
      <c r="DF221" s="111"/>
      <c r="DG221" s="111"/>
      <c r="DH221" s="111"/>
      <c r="DI221" s="111"/>
      <c r="DJ221" s="111"/>
      <c r="DK221" s="111"/>
      <c r="DL221" s="111"/>
      <c r="DM221" s="111"/>
      <c r="DN221" s="111"/>
      <c r="DO221" s="111"/>
      <c r="DP221" s="111"/>
      <c r="DQ221" s="111"/>
      <c r="DR221" s="111"/>
      <c r="DS221" s="111"/>
      <c r="DT221" s="111"/>
      <c r="DU221" s="111"/>
      <c r="DV221" s="111"/>
      <c r="DW221" s="111"/>
      <c r="DX221" s="111"/>
      <c r="DY221" s="111"/>
    </row>
    <row r="222" spans="2:129" s="3" customFormat="1" ht="11.7" hidden="1" customHeight="1" outlineLevel="2" x14ac:dyDescent="0.3">
      <c r="B222" s="195" t="s">
        <v>729</v>
      </c>
      <c r="C222" s="230"/>
      <c r="G222" s="127"/>
      <c r="H222" s="127"/>
      <c r="I222" s="1019"/>
      <c r="J222" s="1019"/>
      <c r="K222" s="1019"/>
      <c r="L222" s="1019"/>
      <c r="M222" s="1019"/>
      <c r="N222" s="1019"/>
      <c r="O222" s="1019"/>
      <c r="P222" s="1019"/>
      <c r="Q222" s="1019"/>
      <c r="R222" s="1019"/>
      <c r="S222" s="1019"/>
      <c r="T222" s="1019"/>
      <c r="U222" s="1019"/>
      <c r="V222" s="1019"/>
      <c r="W222" s="1019"/>
      <c r="X222" s="1019"/>
      <c r="Y222" s="1019"/>
      <c r="Z222" s="1019"/>
      <c r="AA222" s="1019"/>
      <c r="AB222" s="1019"/>
      <c r="AC222" s="1019"/>
      <c r="AD222" s="1019"/>
      <c r="AE222" s="1019"/>
      <c r="AF222" s="1019"/>
      <c r="AG222" s="1019"/>
      <c r="AH222" s="1019"/>
      <c r="AI222" s="1019"/>
      <c r="AJ222" s="1019"/>
      <c r="AK222" s="1019"/>
      <c r="AL222" s="1019"/>
      <c r="AM222" s="1019"/>
      <c r="AN222" s="1019"/>
      <c r="AO222" s="1019"/>
      <c r="AP222" s="1019"/>
      <c r="AQ222" s="1019"/>
      <c r="AR222" s="1019"/>
      <c r="AS222" s="1019"/>
      <c r="AT222" s="1019"/>
      <c r="AU222" s="1019"/>
      <c r="AV222" s="1019"/>
      <c r="AW222" s="1019"/>
      <c r="AX222" s="1019"/>
      <c r="AY222" s="1019"/>
      <c r="AZ222" s="1019"/>
      <c r="BA222" s="1019"/>
      <c r="BB222" s="1019"/>
      <c r="BC222" s="1019"/>
      <c r="BD222" s="1019"/>
      <c r="BE222" s="1019"/>
      <c r="BF222" s="1019"/>
      <c r="BG222" s="1019"/>
      <c r="BH222" s="1019"/>
      <c r="BI222" s="1019"/>
      <c r="BJ222" s="1019"/>
      <c r="BK222" s="1019"/>
      <c r="BL222" s="1019"/>
      <c r="BM222" s="1019"/>
      <c r="BN222" s="1019"/>
      <c r="BO222" s="1019"/>
      <c r="BP222" s="1019"/>
      <c r="BQ222" s="1019"/>
      <c r="BR222" s="1019"/>
      <c r="BS222" s="1019"/>
      <c r="BT222" s="1019"/>
      <c r="BU222" s="1019"/>
      <c r="BV222" s="1019"/>
      <c r="BW222" s="1019"/>
      <c r="BX222" s="1019"/>
      <c r="BY222" s="1019"/>
      <c r="BZ222" s="111"/>
      <c r="CA222" s="111"/>
      <c r="CB222" s="111"/>
      <c r="CC222" s="111"/>
      <c r="CD222" s="111"/>
      <c r="CE222" s="111"/>
      <c r="CF222" s="111"/>
      <c r="CG222" s="111"/>
      <c r="CH222" s="111"/>
      <c r="CI222" s="111"/>
      <c r="CJ222" s="111"/>
      <c r="CK222" s="111"/>
      <c r="CL222" s="111"/>
      <c r="CM222" s="111"/>
      <c r="CN222" s="111"/>
      <c r="CO222" s="111"/>
      <c r="CP222" s="111"/>
      <c r="CQ222" s="111"/>
      <c r="CR222" s="111"/>
      <c r="CS222" s="111"/>
      <c r="CT222" s="111"/>
      <c r="CU222" s="111"/>
      <c r="CV222" s="111"/>
      <c r="CW222" s="111"/>
      <c r="CX222" s="111"/>
      <c r="CY222" s="111"/>
      <c r="CZ222" s="111"/>
      <c r="DA222" s="111"/>
      <c r="DB222" s="111"/>
      <c r="DC222" s="111"/>
      <c r="DD222" s="111"/>
      <c r="DE222" s="111"/>
      <c r="DF222" s="111"/>
      <c r="DG222" s="111"/>
      <c r="DH222" s="111"/>
      <c r="DI222" s="111"/>
      <c r="DJ222" s="111"/>
      <c r="DK222" s="111"/>
      <c r="DL222" s="111"/>
      <c r="DM222" s="111"/>
      <c r="DN222" s="111"/>
      <c r="DO222" s="111"/>
      <c r="DP222" s="111"/>
      <c r="DQ222" s="111"/>
      <c r="DR222" s="111"/>
      <c r="DS222" s="111"/>
      <c r="DT222" s="111"/>
      <c r="DU222" s="111"/>
      <c r="DV222" s="111"/>
      <c r="DW222" s="111"/>
      <c r="DX222" s="111"/>
      <c r="DY222" s="111"/>
    </row>
    <row r="223" spans="2:129" s="3" customFormat="1" ht="11.7" hidden="1" customHeight="1" outlineLevel="2" x14ac:dyDescent="0.3">
      <c r="B223" s="113" t="s">
        <v>707</v>
      </c>
      <c r="C223" s="230"/>
      <c r="G223" s="127"/>
      <c r="H223" s="127"/>
      <c r="I223" s="1019">
        <v>0</v>
      </c>
      <c r="J223" s="1019">
        <v>0</v>
      </c>
      <c r="K223" s="1019">
        <v>0</v>
      </c>
      <c r="L223" s="1019">
        <v>0</v>
      </c>
      <c r="M223" s="1019">
        <v>0</v>
      </c>
      <c r="N223" s="1019">
        <v>0</v>
      </c>
      <c r="O223" s="1019">
        <v>0</v>
      </c>
      <c r="P223" s="1019">
        <v>0</v>
      </c>
      <c r="Q223" s="1019">
        <v>0</v>
      </c>
      <c r="R223" s="1019">
        <v>0</v>
      </c>
      <c r="S223" s="1019">
        <v>0</v>
      </c>
      <c r="T223" s="1019">
        <v>0</v>
      </c>
      <c r="U223" s="1019">
        <v>0</v>
      </c>
      <c r="V223" s="1019">
        <v>0</v>
      </c>
      <c r="W223" s="1019">
        <v>0</v>
      </c>
      <c r="X223" s="1019">
        <v>0</v>
      </c>
      <c r="Y223" s="1019">
        <v>0</v>
      </c>
      <c r="Z223" s="1019">
        <v>0</v>
      </c>
      <c r="AA223" s="1019">
        <v>0</v>
      </c>
      <c r="AB223" s="1019">
        <v>0</v>
      </c>
      <c r="AC223" s="1019">
        <v>0</v>
      </c>
      <c r="AD223" s="1019">
        <v>0</v>
      </c>
      <c r="AE223" s="1019">
        <v>0</v>
      </c>
      <c r="AF223" s="1019">
        <v>0</v>
      </c>
      <c r="AG223" s="1019">
        <v>0</v>
      </c>
      <c r="AH223" s="1019">
        <v>0</v>
      </c>
      <c r="AI223" s="1019">
        <v>0</v>
      </c>
      <c r="AJ223" s="1019">
        <v>0</v>
      </c>
      <c r="AK223" s="1019">
        <v>0</v>
      </c>
      <c r="AL223" s="1019">
        <v>0</v>
      </c>
      <c r="AM223" s="1019">
        <v>0</v>
      </c>
      <c r="AN223" s="1019">
        <v>0</v>
      </c>
      <c r="AO223" s="1019">
        <v>0</v>
      </c>
      <c r="AP223" s="1019">
        <v>0</v>
      </c>
      <c r="AQ223" s="1019">
        <v>0</v>
      </c>
      <c r="AR223" s="1019">
        <v>0</v>
      </c>
      <c r="AS223" s="1019">
        <v>0</v>
      </c>
      <c r="AT223" s="1019">
        <v>0</v>
      </c>
      <c r="AU223" s="1019">
        <v>0</v>
      </c>
      <c r="AV223" s="1019">
        <v>0</v>
      </c>
      <c r="AW223" s="1019">
        <v>0</v>
      </c>
      <c r="AX223" s="1019">
        <v>0</v>
      </c>
      <c r="AY223" s="1019">
        <v>0</v>
      </c>
      <c r="AZ223" s="1019">
        <v>0</v>
      </c>
      <c r="BA223" s="1019">
        <v>0</v>
      </c>
      <c r="BB223" s="1019">
        <v>0</v>
      </c>
      <c r="BC223" s="1019">
        <v>0</v>
      </c>
      <c r="BD223" s="1019">
        <v>0</v>
      </c>
      <c r="BE223" s="1019">
        <v>0</v>
      </c>
      <c r="BF223" s="1019">
        <v>0</v>
      </c>
      <c r="BG223" s="1019">
        <v>0</v>
      </c>
      <c r="BH223" s="1019">
        <v>0</v>
      </c>
      <c r="BI223" s="1019">
        <v>1170372</v>
      </c>
      <c r="BJ223" s="1019">
        <v>1170372</v>
      </c>
      <c r="BK223" s="1019">
        <v>1170372</v>
      </c>
      <c r="BL223" s="1019">
        <v>1170372</v>
      </c>
      <c r="BM223" s="1019">
        <v>1170372</v>
      </c>
      <c r="BN223" s="1019">
        <v>1170372</v>
      </c>
      <c r="BO223" s="1019">
        <v>1170372</v>
      </c>
      <c r="BP223" s="1019">
        <v>1170372</v>
      </c>
      <c r="BQ223" s="1019">
        <v>1170372</v>
      </c>
      <c r="BR223" s="1019">
        <v>1170372</v>
      </c>
      <c r="BS223" s="1019">
        <v>1170372</v>
      </c>
      <c r="BT223" s="1019">
        <v>1170372</v>
      </c>
      <c r="BU223" s="1019">
        <v>1153456</v>
      </c>
      <c r="BV223" s="1019">
        <v>1191742</v>
      </c>
      <c r="BW223" s="1019">
        <v>1172599</v>
      </c>
      <c r="BX223" s="1019">
        <v>1172599</v>
      </c>
      <c r="BY223" s="1019">
        <v>1172599</v>
      </c>
      <c r="BZ223" s="111"/>
      <c r="CA223" s="111"/>
      <c r="CB223" s="111"/>
      <c r="CC223" s="111"/>
      <c r="CD223" s="111"/>
      <c r="CE223" s="111"/>
      <c r="CF223" s="111"/>
      <c r="CG223" s="111"/>
      <c r="CH223" s="111"/>
      <c r="CI223" s="111"/>
      <c r="CJ223" s="111"/>
      <c r="CK223" s="111"/>
      <c r="CL223" s="111"/>
      <c r="CM223" s="111"/>
      <c r="CN223" s="111"/>
      <c r="CO223" s="111"/>
      <c r="CP223" s="111"/>
      <c r="CQ223" s="111"/>
      <c r="CR223" s="111"/>
      <c r="CS223" s="111"/>
      <c r="CT223" s="111"/>
      <c r="CU223" s="111"/>
      <c r="CV223" s="111"/>
      <c r="CW223" s="111"/>
      <c r="CX223" s="111"/>
      <c r="CY223" s="111"/>
      <c r="CZ223" s="111"/>
      <c r="DA223" s="111"/>
      <c r="DB223" s="111"/>
      <c r="DC223" s="111"/>
      <c r="DD223" s="111"/>
      <c r="DE223" s="111"/>
      <c r="DF223" s="111"/>
      <c r="DG223" s="111"/>
      <c r="DH223" s="111"/>
      <c r="DI223" s="111"/>
      <c r="DJ223" s="111"/>
      <c r="DK223" s="111"/>
      <c r="DL223" s="111"/>
      <c r="DM223" s="111"/>
      <c r="DN223" s="111"/>
      <c r="DO223" s="111"/>
      <c r="DP223" s="111"/>
      <c r="DQ223" s="111"/>
      <c r="DR223" s="111"/>
      <c r="DS223" s="111"/>
      <c r="DT223" s="111"/>
      <c r="DU223" s="111"/>
      <c r="DV223" s="111"/>
      <c r="DW223" s="111"/>
      <c r="DX223" s="111"/>
      <c r="DY223" s="111"/>
    </row>
    <row r="224" spans="2:129" s="3" customFormat="1" ht="11.7" hidden="1" customHeight="1" outlineLevel="2" x14ac:dyDescent="0.3">
      <c r="B224" s="113"/>
      <c r="C224" s="230"/>
      <c r="G224" s="127"/>
      <c r="H224" s="127"/>
      <c r="I224" s="1019"/>
      <c r="J224" s="1019"/>
      <c r="K224" s="1019"/>
      <c r="L224" s="1019"/>
      <c r="M224" s="1019"/>
      <c r="N224" s="1019"/>
      <c r="O224" s="1019"/>
      <c r="P224" s="1019"/>
      <c r="Q224" s="1019"/>
      <c r="R224" s="1019"/>
      <c r="S224" s="1019"/>
      <c r="T224" s="1019"/>
      <c r="U224" s="1019"/>
      <c r="V224" s="1019"/>
      <c r="W224" s="1019"/>
      <c r="X224" s="1019"/>
      <c r="Y224" s="1019"/>
      <c r="Z224" s="1019"/>
      <c r="AA224" s="1019"/>
      <c r="AB224" s="1019"/>
      <c r="AC224" s="1019"/>
      <c r="AD224" s="1019"/>
      <c r="AE224" s="1019"/>
      <c r="AF224" s="1019"/>
      <c r="AG224" s="1019"/>
      <c r="AH224" s="1019"/>
      <c r="AI224" s="1019"/>
      <c r="AJ224" s="1019"/>
      <c r="AK224" s="1019"/>
      <c r="AL224" s="1019"/>
      <c r="AM224" s="1019"/>
      <c r="AN224" s="1019"/>
      <c r="AO224" s="1019"/>
      <c r="AP224" s="1019"/>
      <c r="AQ224" s="1019"/>
      <c r="AR224" s="1019"/>
      <c r="AS224" s="1019"/>
      <c r="AT224" s="1019"/>
      <c r="AU224" s="1019"/>
      <c r="AV224" s="1019"/>
      <c r="AW224" s="1019"/>
      <c r="AX224" s="1019"/>
      <c r="AY224" s="1019"/>
      <c r="AZ224" s="1019"/>
      <c r="BA224" s="1019"/>
      <c r="BB224" s="1019"/>
      <c r="BC224" s="1019"/>
      <c r="BD224" s="1019"/>
      <c r="BE224" s="1019"/>
      <c r="BF224" s="1019"/>
      <c r="BG224" s="1019"/>
      <c r="BH224" s="1019"/>
      <c r="BI224" s="1019"/>
      <c r="BJ224" s="1019"/>
      <c r="BK224" s="1019"/>
      <c r="BL224" s="1019"/>
      <c r="BM224" s="1019"/>
      <c r="BN224" s="1019"/>
      <c r="BO224" s="1019"/>
      <c r="BP224" s="1019"/>
      <c r="BQ224" s="1019"/>
      <c r="BR224" s="1019"/>
      <c r="BS224" s="1019"/>
      <c r="BT224" s="1019"/>
      <c r="BU224" s="1019"/>
      <c r="BV224" s="1019"/>
      <c r="BW224" s="1019"/>
      <c r="BX224" s="1019"/>
      <c r="BY224" s="1019"/>
      <c r="BZ224" s="111"/>
      <c r="CA224" s="111"/>
      <c r="CB224" s="111"/>
      <c r="CC224" s="111"/>
      <c r="CD224" s="111"/>
      <c r="CE224" s="111"/>
      <c r="CF224" s="111"/>
      <c r="CG224" s="111"/>
      <c r="CH224" s="111"/>
      <c r="CI224" s="111"/>
      <c r="CJ224" s="111"/>
      <c r="CK224" s="111"/>
      <c r="CL224" s="111"/>
      <c r="CM224" s="111"/>
      <c r="CN224" s="111"/>
      <c r="CO224" s="111"/>
      <c r="CP224" s="111"/>
      <c r="CQ224" s="111"/>
      <c r="CR224" s="111"/>
      <c r="CS224" s="111"/>
      <c r="CT224" s="111"/>
      <c r="CU224" s="111"/>
      <c r="CV224" s="111"/>
      <c r="CW224" s="111"/>
      <c r="CX224" s="111"/>
      <c r="CY224" s="111"/>
      <c r="CZ224" s="111"/>
      <c r="DA224" s="111"/>
      <c r="DB224" s="111"/>
      <c r="DC224" s="111"/>
      <c r="DD224" s="111"/>
      <c r="DE224" s="111"/>
      <c r="DF224" s="111"/>
      <c r="DG224" s="111"/>
      <c r="DH224" s="111"/>
      <c r="DI224" s="111"/>
      <c r="DJ224" s="111"/>
      <c r="DK224" s="111"/>
      <c r="DL224" s="111"/>
      <c r="DM224" s="111"/>
      <c r="DN224" s="111"/>
      <c r="DO224" s="111"/>
      <c r="DP224" s="111"/>
      <c r="DQ224" s="111"/>
      <c r="DR224" s="111"/>
      <c r="DS224" s="111"/>
      <c r="DT224" s="111"/>
      <c r="DU224" s="111"/>
      <c r="DV224" s="111"/>
      <c r="DW224" s="111"/>
      <c r="DX224" s="111"/>
      <c r="DY224" s="111"/>
    </row>
    <row r="225" spans="2:129" s="3" customFormat="1" ht="11.7" hidden="1" customHeight="1" outlineLevel="2" x14ac:dyDescent="0.3">
      <c r="B225" s="195" t="s">
        <v>23</v>
      </c>
      <c r="C225" s="230"/>
      <c r="G225" s="127"/>
      <c r="H225" s="127"/>
      <c r="I225" s="1019"/>
      <c r="J225" s="1019"/>
      <c r="K225" s="1019"/>
      <c r="L225" s="1019"/>
      <c r="M225" s="1019"/>
      <c r="N225" s="1019"/>
      <c r="O225" s="1019"/>
      <c r="P225" s="1019"/>
      <c r="Q225" s="1019"/>
      <c r="R225" s="1019"/>
      <c r="S225" s="1019"/>
      <c r="T225" s="1019"/>
      <c r="U225" s="1019"/>
      <c r="V225" s="1019"/>
      <c r="W225" s="1019"/>
      <c r="X225" s="1019"/>
      <c r="Y225" s="1019"/>
      <c r="Z225" s="1019"/>
      <c r="AA225" s="1019"/>
      <c r="AB225" s="1019"/>
      <c r="AC225" s="1019"/>
      <c r="AD225" s="1019"/>
      <c r="AE225" s="1019"/>
      <c r="AF225" s="1019"/>
      <c r="AG225" s="1019"/>
      <c r="AH225" s="1019"/>
      <c r="AI225" s="1019"/>
      <c r="AJ225" s="1019"/>
      <c r="AK225" s="1019"/>
      <c r="AL225" s="1019"/>
      <c r="AM225" s="1019"/>
      <c r="AN225" s="1019"/>
      <c r="AO225" s="1019"/>
      <c r="AP225" s="1019"/>
      <c r="AQ225" s="1019"/>
      <c r="AR225" s="1019"/>
      <c r="AS225" s="1019"/>
      <c r="AT225" s="1019"/>
      <c r="AU225" s="1019"/>
      <c r="AV225" s="1019"/>
      <c r="AW225" s="1019"/>
      <c r="AX225" s="1019"/>
      <c r="AY225" s="1019"/>
      <c r="AZ225" s="1019"/>
      <c r="BA225" s="1019"/>
      <c r="BB225" s="1019"/>
      <c r="BC225" s="1019"/>
      <c r="BD225" s="1019"/>
      <c r="BE225" s="1019"/>
      <c r="BF225" s="1019"/>
      <c r="BG225" s="1019"/>
      <c r="BH225" s="1019"/>
      <c r="BI225" s="1019"/>
      <c r="BJ225" s="1019"/>
      <c r="BK225" s="1019"/>
      <c r="BL225" s="1019"/>
      <c r="BM225" s="1019"/>
      <c r="BN225" s="1019"/>
      <c r="BO225" s="1019"/>
      <c r="BP225" s="1019"/>
      <c r="BQ225" s="1019"/>
      <c r="BR225" s="1019"/>
      <c r="BS225" s="1019"/>
      <c r="BT225" s="1019"/>
      <c r="BU225" s="1019"/>
      <c r="BV225" s="1019"/>
      <c r="BW225" s="1019"/>
      <c r="BX225" s="1019"/>
      <c r="BY225" s="1019"/>
      <c r="BZ225" s="111"/>
      <c r="CA225" s="111"/>
      <c r="CB225" s="111"/>
      <c r="CC225" s="111"/>
      <c r="CD225" s="111"/>
      <c r="CE225" s="111"/>
      <c r="CF225" s="111"/>
      <c r="CG225" s="111"/>
      <c r="CH225" s="111"/>
      <c r="CI225" s="111"/>
      <c r="CJ225" s="111"/>
      <c r="CK225" s="111"/>
      <c r="CL225" s="111"/>
      <c r="CM225" s="111"/>
      <c r="CN225" s="111"/>
      <c r="CO225" s="111"/>
      <c r="CP225" s="111"/>
      <c r="CQ225" s="111"/>
      <c r="CR225" s="111"/>
      <c r="CS225" s="111"/>
      <c r="CT225" s="111"/>
      <c r="CU225" s="111"/>
      <c r="CV225" s="111"/>
      <c r="CW225" s="111"/>
      <c r="CX225" s="111"/>
      <c r="CY225" s="111"/>
      <c r="CZ225" s="111"/>
      <c r="DA225" s="111"/>
      <c r="DB225" s="111"/>
      <c r="DC225" s="111"/>
      <c r="DD225" s="111"/>
      <c r="DE225" s="111"/>
      <c r="DF225" s="111"/>
      <c r="DG225" s="111"/>
      <c r="DH225" s="111"/>
      <c r="DI225" s="111"/>
      <c r="DJ225" s="111"/>
      <c r="DK225" s="111"/>
      <c r="DL225" s="111"/>
      <c r="DM225" s="111"/>
      <c r="DN225" s="111"/>
      <c r="DO225" s="111"/>
      <c r="DP225" s="111"/>
      <c r="DQ225" s="111"/>
      <c r="DR225" s="111"/>
      <c r="DS225" s="111"/>
      <c r="DT225" s="111"/>
      <c r="DU225" s="111"/>
      <c r="DV225" s="111"/>
      <c r="DW225" s="111"/>
      <c r="DX225" s="111"/>
      <c r="DY225" s="111"/>
    </row>
    <row r="226" spans="2:129" s="3" customFormat="1" ht="11.7" hidden="1" customHeight="1" outlineLevel="2" x14ac:dyDescent="0.3">
      <c r="B226" s="113" t="s">
        <v>708</v>
      </c>
      <c r="C226" s="230"/>
      <c r="G226" s="127"/>
      <c r="H226" s="127"/>
      <c r="I226" s="1019">
        <v>0</v>
      </c>
      <c r="J226" s="1019">
        <v>0</v>
      </c>
      <c r="K226" s="1019">
        <v>0</v>
      </c>
      <c r="L226" s="1019">
        <v>0</v>
      </c>
      <c r="M226" s="1019">
        <v>0</v>
      </c>
      <c r="N226" s="1019">
        <v>0</v>
      </c>
      <c r="O226" s="1019">
        <v>0</v>
      </c>
      <c r="P226" s="1019">
        <v>0</v>
      </c>
      <c r="Q226" s="1019">
        <v>0</v>
      </c>
      <c r="R226" s="1019">
        <v>0</v>
      </c>
      <c r="S226" s="1019">
        <v>0</v>
      </c>
      <c r="T226" s="1019">
        <v>0</v>
      </c>
      <c r="U226" s="1019">
        <v>0</v>
      </c>
      <c r="V226" s="1019">
        <v>0</v>
      </c>
      <c r="W226" s="1019">
        <v>0</v>
      </c>
      <c r="X226" s="1019">
        <v>0</v>
      </c>
      <c r="Y226" s="1019">
        <v>0</v>
      </c>
      <c r="Z226" s="1019">
        <v>0</v>
      </c>
      <c r="AA226" s="1019">
        <v>0</v>
      </c>
      <c r="AB226" s="1019">
        <v>0</v>
      </c>
      <c r="AC226" s="1019">
        <v>0</v>
      </c>
      <c r="AD226" s="1019">
        <v>0</v>
      </c>
      <c r="AE226" s="1019">
        <v>0</v>
      </c>
      <c r="AF226" s="1019">
        <v>0</v>
      </c>
      <c r="AG226" s="1019">
        <v>0</v>
      </c>
      <c r="AH226" s="1019">
        <v>0</v>
      </c>
      <c r="AI226" s="1019">
        <v>0</v>
      </c>
      <c r="AJ226" s="1019">
        <v>0</v>
      </c>
      <c r="AK226" s="1019">
        <v>0</v>
      </c>
      <c r="AL226" s="1019">
        <v>0</v>
      </c>
      <c r="AM226" s="1019">
        <v>0</v>
      </c>
      <c r="AN226" s="1019">
        <v>0</v>
      </c>
      <c r="AO226" s="1019">
        <v>0</v>
      </c>
      <c r="AP226" s="1019">
        <v>0</v>
      </c>
      <c r="AQ226" s="1019">
        <v>0</v>
      </c>
      <c r="AR226" s="1019">
        <v>0</v>
      </c>
      <c r="AS226" s="1019">
        <v>0</v>
      </c>
      <c r="AT226" s="1019">
        <v>0</v>
      </c>
      <c r="AU226" s="1019">
        <v>0</v>
      </c>
      <c r="AV226" s="1019">
        <v>0</v>
      </c>
      <c r="AW226" s="1019">
        <v>0</v>
      </c>
      <c r="AX226" s="1019">
        <v>0</v>
      </c>
      <c r="AY226" s="1019">
        <v>0</v>
      </c>
      <c r="AZ226" s="1019">
        <v>0</v>
      </c>
      <c r="BA226" s="1019">
        <v>0</v>
      </c>
      <c r="BB226" s="1019">
        <v>0</v>
      </c>
      <c r="BC226" s="1019">
        <v>0</v>
      </c>
      <c r="BD226" s="1019">
        <v>0</v>
      </c>
      <c r="BE226" s="1019">
        <v>0</v>
      </c>
      <c r="BF226" s="1019">
        <v>0</v>
      </c>
      <c r="BG226" s="1019">
        <v>0</v>
      </c>
      <c r="BH226" s="1019">
        <v>0</v>
      </c>
      <c r="BI226" s="1019">
        <v>0</v>
      </c>
      <c r="BJ226" s="1019">
        <v>1096846</v>
      </c>
      <c r="BK226" s="1019">
        <v>1213756</v>
      </c>
      <c r="BL226" s="1019">
        <v>1297516</v>
      </c>
      <c r="BM226" s="1019">
        <v>620298</v>
      </c>
      <c r="BN226" s="1019">
        <v>620298</v>
      </c>
      <c r="BO226" s="1019">
        <v>620298</v>
      </c>
      <c r="BP226" s="1019">
        <v>676214</v>
      </c>
      <c r="BQ226" s="1019">
        <v>628214</v>
      </c>
      <c r="BR226" s="1019">
        <v>628214</v>
      </c>
      <c r="BS226" s="1019">
        <v>251285</v>
      </c>
      <c r="BT226" s="1019">
        <v>627616</v>
      </c>
      <c r="BU226" s="1019">
        <v>632292</v>
      </c>
      <c r="BV226" s="1019">
        <v>527691</v>
      </c>
      <c r="BW226" s="1019">
        <v>1320584</v>
      </c>
      <c r="BX226" s="1019">
        <v>1320584</v>
      </c>
      <c r="BY226" s="1019">
        <v>1320584</v>
      </c>
      <c r="BZ226" s="111"/>
      <c r="CA226" s="111"/>
      <c r="CB226" s="111"/>
      <c r="CC226" s="111"/>
      <c r="CD226" s="111"/>
      <c r="CE226" s="111"/>
      <c r="CF226" s="111"/>
      <c r="CG226" s="111"/>
      <c r="CH226" s="111"/>
      <c r="CI226" s="111"/>
      <c r="CJ226" s="111"/>
      <c r="CK226" s="111"/>
      <c r="CL226" s="111"/>
      <c r="CM226" s="111"/>
      <c r="CN226" s="111"/>
      <c r="CO226" s="111"/>
      <c r="CP226" s="111"/>
      <c r="CQ226" s="111"/>
      <c r="CR226" s="111"/>
      <c r="CS226" s="111"/>
      <c r="CT226" s="111"/>
      <c r="CU226" s="111"/>
      <c r="CV226" s="111"/>
      <c r="CW226" s="111"/>
      <c r="CX226" s="111"/>
      <c r="CY226" s="111"/>
      <c r="CZ226" s="111"/>
      <c r="DA226" s="111"/>
      <c r="DB226" s="111"/>
      <c r="DC226" s="111"/>
      <c r="DD226" s="111"/>
      <c r="DE226" s="111"/>
      <c r="DF226" s="111"/>
      <c r="DG226" s="111"/>
      <c r="DH226" s="111"/>
      <c r="DI226" s="111"/>
      <c r="DJ226" s="111"/>
      <c r="DK226" s="111"/>
      <c r="DL226" s="111"/>
      <c r="DM226" s="111"/>
      <c r="DN226" s="111"/>
      <c r="DO226" s="111"/>
      <c r="DP226" s="111"/>
      <c r="DQ226" s="111"/>
      <c r="DR226" s="111"/>
      <c r="DS226" s="111"/>
      <c r="DT226" s="111"/>
      <c r="DU226" s="111"/>
      <c r="DV226" s="111"/>
      <c r="DW226" s="111"/>
      <c r="DX226" s="111"/>
      <c r="DY226" s="111"/>
    </row>
    <row r="227" spans="2:129" s="3" customFormat="1" ht="11.7" hidden="1" customHeight="1" outlineLevel="2" x14ac:dyDescent="0.3">
      <c r="B227" s="113" t="s">
        <v>709</v>
      </c>
      <c r="C227" s="230"/>
      <c r="G227" s="127"/>
      <c r="H227" s="127"/>
      <c r="I227" s="1019">
        <v>0</v>
      </c>
      <c r="J227" s="1019">
        <v>0</v>
      </c>
      <c r="K227" s="1019">
        <v>0</v>
      </c>
      <c r="L227" s="1019">
        <v>0</v>
      </c>
      <c r="M227" s="1019">
        <v>0</v>
      </c>
      <c r="N227" s="1019">
        <v>0</v>
      </c>
      <c r="O227" s="1019">
        <v>0</v>
      </c>
      <c r="P227" s="1019">
        <v>0</v>
      </c>
      <c r="Q227" s="1019">
        <v>0</v>
      </c>
      <c r="R227" s="1019">
        <v>0</v>
      </c>
      <c r="S227" s="1019">
        <v>0</v>
      </c>
      <c r="T227" s="1019">
        <v>0</v>
      </c>
      <c r="U227" s="1019">
        <v>0</v>
      </c>
      <c r="V227" s="1019">
        <v>0</v>
      </c>
      <c r="W227" s="1019">
        <v>0</v>
      </c>
      <c r="X227" s="1019">
        <v>0</v>
      </c>
      <c r="Y227" s="1019">
        <v>0</v>
      </c>
      <c r="Z227" s="1019">
        <v>0</v>
      </c>
      <c r="AA227" s="1019">
        <v>0</v>
      </c>
      <c r="AB227" s="1019">
        <v>0</v>
      </c>
      <c r="AC227" s="1019">
        <v>0</v>
      </c>
      <c r="AD227" s="1019">
        <v>0</v>
      </c>
      <c r="AE227" s="1019">
        <v>0</v>
      </c>
      <c r="AF227" s="1019">
        <v>0</v>
      </c>
      <c r="AG227" s="1019">
        <v>0</v>
      </c>
      <c r="AH227" s="1019">
        <v>0</v>
      </c>
      <c r="AI227" s="1019">
        <v>0</v>
      </c>
      <c r="AJ227" s="1019">
        <v>0</v>
      </c>
      <c r="AK227" s="1019">
        <v>0</v>
      </c>
      <c r="AL227" s="1019">
        <v>0</v>
      </c>
      <c r="AM227" s="1019">
        <v>0</v>
      </c>
      <c r="AN227" s="1019">
        <v>0</v>
      </c>
      <c r="AO227" s="1019">
        <v>0</v>
      </c>
      <c r="AP227" s="1019">
        <v>0</v>
      </c>
      <c r="AQ227" s="1019">
        <v>0</v>
      </c>
      <c r="AR227" s="1019">
        <v>0</v>
      </c>
      <c r="AS227" s="1019">
        <v>0</v>
      </c>
      <c r="AT227" s="1019">
        <v>0</v>
      </c>
      <c r="AU227" s="1019">
        <v>0</v>
      </c>
      <c r="AV227" s="1019">
        <v>0</v>
      </c>
      <c r="AW227" s="1019">
        <v>0</v>
      </c>
      <c r="AX227" s="1019">
        <v>0</v>
      </c>
      <c r="AY227" s="1019">
        <v>0</v>
      </c>
      <c r="AZ227" s="1019">
        <v>0</v>
      </c>
      <c r="BA227" s="1019">
        <v>0</v>
      </c>
      <c r="BB227" s="1019">
        <v>0</v>
      </c>
      <c r="BC227" s="1019">
        <v>0</v>
      </c>
      <c r="BD227" s="1019">
        <v>0</v>
      </c>
      <c r="BE227" s="1019">
        <v>0</v>
      </c>
      <c r="BF227" s="1019">
        <v>0</v>
      </c>
      <c r="BG227" s="1019">
        <v>0</v>
      </c>
      <c r="BH227" s="1019">
        <v>0</v>
      </c>
      <c r="BI227" s="1019">
        <v>0</v>
      </c>
      <c r="BJ227" s="1019">
        <v>3058594</v>
      </c>
      <c r="BK227" s="1019">
        <v>2709599</v>
      </c>
      <c r="BL227" s="1019">
        <v>3731428</v>
      </c>
      <c r="BM227" s="1019">
        <v>1001595</v>
      </c>
      <c r="BN227" s="1019">
        <v>184521</v>
      </c>
      <c r="BO227" s="1019">
        <v>330126</v>
      </c>
      <c r="BP227" s="1019">
        <v>1194533</v>
      </c>
      <c r="BQ227" s="1019">
        <v>687992</v>
      </c>
      <c r="BR227" s="1019">
        <v>1183209</v>
      </c>
      <c r="BS227" s="1019">
        <v>616242</v>
      </c>
      <c r="BT227" s="1019">
        <v>770524</v>
      </c>
      <c r="BU227" s="1019">
        <v>146644</v>
      </c>
      <c r="BV227" s="1019">
        <v>440313</v>
      </c>
      <c r="BW227" s="1019">
        <v>1294521</v>
      </c>
      <c r="BX227" s="1019">
        <v>1294521</v>
      </c>
      <c r="BY227" s="1019">
        <v>1294521</v>
      </c>
      <c r="BZ227" s="111"/>
      <c r="CA227" s="111"/>
      <c r="CB227" s="111"/>
      <c r="CC227" s="111"/>
      <c r="CD227" s="111"/>
      <c r="CE227" s="111"/>
      <c r="CF227" s="111"/>
      <c r="CG227" s="111"/>
      <c r="CH227" s="111"/>
      <c r="CI227" s="111"/>
      <c r="CJ227" s="111"/>
      <c r="CK227" s="111"/>
      <c r="CL227" s="111"/>
      <c r="CM227" s="111"/>
      <c r="CN227" s="111"/>
      <c r="CO227" s="111"/>
      <c r="CP227" s="111"/>
      <c r="CQ227" s="111"/>
      <c r="CR227" s="111"/>
      <c r="CS227" s="111"/>
      <c r="CT227" s="111"/>
      <c r="CU227" s="111"/>
      <c r="CV227" s="111"/>
      <c r="CW227" s="111"/>
      <c r="CX227" s="111"/>
      <c r="CY227" s="111"/>
      <c r="CZ227" s="111"/>
      <c r="DA227" s="111"/>
      <c r="DB227" s="111"/>
      <c r="DC227" s="111"/>
      <c r="DD227" s="111"/>
      <c r="DE227" s="111"/>
      <c r="DF227" s="111"/>
      <c r="DG227" s="111"/>
      <c r="DH227" s="111"/>
      <c r="DI227" s="111"/>
      <c r="DJ227" s="111"/>
      <c r="DK227" s="111"/>
      <c r="DL227" s="111"/>
      <c r="DM227" s="111"/>
      <c r="DN227" s="111"/>
      <c r="DO227" s="111"/>
      <c r="DP227" s="111"/>
      <c r="DQ227" s="111"/>
      <c r="DR227" s="111"/>
      <c r="DS227" s="111"/>
      <c r="DT227" s="111"/>
      <c r="DU227" s="111"/>
      <c r="DV227" s="111"/>
      <c r="DW227" s="111"/>
      <c r="DX227" s="111"/>
      <c r="DY227" s="111"/>
    </row>
    <row r="228" spans="2:129" s="3" customFormat="1" ht="11.7" hidden="1" customHeight="1" outlineLevel="2" x14ac:dyDescent="0.3">
      <c r="B228" s="329"/>
      <c r="C228" s="230"/>
      <c r="G228" s="127"/>
      <c r="H228" s="127"/>
      <c r="I228" s="1019"/>
      <c r="J228" s="1019"/>
      <c r="K228" s="1019"/>
      <c r="L228" s="1019"/>
      <c r="M228" s="1019"/>
      <c r="N228" s="1019"/>
      <c r="O228" s="1019"/>
      <c r="P228" s="1019"/>
      <c r="Q228" s="1019"/>
      <c r="R228" s="1019"/>
      <c r="S228" s="1019"/>
      <c r="T228" s="1019"/>
      <c r="U228" s="1019"/>
      <c r="V228" s="1019"/>
      <c r="W228" s="1019"/>
      <c r="X228" s="1019"/>
      <c r="Y228" s="1019"/>
      <c r="Z228" s="1019"/>
      <c r="AA228" s="1019"/>
      <c r="AB228" s="1019"/>
      <c r="AC228" s="1019"/>
      <c r="AD228" s="1019"/>
      <c r="AE228" s="1019"/>
      <c r="AF228" s="1019"/>
      <c r="AG228" s="1019"/>
      <c r="AH228" s="1019"/>
      <c r="AI228" s="1019"/>
      <c r="AJ228" s="1019"/>
      <c r="AK228" s="1019"/>
      <c r="AL228" s="1019"/>
      <c r="AM228" s="1019"/>
      <c r="AN228" s="1019"/>
      <c r="AO228" s="1019"/>
      <c r="AP228" s="1019"/>
      <c r="AQ228" s="1019"/>
      <c r="AR228" s="1019"/>
      <c r="AS228" s="1019"/>
      <c r="AT228" s="1019"/>
      <c r="AU228" s="1019"/>
      <c r="AV228" s="1019"/>
      <c r="AW228" s="1019"/>
      <c r="AX228" s="1019"/>
      <c r="AY228" s="1019"/>
      <c r="AZ228" s="1019"/>
      <c r="BA228" s="1019"/>
      <c r="BB228" s="1019"/>
      <c r="BC228" s="1019"/>
      <c r="BD228" s="1019"/>
      <c r="BE228" s="1019"/>
      <c r="BF228" s="1019"/>
      <c r="BG228" s="1019"/>
      <c r="BH228" s="1019"/>
      <c r="BI228" s="1019"/>
      <c r="BJ228" s="1019"/>
      <c r="BK228" s="1019"/>
      <c r="BL228" s="1019"/>
      <c r="BM228" s="1019"/>
      <c r="BN228" s="1019"/>
      <c r="BO228" s="1019"/>
      <c r="BP228" s="1019"/>
      <c r="BQ228" s="1019"/>
      <c r="BR228" s="1019"/>
      <c r="BS228" s="1019"/>
      <c r="BT228" s="1019"/>
      <c r="BU228" s="1019"/>
      <c r="BV228" s="1019"/>
      <c r="BW228" s="1019"/>
      <c r="BX228" s="1019"/>
      <c r="BY228" s="1019"/>
      <c r="BZ228" s="111"/>
      <c r="CA228" s="111"/>
      <c r="CB228" s="111"/>
      <c r="CC228" s="111"/>
      <c r="CD228" s="111"/>
      <c r="CE228" s="111"/>
      <c r="CF228" s="111"/>
      <c r="CG228" s="111"/>
      <c r="CH228" s="111"/>
      <c r="CI228" s="111"/>
      <c r="CJ228" s="111"/>
      <c r="CK228" s="111"/>
      <c r="CL228" s="111"/>
      <c r="CM228" s="111"/>
      <c r="CN228" s="111"/>
      <c r="CO228" s="111"/>
      <c r="CP228" s="111"/>
      <c r="CQ228" s="111"/>
      <c r="CR228" s="111"/>
      <c r="CS228" s="111"/>
      <c r="CT228" s="111"/>
      <c r="CU228" s="111"/>
      <c r="CV228" s="111"/>
      <c r="CW228" s="111"/>
      <c r="CX228" s="111"/>
      <c r="CY228" s="111"/>
      <c r="CZ228" s="111"/>
      <c r="DA228" s="111"/>
      <c r="DB228" s="111"/>
      <c r="DC228" s="111"/>
      <c r="DD228" s="111"/>
      <c r="DE228" s="111"/>
      <c r="DF228" s="111"/>
      <c r="DG228" s="111"/>
      <c r="DH228" s="111"/>
      <c r="DI228" s="111"/>
      <c r="DJ228" s="111"/>
      <c r="DK228" s="111"/>
      <c r="DL228" s="111"/>
      <c r="DM228" s="111"/>
      <c r="DN228" s="111"/>
      <c r="DO228" s="111"/>
      <c r="DP228" s="111"/>
      <c r="DQ228" s="111"/>
      <c r="DR228" s="111"/>
      <c r="DS228" s="111"/>
      <c r="DT228" s="111"/>
      <c r="DU228" s="111"/>
      <c r="DV228" s="111"/>
      <c r="DW228" s="111"/>
      <c r="DX228" s="111"/>
      <c r="DY228" s="111"/>
    </row>
    <row r="229" spans="2:129" s="3" customFormat="1" ht="11.7" hidden="1" customHeight="1" outlineLevel="2" x14ac:dyDescent="0.3">
      <c r="B229" s="195" t="s">
        <v>730</v>
      </c>
      <c r="C229" s="230"/>
      <c r="G229" s="127"/>
      <c r="H229" s="127"/>
      <c r="I229" s="1019"/>
      <c r="J229" s="1019"/>
      <c r="K229" s="1019"/>
      <c r="L229" s="1019"/>
      <c r="M229" s="1019"/>
      <c r="N229" s="1019"/>
      <c r="O229" s="1019"/>
      <c r="P229" s="1019"/>
      <c r="Q229" s="1019"/>
      <c r="R229" s="1019"/>
      <c r="S229" s="1019"/>
      <c r="T229" s="1019"/>
      <c r="U229" s="1019"/>
      <c r="V229" s="1019"/>
      <c r="W229" s="1019"/>
      <c r="X229" s="1019"/>
      <c r="Y229" s="1019"/>
      <c r="Z229" s="1019"/>
      <c r="AA229" s="1019"/>
      <c r="AB229" s="1019"/>
      <c r="AC229" s="1019"/>
      <c r="AD229" s="1019"/>
      <c r="AE229" s="1019"/>
      <c r="AF229" s="1019"/>
      <c r="AG229" s="1019"/>
      <c r="AH229" s="1019"/>
      <c r="AI229" s="1019"/>
      <c r="AJ229" s="1019"/>
      <c r="AK229" s="1019"/>
      <c r="AL229" s="1019"/>
      <c r="AM229" s="1019"/>
      <c r="AN229" s="1019"/>
      <c r="AO229" s="1019"/>
      <c r="AP229" s="1019"/>
      <c r="AQ229" s="1019"/>
      <c r="AR229" s="1019"/>
      <c r="AS229" s="1019"/>
      <c r="AT229" s="1019"/>
      <c r="AU229" s="1019"/>
      <c r="AV229" s="1019"/>
      <c r="AW229" s="1019"/>
      <c r="AX229" s="1019"/>
      <c r="AY229" s="1019"/>
      <c r="AZ229" s="1019"/>
      <c r="BA229" s="1019"/>
      <c r="BB229" s="1019"/>
      <c r="BC229" s="1019"/>
      <c r="BD229" s="1019"/>
      <c r="BE229" s="1019"/>
      <c r="BF229" s="1019"/>
      <c r="BG229" s="1019"/>
      <c r="BH229" s="1019"/>
      <c r="BI229" s="1019"/>
      <c r="BJ229" s="1019"/>
      <c r="BK229" s="1019"/>
      <c r="BL229" s="1019"/>
      <c r="BM229" s="1019"/>
      <c r="BN229" s="1019"/>
      <c r="BO229" s="1019"/>
      <c r="BP229" s="1019"/>
      <c r="BQ229" s="1019"/>
      <c r="BR229" s="1019"/>
      <c r="BS229" s="1019"/>
      <c r="BT229" s="1019"/>
      <c r="BU229" s="1019"/>
      <c r="BV229" s="1019"/>
      <c r="BW229" s="1019"/>
      <c r="BX229" s="1019"/>
      <c r="BY229" s="1019"/>
      <c r="BZ229" s="111"/>
      <c r="CA229" s="111"/>
      <c r="CB229" s="111"/>
      <c r="CC229" s="111"/>
      <c r="CD229" s="111"/>
      <c r="CE229" s="111"/>
      <c r="CF229" s="111"/>
      <c r="CG229" s="111"/>
      <c r="CH229" s="111"/>
      <c r="CI229" s="111"/>
      <c r="CJ229" s="111"/>
      <c r="CK229" s="111"/>
      <c r="CL229" s="111"/>
      <c r="CM229" s="111"/>
      <c r="CN229" s="111"/>
      <c r="CO229" s="111"/>
      <c r="CP229" s="111"/>
      <c r="CQ229" s="111"/>
      <c r="CR229" s="111"/>
      <c r="CS229" s="111"/>
      <c r="CT229" s="111"/>
      <c r="CU229" s="111"/>
      <c r="CV229" s="111"/>
      <c r="CW229" s="111"/>
      <c r="CX229" s="111"/>
      <c r="CY229" s="111"/>
      <c r="CZ229" s="111"/>
      <c r="DA229" s="111"/>
      <c r="DB229" s="111"/>
      <c r="DC229" s="111"/>
      <c r="DD229" s="111"/>
      <c r="DE229" s="111"/>
      <c r="DF229" s="111"/>
      <c r="DG229" s="111"/>
      <c r="DH229" s="111"/>
      <c r="DI229" s="111"/>
      <c r="DJ229" s="111"/>
      <c r="DK229" s="111"/>
      <c r="DL229" s="111"/>
      <c r="DM229" s="111"/>
      <c r="DN229" s="111"/>
      <c r="DO229" s="111"/>
      <c r="DP229" s="111"/>
      <c r="DQ229" s="111"/>
      <c r="DR229" s="111"/>
      <c r="DS229" s="111"/>
      <c r="DT229" s="111"/>
      <c r="DU229" s="111"/>
      <c r="DV229" s="111"/>
      <c r="DW229" s="111"/>
      <c r="DX229" s="111"/>
      <c r="DY229" s="111"/>
    </row>
    <row r="230" spans="2:129" s="3" customFormat="1" ht="11.7" hidden="1" customHeight="1" outlineLevel="2" x14ac:dyDescent="0.3">
      <c r="B230" s="113" t="s">
        <v>710</v>
      </c>
      <c r="C230" s="230"/>
      <c r="G230" s="127"/>
      <c r="H230" s="127"/>
      <c r="I230" s="1019">
        <v>0</v>
      </c>
      <c r="J230" s="1019">
        <v>0</v>
      </c>
      <c r="K230" s="1019">
        <v>0</v>
      </c>
      <c r="L230" s="1019">
        <v>0</v>
      </c>
      <c r="M230" s="1019">
        <v>0</v>
      </c>
      <c r="N230" s="1019">
        <v>0</v>
      </c>
      <c r="O230" s="1019">
        <v>0</v>
      </c>
      <c r="P230" s="1019">
        <v>0</v>
      </c>
      <c r="Q230" s="1019">
        <v>0</v>
      </c>
      <c r="R230" s="1019">
        <v>0</v>
      </c>
      <c r="S230" s="1019">
        <v>0</v>
      </c>
      <c r="T230" s="1019">
        <v>0</v>
      </c>
      <c r="U230" s="1019">
        <v>0</v>
      </c>
      <c r="V230" s="1019">
        <v>0</v>
      </c>
      <c r="W230" s="1019">
        <v>0</v>
      </c>
      <c r="X230" s="1019">
        <v>0</v>
      </c>
      <c r="Y230" s="1019">
        <v>0</v>
      </c>
      <c r="Z230" s="1019">
        <v>0</v>
      </c>
      <c r="AA230" s="1019">
        <v>0</v>
      </c>
      <c r="AB230" s="1019">
        <v>0</v>
      </c>
      <c r="AC230" s="1019">
        <v>0</v>
      </c>
      <c r="AD230" s="1019">
        <v>0</v>
      </c>
      <c r="AE230" s="1019">
        <v>0</v>
      </c>
      <c r="AF230" s="1019">
        <v>0</v>
      </c>
      <c r="AG230" s="1019">
        <v>0</v>
      </c>
      <c r="AH230" s="1019">
        <v>0</v>
      </c>
      <c r="AI230" s="1019">
        <v>0</v>
      </c>
      <c r="AJ230" s="1019">
        <v>0</v>
      </c>
      <c r="AK230" s="1019">
        <v>0</v>
      </c>
      <c r="AL230" s="1019">
        <v>0</v>
      </c>
      <c r="AM230" s="1019">
        <v>0</v>
      </c>
      <c r="AN230" s="1019">
        <v>0</v>
      </c>
      <c r="AO230" s="1019">
        <v>0</v>
      </c>
      <c r="AP230" s="1019">
        <v>0</v>
      </c>
      <c r="AQ230" s="1019">
        <v>0</v>
      </c>
      <c r="AR230" s="1019">
        <v>0</v>
      </c>
      <c r="AS230" s="1019">
        <v>0</v>
      </c>
      <c r="AT230" s="1019">
        <v>0</v>
      </c>
      <c r="AU230" s="1019">
        <v>0</v>
      </c>
      <c r="AV230" s="1019">
        <v>0</v>
      </c>
      <c r="AW230" s="1019">
        <v>0</v>
      </c>
      <c r="AX230" s="1019">
        <v>0</v>
      </c>
      <c r="AY230" s="1019">
        <v>0</v>
      </c>
      <c r="AZ230" s="1019">
        <v>0</v>
      </c>
      <c r="BA230" s="1019">
        <v>0</v>
      </c>
      <c r="BB230" s="1019">
        <v>0</v>
      </c>
      <c r="BC230" s="1019">
        <v>0</v>
      </c>
      <c r="BD230" s="1019">
        <v>0</v>
      </c>
      <c r="BE230" s="1019">
        <v>0</v>
      </c>
      <c r="BF230" s="1019">
        <v>0</v>
      </c>
      <c r="BG230" s="1019">
        <v>0</v>
      </c>
      <c r="BH230" s="1019">
        <v>0</v>
      </c>
      <c r="BI230" s="1019">
        <v>0</v>
      </c>
      <c r="BJ230" s="1019">
        <v>0</v>
      </c>
      <c r="BK230" s="1019">
        <v>2818723</v>
      </c>
      <c r="BL230" s="1019">
        <v>2535770</v>
      </c>
      <c r="BM230" s="1019">
        <v>5134463</v>
      </c>
      <c r="BN230" s="1019">
        <v>2653695</v>
      </c>
      <c r="BO230" s="1019">
        <v>3737292</v>
      </c>
      <c r="BP230" s="1019">
        <v>2987840</v>
      </c>
      <c r="BQ230" s="1019">
        <v>2726941</v>
      </c>
      <c r="BR230" s="1019">
        <v>8221115</v>
      </c>
      <c r="BS230" s="1019">
        <v>2940927</v>
      </c>
      <c r="BT230" s="1019">
        <v>2221513</v>
      </c>
      <c r="BU230" s="1019">
        <v>1846618</v>
      </c>
      <c r="BV230" s="1019">
        <v>1987477</v>
      </c>
      <c r="BW230" s="1019">
        <v>6574309</v>
      </c>
      <c r="BX230" s="1019">
        <v>1755750</v>
      </c>
      <c r="BY230" s="1019">
        <v>521376</v>
      </c>
      <c r="BZ230" s="111"/>
      <c r="CA230" s="111"/>
      <c r="CB230" s="111"/>
      <c r="CC230" s="111"/>
      <c r="CD230" s="111"/>
      <c r="CE230" s="111"/>
      <c r="CF230" s="111"/>
      <c r="CG230" s="111"/>
      <c r="CH230" s="111"/>
      <c r="CI230" s="111"/>
      <c r="CJ230" s="111"/>
      <c r="CK230" s="111"/>
      <c r="CL230" s="111"/>
      <c r="CM230" s="111"/>
      <c r="CN230" s="111"/>
      <c r="CO230" s="111"/>
      <c r="CP230" s="111"/>
      <c r="CQ230" s="111"/>
      <c r="CR230" s="111"/>
      <c r="CS230" s="111"/>
      <c r="CT230" s="111"/>
      <c r="CU230" s="111"/>
      <c r="CV230" s="111"/>
      <c r="CW230" s="111"/>
      <c r="CX230" s="111"/>
      <c r="CY230" s="111"/>
      <c r="CZ230" s="111"/>
      <c r="DA230" s="111"/>
      <c r="DB230" s="111"/>
      <c r="DC230" s="111"/>
      <c r="DD230" s="111"/>
      <c r="DE230" s="111"/>
      <c r="DF230" s="111"/>
      <c r="DG230" s="111"/>
      <c r="DH230" s="111"/>
      <c r="DI230" s="111"/>
      <c r="DJ230" s="111"/>
      <c r="DK230" s="111"/>
      <c r="DL230" s="111"/>
      <c r="DM230" s="111"/>
      <c r="DN230" s="111"/>
      <c r="DO230" s="111"/>
      <c r="DP230" s="111"/>
      <c r="DQ230" s="111"/>
      <c r="DR230" s="111"/>
      <c r="DS230" s="111"/>
      <c r="DT230" s="111"/>
      <c r="DU230" s="111"/>
      <c r="DV230" s="111"/>
      <c r="DW230" s="111"/>
      <c r="DX230" s="111"/>
      <c r="DY230" s="111"/>
    </row>
    <row r="231" spans="2:129" s="3" customFormat="1" ht="11.7" hidden="1" customHeight="1" outlineLevel="2" x14ac:dyDescent="0.3">
      <c r="B231" s="113" t="s">
        <v>705</v>
      </c>
      <c r="C231" s="230"/>
      <c r="G231" s="127"/>
      <c r="H231" s="127"/>
      <c r="I231" s="1019">
        <v>0</v>
      </c>
      <c r="J231" s="1019">
        <v>0</v>
      </c>
      <c r="K231" s="1019">
        <v>0</v>
      </c>
      <c r="L231" s="1019">
        <v>0</v>
      </c>
      <c r="M231" s="1019">
        <v>0</v>
      </c>
      <c r="N231" s="1019">
        <v>0</v>
      </c>
      <c r="O231" s="1019">
        <v>0</v>
      </c>
      <c r="P231" s="1019">
        <v>0</v>
      </c>
      <c r="Q231" s="1019">
        <v>0</v>
      </c>
      <c r="R231" s="1019">
        <v>0</v>
      </c>
      <c r="S231" s="1019">
        <v>0</v>
      </c>
      <c r="T231" s="1019">
        <v>0</v>
      </c>
      <c r="U231" s="1019">
        <v>0</v>
      </c>
      <c r="V231" s="1019">
        <v>0</v>
      </c>
      <c r="W231" s="1019">
        <v>0</v>
      </c>
      <c r="X231" s="1019">
        <v>0</v>
      </c>
      <c r="Y231" s="1019">
        <v>0</v>
      </c>
      <c r="Z231" s="1019">
        <v>0</v>
      </c>
      <c r="AA231" s="1019">
        <v>0</v>
      </c>
      <c r="AB231" s="1019">
        <v>0</v>
      </c>
      <c r="AC231" s="1019">
        <v>0</v>
      </c>
      <c r="AD231" s="1019">
        <v>0</v>
      </c>
      <c r="AE231" s="1019">
        <v>0</v>
      </c>
      <c r="AF231" s="1019">
        <v>0</v>
      </c>
      <c r="AG231" s="1019">
        <v>0</v>
      </c>
      <c r="AH231" s="1019">
        <v>0</v>
      </c>
      <c r="AI231" s="1019">
        <v>0</v>
      </c>
      <c r="AJ231" s="1019">
        <v>0</v>
      </c>
      <c r="AK231" s="1019">
        <v>0</v>
      </c>
      <c r="AL231" s="1019">
        <v>0</v>
      </c>
      <c r="AM231" s="1019">
        <v>0</v>
      </c>
      <c r="AN231" s="1019">
        <v>0</v>
      </c>
      <c r="AO231" s="1019">
        <v>0</v>
      </c>
      <c r="AP231" s="1019">
        <v>0</v>
      </c>
      <c r="AQ231" s="1019">
        <v>0</v>
      </c>
      <c r="AR231" s="1019">
        <v>0</v>
      </c>
      <c r="AS231" s="1019">
        <v>0</v>
      </c>
      <c r="AT231" s="1019">
        <v>0</v>
      </c>
      <c r="AU231" s="1019">
        <v>0</v>
      </c>
      <c r="AV231" s="1019">
        <v>0</v>
      </c>
      <c r="AW231" s="1019">
        <v>0</v>
      </c>
      <c r="AX231" s="1019">
        <v>0</v>
      </c>
      <c r="AY231" s="1019">
        <v>0</v>
      </c>
      <c r="AZ231" s="1019">
        <v>0</v>
      </c>
      <c r="BA231" s="1019">
        <v>0</v>
      </c>
      <c r="BB231" s="1019">
        <v>0</v>
      </c>
      <c r="BC231" s="1019">
        <v>0</v>
      </c>
      <c r="BD231" s="1019">
        <v>0</v>
      </c>
      <c r="BE231" s="1019">
        <v>0</v>
      </c>
      <c r="BF231" s="1019">
        <v>0</v>
      </c>
      <c r="BG231" s="1019">
        <v>0</v>
      </c>
      <c r="BH231" s="1019">
        <v>0</v>
      </c>
      <c r="BI231" s="1019">
        <v>0</v>
      </c>
      <c r="BJ231" s="1019">
        <v>0</v>
      </c>
      <c r="BK231" s="1019">
        <v>0</v>
      </c>
      <c r="BL231" s="1019">
        <v>90000</v>
      </c>
      <c r="BM231" s="1019">
        <v>-90000</v>
      </c>
      <c r="BN231" s="1019">
        <v>0</v>
      </c>
      <c r="BO231" s="1019">
        <v>0</v>
      </c>
      <c r="BP231" s="1019">
        <v>0</v>
      </c>
      <c r="BQ231" s="1019">
        <v>0</v>
      </c>
      <c r="BR231" s="1019">
        <v>0</v>
      </c>
      <c r="BS231" s="1019">
        <v>0</v>
      </c>
      <c r="BT231" s="1019">
        <v>0</v>
      </c>
      <c r="BU231" s="1019">
        <v>0</v>
      </c>
      <c r="BV231" s="1019">
        <v>0</v>
      </c>
      <c r="BW231" s="1019">
        <v>0</v>
      </c>
      <c r="BX231" s="1019">
        <v>0</v>
      </c>
      <c r="BY231" s="1019">
        <v>0</v>
      </c>
      <c r="BZ231" s="111"/>
      <c r="CA231" s="111"/>
      <c r="CB231" s="111"/>
      <c r="CC231" s="111"/>
      <c r="CD231" s="111"/>
      <c r="CE231" s="111"/>
      <c r="CF231" s="111"/>
      <c r="CG231" s="111"/>
      <c r="CH231" s="111"/>
      <c r="CI231" s="111"/>
      <c r="CJ231" s="111"/>
      <c r="CK231" s="111"/>
      <c r="CL231" s="111"/>
      <c r="CM231" s="111"/>
      <c r="CN231" s="111"/>
      <c r="CO231" s="111"/>
      <c r="CP231" s="111"/>
      <c r="CQ231" s="111"/>
      <c r="CR231" s="111"/>
      <c r="CS231" s="111"/>
      <c r="CT231" s="111"/>
      <c r="CU231" s="111"/>
      <c r="CV231" s="111"/>
      <c r="CW231" s="111"/>
      <c r="CX231" s="111"/>
      <c r="CY231" s="111"/>
      <c r="CZ231" s="111"/>
      <c r="DA231" s="111"/>
      <c r="DB231" s="111"/>
      <c r="DC231" s="111"/>
      <c r="DD231" s="111"/>
      <c r="DE231" s="111"/>
      <c r="DF231" s="111"/>
      <c r="DG231" s="111"/>
      <c r="DH231" s="111"/>
      <c r="DI231" s="111"/>
      <c r="DJ231" s="111"/>
      <c r="DK231" s="111"/>
      <c r="DL231" s="111"/>
      <c r="DM231" s="111"/>
      <c r="DN231" s="111"/>
      <c r="DO231" s="111"/>
      <c r="DP231" s="111"/>
      <c r="DQ231" s="111"/>
      <c r="DR231" s="111"/>
      <c r="DS231" s="111"/>
      <c r="DT231" s="111"/>
      <c r="DU231" s="111"/>
      <c r="DV231" s="111"/>
      <c r="DW231" s="111"/>
      <c r="DX231" s="111"/>
      <c r="DY231" s="111"/>
    </row>
    <row r="232" spans="2:129" s="3" customFormat="1" ht="11.7" hidden="1" customHeight="1" outlineLevel="2" x14ac:dyDescent="0.3">
      <c r="B232" s="113" t="s">
        <v>778</v>
      </c>
      <c r="C232" s="230"/>
      <c r="G232" s="127"/>
      <c r="H232" s="127"/>
      <c r="I232" s="1019">
        <v>0</v>
      </c>
      <c r="J232" s="1019">
        <v>0</v>
      </c>
      <c r="K232" s="1019">
        <v>0</v>
      </c>
      <c r="L232" s="1019">
        <v>0</v>
      </c>
      <c r="M232" s="1019">
        <v>0</v>
      </c>
      <c r="N232" s="1019">
        <v>0</v>
      </c>
      <c r="O232" s="1019">
        <v>0</v>
      </c>
      <c r="P232" s="1019">
        <v>0</v>
      </c>
      <c r="Q232" s="1019">
        <v>0</v>
      </c>
      <c r="R232" s="1019">
        <v>0</v>
      </c>
      <c r="S232" s="1019">
        <v>0</v>
      </c>
      <c r="T232" s="1019">
        <v>0</v>
      </c>
      <c r="U232" s="1019">
        <v>0</v>
      </c>
      <c r="V232" s="1019">
        <v>0</v>
      </c>
      <c r="W232" s="1019">
        <v>0</v>
      </c>
      <c r="X232" s="1019">
        <v>0</v>
      </c>
      <c r="Y232" s="1019">
        <v>0</v>
      </c>
      <c r="Z232" s="1019">
        <v>0</v>
      </c>
      <c r="AA232" s="1019">
        <v>0</v>
      </c>
      <c r="AB232" s="1019">
        <v>0</v>
      </c>
      <c r="AC232" s="1019">
        <v>0</v>
      </c>
      <c r="AD232" s="1019">
        <v>0</v>
      </c>
      <c r="AE232" s="1019">
        <v>0</v>
      </c>
      <c r="AF232" s="1019">
        <v>0</v>
      </c>
      <c r="AG232" s="1019">
        <v>0</v>
      </c>
      <c r="AH232" s="1019">
        <v>0</v>
      </c>
      <c r="AI232" s="1019">
        <v>0</v>
      </c>
      <c r="AJ232" s="1019">
        <v>0</v>
      </c>
      <c r="AK232" s="1019">
        <v>0</v>
      </c>
      <c r="AL232" s="1019">
        <v>0</v>
      </c>
      <c r="AM232" s="1019">
        <v>0</v>
      </c>
      <c r="AN232" s="1019">
        <v>0</v>
      </c>
      <c r="AO232" s="1019">
        <v>0</v>
      </c>
      <c r="AP232" s="1019">
        <v>0</v>
      </c>
      <c r="AQ232" s="1019">
        <v>0</v>
      </c>
      <c r="AR232" s="1019">
        <v>0</v>
      </c>
      <c r="AS232" s="1019">
        <v>0</v>
      </c>
      <c r="AT232" s="1019">
        <v>0</v>
      </c>
      <c r="AU232" s="1019">
        <v>0</v>
      </c>
      <c r="AV232" s="1019">
        <v>0</v>
      </c>
      <c r="AW232" s="1019">
        <v>0</v>
      </c>
      <c r="AX232" s="1019">
        <v>0</v>
      </c>
      <c r="AY232" s="1019">
        <v>0</v>
      </c>
      <c r="AZ232" s="1019">
        <v>0</v>
      </c>
      <c r="BA232" s="1019">
        <v>0</v>
      </c>
      <c r="BB232" s="1019">
        <v>0</v>
      </c>
      <c r="BC232" s="1019">
        <v>0</v>
      </c>
      <c r="BD232" s="1019">
        <v>0</v>
      </c>
      <c r="BE232" s="1019">
        <v>0</v>
      </c>
      <c r="BF232" s="1019">
        <v>0</v>
      </c>
      <c r="BG232" s="1019">
        <v>0</v>
      </c>
      <c r="BH232" s="1019">
        <v>0</v>
      </c>
      <c r="BI232" s="1019">
        <v>0</v>
      </c>
      <c r="BJ232" s="1019">
        <v>0</v>
      </c>
      <c r="BK232" s="1019">
        <v>0</v>
      </c>
      <c r="BL232" s="1019">
        <v>0</v>
      </c>
      <c r="BM232" s="1019">
        <v>0</v>
      </c>
      <c r="BN232" s="1019">
        <v>0</v>
      </c>
      <c r="BO232" s="1019">
        <v>0</v>
      </c>
      <c r="BP232" s="1019">
        <v>0</v>
      </c>
      <c r="BQ232" s="1019">
        <v>2299269</v>
      </c>
      <c r="BR232" s="1019">
        <v>0</v>
      </c>
      <c r="BS232" s="1019">
        <v>533824</v>
      </c>
      <c r="BT232" s="1019">
        <v>0</v>
      </c>
      <c r="BU232" s="1019">
        <v>386000</v>
      </c>
      <c r="BV232" s="1019">
        <v>0</v>
      </c>
      <c r="BW232" s="1019">
        <v>0</v>
      </c>
      <c r="BX232" s="1019">
        <v>0</v>
      </c>
      <c r="BY232" s="1019">
        <v>0</v>
      </c>
      <c r="BZ232" s="111" t="s">
        <v>798</v>
      </c>
      <c r="CA232" s="111"/>
      <c r="CB232" s="111"/>
      <c r="CC232" s="111"/>
      <c r="CD232" s="111"/>
      <c r="CE232" s="111"/>
      <c r="CF232" s="111"/>
      <c r="CG232" s="111"/>
      <c r="CH232" s="111"/>
      <c r="CI232" s="111"/>
      <c r="CJ232" s="111"/>
      <c r="CK232" s="111"/>
      <c r="CL232" s="111"/>
      <c r="CM232" s="111"/>
      <c r="CN232" s="111"/>
      <c r="CO232" s="111"/>
      <c r="CP232" s="111"/>
      <c r="CQ232" s="111"/>
      <c r="CR232" s="111"/>
      <c r="CS232" s="111"/>
      <c r="CT232" s="111"/>
      <c r="CU232" s="111"/>
      <c r="CV232" s="111"/>
      <c r="CW232" s="111"/>
      <c r="CX232" s="111"/>
      <c r="CY232" s="111"/>
      <c r="CZ232" s="111"/>
      <c r="DA232" s="111"/>
      <c r="DB232" s="111"/>
      <c r="DC232" s="111"/>
      <c r="DD232" s="111"/>
      <c r="DE232" s="111"/>
      <c r="DF232" s="111"/>
      <c r="DG232" s="111"/>
      <c r="DH232" s="111"/>
      <c r="DI232" s="111"/>
      <c r="DJ232" s="111"/>
      <c r="DK232" s="111"/>
      <c r="DL232" s="111"/>
      <c r="DM232" s="111"/>
      <c r="DN232" s="111"/>
      <c r="DO232" s="111"/>
      <c r="DP232" s="111"/>
      <c r="DQ232" s="111"/>
      <c r="DR232" s="111"/>
      <c r="DS232" s="111"/>
      <c r="DT232" s="111"/>
      <c r="DU232" s="111"/>
      <c r="DV232" s="111"/>
      <c r="DW232" s="111"/>
      <c r="DX232" s="111"/>
      <c r="DY232" s="111"/>
    </row>
    <row r="233" spans="2:129" s="3" customFormat="1" ht="11.7" hidden="1" customHeight="1" outlineLevel="2" x14ac:dyDescent="0.3">
      <c r="B233" s="113" t="s">
        <v>792</v>
      </c>
      <c r="C233" s="230"/>
      <c r="G233" s="127"/>
      <c r="H233" s="127"/>
      <c r="I233" s="1019">
        <v>0</v>
      </c>
      <c r="J233" s="1019">
        <v>0</v>
      </c>
      <c r="K233" s="1019">
        <v>0</v>
      </c>
      <c r="L233" s="1019">
        <v>0</v>
      </c>
      <c r="M233" s="1019">
        <v>0</v>
      </c>
      <c r="N233" s="1019">
        <v>0</v>
      </c>
      <c r="O233" s="1019">
        <v>0</v>
      </c>
      <c r="P233" s="1019">
        <v>0</v>
      </c>
      <c r="Q233" s="1019">
        <v>0</v>
      </c>
      <c r="R233" s="1019">
        <v>0</v>
      </c>
      <c r="S233" s="1019">
        <v>0</v>
      </c>
      <c r="T233" s="1019">
        <v>0</v>
      </c>
      <c r="U233" s="1019">
        <v>0</v>
      </c>
      <c r="V233" s="1019">
        <v>0</v>
      </c>
      <c r="W233" s="1019">
        <v>0</v>
      </c>
      <c r="X233" s="1019">
        <v>0</v>
      </c>
      <c r="Y233" s="1019">
        <v>0</v>
      </c>
      <c r="Z233" s="1019">
        <v>0</v>
      </c>
      <c r="AA233" s="1019">
        <v>0</v>
      </c>
      <c r="AB233" s="1019">
        <v>0</v>
      </c>
      <c r="AC233" s="1019">
        <v>0</v>
      </c>
      <c r="AD233" s="1019">
        <v>0</v>
      </c>
      <c r="AE233" s="1019">
        <v>0</v>
      </c>
      <c r="AF233" s="1019">
        <v>0</v>
      </c>
      <c r="AG233" s="1019">
        <v>0</v>
      </c>
      <c r="AH233" s="1019">
        <v>0</v>
      </c>
      <c r="AI233" s="1019">
        <v>0</v>
      </c>
      <c r="AJ233" s="1019">
        <v>0</v>
      </c>
      <c r="AK233" s="1019">
        <v>0</v>
      </c>
      <c r="AL233" s="1019">
        <v>0</v>
      </c>
      <c r="AM233" s="1019">
        <v>0</v>
      </c>
      <c r="AN233" s="1019">
        <v>0</v>
      </c>
      <c r="AO233" s="1019">
        <v>0</v>
      </c>
      <c r="AP233" s="1019">
        <v>0</v>
      </c>
      <c r="AQ233" s="1019">
        <v>0</v>
      </c>
      <c r="AR233" s="1019">
        <v>0</v>
      </c>
      <c r="AS233" s="1019">
        <v>0</v>
      </c>
      <c r="AT233" s="1019">
        <v>0</v>
      </c>
      <c r="AU233" s="1019">
        <v>0</v>
      </c>
      <c r="AV233" s="1019">
        <v>0</v>
      </c>
      <c r="AW233" s="1019">
        <v>0</v>
      </c>
      <c r="AX233" s="1019">
        <v>0</v>
      </c>
      <c r="AY233" s="1019">
        <v>0</v>
      </c>
      <c r="AZ233" s="1019">
        <v>0</v>
      </c>
      <c r="BA233" s="1019">
        <v>0</v>
      </c>
      <c r="BB233" s="1019">
        <v>0</v>
      </c>
      <c r="BC233" s="1019">
        <v>0</v>
      </c>
      <c r="BD233" s="1019">
        <v>0</v>
      </c>
      <c r="BE233" s="1019">
        <v>0</v>
      </c>
      <c r="BF233" s="1019">
        <v>0</v>
      </c>
      <c r="BG233" s="1019">
        <v>0</v>
      </c>
      <c r="BH233" s="1019">
        <v>0</v>
      </c>
      <c r="BI233" s="1019">
        <v>0</v>
      </c>
      <c r="BJ233" s="1019">
        <v>0</v>
      </c>
      <c r="BK233" s="1019">
        <v>0</v>
      </c>
      <c r="BL233" s="1019">
        <v>0</v>
      </c>
      <c r="BM233" s="1019">
        <v>0</v>
      </c>
      <c r="BN233" s="1019">
        <v>0</v>
      </c>
      <c r="BO233" s="1019">
        <v>0</v>
      </c>
      <c r="BP233" s="1019">
        <v>0</v>
      </c>
      <c r="BQ233" s="1019">
        <v>0</v>
      </c>
      <c r="BR233" s="1019">
        <v>0</v>
      </c>
      <c r="BS233" s="1019">
        <v>0</v>
      </c>
      <c r="BT233" s="1019">
        <v>0</v>
      </c>
      <c r="BU233" s="1019">
        <v>0</v>
      </c>
      <c r="BV233" s="1019">
        <v>0</v>
      </c>
      <c r="BW233" s="1019">
        <v>127647</v>
      </c>
      <c r="BX233" s="1019">
        <v>0</v>
      </c>
      <c r="BY233" s="1019">
        <v>0</v>
      </c>
      <c r="BZ233" s="111"/>
      <c r="CA233" s="111"/>
      <c r="CB233" s="111"/>
      <c r="CC233" s="111"/>
      <c r="CD233" s="111"/>
      <c r="CE233" s="111"/>
      <c r="CF233" s="111"/>
      <c r="CG233" s="111"/>
      <c r="CH233" s="111"/>
      <c r="CI233" s="111"/>
      <c r="CJ233" s="111"/>
      <c r="CK233" s="111"/>
      <c r="CL233" s="111"/>
      <c r="CM233" s="111"/>
      <c r="CN233" s="111"/>
      <c r="CO233" s="111"/>
      <c r="CP233" s="111"/>
      <c r="CQ233" s="111"/>
      <c r="CR233" s="111"/>
      <c r="CS233" s="111"/>
      <c r="CT233" s="111"/>
      <c r="CU233" s="111"/>
      <c r="CV233" s="111"/>
      <c r="CW233" s="111"/>
      <c r="CX233" s="111"/>
      <c r="CY233" s="111"/>
      <c r="CZ233" s="111"/>
      <c r="DA233" s="111"/>
      <c r="DB233" s="111"/>
      <c r="DC233" s="111"/>
      <c r="DD233" s="111"/>
      <c r="DE233" s="111"/>
      <c r="DF233" s="111"/>
      <c r="DG233" s="111"/>
      <c r="DH233" s="111"/>
      <c r="DI233" s="111"/>
      <c r="DJ233" s="111"/>
      <c r="DK233" s="111"/>
      <c r="DL233" s="111"/>
      <c r="DM233" s="111"/>
      <c r="DN233" s="111"/>
      <c r="DO233" s="111"/>
      <c r="DP233" s="111"/>
      <c r="DQ233" s="111"/>
      <c r="DR233" s="111"/>
      <c r="DS233" s="111"/>
      <c r="DT233" s="111"/>
      <c r="DU233" s="111"/>
      <c r="DV233" s="111"/>
      <c r="DW233" s="111"/>
      <c r="DX233" s="111"/>
      <c r="DY233" s="111"/>
    </row>
    <row r="234" spans="2:129" s="3" customFormat="1" ht="11.7" hidden="1" customHeight="1" outlineLevel="2" x14ac:dyDescent="0.3">
      <c r="B234" s="113" t="s">
        <v>711</v>
      </c>
      <c r="C234" s="230"/>
      <c r="G234" s="127"/>
      <c r="H234" s="127"/>
      <c r="I234" s="1019">
        <v>0</v>
      </c>
      <c r="J234" s="1019">
        <v>0</v>
      </c>
      <c r="K234" s="1019">
        <v>0</v>
      </c>
      <c r="L234" s="1019">
        <v>0</v>
      </c>
      <c r="M234" s="1019">
        <v>0</v>
      </c>
      <c r="N234" s="1019">
        <v>0</v>
      </c>
      <c r="O234" s="1019">
        <v>0</v>
      </c>
      <c r="P234" s="1019">
        <v>0</v>
      </c>
      <c r="Q234" s="1019">
        <v>0</v>
      </c>
      <c r="R234" s="1019">
        <v>0</v>
      </c>
      <c r="S234" s="1019">
        <v>0</v>
      </c>
      <c r="T234" s="1019">
        <v>0</v>
      </c>
      <c r="U234" s="1019">
        <v>0</v>
      </c>
      <c r="V234" s="1019">
        <v>0</v>
      </c>
      <c r="W234" s="1019">
        <v>0</v>
      </c>
      <c r="X234" s="1019">
        <v>0</v>
      </c>
      <c r="Y234" s="1019">
        <v>0</v>
      </c>
      <c r="Z234" s="1019">
        <v>0</v>
      </c>
      <c r="AA234" s="1019">
        <v>0</v>
      </c>
      <c r="AB234" s="1019">
        <v>0</v>
      </c>
      <c r="AC234" s="1019">
        <v>0</v>
      </c>
      <c r="AD234" s="1019">
        <v>0</v>
      </c>
      <c r="AE234" s="1019">
        <v>0</v>
      </c>
      <c r="AF234" s="1019">
        <v>0</v>
      </c>
      <c r="AG234" s="1019">
        <v>0</v>
      </c>
      <c r="AH234" s="1019">
        <v>0</v>
      </c>
      <c r="AI234" s="1019">
        <v>0</v>
      </c>
      <c r="AJ234" s="1019">
        <v>0</v>
      </c>
      <c r="AK234" s="1019">
        <v>0</v>
      </c>
      <c r="AL234" s="1019">
        <v>0</v>
      </c>
      <c r="AM234" s="1019">
        <v>0</v>
      </c>
      <c r="AN234" s="1019">
        <v>0</v>
      </c>
      <c r="AO234" s="1019">
        <v>0</v>
      </c>
      <c r="AP234" s="1019">
        <v>0</v>
      </c>
      <c r="AQ234" s="1019">
        <v>0</v>
      </c>
      <c r="AR234" s="1019">
        <v>0</v>
      </c>
      <c r="AS234" s="1019">
        <v>0</v>
      </c>
      <c r="AT234" s="1019">
        <v>0</v>
      </c>
      <c r="AU234" s="1019">
        <v>0</v>
      </c>
      <c r="AV234" s="1019">
        <v>0</v>
      </c>
      <c r="AW234" s="1019">
        <v>0</v>
      </c>
      <c r="AX234" s="1019">
        <v>0</v>
      </c>
      <c r="AY234" s="1019">
        <v>0</v>
      </c>
      <c r="AZ234" s="1019">
        <v>0</v>
      </c>
      <c r="BA234" s="1019">
        <v>0</v>
      </c>
      <c r="BB234" s="1019">
        <v>0</v>
      </c>
      <c r="BC234" s="1019">
        <v>0</v>
      </c>
      <c r="BD234" s="1019">
        <v>0</v>
      </c>
      <c r="BE234" s="1019">
        <v>0</v>
      </c>
      <c r="BF234" s="1019">
        <v>0</v>
      </c>
      <c r="BG234" s="1019">
        <v>0</v>
      </c>
      <c r="BH234" s="1019">
        <v>0</v>
      </c>
      <c r="BI234" s="1019">
        <v>6170000</v>
      </c>
      <c r="BJ234" s="1019">
        <v>0</v>
      </c>
      <c r="BK234" s="1019">
        <v>0</v>
      </c>
      <c r="BL234" s="1019">
        <v>0</v>
      </c>
      <c r="BM234" s="1019">
        <v>77645</v>
      </c>
      <c r="BN234" s="1019">
        <v>0</v>
      </c>
      <c r="BO234" s="1019">
        <v>0</v>
      </c>
      <c r="BP234" s="1019">
        <v>0</v>
      </c>
      <c r="BQ234" s="1019">
        <v>0</v>
      </c>
      <c r="BR234" s="1019">
        <v>0</v>
      </c>
      <c r="BS234" s="1019">
        <v>0</v>
      </c>
      <c r="BT234" s="1019">
        <v>0</v>
      </c>
      <c r="BU234" s="1019">
        <v>0</v>
      </c>
      <c r="BV234" s="1019">
        <v>0</v>
      </c>
      <c r="BW234" s="1019">
        <v>0</v>
      </c>
      <c r="BX234" s="1019">
        <v>0</v>
      </c>
      <c r="BY234" s="1019">
        <v>0</v>
      </c>
      <c r="BZ234" s="111"/>
      <c r="CA234" s="111"/>
      <c r="CB234" s="111"/>
      <c r="CC234" s="111"/>
      <c r="CD234" s="111"/>
      <c r="CE234" s="111"/>
      <c r="CF234" s="111"/>
      <c r="CG234" s="111"/>
      <c r="CH234" s="111"/>
      <c r="CI234" s="111"/>
      <c r="CJ234" s="111"/>
      <c r="CK234" s="111"/>
      <c r="CL234" s="111"/>
      <c r="CM234" s="111"/>
      <c r="CN234" s="111"/>
      <c r="CO234" s="111"/>
      <c r="CP234" s="111"/>
      <c r="CQ234" s="111"/>
      <c r="CR234" s="111"/>
      <c r="CS234" s="111"/>
      <c r="CT234" s="111"/>
      <c r="CU234" s="111"/>
      <c r="CV234" s="111"/>
      <c r="CW234" s="111"/>
      <c r="CX234" s="111"/>
      <c r="CY234" s="111"/>
      <c r="CZ234" s="111"/>
      <c r="DA234" s="111"/>
      <c r="DB234" s="111"/>
      <c r="DC234" s="111"/>
      <c r="DD234" s="111"/>
      <c r="DE234" s="111"/>
      <c r="DF234" s="111"/>
      <c r="DG234" s="111"/>
      <c r="DH234" s="111"/>
      <c r="DI234" s="111"/>
      <c r="DJ234" s="111"/>
      <c r="DK234" s="111"/>
      <c r="DL234" s="111"/>
      <c r="DM234" s="111"/>
      <c r="DN234" s="111"/>
      <c r="DO234" s="111"/>
      <c r="DP234" s="111"/>
      <c r="DQ234" s="111"/>
      <c r="DR234" s="111"/>
      <c r="DS234" s="111"/>
      <c r="DT234" s="111"/>
      <c r="DU234" s="111"/>
      <c r="DV234" s="111"/>
      <c r="DW234" s="111"/>
      <c r="DX234" s="111"/>
      <c r="DY234" s="111"/>
    </row>
    <row r="235" spans="2:129" s="3" customFormat="1" ht="11.7" hidden="1" customHeight="1" outlineLevel="2" x14ac:dyDescent="0.3">
      <c r="B235" s="113" t="s">
        <v>712</v>
      </c>
      <c r="C235" s="230"/>
      <c r="G235" s="127"/>
      <c r="H235" s="127"/>
      <c r="I235" s="1019">
        <v>0</v>
      </c>
      <c r="J235" s="1019">
        <v>0</v>
      </c>
      <c r="K235" s="1019">
        <v>0</v>
      </c>
      <c r="L235" s="1019">
        <v>0</v>
      </c>
      <c r="M235" s="1019">
        <v>0</v>
      </c>
      <c r="N235" s="1019">
        <v>0</v>
      </c>
      <c r="O235" s="1019">
        <v>0</v>
      </c>
      <c r="P235" s="1019">
        <v>0</v>
      </c>
      <c r="Q235" s="1019">
        <v>0</v>
      </c>
      <c r="R235" s="1019">
        <v>0</v>
      </c>
      <c r="S235" s="1019">
        <v>0</v>
      </c>
      <c r="T235" s="1019">
        <v>0</v>
      </c>
      <c r="U235" s="1019">
        <v>0</v>
      </c>
      <c r="V235" s="1019">
        <v>0</v>
      </c>
      <c r="W235" s="1019">
        <v>0</v>
      </c>
      <c r="X235" s="1019">
        <v>0</v>
      </c>
      <c r="Y235" s="1019">
        <v>0</v>
      </c>
      <c r="Z235" s="1019">
        <v>0</v>
      </c>
      <c r="AA235" s="1019">
        <v>0</v>
      </c>
      <c r="AB235" s="1019">
        <v>0</v>
      </c>
      <c r="AC235" s="1019">
        <v>0</v>
      </c>
      <c r="AD235" s="1019">
        <v>0</v>
      </c>
      <c r="AE235" s="1019">
        <v>0</v>
      </c>
      <c r="AF235" s="1019">
        <v>0</v>
      </c>
      <c r="AG235" s="1019">
        <v>0</v>
      </c>
      <c r="AH235" s="1019">
        <v>0</v>
      </c>
      <c r="AI235" s="1019">
        <v>0</v>
      </c>
      <c r="AJ235" s="1019">
        <v>0</v>
      </c>
      <c r="AK235" s="1019">
        <v>0</v>
      </c>
      <c r="AL235" s="1019">
        <v>0</v>
      </c>
      <c r="AM235" s="1019">
        <v>0</v>
      </c>
      <c r="AN235" s="1019">
        <v>0</v>
      </c>
      <c r="AO235" s="1019">
        <v>0</v>
      </c>
      <c r="AP235" s="1019">
        <v>0</v>
      </c>
      <c r="AQ235" s="1019">
        <v>0</v>
      </c>
      <c r="AR235" s="1019">
        <v>0</v>
      </c>
      <c r="AS235" s="1019">
        <v>0</v>
      </c>
      <c r="AT235" s="1019">
        <v>0</v>
      </c>
      <c r="AU235" s="1019">
        <v>0</v>
      </c>
      <c r="AV235" s="1019">
        <v>0</v>
      </c>
      <c r="AW235" s="1019">
        <v>0</v>
      </c>
      <c r="AX235" s="1019">
        <v>0</v>
      </c>
      <c r="AY235" s="1019">
        <v>0</v>
      </c>
      <c r="AZ235" s="1019">
        <v>0</v>
      </c>
      <c r="BA235" s="1019">
        <v>0</v>
      </c>
      <c r="BB235" s="1019">
        <v>0</v>
      </c>
      <c r="BC235" s="1019">
        <v>0</v>
      </c>
      <c r="BD235" s="1019">
        <v>0</v>
      </c>
      <c r="BE235" s="1019">
        <v>0</v>
      </c>
      <c r="BF235" s="1019">
        <v>0</v>
      </c>
      <c r="BG235" s="1019">
        <v>0</v>
      </c>
      <c r="BH235" s="1019">
        <v>0</v>
      </c>
      <c r="BI235" s="1019">
        <v>0</v>
      </c>
      <c r="BJ235" s="1019">
        <v>0</v>
      </c>
      <c r="BK235" s="1019">
        <v>0</v>
      </c>
      <c r="BL235" s="1019">
        <v>1506817</v>
      </c>
      <c r="BM235" s="1019">
        <v>-279227</v>
      </c>
      <c r="BN235" s="1019">
        <v>1077586</v>
      </c>
      <c r="BO235" s="1019">
        <v>0</v>
      </c>
      <c r="BP235" s="1019">
        <v>0</v>
      </c>
      <c r="BQ235" s="1019">
        <v>628744</v>
      </c>
      <c r="BR235" s="1019">
        <v>-1077586</v>
      </c>
      <c r="BS235" s="1019">
        <v>312473</v>
      </c>
      <c r="BT235" s="1019">
        <v>312630</v>
      </c>
      <c r="BU235" s="1019">
        <v>-9212</v>
      </c>
      <c r="BV235" s="1019">
        <v>625104</v>
      </c>
      <c r="BW235" s="1019">
        <v>0</v>
      </c>
      <c r="BX235" s="1019">
        <v>603194</v>
      </c>
      <c r="BY235" s="1019">
        <v>442856</v>
      </c>
      <c r="BZ235" s="111"/>
      <c r="CA235" s="111"/>
      <c r="CB235" s="111"/>
      <c r="CC235" s="111"/>
      <c r="CD235" s="111"/>
      <c r="CE235" s="111"/>
      <c r="CF235" s="111"/>
      <c r="CG235" s="111"/>
      <c r="CH235" s="111"/>
      <c r="CI235" s="111"/>
      <c r="CJ235" s="111"/>
      <c r="CK235" s="111"/>
      <c r="CL235" s="111"/>
      <c r="CM235" s="111"/>
      <c r="CN235" s="111"/>
      <c r="CO235" s="111"/>
      <c r="CP235" s="111"/>
      <c r="CQ235" s="111"/>
      <c r="CR235" s="111"/>
      <c r="CS235" s="111"/>
      <c r="CT235" s="111"/>
      <c r="CU235" s="111"/>
      <c r="CV235" s="111"/>
      <c r="CW235" s="111"/>
      <c r="CX235" s="111"/>
      <c r="CY235" s="111"/>
      <c r="CZ235" s="111"/>
      <c r="DA235" s="111"/>
      <c r="DB235" s="111"/>
      <c r="DC235" s="111"/>
      <c r="DD235" s="111"/>
      <c r="DE235" s="111"/>
      <c r="DF235" s="111"/>
      <c r="DG235" s="111"/>
      <c r="DH235" s="111"/>
      <c r="DI235" s="111"/>
      <c r="DJ235" s="111"/>
      <c r="DK235" s="111"/>
      <c r="DL235" s="111"/>
      <c r="DM235" s="111"/>
      <c r="DN235" s="111"/>
      <c r="DO235" s="111"/>
      <c r="DP235" s="111"/>
      <c r="DQ235" s="111"/>
      <c r="DR235" s="111"/>
      <c r="DS235" s="111"/>
      <c r="DT235" s="111"/>
      <c r="DU235" s="111"/>
      <c r="DV235" s="111"/>
      <c r="DW235" s="111"/>
      <c r="DX235" s="111"/>
      <c r="DY235" s="111"/>
    </row>
    <row r="236" spans="2:129" s="3" customFormat="1" ht="11.7" hidden="1" customHeight="1" outlineLevel="2" x14ac:dyDescent="0.3">
      <c r="B236" s="113" t="s">
        <v>713</v>
      </c>
      <c r="C236" s="230"/>
      <c r="G236" s="127"/>
      <c r="H236" s="127"/>
      <c r="I236" s="1019">
        <v>0</v>
      </c>
      <c r="J236" s="1019">
        <v>0</v>
      </c>
      <c r="K236" s="1019">
        <v>0</v>
      </c>
      <c r="L236" s="1019">
        <v>0</v>
      </c>
      <c r="M236" s="1019">
        <v>0</v>
      </c>
      <c r="N236" s="1019">
        <v>0</v>
      </c>
      <c r="O236" s="1019">
        <v>0</v>
      </c>
      <c r="P236" s="1019">
        <v>0</v>
      </c>
      <c r="Q236" s="1019">
        <v>0</v>
      </c>
      <c r="R236" s="1019">
        <v>0</v>
      </c>
      <c r="S236" s="1019">
        <v>0</v>
      </c>
      <c r="T236" s="1019">
        <v>0</v>
      </c>
      <c r="U236" s="1019">
        <v>0</v>
      </c>
      <c r="V236" s="1019">
        <v>0</v>
      </c>
      <c r="W236" s="1019">
        <v>0</v>
      </c>
      <c r="X236" s="1019">
        <v>0</v>
      </c>
      <c r="Y236" s="1019">
        <v>0</v>
      </c>
      <c r="Z236" s="1019">
        <v>0</v>
      </c>
      <c r="AA236" s="1019">
        <v>0</v>
      </c>
      <c r="AB236" s="1019">
        <v>0</v>
      </c>
      <c r="AC236" s="1019">
        <v>0</v>
      </c>
      <c r="AD236" s="1019">
        <v>0</v>
      </c>
      <c r="AE236" s="1019">
        <v>0</v>
      </c>
      <c r="AF236" s="1019">
        <v>0</v>
      </c>
      <c r="AG236" s="1019">
        <v>0</v>
      </c>
      <c r="AH236" s="1019">
        <v>0</v>
      </c>
      <c r="AI236" s="1019">
        <v>0</v>
      </c>
      <c r="AJ236" s="1019">
        <v>0</v>
      </c>
      <c r="AK236" s="1019">
        <v>0</v>
      </c>
      <c r="AL236" s="1019">
        <v>0</v>
      </c>
      <c r="AM236" s="1019">
        <v>0</v>
      </c>
      <c r="AN236" s="1019">
        <v>0</v>
      </c>
      <c r="AO236" s="1019">
        <v>0</v>
      </c>
      <c r="AP236" s="1019">
        <v>0</v>
      </c>
      <c r="AQ236" s="1019">
        <v>0</v>
      </c>
      <c r="AR236" s="1019">
        <v>0</v>
      </c>
      <c r="AS236" s="1019">
        <v>0</v>
      </c>
      <c r="AT236" s="1019">
        <v>0</v>
      </c>
      <c r="AU236" s="1019">
        <v>0</v>
      </c>
      <c r="AV236" s="1019">
        <v>0</v>
      </c>
      <c r="AW236" s="1019">
        <v>0</v>
      </c>
      <c r="AX236" s="1019">
        <v>0</v>
      </c>
      <c r="AY236" s="1019">
        <v>0</v>
      </c>
      <c r="AZ236" s="1019">
        <v>0</v>
      </c>
      <c r="BA236" s="1019">
        <v>0</v>
      </c>
      <c r="BB236" s="1019">
        <v>0</v>
      </c>
      <c r="BC236" s="1019">
        <v>0</v>
      </c>
      <c r="BD236" s="1019">
        <v>0</v>
      </c>
      <c r="BE236" s="1019">
        <v>0</v>
      </c>
      <c r="BF236" s="1019">
        <v>0</v>
      </c>
      <c r="BG236" s="1019">
        <v>0</v>
      </c>
      <c r="BH236" s="1019">
        <v>0</v>
      </c>
      <c r="BI236" s="1019">
        <v>22755</v>
      </c>
      <c r="BJ236" s="1019">
        <v>0</v>
      </c>
      <c r="BK236" s="1019">
        <v>503703</v>
      </c>
      <c r="BL236" s="1019">
        <v>0</v>
      </c>
      <c r="BM236" s="1019">
        <v>0</v>
      </c>
      <c r="BN236" s="1019">
        <v>0</v>
      </c>
      <c r="BO236" s="1019">
        <v>0</v>
      </c>
      <c r="BP236" s="1019">
        <v>54740</v>
      </c>
      <c r="BQ236" s="1019">
        <v>20686</v>
      </c>
      <c r="BR236" s="1019">
        <v>0</v>
      </c>
      <c r="BS236" s="1019">
        <v>107930</v>
      </c>
      <c r="BT236" s="1019">
        <v>0</v>
      </c>
      <c r="BU236" s="1019">
        <v>19984</v>
      </c>
      <c r="BV236" s="1019">
        <v>103083</v>
      </c>
      <c r="BW236" s="1019">
        <v>46249</v>
      </c>
      <c r="BX236" s="1019">
        <v>167918</v>
      </c>
      <c r="BY236" s="1019">
        <v>167918</v>
      </c>
      <c r="BZ236" s="111"/>
      <c r="CA236" s="111"/>
      <c r="CB236" s="111"/>
      <c r="CC236" s="111"/>
      <c r="CD236" s="111"/>
      <c r="CE236" s="111"/>
      <c r="CF236" s="111"/>
      <c r="CG236" s="111"/>
      <c r="CH236" s="111"/>
      <c r="CI236" s="111"/>
      <c r="CJ236" s="111"/>
      <c r="CK236" s="111"/>
      <c r="CL236" s="111"/>
      <c r="CM236" s="111"/>
      <c r="CN236" s="111"/>
      <c r="CO236" s="111"/>
      <c r="CP236" s="111"/>
      <c r="CQ236" s="111"/>
      <c r="CR236" s="111"/>
      <c r="CS236" s="111"/>
      <c r="CT236" s="111"/>
      <c r="CU236" s="111"/>
      <c r="CV236" s="111"/>
      <c r="CW236" s="111"/>
      <c r="CX236" s="111"/>
      <c r="CY236" s="111"/>
      <c r="CZ236" s="111"/>
      <c r="DA236" s="111"/>
      <c r="DB236" s="111"/>
      <c r="DC236" s="111"/>
      <c r="DD236" s="111"/>
      <c r="DE236" s="111"/>
      <c r="DF236" s="111"/>
      <c r="DG236" s="111"/>
      <c r="DH236" s="111"/>
      <c r="DI236" s="111"/>
      <c r="DJ236" s="111"/>
      <c r="DK236" s="111"/>
      <c r="DL236" s="111"/>
      <c r="DM236" s="111"/>
      <c r="DN236" s="111"/>
      <c r="DO236" s="111"/>
      <c r="DP236" s="111"/>
      <c r="DQ236" s="111"/>
      <c r="DR236" s="111"/>
      <c r="DS236" s="111"/>
      <c r="DT236" s="111"/>
      <c r="DU236" s="111"/>
      <c r="DV236" s="111"/>
      <c r="DW236" s="111"/>
      <c r="DX236" s="111"/>
      <c r="DY236" s="111"/>
    </row>
    <row r="237" spans="2:129" s="3" customFormat="1" ht="11.7" hidden="1" customHeight="1" outlineLevel="2" x14ac:dyDescent="0.3">
      <c r="B237" s="113" t="s">
        <v>714</v>
      </c>
      <c r="C237" s="230"/>
      <c r="G237" s="127"/>
      <c r="H237" s="127"/>
      <c r="I237" s="1019">
        <v>0</v>
      </c>
      <c r="J237" s="1019">
        <v>0</v>
      </c>
      <c r="K237" s="1019">
        <v>0</v>
      </c>
      <c r="L237" s="1019">
        <v>0</v>
      </c>
      <c r="M237" s="1019">
        <v>0</v>
      </c>
      <c r="N237" s="1019">
        <v>0</v>
      </c>
      <c r="O237" s="1019">
        <v>0</v>
      </c>
      <c r="P237" s="1019">
        <v>0</v>
      </c>
      <c r="Q237" s="1019">
        <v>0</v>
      </c>
      <c r="R237" s="1019">
        <v>0</v>
      </c>
      <c r="S237" s="1019">
        <v>0</v>
      </c>
      <c r="T237" s="1019">
        <v>0</v>
      </c>
      <c r="U237" s="1019">
        <v>0</v>
      </c>
      <c r="V237" s="1019">
        <v>0</v>
      </c>
      <c r="W237" s="1019">
        <v>0</v>
      </c>
      <c r="X237" s="1019">
        <v>0</v>
      </c>
      <c r="Y237" s="1019">
        <v>0</v>
      </c>
      <c r="Z237" s="1019">
        <v>0</v>
      </c>
      <c r="AA237" s="1019">
        <v>0</v>
      </c>
      <c r="AB237" s="1019">
        <v>0</v>
      </c>
      <c r="AC237" s="1019">
        <v>0</v>
      </c>
      <c r="AD237" s="1019">
        <v>0</v>
      </c>
      <c r="AE237" s="1019">
        <v>0</v>
      </c>
      <c r="AF237" s="1019">
        <v>0</v>
      </c>
      <c r="AG237" s="1019">
        <v>0</v>
      </c>
      <c r="AH237" s="1019">
        <v>0</v>
      </c>
      <c r="AI237" s="1019">
        <v>0</v>
      </c>
      <c r="AJ237" s="1019">
        <v>0</v>
      </c>
      <c r="AK237" s="1019">
        <v>0</v>
      </c>
      <c r="AL237" s="1019">
        <v>0</v>
      </c>
      <c r="AM237" s="1019">
        <v>0</v>
      </c>
      <c r="AN237" s="1019">
        <v>0</v>
      </c>
      <c r="AO237" s="1019">
        <v>0</v>
      </c>
      <c r="AP237" s="1019">
        <v>0</v>
      </c>
      <c r="AQ237" s="1019">
        <v>0</v>
      </c>
      <c r="AR237" s="1019">
        <v>0</v>
      </c>
      <c r="AS237" s="1019">
        <v>0</v>
      </c>
      <c r="AT237" s="1019">
        <v>0</v>
      </c>
      <c r="AU237" s="1019">
        <v>0</v>
      </c>
      <c r="AV237" s="1019">
        <v>0</v>
      </c>
      <c r="AW237" s="1019">
        <v>0</v>
      </c>
      <c r="AX237" s="1019">
        <v>0</v>
      </c>
      <c r="AY237" s="1019">
        <v>0</v>
      </c>
      <c r="AZ237" s="1019">
        <v>0</v>
      </c>
      <c r="BA237" s="1019">
        <v>0</v>
      </c>
      <c r="BB237" s="1019">
        <v>0</v>
      </c>
      <c r="BC237" s="1019">
        <v>0</v>
      </c>
      <c r="BD237" s="1019">
        <v>0</v>
      </c>
      <c r="BE237" s="1019">
        <v>0</v>
      </c>
      <c r="BF237" s="1019">
        <v>0</v>
      </c>
      <c r="BG237" s="1019">
        <v>0</v>
      </c>
      <c r="BH237" s="1019">
        <v>0</v>
      </c>
      <c r="BI237" s="1019">
        <v>763893</v>
      </c>
      <c r="BJ237" s="1019">
        <v>0</v>
      </c>
      <c r="BK237" s="1019">
        <v>493787</v>
      </c>
      <c r="BL237" s="1019">
        <v>0</v>
      </c>
      <c r="BM237" s="1019">
        <v>0</v>
      </c>
      <c r="BN237" s="1019">
        <v>0</v>
      </c>
      <c r="BO237" s="1019">
        <v>0</v>
      </c>
      <c r="BP237" s="1019">
        <v>0</v>
      </c>
      <c r="BQ237" s="1019">
        <v>0</v>
      </c>
      <c r="BR237" s="1019">
        <v>0</v>
      </c>
      <c r="BS237" s="1019">
        <v>0</v>
      </c>
      <c r="BT237" s="1019">
        <v>0</v>
      </c>
      <c r="BU237" s="1019">
        <v>0</v>
      </c>
      <c r="BV237" s="1019">
        <v>0</v>
      </c>
      <c r="BW237" s="1019">
        <v>0</v>
      </c>
      <c r="BX237" s="1019">
        <v>0</v>
      </c>
      <c r="BY237" s="1019">
        <v>0</v>
      </c>
      <c r="BZ237" s="111"/>
      <c r="CA237" s="111"/>
      <c r="CB237" s="111"/>
      <c r="CC237" s="111"/>
      <c r="CD237" s="111"/>
      <c r="CE237" s="111"/>
      <c r="CF237" s="111"/>
      <c r="CG237" s="111"/>
      <c r="CH237" s="111"/>
      <c r="CI237" s="111"/>
      <c r="CJ237" s="111"/>
      <c r="CK237" s="111"/>
      <c r="CL237" s="111"/>
      <c r="CM237" s="111"/>
      <c r="CN237" s="111"/>
      <c r="CO237" s="111"/>
      <c r="CP237" s="111"/>
      <c r="CQ237" s="111"/>
      <c r="CR237" s="111"/>
      <c r="CS237" s="111"/>
      <c r="CT237" s="111"/>
      <c r="CU237" s="111"/>
      <c r="CV237" s="111"/>
      <c r="CW237" s="111"/>
      <c r="CX237" s="111"/>
      <c r="CY237" s="111"/>
      <c r="CZ237" s="111"/>
      <c r="DA237" s="111"/>
      <c r="DB237" s="111"/>
      <c r="DC237" s="111"/>
      <c r="DD237" s="111"/>
      <c r="DE237" s="111"/>
      <c r="DF237" s="111"/>
      <c r="DG237" s="111"/>
      <c r="DH237" s="111"/>
      <c r="DI237" s="111"/>
      <c r="DJ237" s="111"/>
      <c r="DK237" s="111"/>
      <c r="DL237" s="111"/>
      <c r="DM237" s="111"/>
      <c r="DN237" s="111"/>
      <c r="DO237" s="111"/>
      <c r="DP237" s="111"/>
      <c r="DQ237" s="111"/>
      <c r="DR237" s="111"/>
      <c r="DS237" s="111"/>
      <c r="DT237" s="111"/>
      <c r="DU237" s="111"/>
      <c r="DV237" s="111"/>
      <c r="DW237" s="111"/>
      <c r="DX237" s="111"/>
      <c r="DY237" s="111"/>
    </row>
    <row r="238" spans="2:129" s="3" customFormat="1" ht="11.7" hidden="1" customHeight="1" outlineLevel="2" x14ac:dyDescent="0.3">
      <c r="B238" s="113"/>
      <c r="C238" s="230"/>
      <c r="G238" s="127"/>
      <c r="H238" s="127"/>
      <c r="I238" s="1019"/>
      <c r="J238" s="1019"/>
      <c r="K238" s="1019"/>
      <c r="L238" s="1019"/>
      <c r="M238" s="1019"/>
      <c r="N238" s="1019"/>
      <c r="O238" s="1019"/>
      <c r="P238" s="1019"/>
      <c r="Q238" s="1019"/>
      <c r="R238" s="1019"/>
      <c r="S238" s="1019"/>
      <c r="T238" s="1019"/>
      <c r="U238" s="1019"/>
      <c r="V238" s="1019"/>
      <c r="W238" s="1019"/>
      <c r="X238" s="1019"/>
      <c r="Y238" s="1019"/>
      <c r="Z238" s="1019"/>
      <c r="AA238" s="1019"/>
      <c r="AB238" s="1019"/>
      <c r="AC238" s="1019"/>
      <c r="AD238" s="1019"/>
      <c r="AE238" s="1019"/>
      <c r="AF238" s="1019"/>
      <c r="AG238" s="1019"/>
      <c r="AH238" s="1019"/>
      <c r="AI238" s="1019"/>
      <c r="AJ238" s="1019"/>
      <c r="AK238" s="1019"/>
      <c r="AL238" s="1019"/>
      <c r="AM238" s="1019"/>
      <c r="AN238" s="1019"/>
      <c r="AO238" s="1019"/>
      <c r="AP238" s="1019"/>
      <c r="AQ238" s="1019"/>
      <c r="AR238" s="1019"/>
      <c r="AS238" s="1019"/>
      <c r="AT238" s="1019"/>
      <c r="AU238" s="1019"/>
      <c r="AV238" s="1019"/>
      <c r="AW238" s="1019"/>
      <c r="AX238" s="1019"/>
      <c r="AY238" s="1019"/>
      <c r="AZ238" s="1019"/>
      <c r="BA238" s="1019"/>
      <c r="BB238" s="1019"/>
      <c r="BC238" s="1019"/>
      <c r="BD238" s="1019"/>
      <c r="BE238" s="1019"/>
      <c r="BF238" s="1019"/>
      <c r="BG238" s="1019"/>
      <c r="BH238" s="1019"/>
      <c r="BI238" s="1019"/>
      <c r="BJ238" s="1019"/>
      <c r="BK238" s="1019"/>
      <c r="BL238" s="1019"/>
      <c r="BM238" s="1019"/>
      <c r="BN238" s="1019"/>
      <c r="BO238" s="1019"/>
      <c r="BP238" s="1019"/>
      <c r="BQ238" s="1019"/>
      <c r="BR238" s="1019"/>
      <c r="BS238" s="1019"/>
      <c r="BT238" s="1019"/>
      <c r="BU238" s="1019"/>
      <c r="BV238" s="1019"/>
      <c r="BW238" s="1019"/>
      <c r="BX238" s="1019"/>
      <c r="BY238" s="1019"/>
      <c r="BZ238" s="111"/>
      <c r="CA238" s="111"/>
      <c r="CB238" s="111"/>
      <c r="CC238" s="111"/>
      <c r="CD238" s="111"/>
      <c r="CE238" s="111"/>
      <c r="CF238" s="111"/>
      <c r="CG238" s="111"/>
      <c r="CH238" s="111"/>
      <c r="CI238" s="111"/>
      <c r="CJ238" s="111"/>
      <c r="CK238" s="111"/>
      <c r="CL238" s="111"/>
      <c r="CM238" s="111"/>
      <c r="CN238" s="111"/>
      <c r="CO238" s="111"/>
      <c r="CP238" s="111"/>
      <c r="CQ238" s="111"/>
      <c r="CR238" s="111"/>
      <c r="CS238" s="111"/>
      <c r="CT238" s="111"/>
      <c r="CU238" s="111"/>
      <c r="CV238" s="111"/>
      <c r="CW238" s="111"/>
      <c r="CX238" s="111"/>
      <c r="CY238" s="111"/>
      <c r="CZ238" s="111"/>
      <c r="DA238" s="111"/>
      <c r="DB238" s="111"/>
      <c r="DC238" s="111"/>
      <c r="DD238" s="111"/>
      <c r="DE238" s="111"/>
      <c r="DF238" s="111"/>
      <c r="DG238" s="111"/>
      <c r="DH238" s="111"/>
      <c r="DI238" s="111"/>
      <c r="DJ238" s="111"/>
      <c r="DK238" s="111"/>
      <c r="DL238" s="111"/>
      <c r="DM238" s="111"/>
      <c r="DN238" s="111"/>
      <c r="DO238" s="111"/>
      <c r="DP238" s="111"/>
      <c r="DQ238" s="111"/>
      <c r="DR238" s="111"/>
      <c r="DS238" s="111"/>
      <c r="DT238" s="111"/>
      <c r="DU238" s="111"/>
      <c r="DV238" s="111"/>
      <c r="DW238" s="111"/>
      <c r="DX238" s="111"/>
      <c r="DY238" s="111"/>
    </row>
    <row r="239" spans="2:129" s="3" customFormat="1" ht="11.7" hidden="1" customHeight="1" outlineLevel="2" x14ac:dyDescent="0.3">
      <c r="B239" s="195" t="s">
        <v>108</v>
      </c>
      <c r="C239" s="230"/>
      <c r="G239" s="127"/>
      <c r="H239" s="127"/>
      <c r="I239" s="1019"/>
      <c r="J239" s="1019"/>
      <c r="K239" s="1019"/>
      <c r="L239" s="1019"/>
      <c r="M239" s="1019"/>
      <c r="N239" s="1019"/>
      <c r="O239" s="1019"/>
      <c r="P239" s="1019"/>
      <c r="Q239" s="1019"/>
      <c r="R239" s="1019"/>
      <c r="S239" s="1019"/>
      <c r="T239" s="1019"/>
      <c r="U239" s="1019"/>
      <c r="V239" s="1019"/>
      <c r="W239" s="1019"/>
      <c r="X239" s="1019"/>
      <c r="Y239" s="1019"/>
      <c r="Z239" s="1019"/>
      <c r="AA239" s="1019"/>
      <c r="AB239" s="1019"/>
      <c r="AC239" s="1019"/>
      <c r="AD239" s="1019"/>
      <c r="AE239" s="1019"/>
      <c r="AF239" s="1019"/>
      <c r="AG239" s="1019"/>
      <c r="AH239" s="1019"/>
      <c r="AI239" s="1019"/>
      <c r="AJ239" s="1019"/>
      <c r="AK239" s="1019"/>
      <c r="AL239" s="1019"/>
      <c r="AM239" s="1019"/>
      <c r="AN239" s="1019"/>
      <c r="AO239" s="1019"/>
      <c r="AP239" s="1019"/>
      <c r="AQ239" s="1019"/>
      <c r="AR239" s="1019"/>
      <c r="AS239" s="1019"/>
      <c r="AT239" s="1019"/>
      <c r="AU239" s="1019"/>
      <c r="AV239" s="1019"/>
      <c r="AW239" s="1019"/>
      <c r="AX239" s="1019"/>
      <c r="AY239" s="1019"/>
      <c r="AZ239" s="1019"/>
      <c r="BA239" s="1019"/>
      <c r="BB239" s="1019"/>
      <c r="BC239" s="1019"/>
      <c r="BD239" s="1019"/>
      <c r="BE239" s="1019"/>
      <c r="BF239" s="1019"/>
      <c r="BG239" s="1019"/>
      <c r="BH239" s="1019"/>
      <c r="BI239" s="1019"/>
      <c r="BJ239" s="1019"/>
      <c r="BK239" s="1019"/>
      <c r="BL239" s="1019"/>
      <c r="BM239" s="1019"/>
      <c r="BN239" s="1019"/>
      <c r="BO239" s="1019"/>
      <c r="BP239" s="1019"/>
      <c r="BQ239" s="1019"/>
      <c r="BR239" s="1019"/>
      <c r="BS239" s="1019"/>
      <c r="BT239" s="1019"/>
      <c r="BU239" s="1019"/>
      <c r="BV239" s="1019"/>
      <c r="BW239" s="1019"/>
      <c r="BX239" s="1019"/>
      <c r="BY239" s="1019"/>
      <c r="BZ239" s="111"/>
      <c r="CA239" s="111"/>
      <c r="CB239" s="111"/>
      <c r="CC239" s="111"/>
      <c r="CD239" s="111"/>
      <c r="CE239" s="111"/>
      <c r="CF239" s="111"/>
      <c r="CG239" s="111"/>
      <c r="CH239" s="111"/>
      <c r="CI239" s="111"/>
      <c r="CJ239" s="111"/>
      <c r="CK239" s="111"/>
      <c r="CL239" s="111"/>
      <c r="CM239" s="111"/>
      <c r="CN239" s="111"/>
      <c r="CO239" s="111"/>
      <c r="CP239" s="111"/>
      <c r="CQ239" s="111"/>
      <c r="CR239" s="111"/>
      <c r="CS239" s="111"/>
      <c r="CT239" s="111"/>
      <c r="CU239" s="111"/>
      <c r="CV239" s="111"/>
      <c r="CW239" s="111"/>
      <c r="CX239" s="111"/>
      <c r="CY239" s="111"/>
      <c r="CZ239" s="111"/>
      <c r="DA239" s="111"/>
      <c r="DB239" s="111"/>
      <c r="DC239" s="111"/>
      <c r="DD239" s="111"/>
      <c r="DE239" s="111"/>
      <c r="DF239" s="111"/>
      <c r="DG239" s="111"/>
      <c r="DH239" s="111"/>
      <c r="DI239" s="111"/>
      <c r="DJ239" s="111"/>
      <c r="DK239" s="111"/>
      <c r="DL239" s="111"/>
      <c r="DM239" s="111"/>
      <c r="DN239" s="111"/>
      <c r="DO239" s="111"/>
      <c r="DP239" s="111"/>
      <c r="DQ239" s="111"/>
      <c r="DR239" s="111"/>
      <c r="DS239" s="111"/>
      <c r="DT239" s="111"/>
      <c r="DU239" s="111"/>
      <c r="DV239" s="111"/>
      <c r="DW239" s="111"/>
      <c r="DX239" s="111"/>
      <c r="DY239" s="111"/>
    </row>
    <row r="240" spans="2:129" s="3" customFormat="1" ht="11.7" hidden="1" customHeight="1" outlineLevel="2" x14ac:dyDescent="0.3">
      <c r="B240" s="113" t="s">
        <v>715</v>
      </c>
      <c r="C240" s="230"/>
      <c r="G240" s="127"/>
      <c r="H240" s="127"/>
      <c r="I240" s="1019">
        <v>0</v>
      </c>
      <c r="J240" s="1019">
        <v>0</v>
      </c>
      <c r="K240" s="1019">
        <v>0</v>
      </c>
      <c r="L240" s="1019">
        <v>0</v>
      </c>
      <c r="M240" s="1019">
        <v>0</v>
      </c>
      <c r="N240" s="1019">
        <v>0</v>
      </c>
      <c r="O240" s="1019">
        <v>0</v>
      </c>
      <c r="P240" s="1019">
        <v>0</v>
      </c>
      <c r="Q240" s="1019">
        <v>0</v>
      </c>
      <c r="R240" s="1019">
        <v>0</v>
      </c>
      <c r="S240" s="1019">
        <v>0</v>
      </c>
      <c r="T240" s="1019">
        <v>0</v>
      </c>
      <c r="U240" s="1019">
        <v>0</v>
      </c>
      <c r="V240" s="1019">
        <v>0</v>
      </c>
      <c r="W240" s="1019">
        <v>0</v>
      </c>
      <c r="X240" s="1019">
        <v>0</v>
      </c>
      <c r="Y240" s="1019">
        <v>0</v>
      </c>
      <c r="Z240" s="1019">
        <v>0</v>
      </c>
      <c r="AA240" s="1019">
        <v>0</v>
      </c>
      <c r="AB240" s="1019">
        <v>0</v>
      </c>
      <c r="AC240" s="1019">
        <v>0</v>
      </c>
      <c r="AD240" s="1019">
        <v>0</v>
      </c>
      <c r="AE240" s="1019">
        <v>0</v>
      </c>
      <c r="AF240" s="1019">
        <v>0</v>
      </c>
      <c r="AG240" s="1019">
        <v>0</v>
      </c>
      <c r="AH240" s="1019">
        <v>0</v>
      </c>
      <c r="AI240" s="1019">
        <v>0</v>
      </c>
      <c r="AJ240" s="1019">
        <v>0</v>
      </c>
      <c r="AK240" s="1019">
        <v>0</v>
      </c>
      <c r="AL240" s="1019">
        <v>0</v>
      </c>
      <c r="AM240" s="1019">
        <v>0</v>
      </c>
      <c r="AN240" s="1019">
        <v>0</v>
      </c>
      <c r="AO240" s="1019">
        <v>0</v>
      </c>
      <c r="AP240" s="1019">
        <v>0</v>
      </c>
      <c r="AQ240" s="1019">
        <v>0</v>
      </c>
      <c r="AR240" s="1019">
        <v>0</v>
      </c>
      <c r="AS240" s="1019">
        <v>0</v>
      </c>
      <c r="AT240" s="1019">
        <v>0</v>
      </c>
      <c r="AU240" s="1019">
        <v>0</v>
      </c>
      <c r="AV240" s="1019">
        <v>0</v>
      </c>
      <c r="AW240" s="1019">
        <v>0</v>
      </c>
      <c r="AX240" s="1019">
        <v>0</v>
      </c>
      <c r="AY240" s="1019">
        <v>0</v>
      </c>
      <c r="AZ240" s="1019">
        <v>0</v>
      </c>
      <c r="BA240" s="1019">
        <v>0</v>
      </c>
      <c r="BB240" s="1019">
        <v>0</v>
      </c>
      <c r="BC240" s="1019">
        <v>0</v>
      </c>
      <c r="BD240" s="1019">
        <v>0</v>
      </c>
      <c r="BE240" s="1019">
        <v>0</v>
      </c>
      <c r="BF240" s="1019">
        <v>0</v>
      </c>
      <c r="BG240" s="1019">
        <v>0</v>
      </c>
      <c r="BH240" s="1019">
        <v>0</v>
      </c>
      <c r="BI240" s="1019">
        <v>0</v>
      </c>
      <c r="BJ240" s="1019">
        <v>30127</v>
      </c>
      <c r="BK240" s="1019">
        <v>41932</v>
      </c>
      <c r="BL240" s="1019">
        <v>9869</v>
      </c>
      <c r="BM240" s="1019">
        <v>30066</v>
      </c>
      <c r="BN240" s="1019">
        <v>40720</v>
      </c>
      <c r="BO240" s="1019">
        <v>19980</v>
      </c>
      <c r="BP240" s="1019">
        <v>180110</v>
      </c>
      <c r="BQ240" s="1019">
        <v>80058</v>
      </c>
      <c r="BR240" s="1019">
        <v>0</v>
      </c>
      <c r="BS240" s="1019">
        <v>80000</v>
      </c>
      <c r="BT240" s="1019">
        <v>80000</v>
      </c>
      <c r="BU240" s="1019">
        <v>190000</v>
      </c>
      <c r="BV240" s="1019">
        <v>100000</v>
      </c>
      <c r="BW240" s="1019">
        <v>20000</v>
      </c>
      <c r="BX240" s="1019">
        <v>0</v>
      </c>
      <c r="BY240" s="1019">
        <v>0</v>
      </c>
      <c r="BZ240" s="111"/>
      <c r="CA240" s="111"/>
      <c r="CB240" s="111"/>
      <c r="CC240" s="111"/>
      <c r="CD240" s="111"/>
      <c r="CE240" s="111"/>
      <c r="CF240" s="111"/>
      <c r="CG240" s="111"/>
      <c r="CH240" s="111"/>
      <c r="CI240" s="111"/>
      <c r="CJ240" s="111"/>
      <c r="CK240" s="111"/>
      <c r="CL240" s="111"/>
      <c r="CM240" s="111"/>
      <c r="CN240" s="111"/>
      <c r="CO240" s="111"/>
      <c r="CP240" s="111"/>
      <c r="CQ240" s="111"/>
      <c r="CR240" s="111"/>
      <c r="CS240" s="111"/>
      <c r="CT240" s="111"/>
      <c r="CU240" s="111"/>
      <c r="CV240" s="111"/>
      <c r="CW240" s="111"/>
      <c r="CX240" s="111"/>
      <c r="CY240" s="111"/>
      <c r="CZ240" s="111"/>
      <c r="DA240" s="111"/>
      <c r="DB240" s="111"/>
      <c r="DC240" s="111"/>
      <c r="DD240" s="111"/>
      <c r="DE240" s="111"/>
      <c r="DF240" s="111"/>
      <c r="DG240" s="111"/>
      <c r="DH240" s="111"/>
      <c r="DI240" s="111"/>
      <c r="DJ240" s="111"/>
      <c r="DK240" s="111"/>
      <c r="DL240" s="111"/>
      <c r="DM240" s="111"/>
      <c r="DN240" s="111"/>
      <c r="DO240" s="111"/>
      <c r="DP240" s="111"/>
      <c r="DQ240" s="111"/>
      <c r="DR240" s="111"/>
      <c r="DS240" s="111"/>
      <c r="DT240" s="111"/>
      <c r="DU240" s="111"/>
      <c r="DV240" s="111"/>
      <c r="DW240" s="111"/>
      <c r="DX240" s="111"/>
      <c r="DY240" s="111"/>
    </row>
    <row r="241" spans="1:129" s="3" customFormat="1" ht="11.7" hidden="1" customHeight="1" outlineLevel="2" x14ac:dyDescent="0.3">
      <c r="B241" s="113" t="s">
        <v>716</v>
      </c>
      <c r="C241" s="230"/>
      <c r="G241" s="127"/>
      <c r="H241" s="127"/>
      <c r="I241" s="1019">
        <v>0</v>
      </c>
      <c r="J241" s="1019">
        <v>0</v>
      </c>
      <c r="K241" s="1019">
        <v>0</v>
      </c>
      <c r="L241" s="1019">
        <v>0</v>
      </c>
      <c r="M241" s="1019">
        <v>0</v>
      </c>
      <c r="N241" s="1019">
        <v>0</v>
      </c>
      <c r="O241" s="1019">
        <v>0</v>
      </c>
      <c r="P241" s="1019">
        <v>0</v>
      </c>
      <c r="Q241" s="1019">
        <v>0</v>
      </c>
      <c r="R241" s="1019">
        <v>0</v>
      </c>
      <c r="S241" s="1019">
        <v>0</v>
      </c>
      <c r="T241" s="1019">
        <v>0</v>
      </c>
      <c r="U241" s="1019">
        <v>0</v>
      </c>
      <c r="V241" s="1019">
        <v>0</v>
      </c>
      <c r="W241" s="1019">
        <v>0</v>
      </c>
      <c r="X241" s="1019">
        <v>0</v>
      </c>
      <c r="Y241" s="1019">
        <v>0</v>
      </c>
      <c r="Z241" s="1019">
        <v>0</v>
      </c>
      <c r="AA241" s="1019">
        <v>0</v>
      </c>
      <c r="AB241" s="1019">
        <v>0</v>
      </c>
      <c r="AC241" s="1019">
        <v>0</v>
      </c>
      <c r="AD241" s="1019">
        <v>0</v>
      </c>
      <c r="AE241" s="1019">
        <v>0</v>
      </c>
      <c r="AF241" s="1019">
        <v>0</v>
      </c>
      <c r="AG241" s="1019">
        <v>0</v>
      </c>
      <c r="AH241" s="1019">
        <v>0</v>
      </c>
      <c r="AI241" s="1019">
        <v>0</v>
      </c>
      <c r="AJ241" s="1019">
        <v>0</v>
      </c>
      <c r="AK241" s="1019">
        <v>0</v>
      </c>
      <c r="AL241" s="1019">
        <v>0</v>
      </c>
      <c r="AM241" s="1019">
        <v>0</v>
      </c>
      <c r="AN241" s="1019">
        <v>0</v>
      </c>
      <c r="AO241" s="1019">
        <v>0</v>
      </c>
      <c r="AP241" s="1019">
        <v>0</v>
      </c>
      <c r="AQ241" s="1019">
        <v>0</v>
      </c>
      <c r="AR241" s="1019">
        <v>0</v>
      </c>
      <c r="AS241" s="1019">
        <v>0</v>
      </c>
      <c r="AT241" s="1019">
        <v>0</v>
      </c>
      <c r="AU241" s="1019">
        <v>0</v>
      </c>
      <c r="AV241" s="1019">
        <v>0</v>
      </c>
      <c r="AW241" s="1019">
        <v>0</v>
      </c>
      <c r="AX241" s="1019">
        <v>0</v>
      </c>
      <c r="AY241" s="1019">
        <v>0</v>
      </c>
      <c r="AZ241" s="1019">
        <v>0</v>
      </c>
      <c r="BA241" s="1019">
        <v>0</v>
      </c>
      <c r="BB241" s="1019">
        <v>0</v>
      </c>
      <c r="BC241" s="1019">
        <v>0</v>
      </c>
      <c r="BD241" s="1019">
        <v>0</v>
      </c>
      <c r="BE241" s="1019">
        <v>0</v>
      </c>
      <c r="BF241" s="1019">
        <v>0</v>
      </c>
      <c r="BG241" s="1019">
        <v>0</v>
      </c>
      <c r="BH241" s="1019">
        <v>0</v>
      </c>
      <c r="BI241" s="1019">
        <v>0</v>
      </c>
      <c r="BJ241" s="1019">
        <v>0</v>
      </c>
      <c r="BK241" s="1019">
        <v>0</v>
      </c>
      <c r="BL241" s="1019">
        <v>0</v>
      </c>
      <c r="BM241" s="1019">
        <v>24277780</v>
      </c>
      <c r="BN241" s="1019">
        <v>4855556</v>
      </c>
      <c r="BO241" s="1019">
        <v>4855556</v>
      </c>
      <c r="BP241" s="1019">
        <v>4855556</v>
      </c>
      <c r="BQ241" s="1019">
        <v>4855556</v>
      </c>
      <c r="BR241" s="1019">
        <v>4855556</v>
      </c>
      <c r="BS241" s="1019">
        <v>13616851</v>
      </c>
      <c r="BT241" s="1019">
        <v>4855556</v>
      </c>
      <c r="BU241" s="1019">
        <v>6708333</v>
      </c>
      <c r="BV241" s="1019">
        <v>6708333</v>
      </c>
      <c r="BW241" s="1019">
        <v>6708333</v>
      </c>
      <c r="BX241" s="1019">
        <v>6708333</v>
      </c>
      <c r="BY241" s="1019">
        <v>6708333</v>
      </c>
      <c r="BZ241" s="111"/>
      <c r="CA241" s="111"/>
      <c r="CB241" s="111"/>
      <c r="CC241" s="111"/>
      <c r="CD241" s="111"/>
      <c r="CE241" s="111"/>
      <c r="CF241" s="111"/>
      <c r="CG241" s="111"/>
      <c r="CH241" s="111"/>
      <c r="CI241" s="111"/>
      <c r="CJ241" s="111"/>
      <c r="CK241" s="111"/>
      <c r="CL241" s="111"/>
      <c r="CM241" s="111"/>
      <c r="CN241" s="111"/>
      <c r="CO241" s="111"/>
      <c r="CP241" s="111"/>
      <c r="CQ241" s="111"/>
      <c r="CR241" s="111"/>
      <c r="CS241" s="111"/>
      <c r="CT241" s="111"/>
      <c r="CU241" s="111"/>
      <c r="CV241" s="111"/>
      <c r="CW241" s="111"/>
      <c r="CX241" s="111"/>
      <c r="CY241" s="111"/>
      <c r="CZ241" s="111"/>
      <c r="DA241" s="111"/>
      <c r="DB241" s="111"/>
      <c r="DC241" s="111"/>
      <c r="DD241" s="111"/>
      <c r="DE241" s="111"/>
      <c r="DF241" s="111"/>
      <c r="DG241" s="111"/>
      <c r="DH241" s="111"/>
      <c r="DI241" s="111"/>
      <c r="DJ241" s="111"/>
      <c r="DK241" s="111"/>
      <c r="DL241" s="111"/>
      <c r="DM241" s="111"/>
      <c r="DN241" s="111"/>
      <c r="DO241" s="111"/>
      <c r="DP241" s="111"/>
      <c r="DQ241" s="111"/>
      <c r="DR241" s="111"/>
      <c r="DS241" s="111"/>
      <c r="DT241" s="111"/>
      <c r="DU241" s="111"/>
      <c r="DV241" s="111"/>
      <c r="DW241" s="111"/>
      <c r="DX241" s="111"/>
      <c r="DY241" s="111"/>
    </row>
    <row r="242" spans="1:129" s="3" customFormat="1" ht="11.7" hidden="1" customHeight="1" outlineLevel="2" x14ac:dyDescent="0.3">
      <c r="B242" s="113" t="s">
        <v>590</v>
      </c>
      <c r="C242" s="230"/>
      <c r="G242" s="127"/>
      <c r="H242" s="127"/>
      <c r="I242" s="1019">
        <v>0</v>
      </c>
      <c r="J242" s="1019">
        <v>0</v>
      </c>
      <c r="K242" s="1019">
        <v>0</v>
      </c>
      <c r="L242" s="1019">
        <v>0</v>
      </c>
      <c r="M242" s="1019">
        <v>0</v>
      </c>
      <c r="N242" s="1019">
        <v>0</v>
      </c>
      <c r="O242" s="1019">
        <v>0</v>
      </c>
      <c r="P242" s="1019">
        <v>0</v>
      </c>
      <c r="Q242" s="1019">
        <v>0</v>
      </c>
      <c r="R242" s="1019">
        <v>0</v>
      </c>
      <c r="S242" s="1019">
        <v>0</v>
      </c>
      <c r="T242" s="1019">
        <v>0</v>
      </c>
      <c r="U242" s="1019">
        <v>0</v>
      </c>
      <c r="V242" s="1019">
        <v>0</v>
      </c>
      <c r="W242" s="1019">
        <v>0</v>
      </c>
      <c r="X242" s="1019">
        <v>0</v>
      </c>
      <c r="Y242" s="1019">
        <v>0</v>
      </c>
      <c r="Z242" s="1019">
        <v>0</v>
      </c>
      <c r="AA242" s="1019">
        <v>0</v>
      </c>
      <c r="AB242" s="1019">
        <v>0</v>
      </c>
      <c r="AC242" s="1019">
        <v>0</v>
      </c>
      <c r="AD242" s="1019">
        <v>0</v>
      </c>
      <c r="AE242" s="1019">
        <v>0</v>
      </c>
      <c r="AF242" s="1019">
        <v>0</v>
      </c>
      <c r="AG242" s="1019">
        <v>0</v>
      </c>
      <c r="AH242" s="1019">
        <v>0</v>
      </c>
      <c r="AI242" s="1019">
        <v>0</v>
      </c>
      <c r="AJ242" s="1019">
        <v>0</v>
      </c>
      <c r="AK242" s="1019">
        <v>0</v>
      </c>
      <c r="AL242" s="1019">
        <v>0</v>
      </c>
      <c r="AM242" s="1019">
        <v>0</v>
      </c>
      <c r="AN242" s="1019">
        <v>0</v>
      </c>
      <c r="AO242" s="1019">
        <v>0</v>
      </c>
      <c r="AP242" s="1019">
        <v>0</v>
      </c>
      <c r="AQ242" s="1019">
        <v>0</v>
      </c>
      <c r="AR242" s="1019">
        <v>0</v>
      </c>
      <c r="AS242" s="1019">
        <v>0</v>
      </c>
      <c r="AT242" s="1019">
        <v>0</v>
      </c>
      <c r="AU242" s="1019">
        <v>0</v>
      </c>
      <c r="AV242" s="1019">
        <v>0</v>
      </c>
      <c r="AW242" s="1019">
        <v>0</v>
      </c>
      <c r="AX242" s="1019">
        <v>0</v>
      </c>
      <c r="AY242" s="1019">
        <v>0</v>
      </c>
      <c r="AZ242" s="1019">
        <v>0</v>
      </c>
      <c r="BA242" s="1019">
        <v>0</v>
      </c>
      <c r="BB242" s="1019">
        <v>0</v>
      </c>
      <c r="BC242" s="1019">
        <v>0</v>
      </c>
      <c r="BD242" s="1019">
        <v>0</v>
      </c>
      <c r="BE242" s="1019">
        <v>0</v>
      </c>
      <c r="BF242" s="1019">
        <v>0</v>
      </c>
      <c r="BG242" s="1019">
        <v>0</v>
      </c>
      <c r="BH242" s="1019">
        <v>0</v>
      </c>
      <c r="BI242" s="1019">
        <v>4939</v>
      </c>
      <c r="BJ242" s="1019">
        <v>7245</v>
      </c>
      <c r="BK242" s="1019">
        <v>9192</v>
      </c>
      <c r="BL242" s="1019">
        <v>12853</v>
      </c>
      <c r="BM242" s="1019">
        <v>14537</v>
      </c>
      <c r="BN242" s="1019">
        <v>15858</v>
      </c>
      <c r="BO242" s="1019">
        <v>17469</v>
      </c>
      <c r="BP242" s="1019">
        <v>18988</v>
      </c>
      <c r="BQ242" s="1019">
        <v>19240</v>
      </c>
      <c r="BR242" s="1019">
        <v>21168</v>
      </c>
      <c r="BS242" s="1019">
        <v>21937</v>
      </c>
      <c r="BT242" s="1019">
        <v>21732</v>
      </c>
      <c r="BU242" s="1019">
        <v>22827</v>
      </c>
      <c r="BV242" s="1019">
        <v>19998</v>
      </c>
      <c r="BW242" s="1019">
        <v>22363</v>
      </c>
      <c r="BX242" s="1019">
        <v>21782</v>
      </c>
      <c r="BY242" s="1019">
        <v>22844</v>
      </c>
      <c r="BZ242" s="111"/>
      <c r="CA242" s="111"/>
      <c r="CB242" s="111"/>
      <c r="CC242" s="111"/>
      <c r="CD242" s="111"/>
      <c r="CE242" s="111"/>
      <c r="CF242" s="111"/>
      <c r="CG242" s="111"/>
      <c r="CH242" s="111"/>
      <c r="CI242" s="111"/>
      <c r="CJ242" s="111"/>
      <c r="CK242" s="111"/>
      <c r="CL242" s="111"/>
      <c r="CM242" s="111"/>
      <c r="CN242" s="111"/>
      <c r="CO242" s="111"/>
      <c r="CP242" s="111"/>
      <c r="CQ242" s="111"/>
      <c r="CR242" s="111"/>
      <c r="CS242" s="111"/>
      <c r="CT242" s="111"/>
      <c r="CU242" s="111"/>
      <c r="CV242" s="111"/>
      <c r="CW242" s="111"/>
      <c r="CX242" s="111"/>
      <c r="CY242" s="111"/>
      <c r="CZ242" s="111"/>
      <c r="DA242" s="111"/>
      <c r="DB242" s="111"/>
      <c r="DC242" s="111"/>
      <c r="DD242" s="111"/>
      <c r="DE242" s="111"/>
      <c r="DF242" s="111"/>
      <c r="DG242" s="111"/>
      <c r="DH242" s="111"/>
      <c r="DI242" s="111"/>
      <c r="DJ242" s="111"/>
      <c r="DK242" s="111"/>
      <c r="DL242" s="111"/>
      <c r="DM242" s="111"/>
      <c r="DN242" s="111"/>
      <c r="DO242" s="111"/>
      <c r="DP242" s="111"/>
      <c r="DQ242" s="111"/>
      <c r="DR242" s="111"/>
      <c r="DS242" s="111"/>
      <c r="DT242" s="111"/>
      <c r="DU242" s="111"/>
      <c r="DV242" s="111"/>
      <c r="DW242" s="111"/>
      <c r="DX242" s="111"/>
      <c r="DY242" s="111"/>
    </row>
    <row r="243" spans="1:129" s="3" customFormat="1" ht="11.7" hidden="1" customHeight="1" outlineLevel="2" x14ac:dyDescent="0.3">
      <c r="B243" s="113" t="s">
        <v>731</v>
      </c>
      <c r="C243" s="230"/>
      <c r="G243" s="127"/>
      <c r="H243" s="127"/>
      <c r="I243" s="1019">
        <v>0</v>
      </c>
      <c r="J243" s="1019">
        <v>0</v>
      </c>
      <c r="K243" s="1019">
        <v>0</v>
      </c>
      <c r="L243" s="1019">
        <v>0</v>
      </c>
      <c r="M243" s="1019">
        <v>0</v>
      </c>
      <c r="N243" s="1019">
        <v>0</v>
      </c>
      <c r="O243" s="1019">
        <v>0</v>
      </c>
      <c r="P243" s="1019">
        <v>0</v>
      </c>
      <c r="Q243" s="1019">
        <v>0</v>
      </c>
      <c r="R243" s="1019">
        <v>0</v>
      </c>
      <c r="S243" s="1019">
        <v>0</v>
      </c>
      <c r="T243" s="1019">
        <v>0</v>
      </c>
      <c r="U243" s="1019">
        <v>0</v>
      </c>
      <c r="V243" s="1019">
        <v>0</v>
      </c>
      <c r="W243" s="1019">
        <v>0</v>
      </c>
      <c r="X243" s="1019">
        <v>0</v>
      </c>
      <c r="Y243" s="1019">
        <v>0</v>
      </c>
      <c r="Z243" s="1019">
        <v>0</v>
      </c>
      <c r="AA243" s="1019">
        <v>0</v>
      </c>
      <c r="AB243" s="1019">
        <v>0</v>
      </c>
      <c r="AC243" s="1019">
        <v>0</v>
      </c>
      <c r="AD243" s="1019">
        <v>0</v>
      </c>
      <c r="AE243" s="1019">
        <v>0</v>
      </c>
      <c r="AF243" s="1019">
        <v>0</v>
      </c>
      <c r="AG243" s="1019">
        <v>0</v>
      </c>
      <c r="AH243" s="1019">
        <v>0</v>
      </c>
      <c r="AI243" s="1019">
        <v>0</v>
      </c>
      <c r="AJ243" s="1019">
        <v>0</v>
      </c>
      <c r="AK243" s="1019">
        <v>0</v>
      </c>
      <c r="AL243" s="1019">
        <v>0</v>
      </c>
      <c r="AM243" s="1019">
        <v>0</v>
      </c>
      <c r="AN243" s="1019">
        <v>0</v>
      </c>
      <c r="AO243" s="1019">
        <v>0</v>
      </c>
      <c r="AP243" s="1019">
        <v>0</v>
      </c>
      <c r="AQ243" s="1019">
        <v>0</v>
      </c>
      <c r="AR243" s="1019">
        <v>0</v>
      </c>
      <c r="AS243" s="1019">
        <v>0</v>
      </c>
      <c r="AT243" s="1019">
        <v>0</v>
      </c>
      <c r="AU243" s="1019">
        <v>0</v>
      </c>
      <c r="AV243" s="1019">
        <v>0</v>
      </c>
      <c r="AW243" s="1019">
        <v>0</v>
      </c>
      <c r="AX243" s="1019">
        <v>0</v>
      </c>
      <c r="AY243" s="1019">
        <v>0</v>
      </c>
      <c r="AZ243" s="1019">
        <v>0</v>
      </c>
      <c r="BA243" s="1019">
        <v>0</v>
      </c>
      <c r="BB243" s="1019">
        <v>0</v>
      </c>
      <c r="BC243" s="1019">
        <v>0</v>
      </c>
      <c r="BD243" s="1019">
        <v>0</v>
      </c>
      <c r="BE243" s="1019">
        <v>0</v>
      </c>
      <c r="BF243" s="1019">
        <v>0</v>
      </c>
      <c r="BG243" s="1019">
        <v>0</v>
      </c>
      <c r="BH243" s="1019">
        <v>0</v>
      </c>
      <c r="BI243" s="1019">
        <v>27456</v>
      </c>
      <c r="BJ243" s="1019">
        <v>797740</v>
      </c>
      <c r="BK243" s="1019">
        <v>41286</v>
      </c>
      <c r="BL243" s="1019">
        <v>10761</v>
      </c>
      <c r="BM243" s="1019">
        <v>39102</v>
      </c>
      <c r="BN243" s="1019">
        <v>8127</v>
      </c>
      <c r="BO243" s="1019">
        <v>3971</v>
      </c>
      <c r="BP243" s="1019">
        <v>19957</v>
      </c>
      <c r="BQ243" s="1019">
        <v>66538</v>
      </c>
      <c r="BR243" s="1019">
        <v>40422</v>
      </c>
      <c r="BS243" s="1019">
        <v>45701</v>
      </c>
      <c r="BT243" s="1019">
        <v>114543</v>
      </c>
      <c r="BU243" s="1019">
        <v>196401</v>
      </c>
      <c r="BV243" s="1019">
        <v>87726</v>
      </c>
      <c r="BW243" s="1019">
        <v>82488</v>
      </c>
      <c r="BX243" s="1019">
        <v>0</v>
      </c>
      <c r="BY243" s="1019">
        <v>100107</v>
      </c>
      <c r="BZ243" s="111"/>
      <c r="CA243" s="111"/>
      <c r="CB243" s="111"/>
      <c r="CC243" s="111"/>
      <c r="CD243" s="111"/>
      <c r="CE243" s="111"/>
      <c r="CF243" s="111"/>
      <c r="CG243" s="111"/>
      <c r="CH243" s="111"/>
      <c r="CI243" s="111"/>
      <c r="CJ243" s="111"/>
      <c r="CK243" s="111"/>
      <c r="CL243" s="111"/>
      <c r="CM243" s="111"/>
      <c r="CN243" s="111"/>
      <c r="CO243" s="111"/>
      <c r="CP243" s="111"/>
      <c r="CQ243" s="111"/>
      <c r="CR243" s="111"/>
      <c r="CS243" s="111"/>
      <c r="CT243" s="111"/>
      <c r="CU243" s="111"/>
      <c r="CV243" s="111"/>
      <c r="CW243" s="111"/>
      <c r="CX243" s="111"/>
      <c r="CY243" s="111"/>
      <c r="CZ243" s="111"/>
      <c r="DA243" s="111"/>
      <c r="DB243" s="111"/>
      <c r="DC243" s="111"/>
      <c r="DD243" s="111"/>
      <c r="DE243" s="111"/>
      <c r="DF243" s="111"/>
      <c r="DG243" s="111"/>
      <c r="DH243" s="111"/>
      <c r="DI243" s="111"/>
      <c r="DJ243" s="111"/>
      <c r="DK243" s="111"/>
      <c r="DL243" s="111"/>
      <c r="DM243" s="111"/>
      <c r="DN243" s="111"/>
      <c r="DO243" s="111"/>
      <c r="DP243" s="111"/>
      <c r="DQ243" s="111"/>
      <c r="DR243" s="111"/>
      <c r="DS243" s="111"/>
      <c r="DT243" s="111"/>
      <c r="DU243" s="111"/>
      <c r="DV243" s="111"/>
      <c r="DW243" s="111"/>
      <c r="DX243" s="111"/>
      <c r="DY243" s="111"/>
    </row>
    <row r="244" spans="1:129" s="3" customFormat="1" ht="11.7" customHeight="1" outlineLevel="1" collapsed="1" thickBot="1" x14ac:dyDescent="0.35">
      <c r="B244" s="204"/>
      <c r="C244" s="204"/>
      <c r="D244" s="80"/>
      <c r="E244" s="80"/>
      <c r="F244" s="80"/>
      <c r="G244" s="154"/>
      <c r="H244" s="154"/>
      <c r="I244" s="155"/>
      <c r="J244" s="155"/>
      <c r="K244" s="155"/>
      <c r="L244" s="155"/>
      <c r="M244" s="155"/>
      <c r="N244" s="155"/>
      <c r="O244" s="155"/>
      <c r="P244" s="155"/>
      <c r="Q244" s="155"/>
      <c r="R244" s="155"/>
      <c r="S244" s="155"/>
      <c r="T244" s="155"/>
      <c r="U244" s="155"/>
      <c r="V244" s="155"/>
      <c r="W244" s="155"/>
      <c r="X244" s="155"/>
      <c r="Y244" s="155"/>
      <c r="Z244" s="155"/>
      <c r="AA244" s="155"/>
      <c r="AB244" s="155"/>
      <c r="AC244" s="155"/>
      <c r="AD244" s="155"/>
      <c r="AE244" s="155"/>
      <c r="AF244" s="155"/>
      <c r="AG244" s="155"/>
      <c r="AH244" s="155"/>
      <c r="AI244" s="155"/>
      <c r="AJ244" s="155"/>
      <c r="AK244" s="155"/>
      <c r="AL244" s="155"/>
      <c r="AM244" s="155"/>
      <c r="AN244" s="155"/>
      <c r="AO244" s="155"/>
      <c r="AP244" s="155"/>
      <c r="AQ244" s="725"/>
      <c r="AR244" s="155"/>
      <c r="AS244" s="155"/>
      <c r="AT244" s="155"/>
      <c r="AU244" s="155"/>
      <c r="AV244" s="155"/>
      <c r="AW244" s="155"/>
      <c r="AX244" s="155"/>
      <c r="AY244" s="155"/>
      <c r="AZ244" s="155"/>
      <c r="BA244" s="155"/>
      <c r="BB244" s="155"/>
      <c r="BC244" s="155"/>
      <c r="BD244" s="155"/>
      <c r="BE244" s="155"/>
      <c r="BF244" s="155"/>
      <c r="BG244" s="155"/>
      <c r="BH244" s="155"/>
      <c r="BI244" s="155"/>
      <c r="BJ244" s="1130"/>
      <c r="BK244" s="155"/>
      <c r="BL244" s="1130"/>
      <c r="BM244" s="1130"/>
      <c r="BN244" s="1130"/>
      <c r="BO244" s="1130"/>
      <c r="BP244" s="155"/>
      <c r="BQ244" s="155"/>
      <c r="BR244" s="155"/>
      <c r="BS244" s="155"/>
      <c r="BT244" s="155"/>
      <c r="BU244" s="155"/>
      <c r="BV244" s="155"/>
      <c r="BW244" s="155"/>
      <c r="BX244" s="155"/>
      <c r="BY244" s="155"/>
      <c r="BZ244" s="155"/>
      <c r="CA244" s="155"/>
      <c r="CB244" s="155"/>
      <c r="CC244" s="155"/>
      <c r="CD244" s="155"/>
      <c r="CE244" s="155"/>
      <c r="CF244" s="336"/>
      <c r="CG244" s="155"/>
      <c r="CH244" s="155"/>
      <c r="CI244" s="155"/>
      <c r="CJ244" s="155"/>
      <c r="CK244" s="155"/>
      <c r="CL244" s="155"/>
      <c r="CM244" s="155"/>
      <c r="CN244" s="155"/>
      <c r="CO244" s="155"/>
      <c r="CP244" s="155"/>
      <c r="CQ244" s="155"/>
      <c r="CR244" s="155"/>
      <c r="CS244" s="155"/>
      <c r="CT244" s="155"/>
      <c r="CU244" s="155"/>
      <c r="CV244" s="155"/>
      <c r="CW244" s="155"/>
      <c r="CX244" s="155"/>
      <c r="CY244" s="155"/>
      <c r="CZ244" s="155"/>
      <c r="DA244" s="155"/>
      <c r="DB244" s="155"/>
      <c r="DC244" s="155"/>
      <c r="DD244" s="155"/>
      <c r="DE244" s="155"/>
      <c r="DF244" s="155"/>
      <c r="DG244" s="155"/>
      <c r="DH244" s="155"/>
      <c r="DI244" s="155"/>
      <c r="DJ244" s="155"/>
      <c r="DK244" s="155"/>
      <c r="DL244" s="155"/>
      <c r="DM244" s="155"/>
      <c r="DN244" s="155"/>
      <c r="DO244" s="155"/>
      <c r="DP244" s="155"/>
      <c r="DQ244" s="155"/>
      <c r="DR244" s="155"/>
      <c r="DS244" s="155"/>
      <c r="DT244" s="155"/>
      <c r="DU244" s="155"/>
      <c r="DV244" s="155"/>
      <c r="DW244" s="155"/>
      <c r="DX244" s="155"/>
      <c r="DY244" s="155"/>
    </row>
    <row r="245" spans="1:129" s="3" customFormat="1" ht="11.7" customHeight="1" outlineLevel="1" thickTop="1" thickBot="1" x14ac:dyDescent="0.35">
      <c r="A245" s="85"/>
      <c r="B245" s="201" t="s">
        <v>12</v>
      </c>
      <c r="C245" s="201"/>
      <c r="D245" s="172"/>
      <c r="E245" s="172"/>
      <c r="F245" s="173"/>
      <c r="G245" s="173"/>
      <c r="H245" s="295">
        <f ca="1">+SUM(I245:DY245)</f>
        <v>138427.17617564747</v>
      </c>
      <c r="I245" s="174">
        <f t="shared" ref="I245:AN245" si="230">+SUM(I129,I140,I147,-I146)</f>
        <v>0</v>
      </c>
      <c r="J245" s="174">
        <f t="shared" si="230"/>
        <v>0</v>
      </c>
      <c r="K245" s="174">
        <f t="shared" si="230"/>
        <v>0</v>
      </c>
      <c r="L245" s="174">
        <f t="shared" si="230"/>
        <v>0</v>
      </c>
      <c r="M245" s="174">
        <f t="shared" si="230"/>
        <v>0</v>
      </c>
      <c r="N245" s="174">
        <f t="shared" si="230"/>
        <v>0</v>
      </c>
      <c r="O245" s="174">
        <f t="shared" si="230"/>
        <v>0</v>
      </c>
      <c r="P245" s="174">
        <f t="shared" si="230"/>
        <v>0</v>
      </c>
      <c r="Q245" s="174">
        <f t="shared" si="230"/>
        <v>0</v>
      </c>
      <c r="R245" s="174">
        <f t="shared" si="230"/>
        <v>0</v>
      </c>
      <c r="S245" s="174">
        <f t="shared" si="230"/>
        <v>0</v>
      </c>
      <c r="T245" s="174">
        <f t="shared" si="230"/>
        <v>0</v>
      </c>
      <c r="U245" s="174">
        <f t="shared" si="230"/>
        <v>0</v>
      </c>
      <c r="V245" s="174">
        <f t="shared" si="230"/>
        <v>0</v>
      </c>
      <c r="W245" s="174">
        <f t="shared" si="230"/>
        <v>0</v>
      </c>
      <c r="X245" s="174">
        <f t="shared" si="230"/>
        <v>0</v>
      </c>
      <c r="Y245" s="174">
        <f t="shared" si="230"/>
        <v>0</v>
      </c>
      <c r="Z245" s="174">
        <f t="shared" si="230"/>
        <v>0</v>
      </c>
      <c r="AA245" s="174">
        <f t="shared" si="230"/>
        <v>0</v>
      </c>
      <c r="AB245" s="174">
        <f t="shared" si="230"/>
        <v>0</v>
      </c>
      <c r="AC245" s="174">
        <f t="shared" si="230"/>
        <v>0</v>
      </c>
      <c r="AD245" s="174">
        <f t="shared" si="230"/>
        <v>0</v>
      </c>
      <c r="AE245" s="174">
        <f t="shared" si="230"/>
        <v>0</v>
      </c>
      <c r="AF245" s="174">
        <f t="shared" si="230"/>
        <v>0</v>
      </c>
      <c r="AG245" s="174">
        <f t="shared" si="230"/>
        <v>0</v>
      </c>
      <c r="AH245" s="174">
        <f t="shared" si="230"/>
        <v>0</v>
      </c>
      <c r="AI245" s="174">
        <f t="shared" si="230"/>
        <v>0</v>
      </c>
      <c r="AJ245" s="174">
        <f t="shared" si="230"/>
        <v>0</v>
      </c>
      <c r="AK245" s="174">
        <f t="shared" si="230"/>
        <v>0</v>
      </c>
      <c r="AL245" s="174">
        <f t="shared" si="230"/>
        <v>0</v>
      </c>
      <c r="AM245" s="174">
        <f t="shared" si="230"/>
        <v>0</v>
      </c>
      <c r="AN245" s="174">
        <f t="shared" si="230"/>
        <v>0</v>
      </c>
      <c r="AO245" s="174">
        <f t="shared" ref="AO245:BT245" si="231">+SUM(AO129,AO140,AO147,-AO146)</f>
        <v>0</v>
      </c>
      <c r="AP245" s="174">
        <f t="shared" si="231"/>
        <v>0</v>
      </c>
      <c r="AQ245" s="174">
        <f t="shared" si="231"/>
        <v>0</v>
      </c>
      <c r="AR245" s="174">
        <f t="shared" si="231"/>
        <v>0</v>
      </c>
      <c r="AS245" s="174">
        <f t="shared" si="231"/>
        <v>0</v>
      </c>
      <c r="AT245" s="174">
        <f t="shared" si="231"/>
        <v>0</v>
      </c>
      <c r="AU245" s="174">
        <f t="shared" si="231"/>
        <v>0</v>
      </c>
      <c r="AV245" s="174">
        <f t="shared" si="231"/>
        <v>0</v>
      </c>
      <c r="AW245" s="174">
        <f t="shared" si="231"/>
        <v>0</v>
      </c>
      <c r="AX245" s="174">
        <f t="shared" si="231"/>
        <v>0</v>
      </c>
      <c r="AY245" s="174">
        <f t="shared" si="231"/>
        <v>0</v>
      </c>
      <c r="AZ245" s="174">
        <f t="shared" si="231"/>
        <v>0</v>
      </c>
      <c r="BA245" s="174">
        <f t="shared" si="231"/>
        <v>0</v>
      </c>
      <c r="BB245" s="174">
        <f t="shared" si="231"/>
        <v>0</v>
      </c>
      <c r="BC245" s="174">
        <f t="shared" si="231"/>
        <v>0</v>
      </c>
      <c r="BD245" s="174">
        <f t="shared" si="231"/>
        <v>0</v>
      </c>
      <c r="BE245" s="174">
        <f t="shared" si="231"/>
        <v>0</v>
      </c>
      <c r="BF245" s="174">
        <f t="shared" si="231"/>
        <v>0</v>
      </c>
      <c r="BG245" s="174">
        <f t="shared" si="231"/>
        <v>0</v>
      </c>
      <c r="BH245" s="174">
        <f t="shared" si="231"/>
        <v>0</v>
      </c>
      <c r="BI245" s="174">
        <f t="shared" si="231"/>
        <v>-608.27433172127371</v>
      </c>
      <c r="BJ245" s="174">
        <f t="shared" si="231"/>
        <v>-1209.241610440341</v>
      </c>
      <c r="BK245" s="174">
        <f t="shared" si="231"/>
        <v>-819.02505504646763</v>
      </c>
      <c r="BL245" s="174">
        <f t="shared" si="231"/>
        <v>538.47596648243814</v>
      </c>
      <c r="BM245" s="174">
        <f t="shared" si="231"/>
        <v>-1395.5072758062079</v>
      </c>
      <c r="BN245" s="174">
        <f t="shared" si="231"/>
        <v>49.355380675634521</v>
      </c>
      <c r="BO245" s="174">
        <f t="shared" si="231"/>
        <v>-96.675969244635638</v>
      </c>
      <c r="BP245" s="174">
        <f t="shared" si="231"/>
        <v>956.63388452296044</v>
      </c>
      <c r="BQ245" s="174">
        <f t="shared" si="231"/>
        <v>751.49594710526446</v>
      </c>
      <c r="BR245" s="174">
        <f t="shared" si="231"/>
        <v>500.97834270462556</v>
      </c>
      <c r="BS245" s="174">
        <f t="shared" si="231"/>
        <v>803.80310699245615</v>
      </c>
      <c r="BT245" s="174">
        <f t="shared" si="231"/>
        <v>356.42457145884265</v>
      </c>
      <c r="BU245" s="174">
        <f t="shared" ref="BU245:CZ245" si="232">+SUM(BU129,BU140,BU147,-BU146)</f>
        <v>669.38225592108245</v>
      </c>
      <c r="BV245" s="174">
        <f t="shared" si="232"/>
        <v>858.8594715581778</v>
      </c>
      <c r="BW245" s="174">
        <f t="shared" si="232"/>
        <v>570.81846822586795</v>
      </c>
      <c r="BX245" s="174">
        <f t="shared" si="232"/>
        <v>256.56944826171804</v>
      </c>
      <c r="BY245" s="174">
        <f t="shared" si="232"/>
        <v>879.63161039487443</v>
      </c>
      <c r="BZ245" s="174">
        <f t="shared" ca="1" si="232"/>
        <v>2485.4648201794798</v>
      </c>
      <c r="CA245" s="174">
        <f t="shared" ca="1" si="232"/>
        <v>2245.1484083364599</v>
      </c>
      <c r="CB245" s="174">
        <f t="shared" ca="1" si="232"/>
        <v>2245.1484083364599</v>
      </c>
      <c r="CC245" s="174">
        <f t="shared" ca="1" si="232"/>
        <v>2245.1484083364599</v>
      </c>
      <c r="CD245" s="174">
        <f t="shared" ca="1" si="232"/>
        <v>2245.1484083364599</v>
      </c>
      <c r="CE245" s="174">
        <f t="shared" ca="1" si="232"/>
        <v>2245.1484083364599</v>
      </c>
      <c r="CF245" s="174">
        <f t="shared" ca="1" si="232"/>
        <v>2586.5984902132473</v>
      </c>
      <c r="CG245" s="174">
        <f t="shared" ca="1" si="232"/>
        <v>2645.9037024783856</v>
      </c>
      <c r="CH245" s="174">
        <f t="shared" ca="1" si="232"/>
        <v>2645.9037024783856</v>
      </c>
      <c r="CI245" s="174">
        <f t="shared" ca="1" si="232"/>
        <v>2645.9037024783856</v>
      </c>
      <c r="CJ245" s="174">
        <f t="shared" ca="1" si="232"/>
        <v>2645.9037024783856</v>
      </c>
      <c r="CK245" s="174">
        <f t="shared" ca="1" si="232"/>
        <v>2645.9037024783856</v>
      </c>
      <c r="CL245" s="174">
        <f t="shared" ca="1" si="232"/>
        <v>2645.9037024783856</v>
      </c>
      <c r="CM245" s="174">
        <f t="shared" ca="1" si="232"/>
        <v>2645.9037024783856</v>
      </c>
      <c r="CN245" s="174">
        <f t="shared" ca="1" si="232"/>
        <v>2645.9037024783856</v>
      </c>
      <c r="CO245" s="174">
        <f t="shared" ca="1" si="232"/>
        <v>2645.9037024783856</v>
      </c>
      <c r="CP245" s="174">
        <f t="shared" ca="1" si="232"/>
        <v>2645.9037024783856</v>
      </c>
      <c r="CQ245" s="174">
        <f t="shared" ca="1" si="232"/>
        <v>2645.9037024783856</v>
      </c>
      <c r="CR245" s="174">
        <f t="shared" ca="1" si="232"/>
        <v>2645.9037024783856</v>
      </c>
      <c r="CS245" s="174">
        <f t="shared" ca="1" si="232"/>
        <v>2645.9037024783856</v>
      </c>
      <c r="CT245" s="174">
        <f t="shared" ca="1" si="232"/>
        <v>2645.9037024783856</v>
      </c>
      <c r="CU245" s="174">
        <f t="shared" ca="1" si="232"/>
        <v>2645.9037024783856</v>
      </c>
      <c r="CV245" s="174">
        <f t="shared" ca="1" si="232"/>
        <v>2645.9037024783856</v>
      </c>
      <c r="CW245" s="174">
        <f t="shared" ca="1" si="232"/>
        <v>2645.9037024783856</v>
      </c>
      <c r="CX245" s="174">
        <f t="shared" ca="1" si="232"/>
        <v>2645.9037024783856</v>
      </c>
      <c r="CY245" s="174">
        <f t="shared" ca="1" si="232"/>
        <v>2645.9037024783856</v>
      </c>
      <c r="CZ245" s="174">
        <f t="shared" ca="1" si="232"/>
        <v>2645.9037024783856</v>
      </c>
      <c r="DA245" s="174">
        <f t="shared" ref="DA245:DY245" ca="1" si="233">+SUM(DA129,DA140,DA147,-DA146)</f>
        <v>2645.9037024783856</v>
      </c>
      <c r="DB245" s="174">
        <f t="shared" ca="1" si="233"/>
        <v>2645.9037024783856</v>
      </c>
      <c r="DC245" s="174">
        <f t="shared" ca="1" si="233"/>
        <v>2645.9037024783856</v>
      </c>
      <c r="DD245" s="174">
        <f t="shared" ca="1" si="233"/>
        <v>2645.9037024783856</v>
      </c>
      <c r="DE245" s="174">
        <f t="shared" ca="1" si="233"/>
        <v>2645.9037024783856</v>
      </c>
      <c r="DF245" s="174">
        <f t="shared" ca="1" si="233"/>
        <v>2645.9037024783856</v>
      </c>
      <c r="DG245" s="174">
        <f t="shared" ca="1" si="233"/>
        <v>2645.9037024783856</v>
      </c>
      <c r="DH245" s="174">
        <f t="shared" ca="1" si="233"/>
        <v>2645.9037024783856</v>
      </c>
      <c r="DI245" s="174">
        <f t="shared" ca="1" si="233"/>
        <v>2645.9037024783856</v>
      </c>
      <c r="DJ245" s="174">
        <f t="shared" ca="1" si="233"/>
        <v>2645.9037024783856</v>
      </c>
      <c r="DK245" s="174">
        <f t="shared" ca="1" si="233"/>
        <v>2645.9037024783856</v>
      </c>
      <c r="DL245" s="174">
        <f t="shared" ca="1" si="233"/>
        <v>2645.9037024783856</v>
      </c>
      <c r="DM245" s="174">
        <f t="shared" ca="1" si="233"/>
        <v>2645.9037024783856</v>
      </c>
      <c r="DN245" s="174">
        <f t="shared" ca="1" si="233"/>
        <v>2645.9037024783856</v>
      </c>
      <c r="DO245" s="174">
        <f t="shared" ca="1" si="233"/>
        <v>2645.9037024783856</v>
      </c>
      <c r="DP245" s="174">
        <f t="shared" ca="1" si="233"/>
        <v>2645.9037024783856</v>
      </c>
      <c r="DQ245" s="174">
        <f t="shared" ca="1" si="233"/>
        <v>2645.9037024783856</v>
      </c>
      <c r="DR245" s="174">
        <f t="shared" ca="1" si="233"/>
        <v>2645.9037024783856</v>
      </c>
      <c r="DS245" s="174">
        <f t="shared" ca="1" si="233"/>
        <v>2645.9037024783856</v>
      </c>
      <c r="DT245" s="174">
        <f t="shared" ca="1" si="233"/>
        <v>2645.9037024783856</v>
      </c>
      <c r="DU245" s="174">
        <f t="shared" ca="1" si="233"/>
        <v>2645.9037024783856</v>
      </c>
      <c r="DV245" s="174">
        <f t="shared" ca="1" si="233"/>
        <v>2645.9037024783856</v>
      </c>
      <c r="DW245" s="174">
        <f t="shared" ca="1" si="233"/>
        <v>2645.9037024783856</v>
      </c>
      <c r="DX245" s="174">
        <f t="shared" ca="1" si="233"/>
        <v>2645.9037024783856</v>
      </c>
      <c r="DY245" s="174">
        <f t="shared" ca="1" si="233"/>
        <v>2645.9037024783856</v>
      </c>
    </row>
    <row r="246" spans="1:129" s="3" customFormat="1" ht="11.7" customHeight="1" outlineLevel="1" thickTop="1" x14ac:dyDescent="0.3">
      <c r="A246" s="85"/>
      <c r="B246" s="198" t="s">
        <v>119</v>
      </c>
      <c r="C246" s="198"/>
      <c r="D246" s="162"/>
      <c r="E246" s="162"/>
      <c r="F246" s="162"/>
      <c r="G246" s="74"/>
      <c r="H246" s="74"/>
      <c r="I246" s="327">
        <f t="shared" ref="I246:AN246" si="234">+IFERROR(I$245/I$129,0)</f>
        <v>0</v>
      </c>
      <c r="J246" s="327">
        <f t="shared" si="234"/>
        <v>0</v>
      </c>
      <c r="K246" s="327">
        <f t="shared" si="234"/>
        <v>0</v>
      </c>
      <c r="L246" s="327">
        <f t="shared" si="234"/>
        <v>0</v>
      </c>
      <c r="M246" s="327">
        <f t="shared" si="234"/>
        <v>0</v>
      </c>
      <c r="N246" s="327">
        <f t="shared" si="234"/>
        <v>0</v>
      </c>
      <c r="O246" s="327">
        <f t="shared" si="234"/>
        <v>0</v>
      </c>
      <c r="P246" s="327">
        <f t="shared" si="234"/>
        <v>0</v>
      </c>
      <c r="Q246" s="327">
        <f t="shared" si="234"/>
        <v>0</v>
      </c>
      <c r="R246" s="327">
        <f t="shared" si="234"/>
        <v>0</v>
      </c>
      <c r="S246" s="327">
        <f t="shared" si="234"/>
        <v>0</v>
      </c>
      <c r="T246" s="327">
        <f t="shared" si="234"/>
        <v>0</v>
      </c>
      <c r="U246" s="327">
        <f t="shared" si="234"/>
        <v>0</v>
      </c>
      <c r="V246" s="327">
        <f t="shared" si="234"/>
        <v>0</v>
      </c>
      <c r="W246" s="327">
        <f t="shared" si="234"/>
        <v>0</v>
      </c>
      <c r="X246" s="327">
        <f t="shared" si="234"/>
        <v>0</v>
      </c>
      <c r="Y246" s="327">
        <f t="shared" si="234"/>
        <v>0</v>
      </c>
      <c r="Z246" s="327">
        <f t="shared" si="234"/>
        <v>0</v>
      </c>
      <c r="AA246" s="327">
        <f t="shared" si="234"/>
        <v>0</v>
      </c>
      <c r="AB246" s="327">
        <f t="shared" si="234"/>
        <v>0</v>
      </c>
      <c r="AC246" s="327">
        <f t="shared" si="234"/>
        <v>0</v>
      </c>
      <c r="AD246" s="327">
        <f t="shared" si="234"/>
        <v>0</v>
      </c>
      <c r="AE246" s="327">
        <f t="shared" si="234"/>
        <v>0</v>
      </c>
      <c r="AF246" s="327">
        <f t="shared" si="234"/>
        <v>0</v>
      </c>
      <c r="AG246" s="327">
        <f t="shared" si="234"/>
        <v>0</v>
      </c>
      <c r="AH246" s="327">
        <f t="shared" si="234"/>
        <v>0</v>
      </c>
      <c r="AI246" s="327">
        <f t="shared" si="234"/>
        <v>0</v>
      </c>
      <c r="AJ246" s="327">
        <f t="shared" si="234"/>
        <v>0</v>
      </c>
      <c r="AK246" s="327">
        <f t="shared" si="234"/>
        <v>0</v>
      </c>
      <c r="AL246" s="327">
        <f t="shared" si="234"/>
        <v>0</v>
      </c>
      <c r="AM246" s="327">
        <f t="shared" si="234"/>
        <v>0</v>
      </c>
      <c r="AN246" s="327">
        <f t="shared" si="234"/>
        <v>0</v>
      </c>
      <c r="AO246" s="327">
        <f t="shared" ref="AO246:BT246" si="235">+IFERROR(AO$245/AO$129,0)</f>
        <v>0</v>
      </c>
      <c r="AP246" s="327">
        <f t="shared" si="235"/>
        <v>0</v>
      </c>
      <c r="AQ246" s="327">
        <f t="shared" si="235"/>
        <v>0</v>
      </c>
      <c r="AR246" s="327">
        <f t="shared" si="235"/>
        <v>0</v>
      </c>
      <c r="AS246" s="327">
        <f t="shared" si="235"/>
        <v>0</v>
      </c>
      <c r="AT246" s="327">
        <f t="shared" si="235"/>
        <v>0</v>
      </c>
      <c r="AU246" s="327">
        <f t="shared" si="235"/>
        <v>0</v>
      </c>
      <c r="AV246" s="327">
        <f t="shared" si="235"/>
        <v>0</v>
      </c>
      <c r="AW246" s="327">
        <f t="shared" si="235"/>
        <v>0</v>
      </c>
      <c r="AX246" s="327">
        <f t="shared" si="235"/>
        <v>0</v>
      </c>
      <c r="AY246" s="327">
        <f t="shared" si="235"/>
        <v>0</v>
      </c>
      <c r="AZ246" s="327">
        <f t="shared" si="235"/>
        <v>0</v>
      </c>
      <c r="BA246" s="327">
        <f t="shared" si="235"/>
        <v>0</v>
      </c>
      <c r="BB246" s="327">
        <f t="shared" si="235"/>
        <v>0</v>
      </c>
      <c r="BC246" s="327">
        <f t="shared" si="235"/>
        <v>0</v>
      </c>
      <c r="BD246" s="327">
        <f t="shared" si="235"/>
        <v>0</v>
      </c>
      <c r="BE246" s="327">
        <f t="shared" si="235"/>
        <v>0</v>
      </c>
      <c r="BF246" s="327">
        <f t="shared" si="235"/>
        <v>0</v>
      </c>
      <c r="BG246" s="327">
        <f t="shared" si="235"/>
        <v>0</v>
      </c>
      <c r="BH246" s="327">
        <f t="shared" si="235"/>
        <v>0</v>
      </c>
      <c r="BI246" s="327">
        <f t="shared" si="235"/>
        <v>-7.0569828282504581</v>
      </c>
      <c r="BJ246" s="327">
        <f t="shared" si="235"/>
        <v>-4.8136867765620144</v>
      </c>
      <c r="BK246" s="327">
        <f t="shared" si="235"/>
        <v>-0.85119004334398507</v>
      </c>
      <c r="BL246" s="327">
        <f t="shared" si="235"/>
        <v>0.31651567265456315</v>
      </c>
      <c r="BM246" s="327">
        <f t="shared" si="235"/>
        <v>-0.76969775652519989</v>
      </c>
      <c r="BN246" s="327">
        <f t="shared" si="235"/>
        <v>3.0095969619864313E-2</v>
      </c>
      <c r="BO246" s="327">
        <f t="shared" si="235"/>
        <v>-5.2219658690407483E-2</v>
      </c>
      <c r="BP246" s="327">
        <f t="shared" si="235"/>
        <v>0.45413265580634049</v>
      </c>
      <c r="BQ246" s="327">
        <f t="shared" si="235"/>
        <v>0.38595191001957457</v>
      </c>
      <c r="BR246" s="327">
        <f t="shared" si="235"/>
        <v>0.25833404744939836</v>
      </c>
      <c r="BS246" s="327">
        <f t="shared" si="235"/>
        <v>0.37402276245916116</v>
      </c>
      <c r="BT246" s="327">
        <f t="shared" si="235"/>
        <v>0.19649066216784888</v>
      </c>
      <c r="BU246" s="327">
        <f t="shared" ref="BU246:CZ246" si="236">+IFERROR(BU$245/BU$129,0)</f>
        <v>0.37048885438251278</v>
      </c>
      <c r="BV246" s="327">
        <f t="shared" si="236"/>
        <v>0.4884857695148565</v>
      </c>
      <c r="BW246" s="327">
        <f t="shared" si="236"/>
        <v>0.26724618868547478</v>
      </c>
      <c r="BX246" s="327">
        <f t="shared" si="236"/>
        <v>0.12363348495417957</v>
      </c>
      <c r="BY246" s="327">
        <f t="shared" si="236"/>
        <v>0.49160671656750343</v>
      </c>
      <c r="BZ246" s="327">
        <f t="shared" ca="1" si="236"/>
        <v>0.71476138407112222</v>
      </c>
      <c r="CA246" s="327">
        <f t="shared" ca="1" si="236"/>
        <v>0.69630598190811888</v>
      </c>
      <c r="CB246" s="327">
        <f t="shared" ca="1" si="236"/>
        <v>0.69630598190811888</v>
      </c>
      <c r="CC246" s="327">
        <f t="shared" ca="1" si="236"/>
        <v>0.69630598190811888</v>
      </c>
      <c r="CD246" s="327">
        <f t="shared" ca="1" si="236"/>
        <v>0.69630598190811888</v>
      </c>
      <c r="CE246" s="327">
        <f t="shared" ca="1" si="236"/>
        <v>0.69630598190811888</v>
      </c>
      <c r="CF246" s="327">
        <f t="shared" ca="1" si="236"/>
        <v>0.72174914496791831</v>
      </c>
      <c r="CG246" s="327">
        <f t="shared" ca="1" si="236"/>
        <v>0.7256570052738055</v>
      </c>
      <c r="CH246" s="327">
        <f t="shared" ca="1" si="236"/>
        <v>0.7256570052738055</v>
      </c>
      <c r="CI246" s="327">
        <f t="shared" ca="1" si="236"/>
        <v>0.7256570052738055</v>
      </c>
      <c r="CJ246" s="327">
        <f t="shared" ca="1" si="236"/>
        <v>0.7256570052738055</v>
      </c>
      <c r="CK246" s="327">
        <f t="shared" ca="1" si="236"/>
        <v>0.7256570052738055</v>
      </c>
      <c r="CL246" s="327">
        <f t="shared" ca="1" si="236"/>
        <v>0.7256570052738055</v>
      </c>
      <c r="CM246" s="327">
        <f t="shared" ca="1" si="236"/>
        <v>0.7256570052738055</v>
      </c>
      <c r="CN246" s="327">
        <f t="shared" ca="1" si="236"/>
        <v>0.7256570052738055</v>
      </c>
      <c r="CO246" s="327">
        <f t="shared" ca="1" si="236"/>
        <v>0.7256570052738055</v>
      </c>
      <c r="CP246" s="327">
        <f t="shared" ca="1" si="236"/>
        <v>0.7256570052738055</v>
      </c>
      <c r="CQ246" s="327">
        <f t="shared" ca="1" si="236"/>
        <v>0.7256570052738055</v>
      </c>
      <c r="CR246" s="327">
        <f t="shared" ca="1" si="236"/>
        <v>0.7256570052738055</v>
      </c>
      <c r="CS246" s="327">
        <f t="shared" ca="1" si="236"/>
        <v>0.7256570052738055</v>
      </c>
      <c r="CT246" s="327">
        <f t="shared" ca="1" si="236"/>
        <v>0.7256570052738055</v>
      </c>
      <c r="CU246" s="327">
        <f t="shared" ca="1" si="236"/>
        <v>0.7256570052738055</v>
      </c>
      <c r="CV246" s="327">
        <f t="shared" ca="1" si="236"/>
        <v>0.7256570052738055</v>
      </c>
      <c r="CW246" s="327">
        <f t="shared" ca="1" si="236"/>
        <v>0.7256570052738055</v>
      </c>
      <c r="CX246" s="327">
        <f t="shared" ca="1" si="236"/>
        <v>0.7256570052738055</v>
      </c>
      <c r="CY246" s="327">
        <f t="shared" ca="1" si="236"/>
        <v>0.7256570052738055</v>
      </c>
      <c r="CZ246" s="327">
        <f t="shared" ca="1" si="236"/>
        <v>0.7256570052738055</v>
      </c>
      <c r="DA246" s="327">
        <f t="shared" ref="DA246:DY246" ca="1" si="237">+IFERROR(DA$245/DA$129,0)</f>
        <v>0.7256570052738055</v>
      </c>
      <c r="DB246" s="327">
        <f t="shared" ca="1" si="237"/>
        <v>0.7256570052738055</v>
      </c>
      <c r="DC246" s="327">
        <f t="shared" ca="1" si="237"/>
        <v>0.7256570052738055</v>
      </c>
      <c r="DD246" s="327">
        <f t="shared" ca="1" si="237"/>
        <v>0.7256570052738055</v>
      </c>
      <c r="DE246" s="327">
        <f t="shared" ca="1" si="237"/>
        <v>0.7256570052738055</v>
      </c>
      <c r="DF246" s="327">
        <f t="shared" ca="1" si="237"/>
        <v>0.7256570052738055</v>
      </c>
      <c r="DG246" s="327">
        <f t="shared" ca="1" si="237"/>
        <v>0.7256570052738055</v>
      </c>
      <c r="DH246" s="327">
        <f t="shared" ca="1" si="237"/>
        <v>0.7256570052738055</v>
      </c>
      <c r="DI246" s="327">
        <f t="shared" ca="1" si="237"/>
        <v>0.7256570052738055</v>
      </c>
      <c r="DJ246" s="327">
        <f t="shared" ca="1" si="237"/>
        <v>0.7256570052738055</v>
      </c>
      <c r="DK246" s="327">
        <f t="shared" ca="1" si="237"/>
        <v>0.7256570052738055</v>
      </c>
      <c r="DL246" s="327">
        <f t="shared" ca="1" si="237"/>
        <v>0.7256570052738055</v>
      </c>
      <c r="DM246" s="327">
        <f t="shared" ca="1" si="237"/>
        <v>0.7256570052738055</v>
      </c>
      <c r="DN246" s="327">
        <f t="shared" ca="1" si="237"/>
        <v>0.7256570052738055</v>
      </c>
      <c r="DO246" s="327">
        <f t="shared" ca="1" si="237"/>
        <v>0.7256570052738055</v>
      </c>
      <c r="DP246" s="327">
        <f t="shared" ca="1" si="237"/>
        <v>0.7256570052738055</v>
      </c>
      <c r="DQ246" s="327">
        <f t="shared" ca="1" si="237"/>
        <v>0.7256570052738055</v>
      </c>
      <c r="DR246" s="327">
        <f t="shared" ca="1" si="237"/>
        <v>0.7256570052738055</v>
      </c>
      <c r="DS246" s="327">
        <f t="shared" ca="1" si="237"/>
        <v>0.7256570052738055</v>
      </c>
      <c r="DT246" s="327">
        <f t="shared" ca="1" si="237"/>
        <v>0.7256570052738055</v>
      </c>
      <c r="DU246" s="327">
        <f t="shared" ca="1" si="237"/>
        <v>0.7256570052738055</v>
      </c>
      <c r="DV246" s="327">
        <f t="shared" ca="1" si="237"/>
        <v>0.7256570052738055</v>
      </c>
      <c r="DW246" s="327">
        <f t="shared" ca="1" si="237"/>
        <v>0.7256570052738055</v>
      </c>
      <c r="DX246" s="327">
        <f t="shared" ca="1" si="237"/>
        <v>0.7256570052738055</v>
      </c>
      <c r="DY246" s="327">
        <f t="shared" ca="1" si="237"/>
        <v>0.7256570052738055</v>
      </c>
    </row>
    <row r="247" spans="1:129" s="3" customFormat="1" ht="11.7" customHeight="1" outlineLevel="1" x14ac:dyDescent="0.3">
      <c r="A247" s="85"/>
      <c r="B247" s="198" t="s">
        <v>786</v>
      </c>
      <c r="C247" s="198"/>
      <c r="D247" s="162"/>
      <c r="E247" s="162"/>
      <c r="F247" s="162"/>
      <c r="G247" s="74"/>
      <c r="H247" s="74"/>
      <c r="I247" s="327"/>
      <c r="J247" s="327"/>
      <c r="K247" s="327"/>
      <c r="L247" s="327"/>
      <c r="M247" s="327"/>
      <c r="N247" s="327"/>
      <c r="O247" s="327"/>
      <c r="P247" s="327"/>
      <c r="Q247" s="327"/>
      <c r="R247" s="327"/>
      <c r="S247" s="327"/>
      <c r="T247" s="327"/>
      <c r="U247" s="327"/>
      <c r="V247" s="327"/>
      <c r="W247" s="327"/>
      <c r="X247" s="327"/>
      <c r="Y247" s="327"/>
      <c r="Z247" s="327"/>
      <c r="AA247" s="327"/>
      <c r="AB247" s="327"/>
      <c r="AC247" s="327"/>
      <c r="AD247" s="327"/>
      <c r="AE247" s="327"/>
      <c r="AF247" s="327"/>
      <c r="AG247" s="327"/>
      <c r="AH247" s="327"/>
      <c r="AI247" s="327"/>
      <c r="AJ247" s="327"/>
      <c r="AK247" s="327"/>
      <c r="AL247" s="327"/>
      <c r="AM247" s="327"/>
      <c r="AN247" s="327"/>
      <c r="AO247" s="327"/>
      <c r="AP247" s="327"/>
      <c r="AQ247" s="327"/>
      <c r="AR247" s="327"/>
      <c r="AS247" s="327"/>
      <c r="AT247" s="327"/>
      <c r="AU247" s="327"/>
      <c r="AV247" s="327"/>
      <c r="AW247" s="327"/>
      <c r="AX247" s="327"/>
      <c r="AY247" s="327"/>
      <c r="AZ247" s="327"/>
      <c r="BA247" s="327"/>
      <c r="BB247" s="327"/>
      <c r="BC247" s="327"/>
      <c r="BD247" s="327"/>
      <c r="BE247" s="327"/>
      <c r="BF247" s="327"/>
      <c r="BG247" s="327"/>
      <c r="BH247" s="327"/>
      <c r="BI247" s="327">
        <f>+SUM(AX245:BI245)/SUM(AX129:BI129)</f>
        <v>-7.0569828282504581</v>
      </c>
      <c r="BJ247" s="327">
        <f>+SUM(AY245:BJ245)/SUM(AY129:BJ129)</f>
        <v>-5.3867693065732096</v>
      </c>
      <c r="BK247" s="327">
        <f t="shared" ref="BK247:BV247" si="238">+SUM(AZ245:BK245)/SUM(AZ129:BK129)</f>
        <v>-2.0287085646121734</v>
      </c>
      <c r="BL247" s="327">
        <f t="shared" si="238"/>
        <v>-0.69915060820184805</v>
      </c>
      <c r="BM247" s="327">
        <f t="shared" si="238"/>
        <v>-0.72572057726662997</v>
      </c>
      <c r="BN247" s="327">
        <f t="shared" si="238"/>
        <v>-0.53366699590089439</v>
      </c>
      <c r="BO247" s="327">
        <f t="shared" si="238"/>
        <v>-0.42634639420438958</v>
      </c>
      <c r="BP247" s="327">
        <f t="shared" si="238"/>
        <v>-0.2482069834082456</v>
      </c>
      <c r="BQ247" s="327">
        <f t="shared" si="238"/>
        <v>-0.14829580549741256</v>
      </c>
      <c r="BR247" s="327">
        <f t="shared" si="238"/>
        <v>-9.3144184666540591E-2</v>
      </c>
      <c r="BS247" s="327">
        <f t="shared" si="238"/>
        <v>-3.2101661968605755E-2</v>
      </c>
      <c r="BT247" s="327">
        <f t="shared" si="238"/>
        <v>-9.3946587381618183E-3</v>
      </c>
      <c r="BU247" s="327">
        <f t="shared" si="238"/>
        <v>5.5355669409402904E-2</v>
      </c>
      <c r="BV247" s="327">
        <f t="shared" si="238"/>
        <v>0.14771498700218727</v>
      </c>
      <c r="BW247" s="327">
        <f>+SUM(BL245:BW245)/SUM(BL129:BW129)</f>
        <v>0.20139280393496159</v>
      </c>
      <c r="BX247" s="327">
        <f>+SUM(BM245:BX245)/SUM(BM129:BX129)</f>
        <v>0.18588587311335131</v>
      </c>
      <c r="BY247" s="327"/>
      <c r="BZ247" s="327"/>
      <c r="CA247" s="327"/>
      <c r="CB247" s="327"/>
      <c r="CC247" s="327"/>
      <c r="CD247" s="327"/>
      <c r="CE247" s="327"/>
      <c r="CF247" s="327"/>
      <c r="CG247" s="327"/>
      <c r="CH247" s="327"/>
      <c r="CI247" s="327"/>
      <c r="CJ247" s="327"/>
      <c r="CK247" s="327"/>
      <c r="CL247" s="327"/>
      <c r="CM247" s="327"/>
      <c r="CN247" s="327"/>
      <c r="CO247" s="327"/>
      <c r="CP247" s="327"/>
      <c r="CQ247" s="327"/>
      <c r="CR247" s="327"/>
      <c r="CS247" s="327"/>
      <c r="CT247" s="327"/>
      <c r="CU247" s="327"/>
      <c r="CV247" s="327"/>
      <c r="CW247" s="327"/>
      <c r="CX247" s="327"/>
      <c r="CY247" s="327"/>
      <c r="CZ247" s="327"/>
      <c r="DA247" s="327"/>
      <c r="DB247" s="327"/>
      <c r="DC247" s="327"/>
      <c r="DD247" s="327"/>
      <c r="DE247" s="327"/>
      <c r="DF247" s="327"/>
      <c r="DG247" s="327"/>
      <c r="DH247" s="327"/>
      <c r="DI247" s="327"/>
      <c r="DJ247" s="327"/>
      <c r="DK247" s="327"/>
      <c r="DL247" s="327"/>
      <c r="DM247" s="327"/>
      <c r="DN247" s="327"/>
      <c r="DO247" s="327"/>
      <c r="DP247" s="327"/>
      <c r="DQ247" s="327"/>
      <c r="DR247" s="327"/>
      <c r="DS247" s="327"/>
      <c r="DT247" s="327"/>
      <c r="DU247" s="327"/>
      <c r="DV247" s="327"/>
      <c r="DW247" s="327"/>
      <c r="DX247" s="327"/>
      <c r="DY247" s="327"/>
    </row>
    <row r="248" spans="1:129" s="3" customFormat="1" ht="11.7" customHeight="1" outlineLevel="1" x14ac:dyDescent="0.3">
      <c r="A248" s="85"/>
      <c r="B248" s="198" t="s">
        <v>476</v>
      </c>
      <c r="C248" s="198"/>
      <c r="D248" s="162"/>
      <c r="E248" s="162"/>
      <c r="F248" s="162"/>
      <c r="G248" s="74"/>
      <c r="H248" s="74"/>
      <c r="I248" s="713">
        <f t="shared" ref="I248:AN248" si="239">+SUM(J245:U245)</f>
        <v>0</v>
      </c>
      <c r="J248" s="713">
        <f t="shared" si="239"/>
        <v>0</v>
      </c>
      <c r="K248" s="713">
        <f t="shared" si="239"/>
        <v>0</v>
      </c>
      <c r="L248" s="713">
        <f t="shared" si="239"/>
        <v>0</v>
      </c>
      <c r="M248" s="713">
        <f t="shared" si="239"/>
        <v>0</v>
      </c>
      <c r="N248" s="713">
        <f t="shared" si="239"/>
        <v>0</v>
      </c>
      <c r="O248" s="713">
        <f t="shared" si="239"/>
        <v>0</v>
      </c>
      <c r="P248" s="713">
        <f t="shared" si="239"/>
        <v>0</v>
      </c>
      <c r="Q248" s="713">
        <f t="shared" si="239"/>
        <v>0</v>
      </c>
      <c r="R248" s="713">
        <f t="shared" si="239"/>
        <v>0</v>
      </c>
      <c r="S248" s="713">
        <f t="shared" si="239"/>
        <v>0</v>
      </c>
      <c r="T248" s="713">
        <f t="shared" si="239"/>
        <v>0</v>
      </c>
      <c r="U248" s="713">
        <f t="shared" si="239"/>
        <v>0</v>
      </c>
      <c r="V248" s="713">
        <f t="shared" si="239"/>
        <v>0</v>
      </c>
      <c r="W248" s="713">
        <f t="shared" si="239"/>
        <v>0</v>
      </c>
      <c r="X248" s="713">
        <f t="shared" si="239"/>
        <v>0</v>
      </c>
      <c r="Y248" s="713">
        <f t="shared" si="239"/>
        <v>0</v>
      </c>
      <c r="Z248" s="713">
        <f t="shared" si="239"/>
        <v>0</v>
      </c>
      <c r="AA248" s="713">
        <f t="shared" si="239"/>
        <v>0</v>
      </c>
      <c r="AB248" s="713">
        <f t="shared" si="239"/>
        <v>0</v>
      </c>
      <c r="AC248" s="713">
        <f t="shared" si="239"/>
        <v>0</v>
      </c>
      <c r="AD248" s="713">
        <f t="shared" si="239"/>
        <v>0</v>
      </c>
      <c r="AE248" s="713">
        <f t="shared" si="239"/>
        <v>0</v>
      </c>
      <c r="AF248" s="713">
        <f t="shared" si="239"/>
        <v>0</v>
      </c>
      <c r="AG248" s="713">
        <f t="shared" si="239"/>
        <v>0</v>
      </c>
      <c r="AH248" s="713">
        <f t="shared" si="239"/>
        <v>0</v>
      </c>
      <c r="AI248" s="713">
        <f t="shared" si="239"/>
        <v>0</v>
      </c>
      <c r="AJ248" s="713">
        <f t="shared" si="239"/>
        <v>0</v>
      </c>
      <c r="AK248" s="713">
        <f t="shared" si="239"/>
        <v>0</v>
      </c>
      <c r="AL248" s="713">
        <f t="shared" si="239"/>
        <v>0</v>
      </c>
      <c r="AM248" s="713">
        <f t="shared" si="239"/>
        <v>0</v>
      </c>
      <c r="AN248" s="713">
        <f t="shared" si="239"/>
        <v>0</v>
      </c>
      <c r="AO248" s="713">
        <f t="shared" ref="AO248:BT248" si="240">+SUM(AP245:BA245)</f>
        <v>0</v>
      </c>
      <c r="AP248" s="713">
        <f t="shared" si="240"/>
        <v>0</v>
      </c>
      <c r="AQ248" s="713">
        <f t="shared" si="240"/>
        <v>0</v>
      </c>
      <c r="AR248" s="713">
        <f t="shared" si="240"/>
        <v>0</v>
      </c>
      <c r="AS248" s="713">
        <f t="shared" si="240"/>
        <v>0</v>
      </c>
      <c r="AT248" s="713">
        <f t="shared" si="240"/>
        <v>0</v>
      </c>
      <c r="AU248" s="713">
        <f t="shared" si="240"/>
        <v>0</v>
      </c>
      <c r="AV248" s="713">
        <f t="shared" si="240"/>
        <v>0</v>
      </c>
      <c r="AW248" s="713">
        <f t="shared" si="240"/>
        <v>-608.27433172127371</v>
      </c>
      <c r="AX248" s="713">
        <f t="shared" si="240"/>
        <v>-1817.5159421616147</v>
      </c>
      <c r="AY248" s="713">
        <f t="shared" si="240"/>
        <v>-2636.5409972080824</v>
      </c>
      <c r="AZ248" s="713">
        <f t="shared" si="240"/>
        <v>-2098.0650307256442</v>
      </c>
      <c r="BA248" s="713">
        <f t="shared" si="240"/>
        <v>-3493.5723065318521</v>
      </c>
      <c r="BB248" s="713">
        <f t="shared" si="240"/>
        <v>-3444.2169258562176</v>
      </c>
      <c r="BC248" s="713">
        <f t="shared" si="240"/>
        <v>-3540.8928951008534</v>
      </c>
      <c r="BD248" s="713">
        <f t="shared" si="240"/>
        <v>-2584.2590105778927</v>
      </c>
      <c r="BE248" s="713">
        <f t="shared" si="240"/>
        <v>-1832.7630634726283</v>
      </c>
      <c r="BF248" s="713">
        <f t="shared" si="240"/>
        <v>-1331.7847207680029</v>
      </c>
      <c r="BG248" s="713">
        <f t="shared" si="240"/>
        <v>-527.98161377554675</v>
      </c>
      <c r="BH248" s="713">
        <f t="shared" si="240"/>
        <v>-171.5570423167041</v>
      </c>
      <c r="BI248" s="713">
        <f t="shared" si="240"/>
        <v>1106.0995453256523</v>
      </c>
      <c r="BJ248" s="713">
        <f t="shared" si="240"/>
        <v>3174.2006273241714</v>
      </c>
      <c r="BK248" s="713">
        <f t="shared" si="240"/>
        <v>4564.0441505965064</v>
      </c>
      <c r="BL248" s="713">
        <f t="shared" si="240"/>
        <v>4282.1376323757868</v>
      </c>
      <c r="BM248" s="713">
        <f t="shared" si="240"/>
        <v>6557.2765185768694</v>
      </c>
      <c r="BN248" s="713">
        <f t="shared" ca="1" si="240"/>
        <v>8993.3859580807148</v>
      </c>
      <c r="BO248" s="713">
        <f t="shared" ca="1" si="240"/>
        <v>11335.21033566181</v>
      </c>
      <c r="BP248" s="713">
        <f t="shared" ca="1" si="240"/>
        <v>12623.724859475309</v>
      </c>
      <c r="BQ248" s="713">
        <f t="shared" ca="1" si="240"/>
        <v>14117.377320706504</v>
      </c>
      <c r="BR248" s="713">
        <f t="shared" ca="1" si="240"/>
        <v>15861.547386338338</v>
      </c>
      <c r="BS248" s="713">
        <f t="shared" ca="1" si="240"/>
        <v>17302.892687682343</v>
      </c>
      <c r="BT248" s="713">
        <f t="shared" ca="1" si="240"/>
        <v>19533.066606436747</v>
      </c>
      <c r="BU248" s="713">
        <f t="shared" ref="BU248:CZ248" ca="1" si="241">+SUM(BV245:CG245)</f>
        <v>21509.588052994048</v>
      </c>
      <c r="BV248" s="713">
        <f t="shared" ca="1" si="241"/>
        <v>23296.632283914256</v>
      </c>
      <c r="BW248" s="713">
        <f t="shared" ca="1" si="241"/>
        <v>25371.717518166777</v>
      </c>
      <c r="BX248" s="713">
        <f ca="1">+SUM(BY245:CJ245)</f>
        <v>27761.051772383445</v>
      </c>
      <c r="BY248" s="713">
        <f t="shared" ca="1" si="241"/>
        <v>29527.323864466958</v>
      </c>
      <c r="BZ248" s="713">
        <f t="shared" ca="1" si="241"/>
        <v>29687.762746765864</v>
      </c>
      <c r="CA248" s="713">
        <f t="shared" ca="1" si="241"/>
        <v>30088.518040907791</v>
      </c>
      <c r="CB248" s="713">
        <f t="shared" ca="1" si="241"/>
        <v>30489.273335049718</v>
      </c>
      <c r="CC248" s="713">
        <f t="shared" ca="1" si="241"/>
        <v>30890.028629191645</v>
      </c>
      <c r="CD248" s="713">
        <f t="shared" ca="1" si="241"/>
        <v>31290.783923333569</v>
      </c>
      <c r="CE248" s="713">
        <f t="shared" ca="1" si="241"/>
        <v>31691.539217475496</v>
      </c>
      <c r="CF248" s="713">
        <f t="shared" ca="1" si="241"/>
        <v>31750.844429740635</v>
      </c>
      <c r="CG248" s="713">
        <f t="shared" ca="1" si="241"/>
        <v>31750.844429740635</v>
      </c>
      <c r="CH248" s="713">
        <f t="shared" ca="1" si="241"/>
        <v>31750.844429740635</v>
      </c>
      <c r="CI248" s="713">
        <f t="shared" ca="1" si="241"/>
        <v>31750.844429740635</v>
      </c>
      <c r="CJ248" s="713">
        <f t="shared" ca="1" si="241"/>
        <v>31750.844429740635</v>
      </c>
      <c r="CK248" s="713">
        <f t="shared" ca="1" si="241"/>
        <v>31750.844429740635</v>
      </c>
      <c r="CL248" s="713">
        <f t="shared" ca="1" si="241"/>
        <v>31750.844429740635</v>
      </c>
      <c r="CM248" s="713">
        <f t="shared" ca="1" si="241"/>
        <v>31750.844429740635</v>
      </c>
      <c r="CN248" s="713">
        <f t="shared" ca="1" si="241"/>
        <v>31750.844429740635</v>
      </c>
      <c r="CO248" s="713">
        <f t="shared" ca="1" si="241"/>
        <v>31750.844429740635</v>
      </c>
      <c r="CP248" s="713">
        <f t="shared" ca="1" si="241"/>
        <v>31750.844429740635</v>
      </c>
      <c r="CQ248" s="713">
        <f t="shared" ca="1" si="241"/>
        <v>31750.844429740635</v>
      </c>
      <c r="CR248" s="713">
        <f t="shared" ca="1" si="241"/>
        <v>31750.844429740635</v>
      </c>
      <c r="CS248" s="713">
        <f t="shared" ca="1" si="241"/>
        <v>31750.844429740635</v>
      </c>
      <c r="CT248" s="713">
        <f t="shared" ca="1" si="241"/>
        <v>31750.844429740635</v>
      </c>
      <c r="CU248" s="713">
        <f t="shared" ca="1" si="241"/>
        <v>31750.844429740635</v>
      </c>
      <c r="CV248" s="713">
        <f t="shared" ca="1" si="241"/>
        <v>31750.844429740635</v>
      </c>
      <c r="CW248" s="713">
        <f t="shared" ca="1" si="241"/>
        <v>31750.844429740635</v>
      </c>
      <c r="CX248" s="713">
        <f t="shared" ca="1" si="241"/>
        <v>31750.844429740635</v>
      </c>
      <c r="CY248" s="713">
        <f t="shared" ca="1" si="241"/>
        <v>31750.844429740635</v>
      </c>
      <c r="CZ248" s="713">
        <f t="shared" ca="1" si="241"/>
        <v>31750.844429740635</v>
      </c>
      <c r="DA248" s="713">
        <f t="shared" ref="DA248:DK248" ca="1" si="242">+SUM(DB245:DM245)</f>
        <v>31750.844429740635</v>
      </c>
      <c r="DB248" s="713">
        <f t="shared" ca="1" si="242"/>
        <v>31750.844429740635</v>
      </c>
      <c r="DC248" s="713">
        <f t="shared" ca="1" si="242"/>
        <v>31750.844429740635</v>
      </c>
      <c r="DD248" s="713">
        <f t="shared" ca="1" si="242"/>
        <v>31750.844429740635</v>
      </c>
      <c r="DE248" s="713">
        <f t="shared" ca="1" si="242"/>
        <v>31750.844429740635</v>
      </c>
      <c r="DF248" s="713">
        <f t="shared" ca="1" si="242"/>
        <v>31750.844429740635</v>
      </c>
      <c r="DG248" s="713">
        <f t="shared" ca="1" si="242"/>
        <v>31750.844429740635</v>
      </c>
      <c r="DH248" s="713">
        <f t="shared" ca="1" si="242"/>
        <v>31750.844429740635</v>
      </c>
      <c r="DI248" s="713">
        <f t="shared" ca="1" si="242"/>
        <v>31750.844429740635</v>
      </c>
      <c r="DJ248" s="713">
        <f t="shared" ca="1" si="242"/>
        <v>31750.844429740635</v>
      </c>
      <c r="DK248" s="713">
        <f t="shared" ca="1" si="242"/>
        <v>31750.844429740635</v>
      </c>
      <c r="DL248" s="713">
        <f ca="1">+SUM(DM245:DY245)</f>
        <v>34396.748132219021</v>
      </c>
      <c r="DM248" s="713">
        <f ca="1">+DL248</f>
        <v>34396.748132219021</v>
      </c>
      <c r="DN248" s="713">
        <f t="shared" ref="DN248:DW248" ca="1" si="243">+DM248</f>
        <v>34396.748132219021</v>
      </c>
      <c r="DO248" s="713">
        <f t="shared" ca="1" si="243"/>
        <v>34396.748132219021</v>
      </c>
      <c r="DP248" s="713">
        <f t="shared" ca="1" si="243"/>
        <v>34396.748132219021</v>
      </c>
      <c r="DQ248" s="713">
        <f t="shared" ca="1" si="243"/>
        <v>34396.748132219021</v>
      </c>
      <c r="DR248" s="713">
        <f t="shared" ca="1" si="243"/>
        <v>34396.748132219021</v>
      </c>
      <c r="DS248" s="713">
        <f t="shared" ca="1" si="243"/>
        <v>34396.748132219021</v>
      </c>
      <c r="DT248" s="713">
        <f t="shared" ca="1" si="243"/>
        <v>34396.748132219021</v>
      </c>
      <c r="DU248" s="713">
        <f t="shared" ca="1" si="243"/>
        <v>34396.748132219021</v>
      </c>
      <c r="DV248" s="713">
        <f t="shared" ca="1" si="243"/>
        <v>34396.748132219021</v>
      </c>
      <c r="DW248" s="713">
        <f t="shared" ca="1" si="243"/>
        <v>34396.748132219021</v>
      </c>
      <c r="DX248" s="713">
        <f t="shared" ref="DX248" ca="1" si="244">+DW248</f>
        <v>34396.748132219021</v>
      </c>
      <c r="DY248" s="713">
        <f t="shared" ref="DY248" ca="1" si="245">+DX248</f>
        <v>34396.748132219021</v>
      </c>
    </row>
    <row r="249" spans="1:129" s="3" customFormat="1" ht="11.7" customHeight="1" outlineLevel="1" thickBot="1" x14ac:dyDescent="0.35">
      <c r="A249" s="85"/>
      <c r="B249" s="645"/>
      <c r="C249" s="645"/>
      <c r="D249" s="80"/>
      <c r="E249" s="80"/>
      <c r="F249" s="80"/>
      <c r="G249" s="154"/>
      <c r="H249" s="154"/>
      <c r="I249" s="155"/>
      <c r="J249" s="155"/>
      <c r="K249" s="155"/>
      <c r="L249" s="155"/>
      <c r="M249" s="155"/>
      <c r="N249" s="155"/>
      <c r="O249" s="155"/>
      <c r="P249" s="155"/>
      <c r="Q249" s="155"/>
      <c r="R249" s="155"/>
      <c r="S249" s="155"/>
      <c r="T249" s="155"/>
      <c r="U249" s="155"/>
      <c r="V249" s="155"/>
      <c r="W249" s="155"/>
      <c r="X249" s="155"/>
      <c r="Y249" s="155"/>
      <c r="Z249" s="155"/>
      <c r="AA249" s="155"/>
      <c r="AB249" s="155"/>
      <c r="AC249" s="155"/>
      <c r="AD249" s="155"/>
      <c r="AE249" s="155"/>
      <c r="AF249" s="155"/>
      <c r="AG249" s="155"/>
      <c r="AH249" s="155"/>
      <c r="AI249" s="155"/>
      <c r="AJ249" s="155"/>
      <c r="AK249" s="155"/>
      <c r="AL249" s="155"/>
      <c r="AM249" s="155"/>
      <c r="AN249" s="155"/>
      <c r="AO249" s="155"/>
      <c r="AP249" s="155"/>
      <c r="AQ249" s="155"/>
      <c r="AR249" s="155"/>
      <c r="AS249" s="155"/>
      <c r="AT249" s="155"/>
      <c r="AU249" s="155"/>
      <c r="AV249" s="155"/>
      <c r="AW249" s="155"/>
      <c r="AX249" s="155"/>
      <c r="AY249" s="155"/>
      <c r="AZ249" s="155"/>
      <c r="BA249" s="155"/>
      <c r="BB249" s="155"/>
      <c r="BC249" s="155"/>
      <c r="BD249" s="155"/>
      <c r="BE249" s="155"/>
      <c r="BF249" s="155"/>
      <c r="BG249" s="155"/>
      <c r="BH249" s="155"/>
      <c r="BI249" s="155"/>
      <c r="BJ249" s="155"/>
      <c r="BK249" s="155"/>
      <c r="BL249" s="155"/>
      <c r="BM249" s="155"/>
      <c r="BN249" s="155"/>
      <c r="BO249" s="155"/>
      <c r="BP249" s="155"/>
      <c r="BQ249" s="155"/>
      <c r="BR249" s="155"/>
      <c r="BS249" s="155"/>
      <c r="BT249" s="155"/>
      <c r="BU249" s="155"/>
      <c r="BV249" s="155"/>
      <c r="BW249" s="336"/>
      <c r="BX249" s="155"/>
      <c r="BY249" s="155"/>
      <c r="BZ249" s="155"/>
      <c r="CA249" s="155"/>
      <c r="CB249" s="155"/>
      <c r="CC249" s="155"/>
      <c r="CD249" s="155"/>
      <c r="CE249" s="155"/>
      <c r="CF249" s="155"/>
      <c r="CG249" s="155"/>
      <c r="CH249" s="155"/>
      <c r="CI249" s="155"/>
      <c r="CJ249" s="155"/>
      <c r="CK249" s="155"/>
      <c r="CL249" s="155"/>
      <c r="CM249" s="155"/>
      <c r="CN249" s="155"/>
      <c r="CO249" s="155"/>
      <c r="CP249" s="155"/>
      <c r="CQ249" s="155"/>
      <c r="CR249" s="155"/>
      <c r="CS249" s="155"/>
      <c r="CT249" s="155"/>
      <c r="CU249" s="155"/>
      <c r="CV249" s="155"/>
      <c r="CW249" s="155"/>
      <c r="CX249" s="155"/>
      <c r="CY249" s="155"/>
      <c r="CZ249" s="155"/>
      <c r="DA249" s="155"/>
      <c r="DB249" s="155"/>
      <c r="DC249" s="155"/>
      <c r="DD249" s="155"/>
      <c r="DE249" s="155"/>
      <c r="DF249" s="155"/>
      <c r="DG249" s="155"/>
      <c r="DH249" s="155"/>
      <c r="DI249" s="155"/>
      <c r="DJ249" s="155"/>
      <c r="DK249" s="155"/>
      <c r="DL249" s="155"/>
      <c r="DM249" s="155"/>
      <c r="DN249" s="155"/>
      <c r="DO249" s="155"/>
      <c r="DP249" s="155"/>
      <c r="DQ249" s="155"/>
      <c r="DR249" s="155"/>
      <c r="DS249" s="155"/>
      <c r="DT249" s="155"/>
      <c r="DU249" s="155"/>
      <c r="DV249" s="155"/>
      <c r="DW249" s="155"/>
      <c r="DX249" s="155"/>
      <c r="DY249" s="155"/>
    </row>
    <row r="250" spans="1:129" s="3" customFormat="1" ht="11.7" customHeight="1" outlineLevel="1" thickTop="1" thickBot="1" x14ac:dyDescent="0.35">
      <c r="B250" s="204" t="s">
        <v>195</v>
      </c>
      <c r="C250" s="204"/>
      <c r="D250" s="80"/>
      <c r="E250" s="80"/>
      <c r="F250" s="80"/>
      <c r="G250" s="154"/>
      <c r="H250" s="647">
        <f ca="1">+SUM(I250:DY250)</f>
        <v>133302.47399315663</v>
      </c>
      <c r="I250" s="336">
        <f t="shared" ref="I250:AN250" si="246">+SUM(I129,I140,I147)</f>
        <v>0</v>
      </c>
      <c r="J250" s="336">
        <f t="shared" si="246"/>
        <v>0</v>
      </c>
      <c r="K250" s="336">
        <f t="shared" si="246"/>
        <v>0</v>
      </c>
      <c r="L250" s="336">
        <f t="shared" si="246"/>
        <v>0</v>
      </c>
      <c r="M250" s="336">
        <f t="shared" si="246"/>
        <v>0</v>
      </c>
      <c r="N250" s="336">
        <f t="shared" si="246"/>
        <v>0</v>
      </c>
      <c r="O250" s="336">
        <f t="shared" si="246"/>
        <v>0</v>
      </c>
      <c r="P250" s="336">
        <f t="shared" si="246"/>
        <v>0</v>
      </c>
      <c r="Q250" s="336">
        <f t="shared" si="246"/>
        <v>0</v>
      </c>
      <c r="R250" s="336">
        <f t="shared" si="246"/>
        <v>0</v>
      </c>
      <c r="S250" s="336">
        <f t="shared" si="246"/>
        <v>0</v>
      </c>
      <c r="T250" s="336">
        <f t="shared" si="246"/>
        <v>0</v>
      </c>
      <c r="U250" s="336">
        <f t="shared" si="246"/>
        <v>0</v>
      </c>
      <c r="V250" s="336">
        <f t="shared" si="246"/>
        <v>0</v>
      </c>
      <c r="W250" s="336">
        <f t="shared" si="246"/>
        <v>0</v>
      </c>
      <c r="X250" s="336">
        <f t="shared" si="246"/>
        <v>0</v>
      </c>
      <c r="Y250" s="336">
        <f t="shared" si="246"/>
        <v>0</v>
      </c>
      <c r="Z250" s="336">
        <f t="shared" si="246"/>
        <v>0</v>
      </c>
      <c r="AA250" s="336">
        <f t="shared" si="246"/>
        <v>0</v>
      </c>
      <c r="AB250" s="336">
        <f t="shared" si="246"/>
        <v>0</v>
      </c>
      <c r="AC250" s="336">
        <f t="shared" si="246"/>
        <v>0</v>
      </c>
      <c r="AD250" s="336">
        <f t="shared" si="246"/>
        <v>0</v>
      </c>
      <c r="AE250" s="336">
        <f t="shared" si="246"/>
        <v>0</v>
      </c>
      <c r="AF250" s="336">
        <f t="shared" si="246"/>
        <v>0</v>
      </c>
      <c r="AG250" s="336">
        <f t="shared" si="246"/>
        <v>0</v>
      </c>
      <c r="AH250" s="336">
        <f t="shared" si="246"/>
        <v>0</v>
      </c>
      <c r="AI250" s="336">
        <f t="shared" si="246"/>
        <v>0</v>
      </c>
      <c r="AJ250" s="336">
        <f t="shared" si="246"/>
        <v>0</v>
      </c>
      <c r="AK250" s="336">
        <f t="shared" si="246"/>
        <v>0</v>
      </c>
      <c r="AL250" s="336">
        <f t="shared" si="246"/>
        <v>0</v>
      </c>
      <c r="AM250" s="336">
        <f t="shared" si="246"/>
        <v>0</v>
      </c>
      <c r="AN250" s="336">
        <f t="shared" si="246"/>
        <v>0</v>
      </c>
      <c r="AO250" s="336">
        <f t="shared" ref="AO250:BT250" si="247">+SUM(AO129,AO140,AO147)</f>
        <v>0</v>
      </c>
      <c r="AP250" s="336">
        <f t="shared" si="247"/>
        <v>0</v>
      </c>
      <c r="AQ250" s="336">
        <f t="shared" si="247"/>
        <v>0</v>
      </c>
      <c r="AR250" s="336">
        <f t="shared" si="247"/>
        <v>0</v>
      </c>
      <c r="AS250" s="336">
        <f t="shared" si="247"/>
        <v>0</v>
      </c>
      <c r="AT250" s="336">
        <f t="shared" si="247"/>
        <v>0</v>
      </c>
      <c r="AU250" s="336">
        <f t="shared" si="247"/>
        <v>0</v>
      </c>
      <c r="AV250" s="336">
        <f t="shared" si="247"/>
        <v>0</v>
      </c>
      <c r="AW250" s="336">
        <f t="shared" si="247"/>
        <v>0</v>
      </c>
      <c r="AX250" s="336">
        <f t="shared" si="247"/>
        <v>0</v>
      </c>
      <c r="AY250" s="336">
        <f t="shared" si="247"/>
        <v>0</v>
      </c>
      <c r="AZ250" s="336">
        <f t="shared" si="247"/>
        <v>0</v>
      </c>
      <c r="BA250" s="336">
        <f t="shared" si="247"/>
        <v>0</v>
      </c>
      <c r="BB250" s="336">
        <f t="shared" si="247"/>
        <v>0</v>
      </c>
      <c r="BC250" s="336">
        <f t="shared" si="247"/>
        <v>0</v>
      </c>
      <c r="BD250" s="336">
        <f t="shared" si="247"/>
        <v>0</v>
      </c>
      <c r="BE250" s="336">
        <f t="shared" si="247"/>
        <v>0</v>
      </c>
      <c r="BF250" s="336">
        <f t="shared" si="247"/>
        <v>0</v>
      </c>
      <c r="BG250" s="336">
        <f t="shared" si="247"/>
        <v>0</v>
      </c>
      <c r="BH250" s="336">
        <f t="shared" si="247"/>
        <v>0</v>
      </c>
      <c r="BI250" s="336">
        <f t="shared" si="247"/>
        <v>-609.00336305952919</v>
      </c>
      <c r="BJ250" s="336">
        <f t="shared" si="247"/>
        <v>-1340.9963791091723</v>
      </c>
      <c r="BK250" s="336">
        <f t="shared" si="247"/>
        <v>-958.55777940691689</v>
      </c>
      <c r="BL250" s="336">
        <f t="shared" si="247"/>
        <v>335.3537179090232</v>
      </c>
      <c r="BM250" s="336">
        <f t="shared" si="247"/>
        <v>-1436.5931050437064</v>
      </c>
      <c r="BN250" s="336">
        <f t="shared" si="247"/>
        <v>-7.5374978503530059</v>
      </c>
      <c r="BO250" s="336">
        <f t="shared" si="247"/>
        <v>-125.11708021543336</v>
      </c>
      <c r="BP250" s="336">
        <f t="shared" si="247"/>
        <v>899.72828166971112</v>
      </c>
      <c r="BQ250" s="336">
        <f t="shared" si="247"/>
        <v>694.11890223166768</v>
      </c>
      <c r="BR250" s="336">
        <f t="shared" si="247"/>
        <v>479.7693953962891</v>
      </c>
      <c r="BS250" s="336">
        <f t="shared" si="247"/>
        <v>766.80616917252155</v>
      </c>
      <c r="BT250" s="336">
        <f t="shared" si="247"/>
        <v>307.69992748707085</v>
      </c>
      <c r="BU250" s="336">
        <f t="shared" ref="BU250:CZ250" si="248">+SUM(BU129,BU140,BU147)</f>
        <v>646.89048838853284</v>
      </c>
      <c r="BV250" s="336">
        <f t="shared" si="248"/>
        <v>811.09246830723328</v>
      </c>
      <c r="BW250" s="336">
        <f t="shared" si="248"/>
        <v>496.0098078789099</v>
      </c>
      <c r="BX250" s="336">
        <f>+SUM(BX129,BX140,BX147)</f>
        <v>214.34286124857158</v>
      </c>
      <c r="BY250" s="336">
        <f t="shared" si="248"/>
        <v>845.36106617818791</v>
      </c>
      <c r="BZ250" s="336">
        <f t="shared" ca="1" si="248"/>
        <v>2410.093058515713</v>
      </c>
      <c r="CA250" s="336">
        <f t="shared" ca="1" si="248"/>
        <v>2176.100762773825</v>
      </c>
      <c r="CB250" s="336">
        <f t="shared" ca="1" si="248"/>
        <v>2176.100762773825</v>
      </c>
      <c r="CC250" s="336">
        <f t="shared" ca="1" si="248"/>
        <v>2176.100762773825</v>
      </c>
      <c r="CD250" s="336">
        <f t="shared" ca="1" si="248"/>
        <v>2176.100762773825</v>
      </c>
      <c r="CE250" s="336">
        <f t="shared" ca="1" si="248"/>
        <v>2176.100762773825</v>
      </c>
      <c r="CF250" s="336">
        <f t="shared" ca="1" si="248"/>
        <v>2508.5653161801706</v>
      </c>
      <c r="CG250" s="336">
        <f t="shared" ca="1" si="248"/>
        <v>2566.3098649646477</v>
      </c>
      <c r="CH250" s="336">
        <f t="shared" ca="1" si="248"/>
        <v>2566.3098649646477</v>
      </c>
      <c r="CI250" s="336">
        <f t="shared" ca="1" si="248"/>
        <v>2566.3098649646477</v>
      </c>
      <c r="CJ250" s="336">
        <f t="shared" ca="1" si="248"/>
        <v>2566.3098649646477</v>
      </c>
      <c r="CK250" s="336">
        <f t="shared" ca="1" si="248"/>
        <v>2566.3098649646477</v>
      </c>
      <c r="CL250" s="336">
        <f t="shared" ca="1" si="248"/>
        <v>2566.3098649646477</v>
      </c>
      <c r="CM250" s="336">
        <f t="shared" ca="1" si="248"/>
        <v>2566.3098649646477</v>
      </c>
      <c r="CN250" s="336">
        <f t="shared" ca="1" si="248"/>
        <v>2566.3098649646477</v>
      </c>
      <c r="CO250" s="336">
        <f t="shared" ca="1" si="248"/>
        <v>2566.3098649646477</v>
      </c>
      <c r="CP250" s="336">
        <f t="shared" ca="1" si="248"/>
        <v>2566.3098649646477</v>
      </c>
      <c r="CQ250" s="336">
        <f t="shared" ca="1" si="248"/>
        <v>2566.3098649646477</v>
      </c>
      <c r="CR250" s="336">
        <f t="shared" ca="1" si="248"/>
        <v>2566.3098649646477</v>
      </c>
      <c r="CS250" s="336">
        <f t="shared" ca="1" si="248"/>
        <v>2566.3098649646477</v>
      </c>
      <c r="CT250" s="336">
        <f t="shared" ca="1" si="248"/>
        <v>2566.3098649646477</v>
      </c>
      <c r="CU250" s="336">
        <f t="shared" ca="1" si="248"/>
        <v>2566.3098649646477</v>
      </c>
      <c r="CV250" s="336">
        <f t="shared" ca="1" si="248"/>
        <v>2566.3098649646477</v>
      </c>
      <c r="CW250" s="336">
        <f t="shared" ca="1" si="248"/>
        <v>2566.3098649646477</v>
      </c>
      <c r="CX250" s="336">
        <f t="shared" ca="1" si="248"/>
        <v>2566.3098649646477</v>
      </c>
      <c r="CY250" s="336">
        <f t="shared" ca="1" si="248"/>
        <v>2566.3098649646477</v>
      </c>
      <c r="CZ250" s="336">
        <f t="shared" ca="1" si="248"/>
        <v>2566.3098649646477</v>
      </c>
      <c r="DA250" s="336">
        <f t="shared" ref="DA250:DY250" ca="1" si="249">+SUM(DA129,DA140,DA147)</f>
        <v>2566.3098649646477</v>
      </c>
      <c r="DB250" s="336">
        <f t="shared" ca="1" si="249"/>
        <v>2566.3098649646477</v>
      </c>
      <c r="DC250" s="336">
        <f t="shared" ca="1" si="249"/>
        <v>2566.3098649646477</v>
      </c>
      <c r="DD250" s="336">
        <f t="shared" ca="1" si="249"/>
        <v>2566.3098649646477</v>
      </c>
      <c r="DE250" s="336">
        <f t="shared" ca="1" si="249"/>
        <v>2566.3098649646477</v>
      </c>
      <c r="DF250" s="336">
        <f t="shared" ca="1" si="249"/>
        <v>2566.3098649646477</v>
      </c>
      <c r="DG250" s="336">
        <f t="shared" ca="1" si="249"/>
        <v>2566.3098649646477</v>
      </c>
      <c r="DH250" s="336">
        <f t="shared" ca="1" si="249"/>
        <v>2566.3098649646477</v>
      </c>
      <c r="DI250" s="336">
        <f t="shared" ca="1" si="249"/>
        <v>2566.3098649646477</v>
      </c>
      <c r="DJ250" s="336">
        <f t="shared" ca="1" si="249"/>
        <v>2566.3098649646477</v>
      </c>
      <c r="DK250" s="336">
        <f t="shared" ca="1" si="249"/>
        <v>2566.3098649646477</v>
      </c>
      <c r="DL250" s="336">
        <f t="shared" ca="1" si="249"/>
        <v>2566.3098649646477</v>
      </c>
      <c r="DM250" s="336">
        <f t="shared" ca="1" si="249"/>
        <v>2566.3098649646477</v>
      </c>
      <c r="DN250" s="336">
        <f t="shared" ca="1" si="249"/>
        <v>2566.3098649646477</v>
      </c>
      <c r="DO250" s="336">
        <f t="shared" ca="1" si="249"/>
        <v>2566.3098649646477</v>
      </c>
      <c r="DP250" s="336">
        <f t="shared" ca="1" si="249"/>
        <v>2566.3098649646477</v>
      </c>
      <c r="DQ250" s="336">
        <f t="shared" ca="1" si="249"/>
        <v>2566.3098649646477</v>
      </c>
      <c r="DR250" s="336">
        <f t="shared" ca="1" si="249"/>
        <v>2566.3098649646477</v>
      </c>
      <c r="DS250" s="336">
        <f t="shared" ca="1" si="249"/>
        <v>2566.3098649646477</v>
      </c>
      <c r="DT250" s="336">
        <f t="shared" ca="1" si="249"/>
        <v>2566.3098649646477</v>
      </c>
      <c r="DU250" s="336">
        <f t="shared" ca="1" si="249"/>
        <v>2566.3098649646477</v>
      </c>
      <c r="DV250" s="336">
        <f t="shared" ca="1" si="249"/>
        <v>2566.3098649646477</v>
      </c>
      <c r="DW250" s="336">
        <f t="shared" ca="1" si="249"/>
        <v>2566.3098649646477</v>
      </c>
      <c r="DX250" s="336">
        <f t="shared" ca="1" si="249"/>
        <v>2566.3098649646477</v>
      </c>
      <c r="DY250" s="336">
        <f t="shared" ca="1" si="249"/>
        <v>2566.3098649646477</v>
      </c>
    </row>
    <row r="251" spans="1:129" s="3" customFormat="1" ht="11.7" customHeight="1" outlineLevel="1" thickTop="1" x14ac:dyDescent="0.3">
      <c r="B251" s="198" t="s">
        <v>119</v>
      </c>
      <c r="C251" s="198"/>
      <c r="D251" s="162"/>
      <c r="E251" s="162"/>
      <c r="F251" s="162"/>
      <c r="G251" s="74"/>
      <c r="H251" s="74"/>
      <c r="I251" s="327">
        <f t="shared" ref="I251:AN251" si="250">+IFERROR(I$250/I$129,0)</f>
        <v>0</v>
      </c>
      <c r="J251" s="327">
        <f t="shared" si="250"/>
        <v>0</v>
      </c>
      <c r="K251" s="327">
        <f t="shared" si="250"/>
        <v>0</v>
      </c>
      <c r="L251" s="327">
        <f t="shared" si="250"/>
        <v>0</v>
      </c>
      <c r="M251" s="327">
        <f t="shared" si="250"/>
        <v>0</v>
      </c>
      <c r="N251" s="327">
        <f t="shared" si="250"/>
        <v>0</v>
      </c>
      <c r="O251" s="327">
        <f t="shared" si="250"/>
        <v>0</v>
      </c>
      <c r="P251" s="327">
        <f t="shared" si="250"/>
        <v>0</v>
      </c>
      <c r="Q251" s="327">
        <f t="shared" si="250"/>
        <v>0</v>
      </c>
      <c r="R251" s="327">
        <f t="shared" si="250"/>
        <v>0</v>
      </c>
      <c r="S251" s="327">
        <f t="shared" si="250"/>
        <v>0</v>
      </c>
      <c r="T251" s="327">
        <f t="shared" si="250"/>
        <v>0</v>
      </c>
      <c r="U251" s="327">
        <f t="shared" si="250"/>
        <v>0</v>
      </c>
      <c r="V251" s="327">
        <f t="shared" si="250"/>
        <v>0</v>
      </c>
      <c r="W251" s="327">
        <f t="shared" si="250"/>
        <v>0</v>
      </c>
      <c r="X251" s="327">
        <f t="shared" si="250"/>
        <v>0</v>
      </c>
      <c r="Y251" s="327">
        <f t="shared" si="250"/>
        <v>0</v>
      </c>
      <c r="Z251" s="327">
        <f t="shared" si="250"/>
        <v>0</v>
      </c>
      <c r="AA251" s="327">
        <f t="shared" si="250"/>
        <v>0</v>
      </c>
      <c r="AB251" s="327">
        <f t="shared" si="250"/>
        <v>0</v>
      </c>
      <c r="AC251" s="327">
        <f t="shared" si="250"/>
        <v>0</v>
      </c>
      <c r="AD251" s="327">
        <f t="shared" si="250"/>
        <v>0</v>
      </c>
      <c r="AE251" s="327">
        <f t="shared" si="250"/>
        <v>0</v>
      </c>
      <c r="AF251" s="327">
        <f t="shared" si="250"/>
        <v>0</v>
      </c>
      <c r="AG251" s="327">
        <f t="shared" si="250"/>
        <v>0</v>
      </c>
      <c r="AH251" s="327">
        <f t="shared" si="250"/>
        <v>0</v>
      </c>
      <c r="AI251" s="327">
        <f t="shared" si="250"/>
        <v>0</v>
      </c>
      <c r="AJ251" s="327">
        <f t="shared" si="250"/>
        <v>0</v>
      </c>
      <c r="AK251" s="327">
        <f t="shared" si="250"/>
        <v>0</v>
      </c>
      <c r="AL251" s="327">
        <f t="shared" si="250"/>
        <v>0</v>
      </c>
      <c r="AM251" s="327">
        <f t="shared" si="250"/>
        <v>0</v>
      </c>
      <c r="AN251" s="327">
        <f t="shared" si="250"/>
        <v>0</v>
      </c>
      <c r="AO251" s="327">
        <f t="shared" ref="AO251:BT251" si="251">+IFERROR(AO$250/AO$129,0)</f>
        <v>0</v>
      </c>
      <c r="AP251" s="327">
        <f t="shared" si="251"/>
        <v>0</v>
      </c>
      <c r="AQ251" s="327">
        <f t="shared" si="251"/>
        <v>0</v>
      </c>
      <c r="AR251" s="327">
        <f t="shared" si="251"/>
        <v>0</v>
      </c>
      <c r="AS251" s="327">
        <f t="shared" si="251"/>
        <v>0</v>
      </c>
      <c r="AT251" s="327">
        <f t="shared" si="251"/>
        <v>0</v>
      </c>
      <c r="AU251" s="327">
        <f t="shared" si="251"/>
        <v>0</v>
      </c>
      <c r="AV251" s="327">
        <f t="shared" si="251"/>
        <v>0</v>
      </c>
      <c r="AW251" s="327">
        <f t="shared" si="251"/>
        <v>0</v>
      </c>
      <c r="AX251" s="327">
        <f t="shared" si="251"/>
        <v>0</v>
      </c>
      <c r="AY251" s="327">
        <f t="shared" si="251"/>
        <v>0</v>
      </c>
      <c r="AZ251" s="327">
        <f t="shared" si="251"/>
        <v>0</v>
      </c>
      <c r="BA251" s="327">
        <f t="shared" si="251"/>
        <v>0</v>
      </c>
      <c r="BB251" s="327">
        <f t="shared" si="251"/>
        <v>0</v>
      </c>
      <c r="BC251" s="327">
        <f t="shared" si="251"/>
        <v>0</v>
      </c>
      <c r="BD251" s="327">
        <f t="shared" si="251"/>
        <v>0</v>
      </c>
      <c r="BE251" s="327">
        <f t="shared" si="251"/>
        <v>0</v>
      </c>
      <c r="BF251" s="327">
        <f t="shared" si="251"/>
        <v>0</v>
      </c>
      <c r="BG251" s="327">
        <f t="shared" si="251"/>
        <v>0</v>
      </c>
      <c r="BH251" s="327">
        <f t="shared" si="251"/>
        <v>0</v>
      </c>
      <c r="BI251" s="327">
        <f t="shared" si="251"/>
        <v>-7.0654407909936285</v>
      </c>
      <c r="BJ251" s="327">
        <f t="shared" si="251"/>
        <v>-5.3381693797195338</v>
      </c>
      <c r="BK251" s="327">
        <f t="shared" si="251"/>
        <v>-0.99620253711871676</v>
      </c>
      <c r="BL251" s="327">
        <f t="shared" si="251"/>
        <v>0.19712060371898679</v>
      </c>
      <c r="BM251" s="327">
        <f t="shared" si="251"/>
        <v>-0.79235881400396546</v>
      </c>
      <c r="BN251" s="327">
        <f t="shared" si="251"/>
        <v>-4.5962224018668302E-3</v>
      </c>
      <c r="BO251" s="327">
        <f t="shared" si="251"/>
        <v>-6.7582164174193687E-2</v>
      </c>
      <c r="BP251" s="327">
        <f t="shared" si="251"/>
        <v>0.42711846263159858</v>
      </c>
      <c r="BQ251" s="327">
        <f t="shared" si="251"/>
        <v>0.35648431256207075</v>
      </c>
      <c r="BR251" s="327">
        <f t="shared" si="251"/>
        <v>0.2473974605088847</v>
      </c>
      <c r="BS251" s="327">
        <f t="shared" si="251"/>
        <v>0.35680748079930608</v>
      </c>
      <c r="BT251" s="327">
        <f t="shared" si="251"/>
        <v>0.16962961406805016</v>
      </c>
      <c r="BU251" s="327">
        <f t="shared" ref="BU251:CZ251" si="252">+IFERROR(BU$250/BU$129,0)</f>
        <v>0.35804013899984127</v>
      </c>
      <c r="BV251" s="327">
        <f t="shared" si="252"/>
        <v>0.4613177611116614</v>
      </c>
      <c r="BW251" s="327">
        <f>+IFERROR(BW$250/BW$129,0)</f>
        <v>0.23222221789397623</v>
      </c>
      <c r="BX251" s="327">
        <f>+IFERROR(BX$250/BX$129,0)</f>
        <v>0.10328569941102007</v>
      </c>
      <c r="BY251" s="327">
        <f t="shared" si="252"/>
        <v>0.47245366486011464</v>
      </c>
      <c r="BZ251" s="327">
        <f t="shared" ca="1" si="252"/>
        <v>0.69308623331087837</v>
      </c>
      <c r="CA251" s="327">
        <f t="shared" ca="1" si="252"/>
        <v>0.67489167875407585</v>
      </c>
      <c r="CB251" s="327">
        <f t="shared" ca="1" si="252"/>
        <v>0.67489167875407585</v>
      </c>
      <c r="CC251" s="327">
        <f t="shared" ca="1" si="252"/>
        <v>0.67489167875407585</v>
      </c>
      <c r="CD251" s="327">
        <f t="shared" ca="1" si="252"/>
        <v>0.67489167875407585</v>
      </c>
      <c r="CE251" s="327">
        <f t="shared" ca="1" si="252"/>
        <v>0.67489167875407585</v>
      </c>
      <c r="CF251" s="327">
        <f t="shared" ca="1" si="252"/>
        <v>0.6999752295919518</v>
      </c>
      <c r="CG251" s="327">
        <f t="shared" ca="1" si="252"/>
        <v>0.70382785642217949</v>
      </c>
      <c r="CH251" s="327">
        <f t="shared" ca="1" si="252"/>
        <v>0.70382785642217949</v>
      </c>
      <c r="CI251" s="327">
        <f t="shared" ca="1" si="252"/>
        <v>0.70382785642217949</v>
      </c>
      <c r="CJ251" s="327">
        <f t="shared" ca="1" si="252"/>
        <v>0.70382785642217949</v>
      </c>
      <c r="CK251" s="327">
        <f t="shared" ca="1" si="252"/>
        <v>0.70382785642217949</v>
      </c>
      <c r="CL251" s="327">
        <f t="shared" ca="1" si="252"/>
        <v>0.70382785642217949</v>
      </c>
      <c r="CM251" s="327">
        <f t="shared" ca="1" si="252"/>
        <v>0.70382785642217949</v>
      </c>
      <c r="CN251" s="327">
        <f t="shared" ca="1" si="252"/>
        <v>0.70382785642217949</v>
      </c>
      <c r="CO251" s="327">
        <f t="shared" ca="1" si="252"/>
        <v>0.70382785642217949</v>
      </c>
      <c r="CP251" s="327">
        <f t="shared" ca="1" si="252"/>
        <v>0.70382785642217949</v>
      </c>
      <c r="CQ251" s="327">
        <f t="shared" ca="1" si="252"/>
        <v>0.70382785642217949</v>
      </c>
      <c r="CR251" s="327">
        <f t="shared" ca="1" si="252"/>
        <v>0.70382785642217949</v>
      </c>
      <c r="CS251" s="327">
        <f t="shared" ca="1" si="252"/>
        <v>0.70382785642217949</v>
      </c>
      <c r="CT251" s="327">
        <f t="shared" ca="1" si="252"/>
        <v>0.70382785642217949</v>
      </c>
      <c r="CU251" s="327">
        <f t="shared" ca="1" si="252"/>
        <v>0.70382785642217949</v>
      </c>
      <c r="CV251" s="327">
        <f t="shared" ca="1" si="252"/>
        <v>0.70382785642217949</v>
      </c>
      <c r="CW251" s="327">
        <f t="shared" ca="1" si="252"/>
        <v>0.70382785642217949</v>
      </c>
      <c r="CX251" s="327">
        <f t="shared" ca="1" si="252"/>
        <v>0.70382785642217949</v>
      </c>
      <c r="CY251" s="327">
        <f t="shared" ca="1" si="252"/>
        <v>0.70382785642217949</v>
      </c>
      <c r="CZ251" s="327">
        <f t="shared" ca="1" si="252"/>
        <v>0.70382785642217949</v>
      </c>
      <c r="DA251" s="327">
        <f t="shared" ref="DA251:DY251" ca="1" si="253">+IFERROR(DA$250/DA$129,0)</f>
        <v>0.70382785642217949</v>
      </c>
      <c r="DB251" s="327">
        <f t="shared" ca="1" si="253"/>
        <v>0.70382785642217949</v>
      </c>
      <c r="DC251" s="327">
        <f t="shared" ca="1" si="253"/>
        <v>0.70382785642217949</v>
      </c>
      <c r="DD251" s="327">
        <f t="shared" ca="1" si="253"/>
        <v>0.70382785642217949</v>
      </c>
      <c r="DE251" s="327">
        <f t="shared" ca="1" si="253"/>
        <v>0.70382785642217949</v>
      </c>
      <c r="DF251" s="327">
        <f t="shared" ca="1" si="253"/>
        <v>0.70382785642217949</v>
      </c>
      <c r="DG251" s="327">
        <f t="shared" ca="1" si="253"/>
        <v>0.70382785642217949</v>
      </c>
      <c r="DH251" s="327">
        <f t="shared" ca="1" si="253"/>
        <v>0.70382785642217949</v>
      </c>
      <c r="DI251" s="327">
        <f t="shared" ca="1" si="253"/>
        <v>0.70382785642217949</v>
      </c>
      <c r="DJ251" s="327">
        <f t="shared" ca="1" si="253"/>
        <v>0.70382785642217949</v>
      </c>
      <c r="DK251" s="327">
        <f t="shared" ca="1" si="253"/>
        <v>0.70382785642217949</v>
      </c>
      <c r="DL251" s="327">
        <f t="shared" ca="1" si="253"/>
        <v>0.70382785642217949</v>
      </c>
      <c r="DM251" s="327">
        <f t="shared" ca="1" si="253"/>
        <v>0.70382785642217949</v>
      </c>
      <c r="DN251" s="327">
        <f t="shared" ca="1" si="253"/>
        <v>0.70382785642217949</v>
      </c>
      <c r="DO251" s="327">
        <f t="shared" ca="1" si="253"/>
        <v>0.70382785642217949</v>
      </c>
      <c r="DP251" s="327">
        <f t="shared" ca="1" si="253"/>
        <v>0.70382785642217949</v>
      </c>
      <c r="DQ251" s="327">
        <f t="shared" ca="1" si="253"/>
        <v>0.70382785642217949</v>
      </c>
      <c r="DR251" s="327">
        <f t="shared" ca="1" si="253"/>
        <v>0.70382785642217949</v>
      </c>
      <c r="DS251" s="327">
        <f t="shared" ca="1" si="253"/>
        <v>0.70382785642217949</v>
      </c>
      <c r="DT251" s="327">
        <f t="shared" ca="1" si="253"/>
        <v>0.70382785642217949</v>
      </c>
      <c r="DU251" s="327">
        <f t="shared" ca="1" si="253"/>
        <v>0.70382785642217949</v>
      </c>
      <c r="DV251" s="327">
        <f t="shared" ca="1" si="253"/>
        <v>0.70382785642217949</v>
      </c>
      <c r="DW251" s="327">
        <f t="shared" ca="1" si="253"/>
        <v>0.70382785642217949</v>
      </c>
      <c r="DX251" s="327">
        <f t="shared" ca="1" si="253"/>
        <v>0.70382785642217949</v>
      </c>
      <c r="DY251" s="327">
        <f t="shared" ca="1" si="253"/>
        <v>0.70382785642217949</v>
      </c>
    </row>
    <row r="252" spans="1:129" s="3" customFormat="1" ht="11.7" customHeight="1" outlineLevel="1" x14ac:dyDescent="0.3">
      <c r="B252" s="230"/>
      <c r="C252" s="230"/>
      <c r="G252" s="127"/>
      <c r="H252" s="127"/>
      <c r="I252" s="111"/>
      <c r="J252" s="111"/>
      <c r="K252" s="111"/>
      <c r="L252" s="111"/>
      <c r="M252" s="111"/>
      <c r="N252" s="111"/>
      <c r="O252" s="111"/>
      <c r="P252" s="111"/>
      <c r="Q252" s="111"/>
      <c r="R252" s="111"/>
      <c r="S252" s="111"/>
      <c r="T252" s="111"/>
      <c r="U252" s="111"/>
      <c r="V252" s="111"/>
      <c r="W252" s="111"/>
      <c r="X252" s="111"/>
      <c r="Y252" s="111"/>
      <c r="Z252" s="111"/>
      <c r="AA252" s="111"/>
      <c r="AB252" s="111"/>
      <c r="AC252" s="111"/>
      <c r="AD252" s="111"/>
      <c r="AE252" s="111"/>
      <c r="AF252" s="111"/>
      <c r="AG252" s="111"/>
      <c r="AH252" s="111"/>
      <c r="AI252" s="111"/>
      <c r="AJ252" s="111"/>
      <c r="AK252" s="111"/>
      <c r="AL252" s="111"/>
      <c r="AM252" s="111"/>
      <c r="AN252" s="111"/>
      <c r="AO252" s="111"/>
      <c r="AP252" s="111"/>
      <c r="AQ252" s="111"/>
      <c r="AR252" s="111"/>
      <c r="AS252" s="111"/>
      <c r="AT252" s="111"/>
      <c r="AU252" s="111"/>
      <c r="AV252" s="111"/>
      <c r="AW252" s="111"/>
      <c r="AX252" s="111"/>
      <c r="AY252" s="111"/>
      <c r="AZ252" s="111"/>
      <c r="BA252" s="111"/>
      <c r="BB252" s="111"/>
      <c r="BC252" s="111"/>
      <c r="BD252" s="111"/>
      <c r="BE252" s="111"/>
      <c r="BF252" s="111"/>
      <c r="BG252" s="111"/>
      <c r="BH252" s="111"/>
      <c r="BI252" s="111"/>
      <c r="BJ252" s="111"/>
      <c r="BK252" s="111"/>
      <c r="BL252" s="111"/>
      <c r="BM252" s="111"/>
      <c r="BN252" s="111"/>
      <c r="BO252" s="111"/>
      <c r="BP252" s="111"/>
      <c r="BQ252" s="111"/>
      <c r="BR252" s="111"/>
      <c r="BS252" s="111"/>
      <c r="BT252" s="111"/>
      <c r="BU252" s="111"/>
      <c r="BV252" s="111"/>
      <c r="BW252" s="14"/>
      <c r="BX252" s="111"/>
      <c r="BY252" s="111"/>
      <c r="BZ252" s="111"/>
      <c r="CA252" s="111"/>
      <c r="CB252" s="111"/>
      <c r="CC252" s="111"/>
      <c r="CD252" s="111"/>
      <c r="CE252" s="111"/>
      <c r="CF252" s="111"/>
      <c r="CG252" s="111"/>
      <c r="CH252" s="111"/>
      <c r="CI252" s="111"/>
      <c r="CJ252" s="111"/>
      <c r="CK252" s="111"/>
      <c r="CL252" s="111"/>
      <c r="CM252" s="111"/>
      <c r="CN252" s="111"/>
      <c r="CO252" s="111"/>
      <c r="CP252" s="111"/>
      <c r="CQ252" s="111"/>
      <c r="CR252" s="111"/>
      <c r="CS252" s="111"/>
      <c r="CT252" s="111"/>
      <c r="CU252" s="111"/>
      <c r="CV252" s="111"/>
      <c r="CW252" s="111"/>
      <c r="CX252" s="111"/>
      <c r="CY252" s="111"/>
      <c r="CZ252" s="111"/>
      <c r="DA252" s="111"/>
      <c r="DB252" s="111"/>
      <c r="DC252" s="111"/>
      <c r="DD252" s="111"/>
      <c r="DE252" s="111"/>
      <c r="DF252" s="111"/>
      <c r="DG252" s="111"/>
      <c r="DH252" s="111"/>
      <c r="DI252" s="111"/>
      <c r="DJ252" s="111"/>
      <c r="DK252" s="111"/>
      <c r="DL252" s="111"/>
      <c r="DM252" s="111"/>
      <c r="DN252" s="111"/>
      <c r="DO252" s="111"/>
      <c r="DP252" s="111"/>
      <c r="DQ252" s="111"/>
      <c r="DR252" s="111"/>
      <c r="DS252" s="111"/>
      <c r="DT252" s="111"/>
      <c r="DU252" s="111"/>
      <c r="DV252" s="111"/>
      <c r="DW252" s="111"/>
      <c r="DX252" s="111"/>
      <c r="DY252" s="111"/>
    </row>
    <row r="253" spans="1:129" s="3" customFormat="1" ht="11.7" customHeight="1" outlineLevel="1" x14ac:dyDescent="0.3">
      <c r="B253" s="230"/>
      <c r="C253" s="230"/>
      <c r="G253" s="127"/>
      <c r="H253" s="127"/>
      <c r="I253" s="111"/>
      <c r="J253" s="111"/>
      <c r="K253" s="111"/>
      <c r="L253" s="111"/>
      <c r="M253" s="111"/>
      <c r="N253" s="111"/>
      <c r="O253" s="111"/>
      <c r="P253" s="111"/>
      <c r="Q253" s="111"/>
      <c r="R253" s="111"/>
      <c r="S253" s="111"/>
      <c r="T253" s="111"/>
      <c r="U253" s="111"/>
      <c r="V253" s="111"/>
      <c r="W253" s="111"/>
      <c r="X253" s="111"/>
      <c r="Y253" s="111"/>
      <c r="Z253" s="111"/>
      <c r="AA253" s="111"/>
      <c r="AB253" s="111"/>
      <c r="AC253" s="111"/>
      <c r="AD253" s="111"/>
      <c r="AE253" s="111"/>
      <c r="AF253" s="111"/>
      <c r="AG253" s="111"/>
      <c r="AH253" s="111"/>
      <c r="AI253" s="111"/>
      <c r="AJ253" s="111"/>
      <c r="AK253" s="111"/>
      <c r="AL253" s="111"/>
      <c r="AM253" s="111"/>
      <c r="AN253" s="111"/>
      <c r="AO253" s="111"/>
      <c r="AP253" s="111"/>
      <c r="AQ253" s="111"/>
      <c r="AR253" s="111"/>
      <c r="AS253" s="111"/>
      <c r="AT253" s="111"/>
      <c r="AU253" s="111"/>
      <c r="AV253" s="111"/>
      <c r="AW253" s="111"/>
      <c r="AX253" s="111"/>
      <c r="AY253" s="111"/>
      <c r="AZ253" s="111"/>
      <c r="BA253" s="111"/>
      <c r="BB253" s="111"/>
      <c r="BC253" s="111"/>
      <c r="BD253" s="111"/>
      <c r="BE253" s="111"/>
      <c r="BF253" s="111"/>
      <c r="BG253" s="111"/>
      <c r="BH253" s="111"/>
      <c r="BI253" s="111"/>
      <c r="BJ253" s="111"/>
      <c r="BK253" s="111"/>
      <c r="BL253" s="111"/>
      <c r="BM253" s="111"/>
      <c r="BN253" s="111"/>
      <c r="BO253" s="111"/>
      <c r="BP253" s="111"/>
      <c r="BQ253" s="111"/>
      <c r="BR253" s="111"/>
      <c r="BS253" s="111"/>
      <c r="BT253" s="111"/>
      <c r="BU253" s="111"/>
      <c r="BV253" s="111"/>
      <c r="BW253" s="111"/>
      <c r="BX253" s="111"/>
      <c r="BY253" s="111"/>
      <c r="BZ253" s="111"/>
      <c r="CA253" s="111"/>
      <c r="CB253" s="111"/>
      <c r="CC253" s="111"/>
      <c r="CD253" s="111"/>
      <c r="CE253" s="111"/>
      <c r="CF253" s="111"/>
      <c r="CG253" s="111"/>
      <c r="CH253" s="111"/>
      <c r="CI253" s="111"/>
      <c r="CJ253" s="111"/>
      <c r="CK253" s="111"/>
      <c r="CL253" s="111"/>
      <c r="CM253" s="111"/>
      <c r="CN253" s="111"/>
      <c r="CO253" s="111"/>
      <c r="CP253" s="111"/>
      <c r="CQ253" s="111"/>
      <c r="CR253" s="111"/>
      <c r="CS253" s="111"/>
      <c r="CT253" s="111"/>
      <c r="CU253" s="111"/>
      <c r="CV253" s="111"/>
      <c r="CW253" s="111"/>
      <c r="CX253" s="111"/>
      <c r="CY253" s="111"/>
      <c r="CZ253" s="111"/>
      <c r="DA253" s="111"/>
      <c r="DB253" s="111"/>
      <c r="DC253" s="111"/>
      <c r="DD253" s="111"/>
      <c r="DE253" s="111"/>
      <c r="DF253" s="111"/>
      <c r="DG253" s="111"/>
      <c r="DH253" s="111"/>
      <c r="DI253" s="111"/>
      <c r="DJ253" s="111"/>
      <c r="DK253" s="111"/>
      <c r="DL253" s="111"/>
      <c r="DM253" s="111"/>
      <c r="DN253" s="111"/>
      <c r="DO253" s="111"/>
      <c r="DP253" s="111"/>
      <c r="DQ253" s="111"/>
      <c r="DR253" s="111"/>
      <c r="DS253" s="111"/>
      <c r="DT253" s="111"/>
      <c r="DU253" s="111"/>
      <c r="DV253" s="111"/>
      <c r="DW253" s="111"/>
      <c r="DX253" s="111"/>
      <c r="DY253" s="111"/>
    </row>
    <row r="254" spans="1:129" s="3" customFormat="1" ht="11.7" customHeight="1" x14ac:dyDescent="0.3">
      <c r="A254" s="13"/>
      <c r="B254" s="340" t="s">
        <v>462</v>
      </c>
      <c r="C254" s="340"/>
      <c r="D254" s="339"/>
      <c r="E254" s="339"/>
      <c r="F254" s="339"/>
      <c r="G254" s="339"/>
      <c r="H254" s="339"/>
      <c r="I254" s="339"/>
      <c r="J254" s="339"/>
      <c r="K254" s="339"/>
      <c r="L254" s="339"/>
      <c r="M254" s="339"/>
      <c r="N254" s="339"/>
      <c r="O254" s="339"/>
      <c r="P254" s="339"/>
      <c r="Q254" s="339"/>
      <c r="R254" s="339"/>
      <c r="S254" s="339"/>
      <c r="T254" s="339"/>
      <c r="U254" s="339"/>
      <c r="V254" s="339"/>
      <c r="W254" s="339"/>
      <c r="X254" s="339"/>
      <c r="Y254" s="339"/>
      <c r="Z254" s="339"/>
      <c r="AA254" s="339"/>
      <c r="AB254" s="339"/>
      <c r="AC254" s="339"/>
      <c r="AD254" s="339"/>
      <c r="AE254" s="339"/>
      <c r="AF254" s="339"/>
      <c r="AG254" s="339"/>
      <c r="AH254" s="339"/>
      <c r="AI254" s="339"/>
      <c r="AJ254" s="339"/>
      <c r="AK254" s="339"/>
      <c r="AL254" s="339"/>
      <c r="AM254" s="339"/>
      <c r="AN254" s="339"/>
      <c r="AO254" s="339"/>
      <c r="AP254" s="339"/>
      <c r="AQ254" s="339"/>
      <c r="AR254" s="339"/>
      <c r="AS254" s="339"/>
      <c r="AT254" s="339"/>
      <c r="AU254" s="339"/>
      <c r="AV254" s="339"/>
      <c r="AW254" s="339"/>
      <c r="AX254" s="339"/>
      <c r="AY254" s="339"/>
      <c r="AZ254" s="339"/>
      <c r="BA254" s="339"/>
      <c r="BB254" s="339"/>
      <c r="BC254" s="339"/>
      <c r="BD254" s="339"/>
      <c r="BE254" s="339"/>
      <c r="BF254" s="339"/>
      <c r="BG254" s="339"/>
      <c r="BH254" s="339"/>
      <c r="BI254" s="339"/>
      <c r="BJ254" s="339"/>
      <c r="BK254" s="339"/>
      <c r="BL254" s="339"/>
      <c r="BM254" s="339"/>
      <c r="BN254" s="339"/>
      <c r="BO254" s="339"/>
      <c r="BP254" s="339"/>
      <c r="BQ254" s="339"/>
      <c r="BR254" s="339"/>
      <c r="BS254" s="339"/>
      <c r="BT254" s="339"/>
      <c r="BU254" s="339"/>
      <c r="BV254" s="339"/>
      <c r="BW254" s="339"/>
      <c r="BX254" s="339"/>
      <c r="BY254" s="339"/>
      <c r="BZ254" s="339"/>
      <c r="CA254" s="339"/>
      <c r="CB254" s="339"/>
      <c r="CC254" s="339"/>
      <c r="CD254" s="339"/>
      <c r="CE254" s="339"/>
      <c r="CF254" s="339"/>
      <c r="CG254" s="339"/>
      <c r="CH254" s="339"/>
      <c r="CI254" s="339"/>
      <c r="CJ254" s="339"/>
      <c r="CK254" s="339"/>
      <c r="CL254" s="339"/>
      <c r="CM254" s="339"/>
      <c r="CN254" s="339"/>
      <c r="CO254" s="339"/>
      <c r="CP254" s="339"/>
      <c r="CQ254" s="339"/>
      <c r="CR254" s="339"/>
      <c r="CS254" s="339"/>
      <c r="CT254" s="339"/>
      <c r="CU254" s="339"/>
      <c r="CV254" s="339"/>
      <c r="CW254" s="339"/>
      <c r="CX254" s="339"/>
      <c r="CY254" s="339"/>
      <c r="CZ254" s="339"/>
      <c r="DA254" s="339"/>
      <c r="DB254" s="339"/>
      <c r="DC254" s="339"/>
      <c r="DD254" s="339"/>
      <c r="DE254" s="339"/>
      <c r="DF254" s="339"/>
      <c r="DG254" s="339"/>
      <c r="DH254" s="339"/>
      <c r="DI254" s="339"/>
      <c r="DJ254" s="339"/>
      <c r="DK254" s="339"/>
      <c r="DL254" s="339"/>
      <c r="DM254" s="339"/>
      <c r="DN254" s="339"/>
      <c r="DO254" s="339"/>
      <c r="DP254" s="339"/>
      <c r="DQ254" s="339"/>
      <c r="DR254" s="339"/>
      <c r="DS254" s="339"/>
      <c r="DT254" s="339"/>
      <c r="DU254" s="339"/>
      <c r="DV254" s="339"/>
      <c r="DW254" s="339"/>
      <c r="DX254" s="339"/>
      <c r="DY254" s="339"/>
    </row>
    <row r="255" spans="1:129" s="3" customFormat="1" ht="11.7" customHeight="1" outlineLevel="1" x14ac:dyDescent="0.3">
      <c r="A255" s="83"/>
      <c r="B255" s="125"/>
      <c r="C255" s="125"/>
      <c r="G255" s="127"/>
      <c r="H255" s="127"/>
      <c r="I255" s="111"/>
      <c r="J255" s="111"/>
      <c r="K255" s="111"/>
      <c r="L255" s="111"/>
      <c r="M255" s="111"/>
      <c r="N255" s="111"/>
      <c r="O255" s="111"/>
      <c r="P255" s="111"/>
      <c r="Q255" s="111"/>
      <c r="R255" s="111"/>
      <c r="S255" s="111"/>
      <c r="T255" s="111"/>
      <c r="U255" s="111"/>
      <c r="V255" s="111"/>
      <c r="W255" s="111"/>
      <c r="X255" s="111"/>
      <c r="Y255" s="111"/>
      <c r="Z255" s="111"/>
      <c r="AA255" s="111"/>
      <c r="AB255" s="111"/>
      <c r="AC255" s="111"/>
      <c r="AD255" s="111"/>
      <c r="AE255" s="111"/>
      <c r="AF255" s="111"/>
      <c r="AG255" s="111"/>
      <c r="AH255" s="111"/>
      <c r="AI255" s="111"/>
      <c r="AJ255" s="111"/>
      <c r="AK255" s="111"/>
      <c r="AL255" s="111"/>
      <c r="AM255" s="111"/>
      <c r="AN255" s="111"/>
      <c r="AO255" s="111"/>
      <c r="AP255" s="111"/>
      <c r="AQ255" s="111"/>
      <c r="AR255" s="111"/>
      <c r="AS255" s="111"/>
      <c r="AT255" s="111"/>
      <c r="AU255" s="111"/>
      <c r="AV255" s="111"/>
      <c r="AW255" s="111"/>
      <c r="AX255" s="111"/>
      <c r="AY255" s="111"/>
      <c r="AZ255" s="111"/>
      <c r="BA255" s="111"/>
      <c r="BB255" s="111"/>
      <c r="BC255" s="111"/>
      <c r="BD255" s="111"/>
      <c r="BE255" s="111"/>
      <c r="BF255" s="111"/>
      <c r="BG255" s="111"/>
      <c r="BH255" s="111"/>
      <c r="BI255" s="111"/>
      <c r="BJ255" s="111"/>
      <c r="BK255" s="111"/>
      <c r="BL255" s="111"/>
      <c r="BM255" s="111"/>
      <c r="BN255" s="111"/>
      <c r="BO255" s="111"/>
      <c r="BP255" s="111"/>
      <c r="BQ255" s="111"/>
      <c r="BR255" s="111"/>
      <c r="BS255" s="111"/>
      <c r="BT255" s="111"/>
      <c r="BU255" s="111"/>
      <c r="BV255" s="111"/>
      <c r="BW255" s="111"/>
      <c r="BX255" s="111"/>
      <c r="BY255" s="111"/>
      <c r="BZ255" s="111"/>
      <c r="CA255" s="111"/>
      <c r="CB255" s="111"/>
      <c r="CC255" s="111"/>
      <c r="CD255" s="111"/>
      <c r="CE255" s="111"/>
      <c r="CF255" s="111"/>
      <c r="CG255" s="111"/>
      <c r="CH255" s="111"/>
      <c r="CI255" s="111"/>
      <c r="CJ255" s="111"/>
      <c r="CK255" s="111"/>
      <c r="CL255" s="111"/>
      <c r="CM255" s="111"/>
      <c r="CN255" s="111"/>
      <c r="CO255" s="111"/>
      <c r="CP255" s="111"/>
      <c r="CQ255" s="111"/>
      <c r="CR255" s="111"/>
      <c r="CS255" s="111"/>
      <c r="CT255" s="111"/>
      <c r="CU255" s="111"/>
      <c r="CV255" s="111"/>
      <c r="CW255" s="111"/>
      <c r="CX255" s="111"/>
      <c r="CY255" s="111"/>
      <c r="CZ255" s="111"/>
      <c r="DA255" s="111"/>
      <c r="DB255" s="111"/>
      <c r="DC255" s="111"/>
      <c r="DD255" s="111"/>
      <c r="DE255" s="111"/>
      <c r="DF255" s="111"/>
      <c r="DG255" s="111"/>
      <c r="DH255" s="111"/>
      <c r="DI255" s="111"/>
      <c r="DJ255" s="111"/>
      <c r="DK255" s="111"/>
      <c r="DL255" s="111"/>
      <c r="DM255" s="111"/>
      <c r="DN255" s="111"/>
      <c r="DO255" s="111"/>
      <c r="DP255" s="111"/>
      <c r="DQ255" s="111"/>
      <c r="DR255" s="111"/>
      <c r="DS255" s="111"/>
      <c r="DT255" s="111"/>
      <c r="DU255" s="111"/>
      <c r="DV255" s="111"/>
      <c r="DW255" s="111"/>
      <c r="DX255" s="111"/>
      <c r="DY255" s="111"/>
    </row>
    <row r="256" spans="1:129" s="3" customFormat="1" ht="11.7" customHeight="1" outlineLevel="1" x14ac:dyDescent="0.3">
      <c r="A256" s="85"/>
      <c r="B256" s="195" t="s">
        <v>23</v>
      </c>
      <c r="C256" s="195"/>
      <c r="E256" s="118"/>
      <c r="F256" s="118"/>
      <c r="G256" s="127"/>
      <c r="H256" s="127"/>
      <c r="I256" s="115"/>
      <c r="J256" s="115"/>
      <c r="K256" s="115"/>
      <c r="L256" s="115"/>
      <c r="M256" s="115"/>
      <c r="N256" s="115"/>
      <c r="O256" s="115"/>
      <c r="P256" s="115"/>
      <c r="Q256" s="115"/>
      <c r="R256" s="115"/>
      <c r="S256" s="115"/>
      <c r="T256" s="115"/>
      <c r="U256" s="115"/>
      <c r="V256" s="115"/>
      <c r="W256" s="115"/>
      <c r="X256" s="115"/>
      <c r="Y256" s="115"/>
      <c r="Z256" s="115"/>
      <c r="AA256" s="115"/>
      <c r="AB256" s="115"/>
      <c r="AC256" s="115"/>
      <c r="AD256" s="115"/>
      <c r="AE256" s="115"/>
      <c r="AF256" s="115"/>
      <c r="AG256" s="115"/>
      <c r="AH256" s="115"/>
      <c r="AI256" s="115"/>
      <c r="AJ256" s="115"/>
      <c r="AK256" s="115"/>
      <c r="AL256" s="115"/>
      <c r="AM256" s="115"/>
      <c r="AN256" s="115"/>
      <c r="AO256" s="115"/>
      <c r="AP256" s="115"/>
      <c r="AQ256" s="115"/>
      <c r="AR256" s="115"/>
      <c r="AS256" s="115"/>
      <c r="AT256" s="115"/>
      <c r="AU256" s="115"/>
      <c r="AV256" s="115"/>
      <c r="AW256" s="115"/>
      <c r="AX256" s="115"/>
      <c r="AY256" s="115"/>
      <c r="AZ256" s="115"/>
      <c r="BA256" s="115"/>
      <c r="BB256" s="115"/>
      <c r="BC256" s="115"/>
      <c r="BD256" s="115"/>
      <c r="BE256" s="115"/>
      <c r="BF256" s="115"/>
      <c r="BG256" s="115"/>
      <c r="BH256" s="115"/>
      <c r="BI256" s="115"/>
      <c r="BJ256" s="115"/>
      <c r="BK256" s="115"/>
      <c r="BL256" s="115"/>
      <c r="BM256" s="115"/>
      <c r="BN256" s="115"/>
      <c r="BO256" s="115"/>
      <c r="BP256" s="115"/>
      <c r="BQ256" s="115"/>
      <c r="BR256" s="115"/>
      <c r="BS256" s="115"/>
      <c r="BT256" s="115"/>
      <c r="BU256" s="115"/>
      <c r="BV256" s="115"/>
      <c r="BW256" s="115"/>
      <c r="BX256" s="115"/>
      <c r="BY256" s="115"/>
      <c r="BZ256" s="115"/>
      <c r="CA256" s="115"/>
      <c r="CB256" s="115"/>
      <c r="CC256" s="115"/>
      <c r="CD256" s="115"/>
      <c r="CE256" s="115"/>
      <c r="CF256" s="115"/>
      <c r="CG256" s="115"/>
      <c r="CH256" s="115"/>
      <c r="CI256" s="115"/>
      <c r="CJ256" s="115"/>
      <c r="CK256" s="115"/>
      <c r="CL256" s="115"/>
      <c r="CM256" s="115"/>
      <c r="CN256" s="115"/>
      <c r="CO256" s="115"/>
      <c r="CP256" s="115"/>
      <c r="CQ256" s="115"/>
      <c r="CR256" s="115"/>
      <c r="CS256" s="115"/>
      <c r="CT256" s="115"/>
      <c r="CU256" s="115"/>
      <c r="CV256" s="115"/>
      <c r="CW256" s="115"/>
      <c r="CX256" s="115"/>
      <c r="CY256" s="115"/>
      <c r="CZ256" s="115"/>
      <c r="DA256" s="115"/>
      <c r="DB256" s="115"/>
      <c r="DC256" s="115"/>
      <c r="DD256" s="115"/>
      <c r="DE256" s="115"/>
      <c r="DF256" s="115"/>
      <c r="DG256" s="115"/>
      <c r="DH256" s="115"/>
      <c r="DI256" s="115"/>
      <c r="DJ256" s="115"/>
      <c r="DK256" s="115"/>
      <c r="DL256" s="115"/>
      <c r="DM256" s="115"/>
      <c r="DN256" s="115"/>
      <c r="DO256" s="115"/>
      <c r="DP256" s="115"/>
      <c r="DQ256" s="115"/>
      <c r="DR256" s="115"/>
      <c r="DS256" s="115"/>
      <c r="DT256" s="115"/>
      <c r="DU256" s="115"/>
      <c r="DV256" s="115"/>
      <c r="DW256" s="115"/>
      <c r="DX256" s="115"/>
      <c r="DY256" s="115"/>
    </row>
    <row r="257" spans="1:130" s="130" customFormat="1" ht="11.7" customHeight="1" outlineLevel="1" x14ac:dyDescent="0.3">
      <c r="A257" s="85"/>
      <c r="B257" s="116" t="s">
        <v>408</v>
      </c>
      <c r="C257" s="116"/>
      <c r="D257" s="63"/>
      <c r="E257" s="63"/>
      <c r="F257" s="63"/>
      <c r="G257" s="147"/>
      <c r="H257" s="147"/>
      <c r="I257" s="148">
        <f>+H268</f>
        <v>0</v>
      </c>
      <c r="J257" s="148">
        <f t="shared" ref="J257:BS257" si="254">+I268</f>
        <v>0</v>
      </c>
      <c r="K257" s="148">
        <f t="shared" si="254"/>
        <v>0</v>
      </c>
      <c r="L257" s="148">
        <f t="shared" si="254"/>
        <v>0</v>
      </c>
      <c r="M257" s="148">
        <f t="shared" si="254"/>
        <v>0</v>
      </c>
      <c r="N257" s="148">
        <f t="shared" si="254"/>
        <v>0</v>
      </c>
      <c r="O257" s="148">
        <f t="shared" si="254"/>
        <v>0</v>
      </c>
      <c r="P257" s="148">
        <f t="shared" si="254"/>
        <v>0</v>
      </c>
      <c r="Q257" s="148">
        <f t="shared" si="254"/>
        <v>0</v>
      </c>
      <c r="R257" s="148">
        <f t="shared" si="254"/>
        <v>0</v>
      </c>
      <c r="S257" s="148">
        <f t="shared" si="254"/>
        <v>0</v>
      </c>
      <c r="T257" s="148">
        <f t="shared" si="254"/>
        <v>0</v>
      </c>
      <c r="U257" s="148">
        <f t="shared" si="254"/>
        <v>0</v>
      </c>
      <c r="V257" s="148">
        <f t="shared" si="254"/>
        <v>0</v>
      </c>
      <c r="W257" s="148">
        <f t="shared" si="254"/>
        <v>0</v>
      </c>
      <c r="X257" s="148">
        <f t="shared" si="254"/>
        <v>0</v>
      </c>
      <c r="Y257" s="148">
        <f t="shared" si="254"/>
        <v>0</v>
      </c>
      <c r="Z257" s="148">
        <f t="shared" si="254"/>
        <v>0</v>
      </c>
      <c r="AA257" s="148">
        <f t="shared" si="254"/>
        <v>0</v>
      </c>
      <c r="AB257" s="148">
        <f t="shared" si="254"/>
        <v>0</v>
      </c>
      <c r="AC257" s="148">
        <f t="shared" si="254"/>
        <v>0</v>
      </c>
      <c r="AD257" s="148">
        <f t="shared" si="254"/>
        <v>0</v>
      </c>
      <c r="AE257" s="148">
        <f t="shared" si="254"/>
        <v>0</v>
      </c>
      <c r="AF257" s="148">
        <f t="shared" si="254"/>
        <v>0</v>
      </c>
      <c r="AG257" s="148">
        <f t="shared" si="254"/>
        <v>0</v>
      </c>
      <c r="AH257" s="148">
        <f t="shared" si="254"/>
        <v>0</v>
      </c>
      <c r="AI257" s="148">
        <f t="shared" si="254"/>
        <v>0</v>
      </c>
      <c r="AJ257" s="148">
        <f t="shared" si="254"/>
        <v>0</v>
      </c>
      <c r="AK257" s="148">
        <f t="shared" si="254"/>
        <v>0</v>
      </c>
      <c r="AL257" s="148">
        <f t="shared" si="254"/>
        <v>0</v>
      </c>
      <c r="AM257" s="148">
        <f t="shared" si="254"/>
        <v>0</v>
      </c>
      <c r="AN257" s="148">
        <f t="shared" si="254"/>
        <v>0</v>
      </c>
      <c r="AO257" s="148">
        <f t="shared" si="254"/>
        <v>0</v>
      </c>
      <c r="AP257" s="148">
        <f t="shared" si="254"/>
        <v>0</v>
      </c>
      <c r="AQ257" s="148">
        <f t="shared" si="254"/>
        <v>0</v>
      </c>
      <c r="AR257" s="148">
        <f t="shared" si="254"/>
        <v>0</v>
      </c>
      <c r="AS257" s="148">
        <f t="shared" si="254"/>
        <v>0</v>
      </c>
      <c r="AT257" s="148">
        <f t="shared" si="254"/>
        <v>0</v>
      </c>
      <c r="AU257" s="148">
        <f t="shared" si="254"/>
        <v>0</v>
      </c>
      <c r="AV257" s="148">
        <f t="shared" si="254"/>
        <v>0</v>
      </c>
      <c r="AW257" s="148">
        <f t="shared" si="254"/>
        <v>0</v>
      </c>
      <c r="AX257" s="148">
        <f t="shared" si="254"/>
        <v>0</v>
      </c>
      <c r="AY257" s="148">
        <f t="shared" si="254"/>
        <v>0</v>
      </c>
      <c r="AZ257" s="148">
        <f t="shared" si="254"/>
        <v>0</v>
      </c>
      <c r="BA257" s="148">
        <f t="shared" si="254"/>
        <v>0</v>
      </c>
      <c r="BB257" s="148">
        <f t="shared" si="254"/>
        <v>0</v>
      </c>
      <c r="BC257" s="148">
        <f t="shared" si="254"/>
        <v>0</v>
      </c>
      <c r="BD257" s="148">
        <f t="shared" si="254"/>
        <v>0</v>
      </c>
      <c r="BE257" s="148">
        <f t="shared" si="254"/>
        <v>0</v>
      </c>
      <c r="BF257" s="148">
        <f t="shared" si="254"/>
        <v>0</v>
      </c>
      <c r="BG257" s="148">
        <f t="shared" si="254"/>
        <v>0</v>
      </c>
      <c r="BH257" s="148">
        <f t="shared" si="254"/>
        <v>0</v>
      </c>
      <c r="BI257" s="148">
        <f t="shared" si="254"/>
        <v>0</v>
      </c>
      <c r="BJ257" s="148">
        <f t="shared" si="254"/>
        <v>0</v>
      </c>
      <c r="BK257" s="148">
        <f t="shared" si="254"/>
        <v>0</v>
      </c>
      <c r="BL257" s="148">
        <f t="shared" si="254"/>
        <v>0</v>
      </c>
      <c r="BM257" s="148">
        <f t="shared" si="254"/>
        <v>0</v>
      </c>
      <c r="BN257" s="148">
        <f t="shared" si="254"/>
        <v>0</v>
      </c>
      <c r="BO257" s="148">
        <f t="shared" si="254"/>
        <v>0</v>
      </c>
      <c r="BP257" s="148">
        <f t="shared" si="254"/>
        <v>0</v>
      </c>
      <c r="BQ257" s="148">
        <f t="shared" si="254"/>
        <v>0</v>
      </c>
      <c r="BR257" s="148">
        <f t="shared" si="254"/>
        <v>0</v>
      </c>
      <c r="BS257" s="148">
        <f t="shared" si="254"/>
        <v>0</v>
      </c>
      <c r="BT257" s="148">
        <f>+BS268</f>
        <v>0</v>
      </c>
      <c r="BU257" s="148">
        <f t="shared" ref="BU257:DW257" si="255">+BT268</f>
        <v>0</v>
      </c>
      <c r="BV257" s="148">
        <f t="shared" si="255"/>
        <v>0</v>
      </c>
      <c r="BW257" s="148">
        <f t="shared" si="255"/>
        <v>0</v>
      </c>
      <c r="BX257" s="148">
        <f t="shared" si="255"/>
        <v>52.45</v>
      </c>
      <c r="BY257" s="148">
        <f t="shared" si="255"/>
        <v>52.45</v>
      </c>
      <c r="BZ257" s="148">
        <f t="shared" si="255"/>
        <v>52.45</v>
      </c>
      <c r="CA257" s="148">
        <f t="shared" si="255"/>
        <v>52.45</v>
      </c>
      <c r="CB257" s="148">
        <f t="shared" si="255"/>
        <v>214.48666666666668</v>
      </c>
      <c r="CC257" s="148">
        <f t="shared" si="255"/>
        <v>376.52333333333337</v>
      </c>
      <c r="CD257" s="148">
        <f t="shared" si="255"/>
        <v>538.56000000000006</v>
      </c>
      <c r="CE257" s="148">
        <f t="shared" si="255"/>
        <v>700.59666666666681</v>
      </c>
      <c r="CF257" s="148">
        <f t="shared" si="255"/>
        <v>862.63333333333344</v>
      </c>
      <c r="CG257" s="148">
        <f t="shared" si="255"/>
        <v>972.22</v>
      </c>
      <c r="CH257" s="148">
        <f t="shared" si="255"/>
        <v>972.22</v>
      </c>
      <c r="CI257" s="148">
        <f t="shared" si="255"/>
        <v>972.22</v>
      </c>
      <c r="CJ257" s="148">
        <f t="shared" si="255"/>
        <v>972.22</v>
      </c>
      <c r="CK257" s="148">
        <f t="shared" si="255"/>
        <v>972.22</v>
      </c>
      <c r="CL257" s="148">
        <f t="shared" si="255"/>
        <v>972.22</v>
      </c>
      <c r="CM257" s="148">
        <f t="shared" si="255"/>
        <v>972.22</v>
      </c>
      <c r="CN257" s="148">
        <f t="shared" si="255"/>
        <v>972.22</v>
      </c>
      <c r="CO257" s="148">
        <f t="shared" si="255"/>
        <v>972.22</v>
      </c>
      <c r="CP257" s="148">
        <f t="shared" si="255"/>
        <v>972.22</v>
      </c>
      <c r="CQ257" s="148">
        <f t="shared" si="255"/>
        <v>972.22</v>
      </c>
      <c r="CR257" s="148">
        <f t="shared" si="255"/>
        <v>972.22</v>
      </c>
      <c r="CS257" s="148">
        <f t="shared" si="255"/>
        <v>972.22</v>
      </c>
      <c r="CT257" s="148">
        <f t="shared" si="255"/>
        <v>972.22</v>
      </c>
      <c r="CU257" s="148">
        <f t="shared" si="255"/>
        <v>972.22</v>
      </c>
      <c r="CV257" s="148">
        <f t="shared" si="255"/>
        <v>972.22</v>
      </c>
      <c r="CW257" s="148">
        <f t="shared" si="255"/>
        <v>972.22</v>
      </c>
      <c r="CX257" s="148">
        <f t="shared" si="255"/>
        <v>972.22</v>
      </c>
      <c r="CY257" s="148">
        <f t="shared" si="255"/>
        <v>972.22</v>
      </c>
      <c r="CZ257" s="148">
        <f t="shared" si="255"/>
        <v>972.22</v>
      </c>
      <c r="DA257" s="148">
        <f t="shared" si="255"/>
        <v>972.22</v>
      </c>
      <c r="DB257" s="148">
        <f t="shared" si="255"/>
        <v>972.22</v>
      </c>
      <c r="DC257" s="148">
        <f t="shared" si="255"/>
        <v>972.22</v>
      </c>
      <c r="DD257" s="148">
        <f t="shared" si="255"/>
        <v>972.22</v>
      </c>
      <c r="DE257" s="148">
        <f t="shared" si="255"/>
        <v>972.22</v>
      </c>
      <c r="DF257" s="148">
        <f t="shared" si="255"/>
        <v>972.22</v>
      </c>
      <c r="DG257" s="148">
        <f t="shared" si="255"/>
        <v>972.22</v>
      </c>
      <c r="DH257" s="148">
        <f t="shared" si="255"/>
        <v>972.22</v>
      </c>
      <c r="DI257" s="148">
        <f t="shared" si="255"/>
        <v>972.22</v>
      </c>
      <c r="DJ257" s="148">
        <f t="shared" si="255"/>
        <v>972.22</v>
      </c>
      <c r="DK257" s="148">
        <f t="shared" si="255"/>
        <v>972.22</v>
      </c>
      <c r="DL257" s="148">
        <f t="shared" si="255"/>
        <v>972.22</v>
      </c>
      <c r="DM257" s="148">
        <f t="shared" si="255"/>
        <v>972.22</v>
      </c>
      <c r="DN257" s="148">
        <f t="shared" si="255"/>
        <v>972.22</v>
      </c>
      <c r="DO257" s="148">
        <f t="shared" si="255"/>
        <v>972.22</v>
      </c>
      <c r="DP257" s="148">
        <f t="shared" si="255"/>
        <v>972.22</v>
      </c>
      <c r="DQ257" s="148">
        <f t="shared" si="255"/>
        <v>972.22</v>
      </c>
      <c r="DR257" s="148">
        <f t="shared" si="255"/>
        <v>972.22</v>
      </c>
      <c r="DS257" s="148">
        <f t="shared" si="255"/>
        <v>972.22</v>
      </c>
      <c r="DT257" s="148">
        <f t="shared" si="255"/>
        <v>972.22</v>
      </c>
      <c r="DU257" s="148">
        <f t="shared" si="255"/>
        <v>972.22</v>
      </c>
      <c r="DV257" s="148">
        <f t="shared" si="255"/>
        <v>972.22</v>
      </c>
      <c r="DW257" s="148">
        <f t="shared" si="255"/>
        <v>972.22</v>
      </c>
      <c r="DX257" s="148">
        <f t="shared" ref="DX257" si="256">+DW268</f>
        <v>972.22</v>
      </c>
      <c r="DY257" s="148">
        <f t="shared" ref="DY257" si="257">+DX268</f>
        <v>972.22</v>
      </c>
    </row>
    <row r="258" spans="1:130" s="130" customFormat="1" ht="11.7" customHeight="1" outlineLevel="1" x14ac:dyDescent="0.25">
      <c r="A258" s="85"/>
      <c r="B258" s="196" t="s">
        <v>530</v>
      </c>
      <c r="C258" s="196"/>
      <c r="D258" s="324">
        <f>+'Project Layout'!BD37*Inputs!G121</f>
        <v>0</v>
      </c>
      <c r="E258" s="292">
        <f>+Inputs!F121</f>
        <v>45108</v>
      </c>
      <c r="F258" s="3"/>
      <c r="G258" s="127"/>
      <c r="H258" s="290">
        <f t="shared" ref="H258:H267" si="258">+SUM(I258:DY258)</f>
        <v>0</v>
      </c>
      <c r="I258" s="1094">
        <v>0</v>
      </c>
      <c r="J258" s="1094">
        <v>0</v>
      </c>
      <c r="K258" s="1094">
        <v>0</v>
      </c>
      <c r="L258" s="1094">
        <v>0</v>
      </c>
      <c r="M258" s="1094">
        <v>0</v>
      </c>
      <c r="N258" s="1094">
        <v>0</v>
      </c>
      <c r="O258" s="1094">
        <v>0</v>
      </c>
      <c r="P258" s="1094">
        <v>0</v>
      </c>
      <c r="Q258" s="1094">
        <v>0</v>
      </c>
      <c r="R258" s="1094">
        <v>0</v>
      </c>
      <c r="S258" s="1094">
        <v>0</v>
      </c>
      <c r="T258" s="1094">
        <v>0</v>
      </c>
      <c r="U258" s="1094">
        <v>0</v>
      </c>
      <c r="V258" s="1094">
        <v>0</v>
      </c>
      <c r="W258" s="1094">
        <v>0</v>
      </c>
      <c r="X258" s="1094">
        <v>0</v>
      </c>
      <c r="Y258" s="1094">
        <v>0</v>
      </c>
      <c r="Z258" s="1094">
        <v>0</v>
      </c>
      <c r="AA258" s="1094">
        <v>0</v>
      </c>
      <c r="AB258" s="1094">
        <v>0</v>
      </c>
      <c r="AC258" s="1094">
        <v>0</v>
      </c>
      <c r="AD258" s="1094">
        <v>0</v>
      </c>
      <c r="AE258" s="1094">
        <v>0</v>
      </c>
      <c r="AF258" s="1094">
        <v>0</v>
      </c>
      <c r="AG258" s="1094">
        <v>0</v>
      </c>
      <c r="AH258" s="1094">
        <v>0</v>
      </c>
      <c r="AI258" s="1094">
        <v>0</v>
      </c>
      <c r="AJ258" s="1094">
        <v>0</v>
      </c>
      <c r="AK258" s="1094">
        <v>0</v>
      </c>
      <c r="AL258" s="1094">
        <v>0</v>
      </c>
      <c r="AM258" s="1094">
        <v>0</v>
      </c>
      <c r="AN258" s="1094">
        <v>0</v>
      </c>
      <c r="AO258" s="1094">
        <v>0</v>
      </c>
      <c r="AP258" s="1094">
        <v>0</v>
      </c>
      <c r="AQ258" s="1094">
        <v>0</v>
      </c>
      <c r="AR258" s="1094">
        <v>0</v>
      </c>
      <c r="AS258" s="1094">
        <v>0</v>
      </c>
      <c r="AT258" s="1094">
        <v>0</v>
      </c>
      <c r="AU258" s="1094">
        <v>0</v>
      </c>
      <c r="AV258" s="1094">
        <v>0</v>
      </c>
      <c r="AW258" s="1094">
        <v>0</v>
      </c>
      <c r="AX258" s="1094">
        <v>0</v>
      </c>
      <c r="AY258" s="1094">
        <v>0</v>
      </c>
      <c r="AZ258" s="1094">
        <v>0</v>
      </c>
      <c r="BA258" s="1094">
        <v>0</v>
      </c>
      <c r="BB258" s="1094">
        <v>0</v>
      </c>
      <c r="BC258" s="1094">
        <v>0</v>
      </c>
      <c r="BD258" s="1094">
        <v>0</v>
      </c>
      <c r="BE258" s="1094">
        <v>0</v>
      </c>
      <c r="BF258" s="1094">
        <v>0</v>
      </c>
      <c r="BG258" s="1094">
        <v>0</v>
      </c>
      <c r="BH258" s="1094">
        <v>0</v>
      </c>
      <c r="BI258" s="1094">
        <v>0</v>
      </c>
      <c r="BJ258" s="1094">
        <v>0</v>
      </c>
      <c r="BK258" s="1094">
        <v>0</v>
      </c>
      <c r="BL258" s="1094">
        <v>0</v>
      </c>
      <c r="BM258" s="1094">
        <v>0</v>
      </c>
      <c r="BN258" s="1094">
        <v>0</v>
      </c>
      <c r="BO258" s="1094">
        <v>0</v>
      </c>
      <c r="BP258" s="1094">
        <v>0</v>
      </c>
      <c r="BQ258" s="1094">
        <v>0</v>
      </c>
      <c r="BR258" s="1094">
        <v>0</v>
      </c>
      <c r="BS258" s="1094">
        <v>0</v>
      </c>
      <c r="BT258" s="1094">
        <v>0</v>
      </c>
      <c r="BU258" s="1094">
        <v>0</v>
      </c>
      <c r="BV258" s="1094">
        <v>0</v>
      </c>
      <c r="BW258" s="1094">
        <v>0</v>
      </c>
      <c r="BX258" s="1094">
        <v>0</v>
      </c>
      <c r="BY258" s="1094">
        <v>0</v>
      </c>
      <c r="BZ258" s="1094">
        <v>0</v>
      </c>
      <c r="CA258" s="151">
        <f t="shared" ref="CA258:DF258" si="259">+$D$258*(CA$6=$E$258)</f>
        <v>0</v>
      </c>
      <c r="CB258" s="151">
        <f t="shared" si="259"/>
        <v>0</v>
      </c>
      <c r="CC258" s="151">
        <f t="shared" si="259"/>
        <v>0</v>
      </c>
      <c r="CD258" s="151">
        <f t="shared" si="259"/>
        <v>0</v>
      </c>
      <c r="CE258" s="151">
        <f t="shared" si="259"/>
        <v>0</v>
      </c>
      <c r="CF258" s="151">
        <f t="shared" si="259"/>
        <v>0</v>
      </c>
      <c r="CG258" s="151">
        <f t="shared" si="259"/>
        <v>0</v>
      </c>
      <c r="CH258" s="151">
        <f t="shared" si="259"/>
        <v>0</v>
      </c>
      <c r="CI258" s="151">
        <f t="shared" si="259"/>
        <v>0</v>
      </c>
      <c r="CJ258" s="151">
        <f t="shared" si="259"/>
        <v>0</v>
      </c>
      <c r="CK258" s="151">
        <f t="shared" si="259"/>
        <v>0</v>
      </c>
      <c r="CL258" s="151">
        <f t="shared" si="259"/>
        <v>0</v>
      </c>
      <c r="CM258" s="151">
        <f t="shared" si="259"/>
        <v>0</v>
      </c>
      <c r="CN258" s="151">
        <f t="shared" si="259"/>
        <v>0</v>
      </c>
      <c r="CO258" s="151">
        <f t="shared" si="259"/>
        <v>0</v>
      </c>
      <c r="CP258" s="151">
        <f t="shared" si="259"/>
        <v>0</v>
      </c>
      <c r="CQ258" s="151">
        <f t="shared" si="259"/>
        <v>0</v>
      </c>
      <c r="CR258" s="151">
        <f t="shared" si="259"/>
        <v>0</v>
      </c>
      <c r="CS258" s="151">
        <f t="shared" si="259"/>
        <v>0</v>
      </c>
      <c r="CT258" s="151">
        <f t="shared" si="259"/>
        <v>0</v>
      </c>
      <c r="CU258" s="151">
        <f t="shared" si="259"/>
        <v>0</v>
      </c>
      <c r="CV258" s="151">
        <f t="shared" si="259"/>
        <v>0</v>
      </c>
      <c r="CW258" s="151">
        <f t="shared" si="259"/>
        <v>0</v>
      </c>
      <c r="CX258" s="151">
        <f t="shared" si="259"/>
        <v>0</v>
      </c>
      <c r="CY258" s="151">
        <f t="shared" si="259"/>
        <v>0</v>
      </c>
      <c r="CZ258" s="151">
        <f t="shared" si="259"/>
        <v>0</v>
      </c>
      <c r="DA258" s="151">
        <f t="shared" si="259"/>
        <v>0</v>
      </c>
      <c r="DB258" s="151">
        <f t="shared" si="259"/>
        <v>0</v>
      </c>
      <c r="DC258" s="151">
        <f t="shared" si="259"/>
        <v>0</v>
      </c>
      <c r="DD258" s="151">
        <f t="shared" si="259"/>
        <v>0</v>
      </c>
      <c r="DE258" s="151">
        <f t="shared" si="259"/>
        <v>0</v>
      </c>
      <c r="DF258" s="151">
        <f t="shared" si="259"/>
        <v>0</v>
      </c>
      <c r="DG258" s="151">
        <f t="shared" ref="DG258:DY258" si="260">+$D$258*(DG$6=$E$258)</f>
        <v>0</v>
      </c>
      <c r="DH258" s="151">
        <f t="shared" si="260"/>
        <v>0</v>
      </c>
      <c r="DI258" s="151">
        <f t="shared" si="260"/>
        <v>0</v>
      </c>
      <c r="DJ258" s="151">
        <f t="shared" si="260"/>
        <v>0</v>
      </c>
      <c r="DK258" s="151">
        <f t="shared" si="260"/>
        <v>0</v>
      </c>
      <c r="DL258" s="151">
        <f t="shared" si="260"/>
        <v>0</v>
      </c>
      <c r="DM258" s="151">
        <f t="shared" si="260"/>
        <v>0</v>
      </c>
      <c r="DN258" s="151">
        <f t="shared" si="260"/>
        <v>0</v>
      </c>
      <c r="DO258" s="151">
        <f t="shared" si="260"/>
        <v>0</v>
      </c>
      <c r="DP258" s="151">
        <f t="shared" si="260"/>
        <v>0</v>
      </c>
      <c r="DQ258" s="151">
        <f t="shared" si="260"/>
        <v>0</v>
      </c>
      <c r="DR258" s="151">
        <f t="shared" si="260"/>
        <v>0</v>
      </c>
      <c r="DS258" s="151">
        <f t="shared" si="260"/>
        <v>0</v>
      </c>
      <c r="DT258" s="151">
        <f t="shared" si="260"/>
        <v>0</v>
      </c>
      <c r="DU258" s="151">
        <f t="shared" si="260"/>
        <v>0</v>
      </c>
      <c r="DV258" s="151">
        <f t="shared" si="260"/>
        <v>0</v>
      </c>
      <c r="DW258" s="151">
        <f t="shared" si="260"/>
        <v>0</v>
      </c>
      <c r="DX258" s="151">
        <f t="shared" si="260"/>
        <v>0</v>
      </c>
      <c r="DY258" s="151">
        <f t="shared" si="260"/>
        <v>0</v>
      </c>
    </row>
    <row r="259" spans="1:130" s="130" customFormat="1" ht="11.7" customHeight="1" outlineLevel="1" x14ac:dyDescent="0.25">
      <c r="A259" s="85"/>
      <c r="B259" s="196" t="s">
        <v>393</v>
      </c>
      <c r="C259" s="196"/>
      <c r="D259" s="324">
        <f>+'Project Layout'!BD37-D258</f>
        <v>0</v>
      </c>
      <c r="E259" s="621">
        <f>+Inputs!$G$127</f>
        <v>6</v>
      </c>
      <c r="F259" s="3"/>
      <c r="G259" s="127"/>
      <c r="H259" s="290">
        <f t="shared" si="258"/>
        <v>0</v>
      </c>
      <c r="I259" s="1094">
        <v>0</v>
      </c>
      <c r="J259" s="1094">
        <v>0</v>
      </c>
      <c r="K259" s="1094">
        <v>0</v>
      </c>
      <c r="L259" s="1094">
        <v>0</v>
      </c>
      <c r="M259" s="1094">
        <v>0</v>
      </c>
      <c r="N259" s="1094">
        <v>0</v>
      </c>
      <c r="O259" s="1094">
        <v>0</v>
      </c>
      <c r="P259" s="1094">
        <v>0</v>
      </c>
      <c r="Q259" s="1094">
        <v>0</v>
      </c>
      <c r="R259" s="1094">
        <v>0</v>
      </c>
      <c r="S259" s="1094">
        <v>0</v>
      </c>
      <c r="T259" s="1094">
        <v>0</v>
      </c>
      <c r="U259" s="1094">
        <v>0</v>
      </c>
      <c r="V259" s="1094">
        <v>0</v>
      </c>
      <c r="W259" s="1094">
        <v>0</v>
      </c>
      <c r="X259" s="1094">
        <v>0</v>
      </c>
      <c r="Y259" s="1094">
        <v>0</v>
      </c>
      <c r="Z259" s="1094">
        <v>0</v>
      </c>
      <c r="AA259" s="1094">
        <v>0</v>
      </c>
      <c r="AB259" s="1094">
        <v>0</v>
      </c>
      <c r="AC259" s="1094">
        <v>0</v>
      </c>
      <c r="AD259" s="1094">
        <v>0</v>
      </c>
      <c r="AE259" s="1094">
        <v>0</v>
      </c>
      <c r="AF259" s="1094">
        <v>0</v>
      </c>
      <c r="AG259" s="1094">
        <v>0</v>
      </c>
      <c r="AH259" s="1094">
        <v>0</v>
      </c>
      <c r="AI259" s="1094">
        <v>0</v>
      </c>
      <c r="AJ259" s="1094">
        <v>0</v>
      </c>
      <c r="AK259" s="1094">
        <v>0</v>
      </c>
      <c r="AL259" s="1094">
        <v>0</v>
      </c>
      <c r="AM259" s="1094">
        <v>0</v>
      </c>
      <c r="AN259" s="1094">
        <v>0</v>
      </c>
      <c r="AO259" s="1094">
        <v>0</v>
      </c>
      <c r="AP259" s="1094">
        <v>0</v>
      </c>
      <c r="AQ259" s="1094">
        <v>0</v>
      </c>
      <c r="AR259" s="1094">
        <v>0</v>
      </c>
      <c r="AS259" s="1094">
        <v>0</v>
      </c>
      <c r="AT259" s="1094">
        <v>0</v>
      </c>
      <c r="AU259" s="1094">
        <v>0</v>
      </c>
      <c r="AV259" s="1094">
        <v>0</v>
      </c>
      <c r="AW259" s="1094">
        <v>0</v>
      </c>
      <c r="AX259" s="1094">
        <v>0</v>
      </c>
      <c r="AY259" s="1094">
        <v>0</v>
      </c>
      <c r="AZ259" s="1094">
        <v>0</v>
      </c>
      <c r="BA259" s="1094">
        <v>0</v>
      </c>
      <c r="BB259" s="1094">
        <v>0</v>
      </c>
      <c r="BC259" s="1094">
        <v>0</v>
      </c>
      <c r="BD259" s="1094">
        <v>0</v>
      </c>
      <c r="BE259" s="1094">
        <v>0</v>
      </c>
      <c r="BF259" s="1094">
        <v>0</v>
      </c>
      <c r="BG259" s="1094">
        <v>0</v>
      </c>
      <c r="BH259" s="1094">
        <v>0</v>
      </c>
      <c r="BI259" s="1094">
        <v>0</v>
      </c>
      <c r="BJ259" s="1094">
        <v>0</v>
      </c>
      <c r="BK259" s="1094">
        <v>0</v>
      </c>
      <c r="BL259" s="1094">
        <v>0</v>
      </c>
      <c r="BM259" s="1094">
        <v>0</v>
      </c>
      <c r="BN259" s="1094">
        <v>0</v>
      </c>
      <c r="BO259" s="1094">
        <v>0</v>
      </c>
      <c r="BP259" s="1094">
        <v>0</v>
      </c>
      <c r="BQ259" s="1094">
        <v>0</v>
      </c>
      <c r="BR259" s="1094">
        <v>0</v>
      </c>
      <c r="BS259" s="1094">
        <v>0</v>
      </c>
      <c r="BT259" s="1094">
        <v>0</v>
      </c>
      <c r="BU259" s="1094">
        <v>0</v>
      </c>
      <c r="BV259" s="1094">
        <v>0</v>
      </c>
      <c r="BW259" s="1094">
        <v>0</v>
      </c>
      <c r="BX259" s="1094">
        <v>0</v>
      </c>
      <c r="BY259" s="1094">
        <v>0</v>
      </c>
      <c r="BZ259" s="1094">
        <v>0</v>
      </c>
      <c r="CA259" s="151">
        <f>+MIN((SUM($D$258:$D$259)-$D$258)/$E$259,SUM($D$258:$D$259)-SUM($I258:BZ$259))*(CA$7&gt;$E$258)</f>
        <v>0</v>
      </c>
      <c r="CB259" s="151">
        <f>+MIN((SUM($D$258:$D$259)-$D$258)/$E$259,SUM($D$258:$D$259)-SUM($I258:CA$259))*(CB$7&gt;$E$258)</f>
        <v>0</v>
      </c>
      <c r="CC259" s="151">
        <f>+MIN((SUM($D$258:$D$259)-$D$258)/$E$259,SUM($D$258:$D$259)-SUM($I258:CB$259))*(CC$7&gt;$E$258)</f>
        <v>0</v>
      </c>
      <c r="CD259" s="151">
        <f>+MIN((SUM($D$258:$D$259)-$D$258)/$E$259,SUM($D$258:$D$259)-SUM($I258:CC$259))*(CD$7&gt;$E$258)</f>
        <v>0</v>
      </c>
      <c r="CE259" s="151">
        <f>+MIN((SUM($D$258:$D$259)-$D$258)/$E$259,SUM($D$258:$D$259)-SUM($I258:CD$259))*(CE$7&gt;$E$258)</f>
        <v>0</v>
      </c>
      <c r="CF259" s="151">
        <f>+MIN((SUM($D$258:$D$259)-$D$258)/$E$259,SUM($D$258:$D$259)-SUM($I258:CE$259))*(CF$7&gt;$E$258)</f>
        <v>0</v>
      </c>
      <c r="CG259" s="151">
        <f>+MIN((SUM($D$258:$D$259)-$D$258)/$E$259,SUM($D$258:$D$259)-SUM($I258:CF$259))*(CG$7&gt;$E$258)</f>
        <v>0</v>
      </c>
      <c r="CH259" s="151">
        <f>+MIN((SUM($D$258:$D$259)-$D$258)/$E$259,SUM($D$258:$D$259)-SUM($I258:CG$259))*(CH$7&gt;$E$258)</f>
        <v>0</v>
      </c>
      <c r="CI259" s="151">
        <f>+MIN((SUM($D$258:$D$259)-$D$258)/$E$259,SUM($D$258:$D$259)-SUM($I258:CH$259))*(CI$7&gt;$E$258)</f>
        <v>0</v>
      </c>
      <c r="CJ259" s="151">
        <f>+MIN((SUM($D$258:$D$259)-$D$258)/$E$259,SUM($D$258:$D$259)-SUM($I258:CI$259))*(CJ$7&gt;$E$258)</f>
        <v>0</v>
      </c>
      <c r="CK259" s="151">
        <f>+MIN((SUM($D$258:$D$259)-$D$258)/$E$259,SUM($D$258:$D$259)-SUM($I258:CJ$259))*(CK$7&gt;$E$258)</f>
        <v>0</v>
      </c>
      <c r="CL259" s="151">
        <f>+MIN((SUM($D$258:$D$259)-$D$258)/$E$259,SUM($D$258:$D$259)-SUM($I258:CK$259))*(CL$7&gt;$E$258)</f>
        <v>0</v>
      </c>
      <c r="CM259" s="151">
        <f>+MIN((SUM($D$258:$D$259)-$D$258)/$E$259,SUM($D$258:$D$259)-SUM($I258:CL$259))*(CM$7&gt;$E$258)</f>
        <v>0</v>
      </c>
      <c r="CN259" s="151">
        <f>+MIN((SUM($D$258:$D$259)-$D$258)/$E$259,SUM($D$258:$D$259)-SUM($I258:CM$259))*(CN$7&gt;$E$258)</f>
        <v>0</v>
      </c>
      <c r="CO259" s="151">
        <f>+MIN((SUM($D$258:$D$259)-$D$258)/$E$259,SUM($D$258:$D$259)-SUM($I258:CN$259))*(CO$7&gt;$E$258)</f>
        <v>0</v>
      </c>
      <c r="CP259" s="151">
        <f>+MIN((SUM($D$258:$D$259)-$D$258)/$E$259,SUM($D$258:$D$259)-SUM($I258:CO$259))*(CP$7&gt;$E$258)</f>
        <v>0</v>
      </c>
      <c r="CQ259" s="151">
        <f>+MIN((SUM($D$258:$D$259)-$D$258)/$E$259,SUM($D$258:$D$259)-SUM($I258:CP$259))*(CQ$7&gt;$E$258)</f>
        <v>0</v>
      </c>
      <c r="CR259" s="151">
        <f>+MIN((SUM($D$258:$D$259)-$D$258)/$E$259,SUM($D$258:$D$259)-SUM($I258:CQ$259))*(CR$7&gt;$E$258)</f>
        <v>0</v>
      </c>
      <c r="CS259" s="151">
        <f>+MIN((SUM($D$258:$D$259)-$D$258)/$E$259,SUM($D$258:$D$259)-SUM($I258:CR$259))*(CS$7&gt;$E$258)</f>
        <v>0</v>
      </c>
      <c r="CT259" s="151">
        <f>+MIN((SUM($D$258:$D$259)-$D$258)/$E$259,SUM($D$258:$D$259)-SUM($I258:CS$259))*(CT$7&gt;$E$258)</f>
        <v>0</v>
      </c>
      <c r="CU259" s="151">
        <f>+MIN((SUM($D$258:$D$259)-$D$258)/$E$259,SUM($D$258:$D$259)-SUM($I258:CT$259))*(CU$7&gt;$E$258)</f>
        <v>0</v>
      </c>
      <c r="CV259" s="151">
        <f>+MIN((SUM($D$258:$D$259)-$D$258)/$E$259,SUM($D$258:$D$259)-SUM($I258:CU$259))*(CV$7&gt;$E$258)</f>
        <v>0</v>
      </c>
      <c r="CW259" s="151">
        <f>+MIN((SUM($D$258:$D$259)-$D$258)/$E$259,SUM($D$258:$D$259)-SUM($I258:CV$259))*(CW$7&gt;$E$258)</f>
        <v>0</v>
      </c>
      <c r="CX259" s="151">
        <f>+MIN((SUM($D$258:$D$259)-$D$258)/$E$259,SUM($D$258:$D$259)-SUM($I258:CW$259))*(CX$7&gt;$E$258)</f>
        <v>0</v>
      </c>
      <c r="CY259" s="151">
        <f>+MIN((SUM($D$258:$D$259)-$D$258)/$E$259,SUM($D$258:$D$259)-SUM($I258:CX$259))*(CY$7&gt;$E$258)</f>
        <v>0</v>
      </c>
      <c r="CZ259" s="151">
        <f>+MIN((SUM($D$258:$D$259)-$D$258)/$E$259,SUM($D$258:$D$259)-SUM($I258:CY$259))*(CZ$7&gt;$E$258)</f>
        <v>0</v>
      </c>
      <c r="DA259" s="151">
        <f>+MIN((SUM($D$258:$D$259)-$D$258)/$E$259,SUM($D$258:$D$259)-SUM($I258:CZ$259))*(DA$7&gt;$E$258)</f>
        <v>0</v>
      </c>
      <c r="DB259" s="151">
        <f>+MIN((SUM($D$258:$D$259)-$D$258)/$E$259,SUM($D$258:$D$259)-SUM($I258:DA$259))*(DB$7&gt;$E$258)</f>
        <v>0</v>
      </c>
      <c r="DC259" s="151">
        <f>+MIN((SUM($D$258:$D$259)-$D$258)/$E$259,SUM($D$258:$D$259)-SUM($I258:DB$259))*(DC$7&gt;$E$258)</f>
        <v>0</v>
      </c>
      <c r="DD259" s="151">
        <f>+MIN((SUM($D$258:$D$259)-$D$258)/$E$259,SUM($D$258:$D$259)-SUM($I258:DC$259))*(DD$7&gt;$E$258)</f>
        <v>0</v>
      </c>
      <c r="DE259" s="151">
        <f>+MIN((SUM($D$258:$D$259)-$D$258)/$E$259,SUM($D$258:$D$259)-SUM($I258:DD$259))*(DE$7&gt;$E$258)</f>
        <v>0</v>
      </c>
      <c r="DF259" s="151">
        <f>+MIN((SUM($D$258:$D$259)-$D$258)/$E$259,SUM($D$258:$D$259)-SUM($I258:DE$259))*(DF$7&gt;$E$258)</f>
        <v>0</v>
      </c>
      <c r="DG259" s="151">
        <f>+MIN((SUM($D$258:$D$259)-$D$258)/$E$259,SUM($D$258:$D$259)-SUM($I258:DF$259))*(DG$7&gt;$E$258)</f>
        <v>0</v>
      </c>
      <c r="DH259" s="151">
        <f>+MIN((SUM($D$258:$D$259)-$D$258)/$E$259,SUM($D$258:$D$259)-SUM($I258:DG$259))*(DH$7&gt;$E$258)</f>
        <v>0</v>
      </c>
      <c r="DI259" s="151">
        <f>+MIN((SUM($D$258:$D$259)-$D$258)/$E$259,SUM($D$258:$D$259)-SUM($I258:DH$259))*(DI$7&gt;$E$258)</f>
        <v>0</v>
      </c>
      <c r="DJ259" s="151">
        <f>+MIN((SUM($D$258:$D$259)-$D$258)/$E$259,SUM($D$258:$D$259)-SUM($I258:DI$259))*(DJ$7&gt;$E$258)</f>
        <v>0</v>
      </c>
      <c r="DK259" s="151">
        <f>+MIN((SUM($D$258:$D$259)-$D$258)/$E$259,SUM($D$258:$D$259)-SUM($I258:DJ$259))*(DK$7&gt;$E$258)</f>
        <v>0</v>
      </c>
      <c r="DL259" s="151">
        <f>+MIN((SUM($D$258:$D$259)-$D$258)/$E$259,SUM($D$258:$D$259)-SUM($I258:DK$259))*(DL$7&gt;$E$258)</f>
        <v>0</v>
      </c>
      <c r="DM259" s="151">
        <f>+MIN((SUM($D$258:$D$259)-$D$258)/$E$259,SUM($D$258:$D$259)-SUM($I258:DL$259))*(DM$7&gt;$E$258)</f>
        <v>0</v>
      </c>
      <c r="DN259" s="151">
        <f>+MIN((SUM($D$258:$D$259)-$D$258)/$E$259,SUM($D$258:$D$259)-SUM($I258:DM$259))*(DN$7&gt;$E$258)</f>
        <v>0</v>
      </c>
      <c r="DO259" s="151">
        <f>+MIN((SUM($D$258:$D$259)-$D$258)/$E$259,SUM($D$258:$D$259)-SUM($I258:DN$259))*(DO$7&gt;$E$258)</f>
        <v>0</v>
      </c>
      <c r="DP259" s="151">
        <f>+MIN((SUM($D$258:$D$259)-$D$258)/$E$259,SUM($D$258:$D$259)-SUM($I258:DO$259))*(DP$7&gt;$E$258)</f>
        <v>0</v>
      </c>
      <c r="DQ259" s="151">
        <f>+MIN((SUM($D$258:$D$259)-$D$258)/$E$259,SUM($D$258:$D$259)-SUM($I258:DP$259))*(DQ$7&gt;$E$258)</f>
        <v>0</v>
      </c>
      <c r="DR259" s="151">
        <f>+MIN((SUM($D$258:$D$259)-$D$258)/$E$259,SUM($D$258:$D$259)-SUM($I258:DQ$259))*(DR$7&gt;$E$258)</f>
        <v>0</v>
      </c>
      <c r="DS259" s="151">
        <f>+MIN((SUM($D$258:$D$259)-$D$258)/$E$259,SUM($D$258:$D$259)-SUM($I258:DR$259))*(DS$7&gt;$E$258)</f>
        <v>0</v>
      </c>
      <c r="DT259" s="151">
        <f>+MIN((SUM($D$258:$D$259)-$D$258)/$E$259,SUM($D$258:$D$259)-SUM($I258:DS$259))*(DT$7&gt;$E$258)</f>
        <v>0</v>
      </c>
      <c r="DU259" s="151">
        <f>+MIN((SUM($D$258:$D$259)-$D$258)/$E$259,SUM($D$258:$D$259)-SUM($I258:DT$259))*(DU$7&gt;$E$258)</f>
        <v>0</v>
      </c>
      <c r="DV259" s="151">
        <f>+MIN((SUM($D$258:$D$259)-$D$258)/$E$259,SUM($D$258:$D$259)-SUM($I258:DU$259))*(DV$7&gt;$E$258)</f>
        <v>0</v>
      </c>
      <c r="DW259" s="151">
        <f>+MIN((SUM($D$258:$D$259)-$D$258)/$E$259,SUM($D$258:$D$259)-SUM($I258:DV$259))*(DW$7&gt;$E$258)</f>
        <v>0</v>
      </c>
      <c r="DX259" s="151">
        <f>+MIN((SUM($D$258:$D$259)-$D$258)/$E$259,SUM($D$258:$D$259)-SUM($I258:DW$259))*(DX$7&gt;$E$258)</f>
        <v>0</v>
      </c>
      <c r="DY259" s="151">
        <f>+MIN((SUM($D$258:$D$259)-$D$258)/$E$259,SUM($D$258:$D$259)-SUM($I258:DX$259))*(DY$7&gt;$E$258)</f>
        <v>0</v>
      </c>
    </row>
    <row r="260" spans="1:130" s="130" customFormat="1" ht="11.7" customHeight="1" outlineLevel="1" x14ac:dyDescent="0.25">
      <c r="A260" s="85"/>
      <c r="B260" s="196" t="s">
        <v>536</v>
      </c>
      <c r="C260" s="196"/>
      <c r="D260" s="324">
        <f>+SUM('Project Layout'!BE13:BE29)*Inputs!$G$122</f>
        <v>0</v>
      </c>
      <c r="E260" s="292">
        <f>+Inputs!F122</f>
        <v>45108</v>
      </c>
      <c r="F260" s="3"/>
      <c r="G260" s="127"/>
      <c r="H260" s="290">
        <f t="shared" si="258"/>
        <v>0</v>
      </c>
      <c r="I260" s="1094">
        <v>0</v>
      </c>
      <c r="J260" s="1094">
        <v>0</v>
      </c>
      <c r="K260" s="1094">
        <v>0</v>
      </c>
      <c r="L260" s="1094">
        <v>0</v>
      </c>
      <c r="M260" s="1094">
        <v>0</v>
      </c>
      <c r="N260" s="1094">
        <v>0</v>
      </c>
      <c r="O260" s="1094">
        <v>0</v>
      </c>
      <c r="P260" s="1094">
        <v>0</v>
      </c>
      <c r="Q260" s="1094">
        <v>0</v>
      </c>
      <c r="R260" s="1094">
        <v>0</v>
      </c>
      <c r="S260" s="1094">
        <v>0</v>
      </c>
      <c r="T260" s="1094">
        <v>0</v>
      </c>
      <c r="U260" s="1094">
        <v>0</v>
      </c>
      <c r="V260" s="1094">
        <v>0</v>
      </c>
      <c r="W260" s="1094">
        <v>0</v>
      </c>
      <c r="X260" s="1094">
        <v>0</v>
      </c>
      <c r="Y260" s="1094">
        <v>0</v>
      </c>
      <c r="Z260" s="1094">
        <v>0</v>
      </c>
      <c r="AA260" s="1094">
        <v>0</v>
      </c>
      <c r="AB260" s="1094">
        <v>0</v>
      </c>
      <c r="AC260" s="1094">
        <v>0</v>
      </c>
      <c r="AD260" s="1094">
        <v>0</v>
      </c>
      <c r="AE260" s="1094">
        <v>0</v>
      </c>
      <c r="AF260" s="1094">
        <v>0</v>
      </c>
      <c r="AG260" s="1094">
        <v>0</v>
      </c>
      <c r="AH260" s="1094">
        <v>0</v>
      </c>
      <c r="AI260" s="1094">
        <v>0</v>
      </c>
      <c r="AJ260" s="1094">
        <v>0</v>
      </c>
      <c r="AK260" s="1094">
        <v>0</v>
      </c>
      <c r="AL260" s="1094">
        <v>0</v>
      </c>
      <c r="AM260" s="1094">
        <v>0</v>
      </c>
      <c r="AN260" s="1094">
        <v>0</v>
      </c>
      <c r="AO260" s="1094">
        <v>0</v>
      </c>
      <c r="AP260" s="1094">
        <v>0</v>
      </c>
      <c r="AQ260" s="1094">
        <v>0</v>
      </c>
      <c r="AR260" s="1094">
        <v>0</v>
      </c>
      <c r="AS260" s="1094">
        <v>0</v>
      </c>
      <c r="AT260" s="1094">
        <v>0</v>
      </c>
      <c r="AU260" s="1094">
        <v>0</v>
      </c>
      <c r="AV260" s="1094">
        <v>0</v>
      </c>
      <c r="AW260" s="1094">
        <v>0</v>
      </c>
      <c r="AX260" s="1094">
        <v>0</v>
      </c>
      <c r="AY260" s="1094">
        <v>0</v>
      </c>
      <c r="AZ260" s="1094">
        <v>0</v>
      </c>
      <c r="BA260" s="1094">
        <v>0</v>
      </c>
      <c r="BB260" s="1094">
        <v>0</v>
      </c>
      <c r="BC260" s="1094">
        <v>0</v>
      </c>
      <c r="BD260" s="1094">
        <v>0</v>
      </c>
      <c r="BE260" s="1094">
        <v>0</v>
      </c>
      <c r="BF260" s="1094">
        <v>0</v>
      </c>
      <c r="BG260" s="1094">
        <v>0</v>
      </c>
      <c r="BH260" s="1094">
        <v>0</v>
      </c>
      <c r="BI260" s="1094">
        <v>0</v>
      </c>
      <c r="BJ260" s="1094">
        <v>0</v>
      </c>
      <c r="BK260" s="1094">
        <v>0</v>
      </c>
      <c r="BL260" s="1094">
        <v>0</v>
      </c>
      <c r="BM260" s="1094">
        <v>0</v>
      </c>
      <c r="BN260" s="1094">
        <v>0</v>
      </c>
      <c r="BO260" s="1094">
        <v>0</v>
      </c>
      <c r="BP260" s="1094">
        <v>0</v>
      </c>
      <c r="BQ260" s="1094">
        <v>0</v>
      </c>
      <c r="BR260" s="1094">
        <v>0</v>
      </c>
      <c r="BS260" s="1094">
        <v>0</v>
      </c>
      <c r="BT260" s="1094">
        <v>0</v>
      </c>
      <c r="BU260" s="1094">
        <v>0</v>
      </c>
      <c r="BV260" s="1094">
        <v>0</v>
      </c>
      <c r="BW260" s="1094">
        <v>0</v>
      </c>
      <c r="BX260" s="1094">
        <v>0</v>
      </c>
      <c r="BY260" s="1094">
        <v>0</v>
      </c>
      <c r="BZ260" s="1094">
        <v>0</v>
      </c>
      <c r="CA260" s="151">
        <f t="shared" ref="CA260:DF260" si="261">+$D$260*(CA$6=$E$260)</f>
        <v>0</v>
      </c>
      <c r="CB260" s="151">
        <f t="shared" si="261"/>
        <v>0</v>
      </c>
      <c r="CC260" s="151">
        <f t="shared" si="261"/>
        <v>0</v>
      </c>
      <c r="CD260" s="151">
        <f t="shared" si="261"/>
        <v>0</v>
      </c>
      <c r="CE260" s="151">
        <f t="shared" si="261"/>
        <v>0</v>
      </c>
      <c r="CF260" s="151">
        <f t="shared" si="261"/>
        <v>0</v>
      </c>
      <c r="CG260" s="151">
        <f t="shared" si="261"/>
        <v>0</v>
      </c>
      <c r="CH260" s="151">
        <f t="shared" si="261"/>
        <v>0</v>
      </c>
      <c r="CI260" s="151">
        <f t="shared" si="261"/>
        <v>0</v>
      </c>
      <c r="CJ260" s="151">
        <f t="shared" si="261"/>
        <v>0</v>
      </c>
      <c r="CK260" s="151">
        <f t="shared" si="261"/>
        <v>0</v>
      </c>
      <c r="CL260" s="151">
        <f t="shared" si="261"/>
        <v>0</v>
      </c>
      <c r="CM260" s="151">
        <f t="shared" si="261"/>
        <v>0</v>
      </c>
      <c r="CN260" s="151">
        <f t="shared" si="261"/>
        <v>0</v>
      </c>
      <c r="CO260" s="151">
        <f t="shared" si="261"/>
        <v>0</v>
      </c>
      <c r="CP260" s="151">
        <f t="shared" si="261"/>
        <v>0</v>
      </c>
      <c r="CQ260" s="151">
        <f t="shared" si="261"/>
        <v>0</v>
      </c>
      <c r="CR260" s="151">
        <f t="shared" si="261"/>
        <v>0</v>
      </c>
      <c r="CS260" s="151">
        <f t="shared" si="261"/>
        <v>0</v>
      </c>
      <c r="CT260" s="151">
        <f t="shared" si="261"/>
        <v>0</v>
      </c>
      <c r="CU260" s="151">
        <f t="shared" si="261"/>
        <v>0</v>
      </c>
      <c r="CV260" s="151">
        <f t="shared" si="261"/>
        <v>0</v>
      </c>
      <c r="CW260" s="151">
        <f t="shared" si="261"/>
        <v>0</v>
      </c>
      <c r="CX260" s="151">
        <f t="shared" si="261"/>
        <v>0</v>
      </c>
      <c r="CY260" s="151">
        <f t="shared" si="261"/>
        <v>0</v>
      </c>
      <c r="CZ260" s="151">
        <f t="shared" si="261"/>
        <v>0</v>
      </c>
      <c r="DA260" s="151">
        <f t="shared" si="261"/>
        <v>0</v>
      </c>
      <c r="DB260" s="151">
        <f t="shared" si="261"/>
        <v>0</v>
      </c>
      <c r="DC260" s="151">
        <f t="shared" si="261"/>
        <v>0</v>
      </c>
      <c r="DD260" s="151">
        <f t="shared" si="261"/>
        <v>0</v>
      </c>
      <c r="DE260" s="151">
        <f t="shared" si="261"/>
        <v>0</v>
      </c>
      <c r="DF260" s="151">
        <f t="shared" si="261"/>
        <v>0</v>
      </c>
      <c r="DG260" s="151">
        <f t="shared" ref="DG260:DY260" si="262">+$D$260*(DG$6=$E$260)</f>
        <v>0</v>
      </c>
      <c r="DH260" s="151">
        <f t="shared" si="262"/>
        <v>0</v>
      </c>
      <c r="DI260" s="151">
        <f t="shared" si="262"/>
        <v>0</v>
      </c>
      <c r="DJ260" s="151">
        <f t="shared" si="262"/>
        <v>0</v>
      </c>
      <c r="DK260" s="151">
        <f t="shared" si="262"/>
        <v>0</v>
      </c>
      <c r="DL260" s="151">
        <f t="shared" si="262"/>
        <v>0</v>
      </c>
      <c r="DM260" s="151">
        <f t="shared" si="262"/>
        <v>0</v>
      </c>
      <c r="DN260" s="151">
        <f t="shared" si="262"/>
        <v>0</v>
      </c>
      <c r="DO260" s="151">
        <f t="shared" si="262"/>
        <v>0</v>
      </c>
      <c r="DP260" s="151">
        <f t="shared" si="262"/>
        <v>0</v>
      </c>
      <c r="DQ260" s="151">
        <f t="shared" si="262"/>
        <v>0</v>
      </c>
      <c r="DR260" s="151">
        <f t="shared" si="262"/>
        <v>0</v>
      </c>
      <c r="DS260" s="151">
        <f t="shared" si="262"/>
        <v>0</v>
      </c>
      <c r="DT260" s="151">
        <f t="shared" si="262"/>
        <v>0</v>
      </c>
      <c r="DU260" s="151">
        <f t="shared" si="262"/>
        <v>0</v>
      </c>
      <c r="DV260" s="151">
        <f t="shared" si="262"/>
        <v>0</v>
      </c>
      <c r="DW260" s="151">
        <f t="shared" si="262"/>
        <v>0</v>
      </c>
      <c r="DX260" s="151">
        <f t="shared" si="262"/>
        <v>0</v>
      </c>
      <c r="DY260" s="151">
        <f t="shared" si="262"/>
        <v>0</v>
      </c>
    </row>
    <row r="261" spans="1:130" s="130" customFormat="1" ht="11.7" customHeight="1" outlineLevel="1" x14ac:dyDescent="0.25">
      <c r="A261" s="85"/>
      <c r="B261" s="196" t="s">
        <v>393</v>
      </c>
      <c r="C261" s="196"/>
      <c r="D261" s="324">
        <f>+SUM('Project Layout'!BE13:BE29)-'Monthly UF Model'!D260</f>
        <v>381.4</v>
      </c>
      <c r="E261" s="621">
        <f>+Inputs!$G$129</f>
        <v>6</v>
      </c>
      <c r="F261" s="3"/>
      <c r="G261" s="127"/>
      <c r="H261" s="290">
        <f t="shared" si="258"/>
        <v>381.4</v>
      </c>
      <c r="I261" s="1094">
        <v>0</v>
      </c>
      <c r="J261" s="1094">
        <v>0</v>
      </c>
      <c r="K261" s="1094">
        <v>0</v>
      </c>
      <c r="L261" s="1094">
        <v>0</v>
      </c>
      <c r="M261" s="1094">
        <v>0</v>
      </c>
      <c r="N261" s="1094">
        <v>0</v>
      </c>
      <c r="O261" s="1094">
        <v>0</v>
      </c>
      <c r="P261" s="1094">
        <v>0</v>
      </c>
      <c r="Q261" s="1094">
        <v>0</v>
      </c>
      <c r="R261" s="1094">
        <v>0</v>
      </c>
      <c r="S261" s="1094">
        <v>0</v>
      </c>
      <c r="T261" s="1094">
        <v>0</v>
      </c>
      <c r="U261" s="1094">
        <v>0</v>
      </c>
      <c r="V261" s="1094">
        <v>0</v>
      </c>
      <c r="W261" s="1094">
        <v>0</v>
      </c>
      <c r="X261" s="1094">
        <v>0</v>
      </c>
      <c r="Y261" s="1094">
        <v>0</v>
      </c>
      <c r="Z261" s="1094">
        <v>0</v>
      </c>
      <c r="AA261" s="1094">
        <v>0</v>
      </c>
      <c r="AB261" s="1094">
        <v>0</v>
      </c>
      <c r="AC261" s="1094">
        <v>0</v>
      </c>
      <c r="AD261" s="1094">
        <v>0</v>
      </c>
      <c r="AE261" s="1094">
        <v>0</v>
      </c>
      <c r="AF261" s="1094">
        <v>0</v>
      </c>
      <c r="AG261" s="1094">
        <v>0</v>
      </c>
      <c r="AH261" s="1094">
        <v>0</v>
      </c>
      <c r="AI261" s="1094">
        <v>0</v>
      </c>
      <c r="AJ261" s="1094">
        <v>0</v>
      </c>
      <c r="AK261" s="1094">
        <v>0</v>
      </c>
      <c r="AL261" s="1094">
        <v>0</v>
      </c>
      <c r="AM261" s="1094">
        <v>0</v>
      </c>
      <c r="AN261" s="1094">
        <v>0</v>
      </c>
      <c r="AO261" s="1094">
        <v>0</v>
      </c>
      <c r="AP261" s="1094">
        <v>0</v>
      </c>
      <c r="AQ261" s="1094">
        <v>0</v>
      </c>
      <c r="AR261" s="1094">
        <v>0</v>
      </c>
      <c r="AS261" s="1094">
        <v>0</v>
      </c>
      <c r="AT261" s="1094">
        <v>0</v>
      </c>
      <c r="AU261" s="1094">
        <v>0</v>
      </c>
      <c r="AV261" s="1094">
        <v>0</v>
      </c>
      <c r="AW261" s="1094">
        <v>0</v>
      </c>
      <c r="AX261" s="1094">
        <v>0</v>
      </c>
      <c r="AY261" s="1094">
        <v>0</v>
      </c>
      <c r="AZ261" s="1094">
        <v>0</v>
      </c>
      <c r="BA261" s="1094">
        <v>0</v>
      </c>
      <c r="BB261" s="1094">
        <v>0</v>
      </c>
      <c r="BC261" s="1094">
        <v>0</v>
      </c>
      <c r="BD261" s="1094">
        <v>0</v>
      </c>
      <c r="BE261" s="1094">
        <v>0</v>
      </c>
      <c r="BF261" s="1094">
        <v>0</v>
      </c>
      <c r="BG261" s="1094">
        <v>0</v>
      </c>
      <c r="BH261" s="1094">
        <v>0</v>
      </c>
      <c r="BI261" s="1094">
        <v>0</v>
      </c>
      <c r="BJ261" s="1094">
        <v>0</v>
      </c>
      <c r="BK261" s="1094">
        <v>0</v>
      </c>
      <c r="BL261" s="1094">
        <v>0</v>
      </c>
      <c r="BM261" s="1094">
        <v>0</v>
      </c>
      <c r="BN261" s="1094">
        <v>0</v>
      </c>
      <c r="BO261" s="1094">
        <v>0</v>
      </c>
      <c r="BP261" s="1094">
        <v>0</v>
      </c>
      <c r="BQ261" s="1094">
        <v>0</v>
      </c>
      <c r="BR261" s="1094">
        <v>0</v>
      </c>
      <c r="BS261" s="1094">
        <v>0</v>
      </c>
      <c r="BT261" s="1094">
        <v>0</v>
      </c>
      <c r="BU261" s="1094">
        <v>0</v>
      </c>
      <c r="BV261" s="1094">
        <v>0</v>
      </c>
      <c r="BW261" s="1094">
        <v>52.45</v>
      </c>
      <c r="BX261" s="1094">
        <v>0</v>
      </c>
      <c r="BY261" s="1094">
        <v>0</v>
      </c>
      <c r="BZ261" s="1094">
        <v>0</v>
      </c>
      <c r="CA261" s="151">
        <f>+MIN((SUM($D$260:$D$261)-$D$260)/$E$261,SUM($D$260:$D$261)-SUM($I$260:BZ261))*(CA$7&gt;$E$260)</f>
        <v>63.566666666666663</v>
      </c>
      <c r="CB261" s="151">
        <f>+MIN((SUM($D$260:$D$261)-$D$260)/$E$261,SUM($D$260:$D$261)-SUM($I$260:CA261))*(CB$7&gt;$E$260)</f>
        <v>63.566666666666663</v>
      </c>
      <c r="CC261" s="151">
        <f>+MIN((SUM($D$260:$D$261)-$D$260)/$E$261,SUM($D$260:$D$261)-SUM($I$260:CB261))*(CC$7&gt;$E$260)</f>
        <v>63.566666666666663</v>
      </c>
      <c r="CD261" s="151">
        <f>+MIN((SUM($D$260:$D$261)-$D$260)/$E$261,SUM($D$260:$D$261)-SUM($I$260:CC261))*(CD$7&gt;$E$260)</f>
        <v>63.566666666666663</v>
      </c>
      <c r="CE261" s="151">
        <f>+MIN((SUM($D$260:$D$261)-$D$260)/$E$261,SUM($D$260:$D$261)-SUM($I$260:CD261))*(CE$7&gt;$E$260)</f>
        <v>63.566666666666663</v>
      </c>
      <c r="CF261" s="151">
        <f>+MIN((SUM($D$260:$D$261)-$D$260)/$E$261,SUM($D$260:$D$261)-SUM($I$260:CE261))*(CF$7&gt;$E$260)</f>
        <v>11.116666666666674</v>
      </c>
      <c r="CG261" s="151">
        <f>+MIN((SUM($D$260:$D$261)-$D$260)/$E$261,SUM($D$260:$D$261)-SUM($I$260:CF261))*(CG$7&gt;$E$260)</f>
        <v>0</v>
      </c>
      <c r="CH261" s="151">
        <f>+MIN((SUM($D$260:$D$261)-$D$260)/$E$261,SUM($D$260:$D$261)-SUM($I$260:CG261))*(CH$7&gt;$E$260)</f>
        <v>0</v>
      </c>
      <c r="CI261" s="151">
        <f>+MIN((SUM($D$260:$D$261)-$D$260)/$E$261,SUM($D$260:$D$261)-SUM($I$260:CH261))*(CI$7&gt;$E$260)</f>
        <v>0</v>
      </c>
      <c r="CJ261" s="151">
        <f>+MIN((SUM($D$260:$D$261)-$D$260)/$E$261,SUM($D$260:$D$261)-SUM($I$260:CI261))*(CJ$7&gt;$E$260)</f>
        <v>0</v>
      </c>
      <c r="CK261" s="151">
        <f>+MIN((SUM($D$260:$D$261)-$D$260)/$E$261,SUM($D$260:$D$261)-SUM($I$260:CJ261))*(CK$7&gt;$E$260)</f>
        <v>0</v>
      </c>
      <c r="CL261" s="151">
        <f>+MIN((SUM($D$260:$D$261)-$D$260)/$E$261,SUM($D$260:$D$261)-SUM($I$260:CK261))*(CL$7&gt;$E$260)</f>
        <v>0</v>
      </c>
      <c r="CM261" s="151">
        <f>+MIN((SUM($D$260:$D$261)-$D$260)/$E$261,SUM($D$260:$D$261)-SUM($I$260:CL261))*(CM$7&gt;$E$260)</f>
        <v>0</v>
      </c>
      <c r="CN261" s="151">
        <f>+MIN((SUM($D$260:$D$261)-$D$260)/$E$261,SUM($D$260:$D$261)-SUM($I$260:CM261))*(CN$7&gt;$E$260)</f>
        <v>0</v>
      </c>
      <c r="CO261" s="151">
        <f>+MIN((SUM($D$260:$D$261)-$D$260)/$E$261,SUM($D$260:$D$261)-SUM($I$260:CN261))*(CO$7&gt;$E$260)</f>
        <v>0</v>
      </c>
      <c r="CP261" s="151">
        <f>+MIN((SUM($D$260:$D$261)-$D$260)/$E$261,SUM($D$260:$D$261)-SUM($I$260:CO261))*(CP$7&gt;$E$260)</f>
        <v>0</v>
      </c>
      <c r="CQ261" s="151">
        <f>+MIN((SUM($D$260:$D$261)-$D$260)/$E$261,SUM($D$260:$D$261)-SUM($I$260:CP261))*(CQ$7&gt;$E$260)</f>
        <v>0</v>
      </c>
      <c r="CR261" s="151">
        <f>+MIN((SUM($D$260:$D$261)-$D$260)/$E$261,SUM($D$260:$D$261)-SUM($I$260:CQ261))*(CR$7&gt;$E$260)</f>
        <v>0</v>
      </c>
      <c r="CS261" s="151">
        <f>+MIN((SUM($D$260:$D$261)-$D$260)/$E$261,SUM($D$260:$D$261)-SUM($I$260:CR261))*(CS$7&gt;$E$260)</f>
        <v>0</v>
      </c>
      <c r="CT261" s="151">
        <f>+MIN((SUM($D$260:$D$261)-$D$260)/$E$261,SUM($D$260:$D$261)-SUM($I$260:CS261))*(CT$7&gt;$E$260)</f>
        <v>0</v>
      </c>
      <c r="CU261" s="151">
        <f>+MIN((SUM($D$260:$D$261)-$D$260)/$E$261,SUM($D$260:$D$261)-SUM($I$260:CT261))*(CU$7&gt;$E$260)</f>
        <v>0</v>
      </c>
      <c r="CV261" s="151">
        <f>+MIN((SUM($D$260:$D$261)-$D$260)/$E$261,SUM($D$260:$D$261)-SUM($I$260:CU261))*(CV$7&gt;$E$260)</f>
        <v>0</v>
      </c>
      <c r="CW261" s="151">
        <f>+MIN((SUM($D$260:$D$261)-$D$260)/$E$261,SUM($D$260:$D$261)-SUM($I$260:CV261))*(CW$7&gt;$E$260)</f>
        <v>0</v>
      </c>
      <c r="CX261" s="151">
        <f>+MIN((SUM($D$260:$D$261)-$D$260)/$E$261,SUM($D$260:$D$261)-SUM($I$260:CW261))*(CX$7&gt;$E$260)</f>
        <v>0</v>
      </c>
      <c r="CY261" s="151">
        <f>+MIN((SUM($D$260:$D$261)-$D$260)/$E$261,SUM($D$260:$D$261)-SUM($I$260:CX261))*(CY$7&gt;$E$260)</f>
        <v>0</v>
      </c>
      <c r="CZ261" s="151">
        <f>+MIN((SUM($D$260:$D$261)-$D$260)/$E$261,SUM($D$260:$D$261)-SUM($I$260:CY261))*(CZ$7&gt;$E$260)</f>
        <v>0</v>
      </c>
      <c r="DA261" s="151">
        <f>+MIN((SUM($D$260:$D$261)-$D$260)/$E$261,SUM($D$260:$D$261)-SUM($I$260:CZ261))*(DA$7&gt;$E$260)</f>
        <v>0</v>
      </c>
      <c r="DB261" s="151">
        <f>+MIN((SUM($D$260:$D$261)-$D$260)/$E$261,SUM($D$260:$D$261)-SUM($I$260:DA261))*(DB$7&gt;$E$260)</f>
        <v>0</v>
      </c>
      <c r="DC261" s="151">
        <f>+MIN((SUM($D$260:$D$261)-$D$260)/$E$261,SUM($D$260:$D$261)-SUM($I$260:DB261))*(DC$7&gt;$E$260)</f>
        <v>0</v>
      </c>
      <c r="DD261" s="151">
        <f>+MIN((SUM($D$260:$D$261)-$D$260)/$E$261,SUM($D$260:$D$261)-SUM($I$260:DC261))*(DD$7&gt;$E$260)</f>
        <v>0</v>
      </c>
      <c r="DE261" s="151">
        <f>+MIN((SUM($D$260:$D$261)-$D$260)/$E$261,SUM($D$260:$D$261)-SUM($I$260:DD261))*(DE$7&gt;$E$260)</f>
        <v>0</v>
      </c>
      <c r="DF261" s="151">
        <f>+MIN((SUM($D$260:$D$261)-$D$260)/$E$261,SUM($D$260:$D$261)-SUM($I$260:DE261))*(DF$7&gt;$E$260)</f>
        <v>0</v>
      </c>
      <c r="DG261" s="151">
        <f>+MIN((SUM($D$260:$D$261)-$D$260)/$E$261,SUM($D$260:$D$261)-SUM($I$260:DF261))*(DG$7&gt;$E$260)</f>
        <v>0</v>
      </c>
      <c r="DH261" s="151">
        <f>+MIN((SUM($D$260:$D$261)-$D$260)/$E$261,SUM($D$260:$D$261)-SUM($I$260:DG261))*(DH$7&gt;$E$260)</f>
        <v>0</v>
      </c>
      <c r="DI261" s="151">
        <f>+MIN((SUM($D$260:$D$261)-$D$260)/$E$261,SUM($D$260:$D$261)-SUM($I$260:DH261))*(DI$7&gt;$E$260)</f>
        <v>0</v>
      </c>
      <c r="DJ261" s="151">
        <f>+MIN((SUM($D$260:$D$261)-$D$260)/$E$261,SUM($D$260:$D$261)-SUM($I$260:DI261))*(DJ$7&gt;$E$260)</f>
        <v>0</v>
      </c>
      <c r="DK261" s="151">
        <f>+MIN((SUM($D$260:$D$261)-$D$260)/$E$261,SUM($D$260:$D$261)-SUM($I$260:DJ261))*(DK$7&gt;$E$260)</f>
        <v>0</v>
      </c>
      <c r="DL261" s="151">
        <f>+MIN((SUM($D$260:$D$261)-$D$260)/$E$261,SUM($D$260:$D$261)-SUM($I$260:DK261))*(DL$7&gt;$E$260)</f>
        <v>0</v>
      </c>
      <c r="DM261" s="151">
        <f>+MIN((SUM($D$260:$D$261)-$D$260)/$E$261,SUM($D$260:$D$261)-SUM($I$260:DL261))*(DM$7&gt;$E$260)</f>
        <v>0</v>
      </c>
      <c r="DN261" s="151">
        <f>+MIN((SUM($D$260:$D$261)-$D$260)/$E$261,SUM($D$260:$D$261)-SUM($I$260:DM261))*(DN$7&gt;$E$260)</f>
        <v>0</v>
      </c>
      <c r="DO261" s="151">
        <f>+MIN((SUM($D$260:$D$261)-$D$260)/$E$261,SUM($D$260:$D$261)-SUM($I$260:DN261))*(DO$7&gt;$E$260)</f>
        <v>0</v>
      </c>
      <c r="DP261" s="151">
        <f>+MIN((SUM($D$260:$D$261)-$D$260)/$E$261,SUM($D$260:$D$261)-SUM($I$260:DO261))*(DP$7&gt;$E$260)</f>
        <v>0</v>
      </c>
      <c r="DQ261" s="151">
        <f>+MIN((SUM($D$260:$D$261)-$D$260)/$E$261,SUM($D$260:$D$261)-SUM($I$260:DP261))*(DQ$7&gt;$E$260)</f>
        <v>0</v>
      </c>
      <c r="DR261" s="151">
        <f>+MIN((SUM($D$260:$D$261)-$D$260)/$E$261,SUM($D$260:$D$261)-SUM($I$260:DQ261))*(DR$7&gt;$E$260)</f>
        <v>0</v>
      </c>
      <c r="DS261" s="151">
        <f>+MIN((SUM($D$260:$D$261)-$D$260)/$E$261,SUM($D$260:$D$261)-SUM($I$260:DR261))*(DS$7&gt;$E$260)</f>
        <v>0</v>
      </c>
      <c r="DT261" s="151">
        <f>+MIN((SUM($D$260:$D$261)-$D$260)/$E$261,SUM($D$260:$D$261)-SUM($I$260:DS261))*(DT$7&gt;$E$260)</f>
        <v>0</v>
      </c>
      <c r="DU261" s="151">
        <f>+MIN((SUM($D$260:$D$261)-$D$260)/$E$261,SUM($D$260:$D$261)-SUM($I$260:DT261))*(DU$7&gt;$E$260)</f>
        <v>0</v>
      </c>
      <c r="DV261" s="151">
        <f>+MIN((SUM($D$260:$D$261)-$D$260)/$E$261,SUM($D$260:$D$261)-SUM($I$260:DU261))*(DV$7&gt;$E$260)</f>
        <v>0</v>
      </c>
      <c r="DW261" s="151">
        <f>+MIN((SUM($D$260:$D$261)-$D$260)/$E$261,SUM($D$260:$D$261)-SUM($I$260:DV261))*(DW$7&gt;$E$260)</f>
        <v>0</v>
      </c>
      <c r="DX261" s="151">
        <f>+MIN((SUM($D$260:$D$261)-$D$260)/$E$261,SUM($D$260:$D$261)-SUM($I$260:DW261))*(DX$7&gt;$E$260)</f>
        <v>0</v>
      </c>
      <c r="DY261" s="151">
        <f>+MIN((SUM($D$260:$D$261)-$D$260)/$E$261,SUM($D$260:$D$261)-SUM($I$260:DX261))*(DY$7&gt;$E$260)</f>
        <v>0</v>
      </c>
    </row>
    <row r="262" spans="1:130" s="130" customFormat="1" ht="11.7" customHeight="1" outlineLevel="1" x14ac:dyDescent="0.25">
      <c r="A262" s="85"/>
      <c r="B262" s="196" t="s">
        <v>506</v>
      </c>
      <c r="C262" s="196"/>
      <c r="D262" s="324">
        <f>+'Project Layout'!BE30*Inputs!G123</f>
        <v>0</v>
      </c>
      <c r="E262" s="292">
        <f>+Inputs!F123</f>
        <v>45108</v>
      </c>
      <c r="F262" s="150"/>
      <c r="G262" s="127"/>
      <c r="H262" s="290">
        <f t="shared" si="258"/>
        <v>0</v>
      </c>
      <c r="I262" s="1094">
        <v>0</v>
      </c>
      <c r="J262" s="1094">
        <v>0</v>
      </c>
      <c r="K262" s="1094">
        <v>0</v>
      </c>
      <c r="L262" s="1094">
        <v>0</v>
      </c>
      <c r="M262" s="1094">
        <v>0</v>
      </c>
      <c r="N262" s="1094">
        <v>0</v>
      </c>
      <c r="O262" s="1094">
        <v>0</v>
      </c>
      <c r="P262" s="1094">
        <v>0</v>
      </c>
      <c r="Q262" s="1094">
        <v>0</v>
      </c>
      <c r="R262" s="1094">
        <v>0</v>
      </c>
      <c r="S262" s="1094">
        <v>0</v>
      </c>
      <c r="T262" s="1094">
        <v>0</v>
      </c>
      <c r="U262" s="1094">
        <v>0</v>
      </c>
      <c r="V262" s="1094">
        <v>0</v>
      </c>
      <c r="W262" s="1094">
        <v>0</v>
      </c>
      <c r="X262" s="1094">
        <v>0</v>
      </c>
      <c r="Y262" s="1094">
        <v>0</v>
      </c>
      <c r="Z262" s="1094">
        <v>0</v>
      </c>
      <c r="AA262" s="1094">
        <v>0</v>
      </c>
      <c r="AB262" s="1094">
        <v>0</v>
      </c>
      <c r="AC262" s="1094">
        <v>0</v>
      </c>
      <c r="AD262" s="1094">
        <v>0</v>
      </c>
      <c r="AE262" s="1094">
        <v>0</v>
      </c>
      <c r="AF262" s="1094">
        <v>0</v>
      </c>
      <c r="AG262" s="1094">
        <v>0</v>
      </c>
      <c r="AH262" s="1094">
        <v>0</v>
      </c>
      <c r="AI262" s="1094">
        <v>0</v>
      </c>
      <c r="AJ262" s="1094">
        <v>0</v>
      </c>
      <c r="AK262" s="1094">
        <v>0</v>
      </c>
      <c r="AL262" s="1094">
        <v>0</v>
      </c>
      <c r="AM262" s="1094">
        <v>0</v>
      </c>
      <c r="AN262" s="1094">
        <v>0</v>
      </c>
      <c r="AO262" s="1094">
        <v>0</v>
      </c>
      <c r="AP262" s="1094">
        <v>0</v>
      </c>
      <c r="AQ262" s="1094">
        <v>0</v>
      </c>
      <c r="AR262" s="1094">
        <v>0</v>
      </c>
      <c r="AS262" s="1094">
        <v>0</v>
      </c>
      <c r="AT262" s="1094">
        <v>0</v>
      </c>
      <c r="AU262" s="1094">
        <v>0</v>
      </c>
      <c r="AV262" s="1094">
        <v>0</v>
      </c>
      <c r="AW262" s="1094">
        <v>0</v>
      </c>
      <c r="AX262" s="1094">
        <v>0</v>
      </c>
      <c r="AY262" s="1094">
        <v>0</v>
      </c>
      <c r="AZ262" s="1094">
        <v>0</v>
      </c>
      <c r="BA262" s="1094">
        <v>0</v>
      </c>
      <c r="BB262" s="1094">
        <v>0</v>
      </c>
      <c r="BC262" s="1094">
        <v>0</v>
      </c>
      <c r="BD262" s="1094">
        <v>0</v>
      </c>
      <c r="BE262" s="1094">
        <v>0</v>
      </c>
      <c r="BF262" s="1094">
        <v>0</v>
      </c>
      <c r="BG262" s="1094">
        <v>0</v>
      </c>
      <c r="BH262" s="1094">
        <v>0</v>
      </c>
      <c r="BI262" s="1094">
        <v>0</v>
      </c>
      <c r="BJ262" s="1094">
        <v>0</v>
      </c>
      <c r="BK262" s="1094">
        <v>0</v>
      </c>
      <c r="BL262" s="1094">
        <v>0</v>
      </c>
      <c r="BM262" s="1094">
        <v>0</v>
      </c>
      <c r="BN262" s="1094">
        <v>0</v>
      </c>
      <c r="BO262" s="1094">
        <v>0</v>
      </c>
      <c r="BP262" s="1094">
        <v>0</v>
      </c>
      <c r="BQ262" s="1094">
        <v>0</v>
      </c>
      <c r="BR262" s="1094">
        <v>0</v>
      </c>
      <c r="BS262" s="1094">
        <v>0</v>
      </c>
      <c r="BT262" s="1094">
        <v>0</v>
      </c>
      <c r="BU262" s="1094">
        <v>0</v>
      </c>
      <c r="BV262" s="1094">
        <v>0</v>
      </c>
      <c r="BW262" s="1094">
        <v>0</v>
      </c>
      <c r="BX262" s="1094">
        <v>0</v>
      </c>
      <c r="BY262" s="1094">
        <v>0</v>
      </c>
      <c r="BZ262" s="1094">
        <v>0</v>
      </c>
      <c r="CA262" s="151">
        <f t="shared" ref="CA262:DF262" si="263">+$D$262*(CA$6=$E$262)</f>
        <v>0</v>
      </c>
      <c r="CB262" s="151">
        <f t="shared" si="263"/>
        <v>0</v>
      </c>
      <c r="CC262" s="151">
        <f t="shared" si="263"/>
        <v>0</v>
      </c>
      <c r="CD262" s="151">
        <f t="shared" si="263"/>
        <v>0</v>
      </c>
      <c r="CE262" s="151">
        <f t="shared" si="263"/>
        <v>0</v>
      </c>
      <c r="CF262" s="151">
        <f t="shared" si="263"/>
        <v>0</v>
      </c>
      <c r="CG262" s="151">
        <f t="shared" si="263"/>
        <v>0</v>
      </c>
      <c r="CH262" s="151">
        <f t="shared" si="263"/>
        <v>0</v>
      </c>
      <c r="CI262" s="151">
        <f t="shared" si="263"/>
        <v>0</v>
      </c>
      <c r="CJ262" s="151">
        <f t="shared" si="263"/>
        <v>0</v>
      </c>
      <c r="CK262" s="151">
        <f t="shared" si="263"/>
        <v>0</v>
      </c>
      <c r="CL262" s="151">
        <f t="shared" si="263"/>
        <v>0</v>
      </c>
      <c r="CM262" s="151">
        <f t="shared" si="263"/>
        <v>0</v>
      </c>
      <c r="CN262" s="151">
        <f t="shared" si="263"/>
        <v>0</v>
      </c>
      <c r="CO262" s="151">
        <f t="shared" si="263"/>
        <v>0</v>
      </c>
      <c r="CP262" s="151">
        <f t="shared" si="263"/>
        <v>0</v>
      </c>
      <c r="CQ262" s="151">
        <f t="shared" si="263"/>
        <v>0</v>
      </c>
      <c r="CR262" s="151">
        <f t="shared" si="263"/>
        <v>0</v>
      </c>
      <c r="CS262" s="151">
        <f t="shared" si="263"/>
        <v>0</v>
      </c>
      <c r="CT262" s="151">
        <f t="shared" si="263"/>
        <v>0</v>
      </c>
      <c r="CU262" s="151">
        <f t="shared" si="263"/>
        <v>0</v>
      </c>
      <c r="CV262" s="151">
        <f t="shared" si="263"/>
        <v>0</v>
      </c>
      <c r="CW262" s="151">
        <f t="shared" si="263"/>
        <v>0</v>
      </c>
      <c r="CX262" s="151">
        <f t="shared" si="263"/>
        <v>0</v>
      </c>
      <c r="CY262" s="151">
        <f t="shared" si="263"/>
        <v>0</v>
      </c>
      <c r="CZ262" s="151">
        <f t="shared" si="263"/>
        <v>0</v>
      </c>
      <c r="DA262" s="151">
        <f t="shared" si="263"/>
        <v>0</v>
      </c>
      <c r="DB262" s="151">
        <f t="shared" si="263"/>
        <v>0</v>
      </c>
      <c r="DC262" s="151">
        <f t="shared" si="263"/>
        <v>0</v>
      </c>
      <c r="DD262" s="151">
        <f t="shared" si="263"/>
        <v>0</v>
      </c>
      <c r="DE262" s="151">
        <f t="shared" si="263"/>
        <v>0</v>
      </c>
      <c r="DF262" s="151">
        <f t="shared" si="263"/>
        <v>0</v>
      </c>
      <c r="DG262" s="151">
        <f t="shared" ref="DG262:DY262" si="264">+$D$262*(DG$6=$E$262)</f>
        <v>0</v>
      </c>
      <c r="DH262" s="151">
        <f t="shared" si="264"/>
        <v>0</v>
      </c>
      <c r="DI262" s="151">
        <f t="shared" si="264"/>
        <v>0</v>
      </c>
      <c r="DJ262" s="151">
        <f t="shared" si="264"/>
        <v>0</v>
      </c>
      <c r="DK262" s="151">
        <f t="shared" si="264"/>
        <v>0</v>
      </c>
      <c r="DL262" s="151">
        <f t="shared" si="264"/>
        <v>0</v>
      </c>
      <c r="DM262" s="151">
        <f t="shared" si="264"/>
        <v>0</v>
      </c>
      <c r="DN262" s="151">
        <f t="shared" si="264"/>
        <v>0</v>
      </c>
      <c r="DO262" s="151">
        <f t="shared" si="264"/>
        <v>0</v>
      </c>
      <c r="DP262" s="151">
        <f t="shared" si="264"/>
        <v>0</v>
      </c>
      <c r="DQ262" s="151">
        <f t="shared" si="264"/>
        <v>0</v>
      </c>
      <c r="DR262" s="151">
        <f t="shared" si="264"/>
        <v>0</v>
      </c>
      <c r="DS262" s="151">
        <f t="shared" si="264"/>
        <v>0</v>
      </c>
      <c r="DT262" s="151">
        <f t="shared" si="264"/>
        <v>0</v>
      </c>
      <c r="DU262" s="151">
        <f t="shared" si="264"/>
        <v>0</v>
      </c>
      <c r="DV262" s="151">
        <f t="shared" si="264"/>
        <v>0</v>
      </c>
      <c r="DW262" s="151">
        <f t="shared" si="264"/>
        <v>0</v>
      </c>
      <c r="DX262" s="151">
        <f t="shared" si="264"/>
        <v>0</v>
      </c>
      <c r="DY262" s="151">
        <f t="shared" si="264"/>
        <v>0</v>
      </c>
    </row>
    <row r="263" spans="1:130" s="130" customFormat="1" ht="11.7" customHeight="1" outlineLevel="1" x14ac:dyDescent="0.25">
      <c r="A263" s="85"/>
      <c r="B263" s="196" t="s">
        <v>393</v>
      </c>
      <c r="C263" s="196"/>
      <c r="D263" s="324">
        <f>+'Project Layout'!BE30-D262</f>
        <v>590.82000000000005</v>
      </c>
      <c r="E263" s="621">
        <f>+Inputs!$G$131</f>
        <v>6</v>
      </c>
      <c r="F263" s="150"/>
      <c r="G263" s="127"/>
      <c r="H263" s="290">
        <f t="shared" si="258"/>
        <v>590.82000000000005</v>
      </c>
      <c r="I263" s="1094">
        <v>0</v>
      </c>
      <c r="J263" s="1094">
        <v>0</v>
      </c>
      <c r="K263" s="1094">
        <v>0</v>
      </c>
      <c r="L263" s="1094">
        <v>0</v>
      </c>
      <c r="M263" s="1094">
        <v>0</v>
      </c>
      <c r="N263" s="1094">
        <v>0</v>
      </c>
      <c r="O263" s="1094">
        <v>0</v>
      </c>
      <c r="P263" s="1094">
        <v>0</v>
      </c>
      <c r="Q263" s="1094">
        <v>0</v>
      </c>
      <c r="R263" s="1094">
        <v>0</v>
      </c>
      <c r="S263" s="1094">
        <v>0</v>
      </c>
      <c r="T263" s="1094">
        <v>0</v>
      </c>
      <c r="U263" s="1094">
        <v>0</v>
      </c>
      <c r="V263" s="1094">
        <v>0</v>
      </c>
      <c r="W263" s="1094">
        <v>0</v>
      </c>
      <c r="X263" s="1094">
        <v>0</v>
      </c>
      <c r="Y263" s="1094">
        <v>0</v>
      </c>
      <c r="Z263" s="1094">
        <v>0</v>
      </c>
      <c r="AA263" s="1094">
        <v>0</v>
      </c>
      <c r="AB263" s="1094">
        <v>0</v>
      </c>
      <c r="AC263" s="1094">
        <v>0</v>
      </c>
      <c r="AD263" s="1094">
        <v>0</v>
      </c>
      <c r="AE263" s="1094">
        <v>0</v>
      </c>
      <c r="AF263" s="1094">
        <v>0</v>
      </c>
      <c r="AG263" s="1094">
        <v>0</v>
      </c>
      <c r="AH263" s="1094">
        <v>0</v>
      </c>
      <c r="AI263" s="1094">
        <v>0</v>
      </c>
      <c r="AJ263" s="1094">
        <v>0</v>
      </c>
      <c r="AK263" s="1094">
        <v>0</v>
      </c>
      <c r="AL263" s="1094">
        <v>0</v>
      </c>
      <c r="AM263" s="1094">
        <v>0</v>
      </c>
      <c r="AN263" s="1094">
        <v>0</v>
      </c>
      <c r="AO263" s="1094">
        <v>0</v>
      </c>
      <c r="AP263" s="1094">
        <v>0</v>
      </c>
      <c r="AQ263" s="1094">
        <v>0</v>
      </c>
      <c r="AR263" s="1094">
        <v>0</v>
      </c>
      <c r="AS263" s="1094">
        <v>0</v>
      </c>
      <c r="AT263" s="1094">
        <v>0</v>
      </c>
      <c r="AU263" s="1094">
        <v>0</v>
      </c>
      <c r="AV263" s="1094">
        <v>0</v>
      </c>
      <c r="AW263" s="1094">
        <v>0</v>
      </c>
      <c r="AX263" s="1094">
        <v>0</v>
      </c>
      <c r="AY263" s="1094">
        <v>0</v>
      </c>
      <c r="AZ263" s="1094">
        <v>0</v>
      </c>
      <c r="BA263" s="1094">
        <v>0</v>
      </c>
      <c r="BB263" s="1094">
        <v>0</v>
      </c>
      <c r="BC263" s="1094">
        <v>0</v>
      </c>
      <c r="BD263" s="1094">
        <v>0</v>
      </c>
      <c r="BE263" s="1094">
        <v>0</v>
      </c>
      <c r="BF263" s="1094">
        <v>0</v>
      </c>
      <c r="BG263" s="1094">
        <v>0</v>
      </c>
      <c r="BH263" s="1094">
        <v>0</v>
      </c>
      <c r="BI263" s="1094">
        <v>0</v>
      </c>
      <c r="BJ263" s="1094">
        <v>0</v>
      </c>
      <c r="BK263" s="1094">
        <v>0</v>
      </c>
      <c r="BL263" s="1094">
        <v>0</v>
      </c>
      <c r="BM263" s="1094">
        <v>0</v>
      </c>
      <c r="BN263" s="1094">
        <v>0</v>
      </c>
      <c r="BO263" s="1094">
        <v>0</v>
      </c>
      <c r="BP263" s="1094">
        <v>0</v>
      </c>
      <c r="BQ263" s="1094">
        <v>0</v>
      </c>
      <c r="BR263" s="1094">
        <v>0</v>
      </c>
      <c r="BS263" s="1094">
        <v>0</v>
      </c>
      <c r="BT263" s="1094">
        <v>0</v>
      </c>
      <c r="BU263" s="1094">
        <v>0</v>
      </c>
      <c r="BV263" s="1094">
        <v>0</v>
      </c>
      <c r="BW263" s="1094">
        <v>0</v>
      </c>
      <c r="BX263" s="1094">
        <v>0</v>
      </c>
      <c r="BY263" s="1094">
        <v>0</v>
      </c>
      <c r="BZ263" s="1094">
        <v>0</v>
      </c>
      <c r="CA263" s="151">
        <f>+MIN((SUM($D$262:$D$263)-$D$262)/$E$263,SUM($D$262:$D$263)-SUM($I$262:BZ263))*(CA$7&gt;$E$262)</f>
        <v>98.470000000000013</v>
      </c>
      <c r="CB263" s="151">
        <f>+MIN((SUM($D$262:$D$263)-$D$262)/$E$263,SUM($D$262:$D$263)-SUM($I$262:CA263))*(CB$7&gt;$E$262)</f>
        <v>98.470000000000013</v>
      </c>
      <c r="CC263" s="151">
        <f>+MIN((SUM($D$262:$D$263)-$D$262)/$E$263,SUM($D$262:$D$263)-SUM($I$262:CB263))*(CC$7&gt;$E$262)</f>
        <v>98.470000000000013</v>
      </c>
      <c r="CD263" s="151">
        <f>+MIN((SUM($D$262:$D$263)-$D$262)/$E$263,SUM($D$262:$D$263)-SUM($I$262:CC263))*(CD$7&gt;$E$262)</f>
        <v>98.470000000000013</v>
      </c>
      <c r="CE263" s="151">
        <f>+MIN((SUM($D$262:$D$263)-$D$262)/$E$263,SUM($D$262:$D$263)-SUM($I$262:CD263))*(CE$7&gt;$E$262)</f>
        <v>98.470000000000013</v>
      </c>
      <c r="CF263" s="151">
        <f>+MIN((SUM($D$262:$D$263)-$D$262)/$E$263,SUM($D$262:$D$263)-SUM($I$262:CE263))*(CF$7&gt;$E$262)</f>
        <v>98.46999999999997</v>
      </c>
      <c r="CG263" s="151">
        <f>+MIN((SUM($D$262:$D$263)-$D$262)/$E$263,SUM($D$262:$D$263)-SUM($I$262:CF263))*(CG$7&gt;$E$262)</f>
        <v>0</v>
      </c>
      <c r="CH263" s="151">
        <f>+MIN((SUM($D$262:$D$263)-$D$262)/$E$263,SUM($D$262:$D$263)-SUM($I$262:CG263))*(CH$7&gt;$E$262)</f>
        <v>0</v>
      </c>
      <c r="CI263" s="151">
        <f>+MIN((SUM($D$262:$D$263)-$D$262)/$E$263,SUM($D$262:$D$263)-SUM($I$262:CH263))*(CI$7&gt;$E$262)</f>
        <v>0</v>
      </c>
      <c r="CJ263" s="151">
        <f>+MIN((SUM($D$262:$D$263)-$D$262)/$E$263,SUM($D$262:$D$263)-SUM($I$262:CI263))*(CJ$7&gt;$E$262)</f>
        <v>0</v>
      </c>
      <c r="CK263" s="151">
        <f>+MIN((SUM($D$262:$D$263)-$D$262)/$E$263,SUM($D$262:$D$263)-SUM($I$262:CJ263))*(CK$7&gt;$E$262)</f>
        <v>0</v>
      </c>
      <c r="CL263" s="151">
        <f>+MIN((SUM($D$262:$D$263)-$D$262)/$E$263,SUM($D$262:$D$263)-SUM($I$262:CK263))*(CL$7&gt;$E$262)</f>
        <v>0</v>
      </c>
      <c r="CM263" s="151">
        <f>+MIN((SUM($D$262:$D$263)-$D$262)/$E$263,SUM($D$262:$D$263)-SUM($I$262:CL263))*(CM$7&gt;$E$262)</f>
        <v>0</v>
      </c>
      <c r="CN263" s="151">
        <f>+MIN((SUM($D$262:$D$263)-$D$262)/$E$263,SUM($D$262:$D$263)-SUM($I$262:CM263))*(CN$7&gt;$E$262)</f>
        <v>0</v>
      </c>
      <c r="CO263" s="151">
        <f>+MIN((SUM($D$262:$D$263)-$D$262)/$E$263,SUM($D$262:$D$263)-SUM($I$262:CN263))*(CO$7&gt;$E$262)</f>
        <v>0</v>
      </c>
      <c r="CP263" s="151">
        <f>+MIN((SUM($D$262:$D$263)-$D$262)/$E$263,SUM($D$262:$D$263)-SUM($I$262:CO263))*(CP$7&gt;$E$262)</f>
        <v>0</v>
      </c>
      <c r="CQ263" s="151">
        <f>+MIN((SUM($D$262:$D$263)-$D$262)/$E$263,SUM($D$262:$D$263)-SUM($I$262:CP263))*(CQ$7&gt;$E$262)</f>
        <v>0</v>
      </c>
      <c r="CR263" s="151">
        <f>+MIN((SUM($D$262:$D$263)-$D$262)/$E$263,SUM($D$262:$D$263)-SUM($I$262:CQ263))*(CR$7&gt;$E$262)</f>
        <v>0</v>
      </c>
      <c r="CS263" s="151">
        <f>+MIN((SUM($D$262:$D$263)-$D$262)/$E$263,SUM($D$262:$D$263)-SUM($I$262:CR263))*(CS$7&gt;$E$262)</f>
        <v>0</v>
      </c>
      <c r="CT263" s="151">
        <f>+MIN((SUM($D$262:$D$263)-$D$262)/$E$263,SUM($D$262:$D$263)-SUM($I$262:CS263))*(CT$7&gt;$E$262)</f>
        <v>0</v>
      </c>
      <c r="CU263" s="151">
        <f>+MIN((SUM($D$262:$D$263)-$D$262)/$E$263,SUM($D$262:$D$263)-SUM($I$262:CT263))*(CU$7&gt;$E$262)</f>
        <v>0</v>
      </c>
      <c r="CV263" s="151">
        <f>+MIN((SUM($D$262:$D$263)-$D$262)/$E$263,SUM($D$262:$D$263)-SUM($I$262:CU263))*(CV$7&gt;$E$262)</f>
        <v>0</v>
      </c>
      <c r="CW263" s="151">
        <f>+MIN((SUM($D$262:$D$263)-$D$262)/$E$263,SUM($D$262:$D$263)-SUM($I$262:CV263))*(CW$7&gt;$E$262)</f>
        <v>0</v>
      </c>
      <c r="CX263" s="151">
        <f>+MIN((SUM($D$262:$D$263)-$D$262)/$E$263,SUM($D$262:$D$263)-SUM($I$262:CW263))*(CX$7&gt;$E$262)</f>
        <v>0</v>
      </c>
      <c r="CY263" s="151">
        <f>+MIN((SUM($D$262:$D$263)-$D$262)/$E$263,SUM($D$262:$D$263)-SUM($I$262:CX263))*(CY$7&gt;$E$262)</f>
        <v>0</v>
      </c>
      <c r="CZ263" s="151">
        <f>+MIN((SUM($D$262:$D$263)-$D$262)/$E$263,SUM($D$262:$D$263)-SUM($I$262:CY263))*(CZ$7&gt;$E$262)</f>
        <v>0</v>
      </c>
      <c r="DA263" s="151">
        <f>+MIN((SUM($D$262:$D$263)-$D$262)/$E$263,SUM($D$262:$D$263)-SUM($I$262:CZ263))*(DA$7&gt;$E$262)</f>
        <v>0</v>
      </c>
      <c r="DB263" s="151">
        <f>+MIN((SUM($D$262:$D$263)-$D$262)/$E$263,SUM($D$262:$D$263)-SUM($I$262:DA263))*(DB$7&gt;$E$262)</f>
        <v>0</v>
      </c>
      <c r="DC263" s="151">
        <f>+MIN((SUM($D$262:$D$263)-$D$262)/$E$263,SUM($D$262:$D$263)-SUM($I$262:DB263))*(DC$7&gt;$E$262)</f>
        <v>0</v>
      </c>
      <c r="DD263" s="151">
        <f>+MIN((SUM($D$262:$D$263)-$D$262)/$E$263,SUM($D$262:$D$263)-SUM($I$262:DC263))*(DD$7&gt;$E$262)</f>
        <v>0</v>
      </c>
      <c r="DE263" s="151">
        <f>+MIN((SUM($D$262:$D$263)-$D$262)/$E$263,SUM($D$262:$D$263)-SUM($I$262:DD263))*(DE$7&gt;$E$262)</f>
        <v>0</v>
      </c>
      <c r="DF263" s="151">
        <f>+MIN((SUM($D$262:$D$263)-$D$262)/$E$263,SUM($D$262:$D$263)-SUM($I$262:DE263))*(DF$7&gt;$E$262)</f>
        <v>0</v>
      </c>
      <c r="DG263" s="151">
        <f>+MIN((SUM($D$262:$D$263)-$D$262)/$E$263,SUM($D$262:$D$263)-SUM($I$262:DF263))*(DG$7&gt;$E$262)</f>
        <v>0</v>
      </c>
      <c r="DH263" s="151">
        <f>+MIN((SUM($D$262:$D$263)-$D$262)/$E$263,SUM($D$262:$D$263)-SUM($I$262:DG263))*(DH$7&gt;$E$262)</f>
        <v>0</v>
      </c>
      <c r="DI263" s="151">
        <f>+MIN((SUM($D$262:$D$263)-$D$262)/$E$263,SUM($D$262:$D$263)-SUM($I$262:DH263))*(DI$7&gt;$E$262)</f>
        <v>0</v>
      </c>
      <c r="DJ263" s="151">
        <f>+MIN((SUM($D$262:$D$263)-$D$262)/$E$263,SUM($D$262:$D$263)-SUM($I$262:DI263))*(DJ$7&gt;$E$262)</f>
        <v>0</v>
      </c>
      <c r="DK263" s="151">
        <f>+MIN((SUM($D$262:$D$263)-$D$262)/$E$263,SUM($D$262:$D$263)-SUM($I$262:DJ263))*(DK$7&gt;$E$262)</f>
        <v>0</v>
      </c>
      <c r="DL263" s="151">
        <f>+MIN((SUM($D$262:$D$263)-$D$262)/$E$263,SUM($D$262:$D$263)-SUM($I$262:DK263))*(DL$7&gt;$E$262)</f>
        <v>0</v>
      </c>
      <c r="DM263" s="151">
        <f>+MIN((SUM($D$262:$D$263)-$D$262)/$E$263,SUM($D$262:$D$263)-SUM($I$262:DL263))*(DM$7&gt;$E$262)</f>
        <v>0</v>
      </c>
      <c r="DN263" s="151">
        <f>+MIN((SUM($D$262:$D$263)-$D$262)/$E$263,SUM($D$262:$D$263)-SUM($I$262:DM263))*(DN$7&gt;$E$262)</f>
        <v>0</v>
      </c>
      <c r="DO263" s="151">
        <f>+MIN((SUM($D$262:$D$263)-$D$262)/$E$263,SUM($D$262:$D$263)-SUM($I$262:DN263))*(DO$7&gt;$E$262)</f>
        <v>0</v>
      </c>
      <c r="DP263" s="151">
        <f>+MIN((SUM($D$262:$D$263)-$D$262)/$E$263,SUM($D$262:$D$263)-SUM($I$262:DO263))*(DP$7&gt;$E$262)</f>
        <v>0</v>
      </c>
      <c r="DQ263" s="151">
        <f>+MIN((SUM($D$262:$D$263)-$D$262)/$E$263,SUM($D$262:$D$263)-SUM($I$262:DP263))*(DQ$7&gt;$E$262)</f>
        <v>0</v>
      </c>
      <c r="DR263" s="151">
        <f>+MIN((SUM($D$262:$D$263)-$D$262)/$E$263,SUM($D$262:$D$263)-SUM($I$262:DQ263))*(DR$7&gt;$E$262)</f>
        <v>0</v>
      </c>
      <c r="DS263" s="151">
        <f>+MIN((SUM($D$262:$D$263)-$D$262)/$E$263,SUM($D$262:$D$263)-SUM($I$262:DR263))*(DS$7&gt;$E$262)</f>
        <v>0</v>
      </c>
      <c r="DT263" s="151">
        <f>+MIN((SUM($D$262:$D$263)-$D$262)/$E$263,SUM($D$262:$D$263)-SUM($I$262:DS263))*(DT$7&gt;$E$262)</f>
        <v>0</v>
      </c>
      <c r="DU263" s="151">
        <f>+MIN((SUM($D$262:$D$263)-$D$262)/$E$263,SUM($D$262:$D$263)-SUM($I$262:DT263))*(DU$7&gt;$E$262)</f>
        <v>0</v>
      </c>
      <c r="DV263" s="151">
        <f>+MIN((SUM($D$262:$D$263)-$D$262)/$E$263,SUM($D$262:$D$263)-SUM($I$262:DU263))*(DV$7&gt;$E$262)</f>
        <v>0</v>
      </c>
      <c r="DW263" s="151">
        <f>+MIN((SUM($D$262:$D$263)-$D$262)/$E$263,SUM($D$262:$D$263)-SUM($I$262:DV263))*(DW$7&gt;$E$262)</f>
        <v>0</v>
      </c>
      <c r="DX263" s="151">
        <f>+MIN((SUM($D$262:$D$263)-$D$262)/$E$263,SUM($D$262:$D$263)-SUM($I$262:DW263))*(DX$7&gt;$E$262)</f>
        <v>0</v>
      </c>
      <c r="DY263" s="151">
        <f>+MIN((SUM($D$262:$D$263)-$D$262)/$E$263,SUM($D$262:$D$263)-SUM($I$262:DX263))*(DY$7&gt;$E$262)</f>
        <v>0</v>
      </c>
    </row>
    <row r="264" spans="1:130" s="130" customFormat="1" ht="11.7" customHeight="1" outlineLevel="1" x14ac:dyDescent="0.25">
      <c r="A264" s="85"/>
      <c r="B264" s="196" t="s">
        <v>521</v>
      </c>
      <c r="C264" s="196"/>
      <c r="D264" s="324">
        <f>+'Project Layout'!BE31*Inputs!G124</f>
        <v>0</v>
      </c>
      <c r="E264" s="292">
        <f>+Inputs!F124</f>
        <v>45108</v>
      </c>
      <c r="F264" s="150"/>
      <c r="G264" s="127"/>
      <c r="H264" s="290">
        <f t="shared" si="258"/>
        <v>0</v>
      </c>
      <c r="I264" s="1094">
        <v>0</v>
      </c>
      <c r="J264" s="1094">
        <v>0</v>
      </c>
      <c r="K264" s="1094">
        <v>0</v>
      </c>
      <c r="L264" s="1094">
        <v>0</v>
      </c>
      <c r="M264" s="1094">
        <v>0</v>
      </c>
      <c r="N264" s="1094">
        <v>0</v>
      </c>
      <c r="O264" s="1094">
        <v>0</v>
      </c>
      <c r="P264" s="1094">
        <v>0</v>
      </c>
      <c r="Q264" s="1094">
        <v>0</v>
      </c>
      <c r="R264" s="1094">
        <v>0</v>
      </c>
      <c r="S264" s="1094">
        <v>0</v>
      </c>
      <c r="T264" s="1094">
        <v>0</v>
      </c>
      <c r="U264" s="1094">
        <v>0</v>
      </c>
      <c r="V264" s="1094">
        <v>0</v>
      </c>
      <c r="W264" s="1094">
        <v>0</v>
      </c>
      <c r="X264" s="1094">
        <v>0</v>
      </c>
      <c r="Y264" s="1094">
        <v>0</v>
      </c>
      <c r="Z264" s="1094">
        <v>0</v>
      </c>
      <c r="AA264" s="1094">
        <v>0</v>
      </c>
      <c r="AB264" s="1094">
        <v>0</v>
      </c>
      <c r="AC264" s="1094">
        <v>0</v>
      </c>
      <c r="AD264" s="1094">
        <v>0</v>
      </c>
      <c r="AE264" s="1094">
        <v>0</v>
      </c>
      <c r="AF264" s="1094">
        <v>0</v>
      </c>
      <c r="AG264" s="1094">
        <v>0</v>
      </c>
      <c r="AH264" s="1094">
        <v>0</v>
      </c>
      <c r="AI264" s="1094">
        <v>0</v>
      </c>
      <c r="AJ264" s="1094">
        <v>0</v>
      </c>
      <c r="AK264" s="1094">
        <v>0</v>
      </c>
      <c r="AL264" s="1094">
        <v>0</v>
      </c>
      <c r="AM264" s="1094">
        <v>0</v>
      </c>
      <c r="AN264" s="1094">
        <v>0</v>
      </c>
      <c r="AO264" s="1094">
        <v>0</v>
      </c>
      <c r="AP264" s="1094">
        <v>0</v>
      </c>
      <c r="AQ264" s="1094">
        <v>0</v>
      </c>
      <c r="AR264" s="1094">
        <v>0</v>
      </c>
      <c r="AS264" s="1094">
        <v>0</v>
      </c>
      <c r="AT264" s="1094">
        <v>0</v>
      </c>
      <c r="AU264" s="1094">
        <v>0</v>
      </c>
      <c r="AV264" s="1094">
        <v>0</v>
      </c>
      <c r="AW264" s="1094">
        <v>0</v>
      </c>
      <c r="AX264" s="1094">
        <v>0</v>
      </c>
      <c r="AY264" s="1094">
        <v>0</v>
      </c>
      <c r="AZ264" s="1094">
        <v>0</v>
      </c>
      <c r="BA264" s="1094">
        <v>0</v>
      </c>
      <c r="BB264" s="1094">
        <v>0</v>
      </c>
      <c r="BC264" s="1094">
        <v>0</v>
      </c>
      <c r="BD264" s="1094">
        <v>0</v>
      </c>
      <c r="BE264" s="1094">
        <v>0</v>
      </c>
      <c r="BF264" s="1094">
        <v>0</v>
      </c>
      <c r="BG264" s="1094">
        <v>0</v>
      </c>
      <c r="BH264" s="1094">
        <v>0</v>
      </c>
      <c r="BI264" s="1094">
        <v>0</v>
      </c>
      <c r="BJ264" s="1094">
        <v>0</v>
      </c>
      <c r="BK264" s="1094">
        <v>0</v>
      </c>
      <c r="BL264" s="1094">
        <v>0</v>
      </c>
      <c r="BM264" s="1094">
        <v>0</v>
      </c>
      <c r="BN264" s="1094">
        <v>0</v>
      </c>
      <c r="BO264" s="1094">
        <v>0</v>
      </c>
      <c r="BP264" s="1094">
        <v>0</v>
      </c>
      <c r="BQ264" s="1094">
        <v>0</v>
      </c>
      <c r="BR264" s="1094">
        <v>0</v>
      </c>
      <c r="BS264" s="1094">
        <v>0</v>
      </c>
      <c r="BT264" s="1094">
        <v>0</v>
      </c>
      <c r="BU264" s="1094">
        <v>0</v>
      </c>
      <c r="BV264" s="1094">
        <v>0</v>
      </c>
      <c r="BW264" s="1094">
        <v>0</v>
      </c>
      <c r="BX264" s="1094">
        <v>0</v>
      </c>
      <c r="BY264" s="1094">
        <v>0</v>
      </c>
      <c r="BZ264" s="1094">
        <v>0</v>
      </c>
      <c r="CA264" s="151">
        <f t="shared" ref="CA264:DF264" si="265">+$D$264*(CA$6=$E$264)</f>
        <v>0</v>
      </c>
      <c r="CB264" s="151">
        <f t="shared" si="265"/>
        <v>0</v>
      </c>
      <c r="CC264" s="151">
        <f t="shared" si="265"/>
        <v>0</v>
      </c>
      <c r="CD264" s="151">
        <f t="shared" si="265"/>
        <v>0</v>
      </c>
      <c r="CE264" s="151">
        <f t="shared" si="265"/>
        <v>0</v>
      </c>
      <c r="CF264" s="151">
        <f t="shared" si="265"/>
        <v>0</v>
      </c>
      <c r="CG264" s="151">
        <f t="shared" si="265"/>
        <v>0</v>
      </c>
      <c r="CH264" s="151">
        <f t="shared" si="265"/>
        <v>0</v>
      </c>
      <c r="CI264" s="151">
        <f t="shared" si="265"/>
        <v>0</v>
      </c>
      <c r="CJ264" s="151">
        <f t="shared" si="265"/>
        <v>0</v>
      </c>
      <c r="CK264" s="151">
        <f t="shared" si="265"/>
        <v>0</v>
      </c>
      <c r="CL264" s="151">
        <f t="shared" si="265"/>
        <v>0</v>
      </c>
      <c r="CM264" s="151">
        <f t="shared" si="265"/>
        <v>0</v>
      </c>
      <c r="CN264" s="151">
        <f t="shared" si="265"/>
        <v>0</v>
      </c>
      <c r="CO264" s="151">
        <f t="shared" si="265"/>
        <v>0</v>
      </c>
      <c r="CP264" s="151">
        <f t="shared" si="265"/>
        <v>0</v>
      </c>
      <c r="CQ264" s="151">
        <f t="shared" si="265"/>
        <v>0</v>
      </c>
      <c r="CR264" s="151">
        <f t="shared" si="265"/>
        <v>0</v>
      </c>
      <c r="CS264" s="151">
        <f t="shared" si="265"/>
        <v>0</v>
      </c>
      <c r="CT264" s="151">
        <f t="shared" si="265"/>
        <v>0</v>
      </c>
      <c r="CU264" s="151">
        <f t="shared" si="265"/>
        <v>0</v>
      </c>
      <c r="CV264" s="151">
        <f t="shared" si="265"/>
        <v>0</v>
      </c>
      <c r="CW264" s="151">
        <f t="shared" si="265"/>
        <v>0</v>
      </c>
      <c r="CX264" s="151">
        <f t="shared" si="265"/>
        <v>0</v>
      </c>
      <c r="CY264" s="151">
        <f t="shared" si="265"/>
        <v>0</v>
      </c>
      <c r="CZ264" s="151">
        <f t="shared" si="265"/>
        <v>0</v>
      </c>
      <c r="DA264" s="151">
        <f t="shared" si="265"/>
        <v>0</v>
      </c>
      <c r="DB264" s="151">
        <f t="shared" si="265"/>
        <v>0</v>
      </c>
      <c r="DC264" s="151">
        <f t="shared" si="265"/>
        <v>0</v>
      </c>
      <c r="DD264" s="151">
        <f t="shared" si="265"/>
        <v>0</v>
      </c>
      <c r="DE264" s="151">
        <f t="shared" si="265"/>
        <v>0</v>
      </c>
      <c r="DF264" s="151">
        <f t="shared" si="265"/>
        <v>0</v>
      </c>
      <c r="DG264" s="151">
        <f t="shared" ref="DG264:DY264" si="266">+$D$264*(DG$6=$E$264)</f>
        <v>0</v>
      </c>
      <c r="DH264" s="151">
        <f t="shared" si="266"/>
        <v>0</v>
      </c>
      <c r="DI264" s="151">
        <f t="shared" si="266"/>
        <v>0</v>
      </c>
      <c r="DJ264" s="151">
        <f t="shared" si="266"/>
        <v>0</v>
      </c>
      <c r="DK264" s="151">
        <f t="shared" si="266"/>
        <v>0</v>
      </c>
      <c r="DL264" s="151">
        <f t="shared" si="266"/>
        <v>0</v>
      </c>
      <c r="DM264" s="151">
        <f t="shared" si="266"/>
        <v>0</v>
      </c>
      <c r="DN264" s="151">
        <f t="shared" si="266"/>
        <v>0</v>
      </c>
      <c r="DO264" s="151">
        <f t="shared" si="266"/>
        <v>0</v>
      </c>
      <c r="DP264" s="151">
        <f t="shared" si="266"/>
        <v>0</v>
      </c>
      <c r="DQ264" s="151">
        <f t="shared" si="266"/>
        <v>0</v>
      </c>
      <c r="DR264" s="151">
        <f t="shared" si="266"/>
        <v>0</v>
      </c>
      <c r="DS264" s="151">
        <f t="shared" si="266"/>
        <v>0</v>
      </c>
      <c r="DT264" s="151">
        <f t="shared" si="266"/>
        <v>0</v>
      </c>
      <c r="DU264" s="151">
        <f t="shared" si="266"/>
        <v>0</v>
      </c>
      <c r="DV264" s="151">
        <f t="shared" si="266"/>
        <v>0</v>
      </c>
      <c r="DW264" s="151">
        <f t="shared" si="266"/>
        <v>0</v>
      </c>
      <c r="DX264" s="151">
        <f t="shared" si="266"/>
        <v>0</v>
      </c>
      <c r="DY264" s="151">
        <f t="shared" si="266"/>
        <v>0</v>
      </c>
    </row>
    <row r="265" spans="1:130" s="130" customFormat="1" ht="11.7" customHeight="1" outlineLevel="1" x14ac:dyDescent="0.25">
      <c r="A265" s="85"/>
      <c r="B265" s="196" t="s">
        <v>393</v>
      </c>
      <c r="C265" s="196"/>
      <c r="D265" s="324">
        <f>+'Project Layout'!BE31-D264</f>
        <v>0</v>
      </c>
      <c r="E265" s="621">
        <f>+Inputs!$G$133</f>
        <v>6</v>
      </c>
      <c r="F265" s="150"/>
      <c r="G265" s="127"/>
      <c r="H265" s="290">
        <f t="shared" si="258"/>
        <v>0</v>
      </c>
      <c r="I265" s="1094">
        <v>0</v>
      </c>
      <c r="J265" s="1094">
        <v>0</v>
      </c>
      <c r="K265" s="1094">
        <v>0</v>
      </c>
      <c r="L265" s="1094">
        <v>0</v>
      </c>
      <c r="M265" s="1094">
        <v>0</v>
      </c>
      <c r="N265" s="1094">
        <v>0</v>
      </c>
      <c r="O265" s="1094">
        <v>0</v>
      </c>
      <c r="P265" s="1094">
        <v>0</v>
      </c>
      <c r="Q265" s="1094">
        <v>0</v>
      </c>
      <c r="R265" s="1094">
        <v>0</v>
      </c>
      <c r="S265" s="1094">
        <v>0</v>
      </c>
      <c r="T265" s="1094">
        <v>0</v>
      </c>
      <c r="U265" s="1094">
        <v>0</v>
      </c>
      <c r="V265" s="1094">
        <v>0</v>
      </c>
      <c r="W265" s="1094">
        <v>0</v>
      </c>
      <c r="X265" s="1094">
        <v>0</v>
      </c>
      <c r="Y265" s="1094">
        <v>0</v>
      </c>
      <c r="Z265" s="1094">
        <v>0</v>
      </c>
      <c r="AA265" s="1094">
        <v>0</v>
      </c>
      <c r="AB265" s="1094">
        <v>0</v>
      </c>
      <c r="AC265" s="1094">
        <v>0</v>
      </c>
      <c r="AD265" s="1094">
        <v>0</v>
      </c>
      <c r="AE265" s="1094">
        <v>0</v>
      </c>
      <c r="AF265" s="1094">
        <v>0</v>
      </c>
      <c r="AG265" s="1094">
        <v>0</v>
      </c>
      <c r="AH265" s="1094">
        <v>0</v>
      </c>
      <c r="AI265" s="1094">
        <v>0</v>
      </c>
      <c r="AJ265" s="1094">
        <v>0</v>
      </c>
      <c r="AK265" s="1094">
        <v>0</v>
      </c>
      <c r="AL265" s="1094">
        <v>0</v>
      </c>
      <c r="AM265" s="1094">
        <v>0</v>
      </c>
      <c r="AN265" s="1094">
        <v>0</v>
      </c>
      <c r="AO265" s="1094">
        <v>0</v>
      </c>
      <c r="AP265" s="1094">
        <v>0</v>
      </c>
      <c r="AQ265" s="1094">
        <v>0</v>
      </c>
      <c r="AR265" s="1094">
        <v>0</v>
      </c>
      <c r="AS265" s="1094">
        <v>0</v>
      </c>
      <c r="AT265" s="1094">
        <v>0</v>
      </c>
      <c r="AU265" s="1094">
        <v>0</v>
      </c>
      <c r="AV265" s="1094">
        <v>0</v>
      </c>
      <c r="AW265" s="1094">
        <v>0</v>
      </c>
      <c r="AX265" s="1094">
        <v>0</v>
      </c>
      <c r="AY265" s="1094">
        <v>0</v>
      </c>
      <c r="AZ265" s="1094">
        <v>0</v>
      </c>
      <c r="BA265" s="1094">
        <v>0</v>
      </c>
      <c r="BB265" s="1094">
        <v>0</v>
      </c>
      <c r="BC265" s="1094">
        <v>0</v>
      </c>
      <c r="BD265" s="1094">
        <v>0</v>
      </c>
      <c r="BE265" s="1094">
        <v>0</v>
      </c>
      <c r="BF265" s="1094">
        <v>0</v>
      </c>
      <c r="BG265" s="1094">
        <v>0</v>
      </c>
      <c r="BH265" s="1094">
        <v>0</v>
      </c>
      <c r="BI265" s="1094">
        <v>0</v>
      </c>
      <c r="BJ265" s="1094">
        <v>0</v>
      </c>
      <c r="BK265" s="1094">
        <v>0</v>
      </c>
      <c r="BL265" s="1094">
        <v>0</v>
      </c>
      <c r="BM265" s="1094">
        <v>0</v>
      </c>
      <c r="BN265" s="1094">
        <v>0</v>
      </c>
      <c r="BO265" s="1094">
        <v>0</v>
      </c>
      <c r="BP265" s="1094">
        <v>0</v>
      </c>
      <c r="BQ265" s="1094">
        <v>0</v>
      </c>
      <c r="BR265" s="1094">
        <v>0</v>
      </c>
      <c r="BS265" s="1094">
        <v>0</v>
      </c>
      <c r="BT265" s="1094">
        <v>0</v>
      </c>
      <c r="BU265" s="1094">
        <v>0</v>
      </c>
      <c r="BV265" s="1094">
        <v>0</v>
      </c>
      <c r="BW265" s="1094">
        <v>0</v>
      </c>
      <c r="BX265" s="1094">
        <v>0</v>
      </c>
      <c r="BY265" s="1094">
        <v>0</v>
      </c>
      <c r="BZ265" s="1094">
        <v>0</v>
      </c>
      <c r="CA265" s="151">
        <f>+MIN((SUM($D$264:$D$265)-$D$264)/$E$265,SUM($D$264:$D$265)-SUM($I$264:BZ265))*(CA$7&gt;$E$264)</f>
        <v>0</v>
      </c>
      <c r="CB265" s="151">
        <f>+MIN((SUM($D$264:$D$265)-$D$264)/$E$265,SUM($D$264:$D$265)-SUM($I$264:CA265))*(CB$7&gt;$E$264)</f>
        <v>0</v>
      </c>
      <c r="CC265" s="151">
        <f>+MIN((SUM($D$264:$D$265)-$D$264)/$E$265,SUM($D$264:$D$265)-SUM($I$264:CB265))*(CC$7&gt;$E$264)</f>
        <v>0</v>
      </c>
      <c r="CD265" s="151">
        <f>+MIN((SUM($D$264:$D$265)-$D$264)/$E$265,SUM($D$264:$D$265)-SUM($I$264:CC265))*(CD$7&gt;$E$264)</f>
        <v>0</v>
      </c>
      <c r="CE265" s="151">
        <f>+MIN((SUM($D$264:$D$265)-$D$264)/$E$265,SUM($D$264:$D$265)-SUM($I$264:CD265))*(CE$7&gt;$E$264)</f>
        <v>0</v>
      </c>
      <c r="CF265" s="151">
        <f>+MIN((SUM($D$264:$D$265)-$D$264)/$E$265,SUM($D$264:$D$265)-SUM($I$264:CE265))*(CF$7&gt;$E$264)</f>
        <v>0</v>
      </c>
      <c r="CG265" s="151">
        <f>+MIN((SUM($D$264:$D$265)-$D$264)/$E$265,SUM($D$264:$D$265)-SUM($I$264:CF265))*(CG$7&gt;$E$264)</f>
        <v>0</v>
      </c>
      <c r="CH265" s="151">
        <f>+MIN((SUM($D$264:$D$265)-$D$264)/$E$265,SUM($D$264:$D$265)-SUM($I$264:CG265))*(CH$7&gt;$E$264)</f>
        <v>0</v>
      </c>
      <c r="CI265" s="151">
        <f>+MIN((SUM($D$264:$D$265)-$D$264)/$E$265,SUM($D$264:$D$265)-SUM($I$264:CH265))*(CI$7&gt;$E$264)</f>
        <v>0</v>
      </c>
      <c r="CJ265" s="151">
        <f>+MIN((SUM($D$264:$D$265)-$D$264)/$E$265,SUM($D$264:$D$265)-SUM($I$264:CI265))*(CJ$7&gt;$E$264)</f>
        <v>0</v>
      </c>
      <c r="CK265" s="151">
        <f>+MIN((SUM($D$264:$D$265)-$D$264)/$E$265,SUM($D$264:$D$265)-SUM($I$264:CJ265))*(CK$7&gt;$E$264)</f>
        <v>0</v>
      </c>
      <c r="CL265" s="151">
        <f>+MIN((SUM($D$264:$D$265)-$D$264)/$E$265,SUM($D$264:$D$265)-SUM($I$264:CK265))*(CL$7&gt;$E$264)</f>
        <v>0</v>
      </c>
      <c r="CM265" s="151">
        <f>+MIN((SUM($D$264:$D$265)-$D$264)/$E$265,SUM($D$264:$D$265)-SUM($I$264:CL265))*(CM$7&gt;$E$264)</f>
        <v>0</v>
      </c>
      <c r="CN265" s="151">
        <f>+MIN((SUM($D$264:$D$265)-$D$264)/$E$265,SUM($D$264:$D$265)-SUM($I$264:CM265))*(CN$7&gt;$E$264)</f>
        <v>0</v>
      </c>
      <c r="CO265" s="151">
        <f>+MIN((SUM($D$264:$D$265)-$D$264)/$E$265,SUM($D$264:$D$265)-SUM($I$264:CN265))*(CO$7&gt;$E$264)</f>
        <v>0</v>
      </c>
      <c r="CP265" s="151">
        <f>+MIN((SUM($D$264:$D$265)-$D$264)/$E$265,SUM($D$264:$D$265)-SUM($I$264:CO265))*(CP$7&gt;$E$264)</f>
        <v>0</v>
      </c>
      <c r="CQ265" s="151">
        <f>+MIN((SUM($D$264:$D$265)-$D$264)/$E$265,SUM($D$264:$D$265)-SUM($I$264:CP265))*(CQ$7&gt;$E$264)</f>
        <v>0</v>
      </c>
      <c r="CR265" s="151">
        <f>+MIN((SUM($D$264:$D$265)-$D$264)/$E$265,SUM($D$264:$D$265)-SUM($I$264:CQ265))*(CR$7&gt;$E$264)</f>
        <v>0</v>
      </c>
      <c r="CS265" s="151">
        <f>+MIN((SUM($D$264:$D$265)-$D$264)/$E$265,SUM($D$264:$D$265)-SUM($I$264:CR265))*(CS$7&gt;$E$264)</f>
        <v>0</v>
      </c>
      <c r="CT265" s="151">
        <f>+MIN((SUM($D$264:$D$265)-$D$264)/$E$265,SUM($D$264:$D$265)-SUM($I$264:CS265))*(CT$7&gt;$E$264)</f>
        <v>0</v>
      </c>
      <c r="CU265" s="151">
        <f>+MIN((SUM($D$264:$D$265)-$D$264)/$E$265,SUM($D$264:$D$265)-SUM($I$264:CT265))*(CU$7&gt;$E$264)</f>
        <v>0</v>
      </c>
      <c r="CV265" s="151">
        <f>+MIN((SUM($D$264:$D$265)-$D$264)/$E$265,SUM($D$264:$D$265)-SUM($I$264:CU265))*(CV$7&gt;$E$264)</f>
        <v>0</v>
      </c>
      <c r="CW265" s="151">
        <f>+MIN((SUM($D$264:$D$265)-$D$264)/$E$265,SUM($D$264:$D$265)-SUM($I$264:CV265))*(CW$7&gt;$E$264)</f>
        <v>0</v>
      </c>
      <c r="CX265" s="151">
        <f>+MIN((SUM($D$264:$D$265)-$D$264)/$E$265,SUM($D$264:$D$265)-SUM($I$264:CW265))*(CX$7&gt;$E$264)</f>
        <v>0</v>
      </c>
      <c r="CY265" s="151">
        <f>+MIN((SUM($D$264:$D$265)-$D$264)/$E$265,SUM($D$264:$D$265)-SUM($I$264:CX265))*(CY$7&gt;$E$264)</f>
        <v>0</v>
      </c>
      <c r="CZ265" s="151">
        <f>+MIN((SUM($D$264:$D$265)-$D$264)/$E$265,SUM($D$264:$D$265)-SUM($I$264:CY265))*(CZ$7&gt;$E$264)</f>
        <v>0</v>
      </c>
      <c r="DA265" s="151">
        <f>+MIN((SUM($D$264:$D$265)-$D$264)/$E$265,SUM($D$264:$D$265)-SUM($I$264:CZ265))*(DA$7&gt;$E$264)</f>
        <v>0</v>
      </c>
      <c r="DB265" s="151">
        <f>+MIN((SUM($D$264:$D$265)-$D$264)/$E$265,SUM($D$264:$D$265)-SUM($I$264:DA265))*(DB$7&gt;$E$264)</f>
        <v>0</v>
      </c>
      <c r="DC265" s="151">
        <f>+MIN((SUM($D$264:$D$265)-$D$264)/$E$265,SUM($D$264:$D$265)-SUM($I$264:DB265))*(DC$7&gt;$E$264)</f>
        <v>0</v>
      </c>
      <c r="DD265" s="151">
        <f>+MIN((SUM($D$264:$D$265)-$D$264)/$E$265,SUM($D$264:$D$265)-SUM($I$264:DC265))*(DD$7&gt;$E$264)</f>
        <v>0</v>
      </c>
      <c r="DE265" s="151">
        <f>+MIN((SUM($D$264:$D$265)-$D$264)/$E$265,SUM($D$264:$D$265)-SUM($I$264:DD265))*(DE$7&gt;$E$264)</f>
        <v>0</v>
      </c>
      <c r="DF265" s="151">
        <f>+MIN((SUM($D$264:$D$265)-$D$264)/$E$265,SUM($D$264:$D$265)-SUM($I$264:DE265))*(DF$7&gt;$E$264)</f>
        <v>0</v>
      </c>
      <c r="DG265" s="151">
        <f>+MIN((SUM($D$264:$D$265)-$D$264)/$E$265,SUM($D$264:$D$265)-SUM($I$264:DF265))*(DG$7&gt;$E$264)</f>
        <v>0</v>
      </c>
      <c r="DH265" s="151">
        <f>+MIN((SUM($D$264:$D$265)-$D$264)/$E$265,SUM($D$264:$D$265)-SUM($I$264:DG265))*(DH$7&gt;$E$264)</f>
        <v>0</v>
      </c>
      <c r="DI265" s="151">
        <f>+MIN((SUM($D$264:$D$265)-$D$264)/$E$265,SUM($D$264:$D$265)-SUM($I$264:DH265))*(DI$7&gt;$E$264)</f>
        <v>0</v>
      </c>
      <c r="DJ265" s="151">
        <f>+MIN((SUM($D$264:$D$265)-$D$264)/$E$265,SUM($D$264:$D$265)-SUM($I$264:DI265))*(DJ$7&gt;$E$264)</f>
        <v>0</v>
      </c>
      <c r="DK265" s="151">
        <f>+MIN((SUM($D$264:$D$265)-$D$264)/$E$265,SUM($D$264:$D$265)-SUM($I$264:DJ265))*(DK$7&gt;$E$264)</f>
        <v>0</v>
      </c>
      <c r="DL265" s="151">
        <f>+MIN((SUM($D$264:$D$265)-$D$264)/$E$265,SUM($D$264:$D$265)-SUM($I$264:DK265))*(DL$7&gt;$E$264)</f>
        <v>0</v>
      </c>
      <c r="DM265" s="151">
        <f>+MIN((SUM($D$264:$D$265)-$D$264)/$E$265,SUM($D$264:$D$265)-SUM($I$264:DL265))*(DM$7&gt;$E$264)</f>
        <v>0</v>
      </c>
      <c r="DN265" s="151">
        <f>+MIN((SUM($D$264:$D$265)-$D$264)/$E$265,SUM($D$264:$D$265)-SUM($I$264:DM265))*(DN$7&gt;$E$264)</f>
        <v>0</v>
      </c>
      <c r="DO265" s="151">
        <f>+MIN((SUM($D$264:$D$265)-$D$264)/$E$265,SUM($D$264:$D$265)-SUM($I$264:DN265))*(DO$7&gt;$E$264)</f>
        <v>0</v>
      </c>
      <c r="DP265" s="151">
        <f>+MIN((SUM($D$264:$D$265)-$D$264)/$E$265,SUM($D$264:$D$265)-SUM($I$264:DO265))*(DP$7&gt;$E$264)</f>
        <v>0</v>
      </c>
      <c r="DQ265" s="151">
        <f>+MIN((SUM($D$264:$D$265)-$D$264)/$E$265,SUM($D$264:$D$265)-SUM($I$264:DP265))*(DQ$7&gt;$E$264)</f>
        <v>0</v>
      </c>
      <c r="DR265" s="151">
        <f>+MIN((SUM($D$264:$D$265)-$D$264)/$E$265,SUM($D$264:$D$265)-SUM($I$264:DQ265))*(DR$7&gt;$E$264)</f>
        <v>0</v>
      </c>
      <c r="DS265" s="151">
        <f>+MIN((SUM($D$264:$D$265)-$D$264)/$E$265,SUM($D$264:$D$265)-SUM($I$264:DR265))*(DS$7&gt;$E$264)</f>
        <v>0</v>
      </c>
      <c r="DT265" s="151">
        <f>+MIN((SUM($D$264:$D$265)-$D$264)/$E$265,SUM($D$264:$D$265)-SUM($I$264:DS265))*(DT$7&gt;$E$264)</f>
        <v>0</v>
      </c>
      <c r="DU265" s="151">
        <f>+MIN((SUM($D$264:$D$265)-$D$264)/$E$265,SUM($D$264:$D$265)-SUM($I$264:DT265))*(DU$7&gt;$E$264)</f>
        <v>0</v>
      </c>
      <c r="DV265" s="151">
        <f>+MIN((SUM($D$264:$D$265)-$D$264)/$E$265,SUM($D$264:$D$265)-SUM($I$264:DU265))*(DV$7&gt;$E$264)</f>
        <v>0</v>
      </c>
      <c r="DW265" s="151">
        <f>+MIN((SUM($D$264:$D$265)-$D$264)/$E$265,SUM($D$264:$D$265)-SUM($I$264:DV265))*(DW$7&gt;$E$264)</f>
        <v>0</v>
      </c>
      <c r="DX265" s="151">
        <f>+MIN((SUM($D$264:$D$265)-$D$264)/$E$265,SUM($D$264:$D$265)-SUM($I$264:DW265))*(DX$7&gt;$E$264)</f>
        <v>0</v>
      </c>
      <c r="DY265" s="151">
        <f>+MIN((SUM($D$264:$D$265)-$D$264)/$E$265,SUM($D$264:$D$265)-SUM($I$264:DX265))*(DY$7&gt;$E$264)</f>
        <v>0</v>
      </c>
    </row>
    <row r="266" spans="1:130" s="130" customFormat="1" ht="11.7" customHeight="1" outlineLevel="1" x14ac:dyDescent="0.25">
      <c r="A266" s="85"/>
      <c r="B266" s="196" t="s">
        <v>522</v>
      </c>
      <c r="C266" s="196"/>
      <c r="D266" s="324"/>
      <c r="E266" s="292">
        <f>+Inputs!F125</f>
        <v>45108</v>
      </c>
      <c r="F266" s="150"/>
      <c r="G266" s="127"/>
      <c r="H266" s="290">
        <f t="shared" si="258"/>
        <v>0</v>
      </c>
      <c r="I266" s="1131">
        <v>0</v>
      </c>
      <c r="J266" s="1094">
        <v>0</v>
      </c>
      <c r="K266" s="1094">
        <v>0</v>
      </c>
      <c r="L266" s="1094">
        <v>0</v>
      </c>
      <c r="M266" s="1094">
        <v>0</v>
      </c>
      <c r="N266" s="1094">
        <v>0</v>
      </c>
      <c r="O266" s="1094">
        <v>0</v>
      </c>
      <c r="P266" s="1094">
        <v>0</v>
      </c>
      <c r="Q266" s="1094">
        <v>0</v>
      </c>
      <c r="R266" s="1094">
        <v>0</v>
      </c>
      <c r="S266" s="1094">
        <v>0</v>
      </c>
      <c r="T266" s="1094">
        <v>0</v>
      </c>
      <c r="U266" s="1094">
        <v>0</v>
      </c>
      <c r="V266" s="1094">
        <v>0</v>
      </c>
      <c r="W266" s="1094">
        <v>0</v>
      </c>
      <c r="X266" s="1094">
        <v>0</v>
      </c>
      <c r="Y266" s="1094">
        <v>0</v>
      </c>
      <c r="Z266" s="1094">
        <v>0</v>
      </c>
      <c r="AA266" s="1094">
        <v>0</v>
      </c>
      <c r="AB266" s="1094">
        <v>0</v>
      </c>
      <c r="AC266" s="1094">
        <v>0</v>
      </c>
      <c r="AD266" s="1094">
        <v>0</v>
      </c>
      <c r="AE266" s="1094">
        <v>0</v>
      </c>
      <c r="AF266" s="1094">
        <v>0</v>
      </c>
      <c r="AG266" s="1094">
        <v>0</v>
      </c>
      <c r="AH266" s="1094">
        <v>0</v>
      </c>
      <c r="AI266" s="1094">
        <v>0</v>
      </c>
      <c r="AJ266" s="1094">
        <v>0</v>
      </c>
      <c r="AK266" s="1094">
        <v>0</v>
      </c>
      <c r="AL266" s="1094">
        <v>0</v>
      </c>
      <c r="AM266" s="1094">
        <v>0</v>
      </c>
      <c r="AN266" s="1094">
        <v>0</v>
      </c>
      <c r="AO266" s="1094">
        <v>0</v>
      </c>
      <c r="AP266" s="1094">
        <v>0</v>
      </c>
      <c r="AQ266" s="1094">
        <v>0</v>
      </c>
      <c r="AR266" s="1094">
        <v>0</v>
      </c>
      <c r="AS266" s="1094">
        <v>0</v>
      </c>
      <c r="AT266" s="1094">
        <v>0</v>
      </c>
      <c r="AU266" s="1094">
        <v>0</v>
      </c>
      <c r="AV266" s="1094">
        <v>0</v>
      </c>
      <c r="AW266" s="1094">
        <v>0</v>
      </c>
      <c r="AX266" s="1094">
        <v>0</v>
      </c>
      <c r="AY266" s="1094">
        <v>0</v>
      </c>
      <c r="AZ266" s="1094">
        <v>0</v>
      </c>
      <c r="BA266" s="1094">
        <v>0</v>
      </c>
      <c r="BB266" s="1094">
        <v>0</v>
      </c>
      <c r="BC266" s="1094">
        <v>0</v>
      </c>
      <c r="BD266" s="1094">
        <v>0</v>
      </c>
      <c r="BE266" s="1094">
        <v>0</v>
      </c>
      <c r="BF266" s="1094">
        <v>0</v>
      </c>
      <c r="BG266" s="1094">
        <v>0</v>
      </c>
      <c r="BH266" s="1094">
        <v>0</v>
      </c>
      <c r="BI266" s="1094">
        <v>0</v>
      </c>
      <c r="BJ266" s="1094">
        <v>0</v>
      </c>
      <c r="BK266" s="1094">
        <v>0</v>
      </c>
      <c r="BL266" s="1094">
        <v>0</v>
      </c>
      <c r="BM266" s="1094">
        <v>0</v>
      </c>
      <c r="BN266" s="1094">
        <v>0</v>
      </c>
      <c r="BO266" s="1094">
        <v>0</v>
      </c>
      <c r="BP266" s="1094">
        <v>0</v>
      </c>
      <c r="BQ266" s="1094">
        <v>0</v>
      </c>
      <c r="BR266" s="1094">
        <v>0</v>
      </c>
      <c r="BS266" s="1094">
        <v>0</v>
      </c>
      <c r="BT266" s="1094">
        <v>0</v>
      </c>
      <c r="BU266" s="1094">
        <v>0</v>
      </c>
      <c r="BV266" s="1094">
        <v>0</v>
      </c>
      <c r="BW266" s="1094">
        <v>0</v>
      </c>
      <c r="BX266" s="1094">
        <v>0</v>
      </c>
      <c r="BY266" s="1094">
        <v>0</v>
      </c>
      <c r="BZ266" s="1094">
        <v>0</v>
      </c>
      <c r="CA266" s="151">
        <f t="shared" ref="CA266:DF266" si="267">+$D$266*(CA$6=$E$266)</f>
        <v>0</v>
      </c>
      <c r="CB266" s="151">
        <f t="shared" si="267"/>
        <v>0</v>
      </c>
      <c r="CC266" s="151">
        <f t="shared" si="267"/>
        <v>0</v>
      </c>
      <c r="CD266" s="151">
        <f t="shared" si="267"/>
        <v>0</v>
      </c>
      <c r="CE266" s="151">
        <f t="shared" si="267"/>
        <v>0</v>
      </c>
      <c r="CF266" s="151">
        <f t="shared" si="267"/>
        <v>0</v>
      </c>
      <c r="CG266" s="151">
        <f t="shared" si="267"/>
        <v>0</v>
      </c>
      <c r="CH266" s="151">
        <f t="shared" si="267"/>
        <v>0</v>
      </c>
      <c r="CI266" s="151">
        <f t="shared" si="267"/>
        <v>0</v>
      </c>
      <c r="CJ266" s="151">
        <f t="shared" si="267"/>
        <v>0</v>
      </c>
      <c r="CK266" s="151">
        <f t="shared" si="267"/>
        <v>0</v>
      </c>
      <c r="CL266" s="151">
        <f t="shared" si="267"/>
        <v>0</v>
      </c>
      <c r="CM266" s="151">
        <f t="shared" si="267"/>
        <v>0</v>
      </c>
      <c r="CN266" s="151">
        <f t="shared" si="267"/>
        <v>0</v>
      </c>
      <c r="CO266" s="151">
        <f t="shared" si="267"/>
        <v>0</v>
      </c>
      <c r="CP266" s="151">
        <f t="shared" si="267"/>
        <v>0</v>
      </c>
      <c r="CQ266" s="151">
        <f t="shared" si="267"/>
        <v>0</v>
      </c>
      <c r="CR266" s="151">
        <f t="shared" si="267"/>
        <v>0</v>
      </c>
      <c r="CS266" s="151">
        <f t="shared" si="267"/>
        <v>0</v>
      </c>
      <c r="CT266" s="151">
        <f t="shared" si="267"/>
        <v>0</v>
      </c>
      <c r="CU266" s="151">
        <f t="shared" si="267"/>
        <v>0</v>
      </c>
      <c r="CV266" s="151">
        <f t="shared" si="267"/>
        <v>0</v>
      </c>
      <c r="CW266" s="151">
        <f t="shared" si="267"/>
        <v>0</v>
      </c>
      <c r="CX266" s="151">
        <f t="shared" si="267"/>
        <v>0</v>
      </c>
      <c r="CY266" s="151">
        <f t="shared" si="267"/>
        <v>0</v>
      </c>
      <c r="CZ266" s="151">
        <f t="shared" si="267"/>
        <v>0</v>
      </c>
      <c r="DA266" s="151">
        <f t="shared" si="267"/>
        <v>0</v>
      </c>
      <c r="DB266" s="151">
        <f t="shared" si="267"/>
        <v>0</v>
      </c>
      <c r="DC266" s="151">
        <f t="shared" si="267"/>
        <v>0</v>
      </c>
      <c r="DD266" s="151">
        <f t="shared" si="267"/>
        <v>0</v>
      </c>
      <c r="DE266" s="151">
        <f t="shared" si="267"/>
        <v>0</v>
      </c>
      <c r="DF266" s="151">
        <f t="shared" si="267"/>
        <v>0</v>
      </c>
      <c r="DG266" s="151">
        <f t="shared" ref="DG266:DY266" si="268">+$D$266*(DG$6=$E$266)</f>
        <v>0</v>
      </c>
      <c r="DH266" s="151">
        <f t="shared" si="268"/>
        <v>0</v>
      </c>
      <c r="DI266" s="151">
        <f t="shared" si="268"/>
        <v>0</v>
      </c>
      <c r="DJ266" s="151">
        <f t="shared" si="268"/>
        <v>0</v>
      </c>
      <c r="DK266" s="151">
        <f t="shared" si="268"/>
        <v>0</v>
      </c>
      <c r="DL266" s="151">
        <f t="shared" si="268"/>
        <v>0</v>
      </c>
      <c r="DM266" s="151">
        <f t="shared" si="268"/>
        <v>0</v>
      </c>
      <c r="DN266" s="151">
        <f t="shared" si="268"/>
        <v>0</v>
      </c>
      <c r="DO266" s="151">
        <f t="shared" si="268"/>
        <v>0</v>
      </c>
      <c r="DP266" s="151">
        <f t="shared" si="268"/>
        <v>0</v>
      </c>
      <c r="DQ266" s="151">
        <f t="shared" si="268"/>
        <v>0</v>
      </c>
      <c r="DR266" s="151">
        <f t="shared" si="268"/>
        <v>0</v>
      </c>
      <c r="DS266" s="151">
        <f t="shared" si="268"/>
        <v>0</v>
      </c>
      <c r="DT266" s="151">
        <f t="shared" si="268"/>
        <v>0</v>
      </c>
      <c r="DU266" s="151">
        <f t="shared" si="268"/>
        <v>0</v>
      </c>
      <c r="DV266" s="151">
        <f t="shared" si="268"/>
        <v>0</v>
      </c>
      <c r="DW266" s="151">
        <f t="shared" si="268"/>
        <v>0</v>
      </c>
      <c r="DX266" s="151">
        <f t="shared" si="268"/>
        <v>0</v>
      </c>
      <c r="DY266" s="151">
        <f t="shared" si="268"/>
        <v>0</v>
      </c>
    </row>
    <row r="267" spans="1:130" s="3" customFormat="1" ht="11.7" customHeight="1" outlineLevel="1" x14ac:dyDescent="0.25">
      <c r="A267" s="85"/>
      <c r="B267" s="197" t="s">
        <v>393</v>
      </c>
      <c r="C267" s="197"/>
      <c r="D267" s="324"/>
      <c r="E267" s="621">
        <f>+Inputs!$G$133</f>
        <v>6</v>
      </c>
      <c r="F267" s="153"/>
      <c r="G267" s="147"/>
      <c r="H267" s="290">
        <f t="shared" si="258"/>
        <v>0</v>
      </c>
      <c r="I267" s="1122">
        <v>0</v>
      </c>
      <c r="J267" s="1123">
        <v>0</v>
      </c>
      <c r="K267" s="1123">
        <v>0</v>
      </c>
      <c r="L267" s="1123">
        <v>0</v>
      </c>
      <c r="M267" s="1123">
        <v>0</v>
      </c>
      <c r="N267" s="1123">
        <v>0</v>
      </c>
      <c r="O267" s="1123">
        <v>0</v>
      </c>
      <c r="P267" s="1123">
        <v>0</v>
      </c>
      <c r="Q267" s="1123">
        <v>0</v>
      </c>
      <c r="R267" s="1123">
        <v>0</v>
      </c>
      <c r="S267" s="1123">
        <v>0</v>
      </c>
      <c r="T267" s="1123">
        <v>0</v>
      </c>
      <c r="U267" s="1123">
        <v>0</v>
      </c>
      <c r="V267" s="1123">
        <v>0</v>
      </c>
      <c r="W267" s="1123">
        <v>0</v>
      </c>
      <c r="X267" s="1123">
        <v>0</v>
      </c>
      <c r="Y267" s="1123">
        <v>0</v>
      </c>
      <c r="Z267" s="1123">
        <v>0</v>
      </c>
      <c r="AA267" s="1123">
        <v>0</v>
      </c>
      <c r="AB267" s="1123">
        <v>0</v>
      </c>
      <c r="AC267" s="1123">
        <v>0</v>
      </c>
      <c r="AD267" s="1123">
        <v>0</v>
      </c>
      <c r="AE267" s="1123">
        <v>0</v>
      </c>
      <c r="AF267" s="1123">
        <v>0</v>
      </c>
      <c r="AG267" s="1123">
        <v>0</v>
      </c>
      <c r="AH267" s="1123">
        <v>0</v>
      </c>
      <c r="AI267" s="1123">
        <v>0</v>
      </c>
      <c r="AJ267" s="1123">
        <v>0</v>
      </c>
      <c r="AK267" s="1123">
        <v>0</v>
      </c>
      <c r="AL267" s="1123">
        <v>0</v>
      </c>
      <c r="AM267" s="1123">
        <v>0</v>
      </c>
      <c r="AN267" s="1123">
        <v>0</v>
      </c>
      <c r="AO267" s="1123">
        <v>0</v>
      </c>
      <c r="AP267" s="1123">
        <v>0</v>
      </c>
      <c r="AQ267" s="1123">
        <v>0</v>
      </c>
      <c r="AR267" s="1123">
        <v>0</v>
      </c>
      <c r="AS267" s="1123">
        <v>0</v>
      </c>
      <c r="AT267" s="1123">
        <v>0</v>
      </c>
      <c r="AU267" s="1123">
        <v>0</v>
      </c>
      <c r="AV267" s="1123">
        <v>0</v>
      </c>
      <c r="AW267" s="1123">
        <v>0</v>
      </c>
      <c r="AX267" s="1123">
        <v>0</v>
      </c>
      <c r="AY267" s="1123">
        <v>0</v>
      </c>
      <c r="AZ267" s="1123">
        <v>0</v>
      </c>
      <c r="BA267" s="1123">
        <v>0</v>
      </c>
      <c r="BB267" s="1123">
        <v>0</v>
      </c>
      <c r="BC267" s="1123">
        <v>0</v>
      </c>
      <c r="BD267" s="1123">
        <v>0</v>
      </c>
      <c r="BE267" s="1123">
        <v>0</v>
      </c>
      <c r="BF267" s="1123">
        <v>0</v>
      </c>
      <c r="BG267" s="1123">
        <v>0</v>
      </c>
      <c r="BH267" s="1123">
        <v>0</v>
      </c>
      <c r="BI267" s="1123">
        <v>0</v>
      </c>
      <c r="BJ267" s="1123">
        <v>0</v>
      </c>
      <c r="BK267" s="1123">
        <v>0</v>
      </c>
      <c r="BL267" s="1123">
        <v>0</v>
      </c>
      <c r="BM267" s="1123">
        <v>0</v>
      </c>
      <c r="BN267" s="1123">
        <v>0</v>
      </c>
      <c r="BO267" s="1123">
        <v>0</v>
      </c>
      <c r="BP267" s="1123">
        <v>0</v>
      </c>
      <c r="BQ267" s="1123">
        <v>0</v>
      </c>
      <c r="BR267" s="1123">
        <v>0</v>
      </c>
      <c r="BS267" s="1123">
        <v>0</v>
      </c>
      <c r="BT267" s="1123">
        <v>0</v>
      </c>
      <c r="BU267" s="1123">
        <v>0</v>
      </c>
      <c r="BV267" s="1123">
        <v>0</v>
      </c>
      <c r="BW267" s="1123">
        <v>0</v>
      </c>
      <c r="BX267" s="1123">
        <v>0</v>
      </c>
      <c r="BY267" s="1123">
        <v>0</v>
      </c>
      <c r="BZ267" s="1123">
        <v>0</v>
      </c>
      <c r="CA267" s="148">
        <f>+MIN((SUM($D$266:$D$267)-$D$266)/$E$267,SUM($D$266:$D$267)-SUM($I$266:BZ267))*(CA$7&gt;$E$266)</f>
        <v>0</v>
      </c>
      <c r="CB267" s="148">
        <f>+MIN((SUM($D$266:$D$267)-$D$266)/$E$267,SUM($D$266:$D$267)-SUM($I$266:CA267))*(CB$7&gt;$E$266)</f>
        <v>0</v>
      </c>
      <c r="CC267" s="148">
        <f>+MIN((SUM($D$266:$D$267)-$D$266)/$E$267,SUM($D$266:$D$267)-SUM($I$266:CB267))*(CC$7&gt;$E$266)</f>
        <v>0</v>
      </c>
      <c r="CD267" s="148">
        <f>+MIN((SUM($D$266:$D$267)-$D$266)/$E$267,SUM($D$266:$D$267)-SUM($I$266:CC267))*(CD$7&gt;$E$266)</f>
        <v>0</v>
      </c>
      <c r="CE267" s="148">
        <f>+MIN((SUM($D$266:$D$267)-$D$266)/$E$267,SUM($D$266:$D$267)-SUM($I$266:CD267))*(CE$7&gt;$E$266)</f>
        <v>0</v>
      </c>
      <c r="CF267" s="148">
        <f>+MIN((SUM($D$266:$D$267)-$D$266)/$E$267,SUM($D$266:$D$267)-SUM($I$266:CE267))*(CF$7&gt;$E$266)</f>
        <v>0</v>
      </c>
      <c r="CG267" s="148">
        <f>+MIN((SUM($D$266:$D$267)-$D$266)/$E$267,SUM($D$266:$D$267)-SUM($I$266:CF267))*(CG$7&gt;$E$266)</f>
        <v>0</v>
      </c>
      <c r="CH267" s="148">
        <f>+MIN((SUM($D$266:$D$267)-$D$266)/$E$267,SUM($D$266:$D$267)-SUM($I$266:CG267))*(CH$7&gt;$E$266)</f>
        <v>0</v>
      </c>
      <c r="CI267" s="148">
        <f>+MIN((SUM($D$266:$D$267)-$D$266)/$E$267,SUM($D$266:$D$267)-SUM($I$266:CH267))*(CI$7&gt;$E$266)</f>
        <v>0</v>
      </c>
      <c r="CJ267" s="148">
        <f>+MIN((SUM($D$266:$D$267)-$D$266)/$E$267,SUM($D$266:$D$267)-SUM($I$266:CI267))*(CJ$7&gt;$E$266)</f>
        <v>0</v>
      </c>
      <c r="CK267" s="148">
        <f>+MIN((SUM($D$266:$D$267)-$D$266)/$E$267,SUM($D$266:$D$267)-SUM($I$266:CJ267))*(CK$7&gt;$E$266)</f>
        <v>0</v>
      </c>
      <c r="CL267" s="148">
        <f>+MIN((SUM($D$266:$D$267)-$D$266)/$E$267,SUM($D$266:$D$267)-SUM($I$266:CK267))*(CL$7&gt;$E$266)</f>
        <v>0</v>
      </c>
      <c r="CM267" s="148">
        <f>+MIN((SUM($D$266:$D$267)-$D$266)/$E$267,SUM($D$266:$D$267)-SUM($I$266:CL267))*(CM$7&gt;$E$266)</f>
        <v>0</v>
      </c>
      <c r="CN267" s="148">
        <f>+MIN((SUM($D$266:$D$267)-$D$266)/$E$267,SUM($D$266:$D$267)-SUM($I$266:CM267))*(CN$7&gt;$E$266)</f>
        <v>0</v>
      </c>
      <c r="CO267" s="148">
        <f>+MIN((SUM($D$266:$D$267)-$D$266)/$E$267,SUM($D$266:$D$267)-SUM($I$266:CN267))*(CO$7&gt;$E$266)</f>
        <v>0</v>
      </c>
      <c r="CP267" s="148">
        <f>+MIN((SUM($D$266:$D$267)-$D$266)/$E$267,SUM($D$266:$D$267)-SUM($I$266:CO267))*(CP$7&gt;$E$266)</f>
        <v>0</v>
      </c>
      <c r="CQ267" s="148">
        <f>+MIN((SUM($D$266:$D$267)-$D$266)/$E$267,SUM($D$266:$D$267)-SUM($I$266:CP267))*(CQ$7&gt;$E$266)</f>
        <v>0</v>
      </c>
      <c r="CR267" s="148">
        <f>+MIN((SUM($D$266:$D$267)-$D$266)/$E$267,SUM($D$266:$D$267)-SUM($I$266:CQ267))*(CR$7&gt;$E$266)</f>
        <v>0</v>
      </c>
      <c r="CS267" s="148">
        <f>+MIN((SUM($D$266:$D$267)-$D$266)/$E$267,SUM($D$266:$D$267)-SUM($I$266:CR267))*(CS$7&gt;$E$266)</f>
        <v>0</v>
      </c>
      <c r="CT267" s="148">
        <f>+MIN((SUM($D$266:$D$267)-$D$266)/$E$267,SUM($D$266:$D$267)-SUM($I$266:CS267))*(CT$7&gt;$E$266)</f>
        <v>0</v>
      </c>
      <c r="CU267" s="148">
        <f>+MIN((SUM($D$266:$D$267)-$D$266)/$E$267,SUM($D$266:$D$267)-SUM($I$266:CT267))*(CU$7&gt;$E$266)</f>
        <v>0</v>
      </c>
      <c r="CV267" s="148">
        <f>+MIN((SUM($D$266:$D$267)-$D$266)/$E$267,SUM($D$266:$D$267)-SUM($I$266:CU267))*(CV$7&gt;$E$266)</f>
        <v>0</v>
      </c>
      <c r="CW267" s="148">
        <f>+MIN((SUM($D$266:$D$267)-$D$266)/$E$267,SUM($D$266:$D$267)-SUM($I$266:CV267))*(CW$7&gt;$E$266)</f>
        <v>0</v>
      </c>
      <c r="CX267" s="148">
        <f>+MIN((SUM($D$266:$D$267)-$D$266)/$E$267,SUM($D$266:$D$267)-SUM($I$266:CW267))*(CX$7&gt;$E$266)</f>
        <v>0</v>
      </c>
      <c r="CY267" s="148">
        <f>+MIN((SUM($D$266:$D$267)-$D$266)/$E$267,SUM($D$266:$D$267)-SUM($I$266:CX267))*(CY$7&gt;$E$266)</f>
        <v>0</v>
      </c>
      <c r="CZ267" s="148">
        <f>+MIN((SUM($D$266:$D$267)-$D$266)/$E$267,SUM($D$266:$D$267)-SUM($I$266:CY267))*(CZ$7&gt;$E$266)</f>
        <v>0</v>
      </c>
      <c r="DA267" s="148">
        <f>+MIN((SUM($D$266:$D$267)-$D$266)/$E$267,SUM($D$266:$D$267)-SUM($I$266:CZ267))*(DA$7&gt;$E$266)</f>
        <v>0</v>
      </c>
      <c r="DB267" s="148">
        <f>+MIN((SUM($D$266:$D$267)-$D$266)/$E$267,SUM($D$266:$D$267)-SUM($I$266:DA267))*(DB$7&gt;$E$266)</f>
        <v>0</v>
      </c>
      <c r="DC267" s="148">
        <f>+MIN((SUM($D$266:$D$267)-$D$266)/$E$267,SUM($D$266:$D$267)-SUM($I$266:DB267))*(DC$7&gt;$E$266)</f>
        <v>0</v>
      </c>
      <c r="DD267" s="148">
        <f>+MIN((SUM($D$266:$D$267)-$D$266)/$E$267,SUM($D$266:$D$267)-SUM($I$266:DC267))*(DD$7&gt;$E$266)</f>
        <v>0</v>
      </c>
      <c r="DE267" s="148">
        <f>+MIN((SUM($D$266:$D$267)-$D$266)/$E$267,SUM($D$266:$D$267)-SUM($I$266:DD267))*(DE$7&gt;$E$266)</f>
        <v>0</v>
      </c>
      <c r="DF267" s="148">
        <f>+MIN((SUM($D$266:$D$267)-$D$266)/$E$267,SUM($D$266:$D$267)-SUM($I$266:DE267))*(DF$7&gt;$E$266)</f>
        <v>0</v>
      </c>
      <c r="DG267" s="148">
        <f>+MIN((SUM($D$266:$D$267)-$D$266)/$E$267,SUM($D$266:$D$267)-SUM($I$266:DF267))*(DG$7&gt;$E$266)</f>
        <v>0</v>
      </c>
      <c r="DH267" s="148">
        <f>+MIN((SUM($D$266:$D$267)-$D$266)/$E$267,SUM($D$266:$D$267)-SUM($I$266:DG267))*(DH$7&gt;$E$266)</f>
        <v>0</v>
      </c>
      <c r="DI267" s="148">
        <f>+MIN((SUM($D$266:$D$267)-$D$266)/$E$267,SUM($D$266:$D$267)-SUM($I$266:DH267))*(DI$7&gt;$E$266)</f>
        <v>0</v>
      </c>
      <c r="DJ267" s="148">
        <f>+MIN((SUM($D$266:$D$267)-$D$266)/$E$267,SUM($D$266:$D$267)-SUM($I$266:DI267))*(DJ$7&gt;$E$266)</f>
        <v>0</v>
      </c>
      <c r="DK267" s="148">
        <f>+MIN((SUM($D$266:$D$267)-$D$266)/$E$267,SUM($D$266:$D$267)-SUM($I$266:DJ267))*(DK$7&gt;$E$266)</f>
        <v>0</v>
      </c>
      <c r="DL267" s="148">
        <f>+MIN((SUM($D$266:$D$267)-$D$266)/$E$267,SUM($D$266:$D$267)-SUM($I$266:DK267))*(DL$7&gt;$E$266)</f>
        <v>0</v>
      </c>
      <c r="DM267" s="148">
        <f>+MIN((SUM($D$266:$D$267)-$D$266)/$E$267,SUM($D$266:$D$267)-SUM($I$266:DL267))*(DM$7&gt;$E$266)</f>
        <v>0</v>
      </c>
      <c r="DN267" s="148">
        <f>+MIN((SUM($D$266:$D$267)-$D$266)/$E$267,SUM($D$266:$D$267)-SUM($I$266:DM267))*(DN$7&gt;$E$266)</f>
        <v>0</v>
      </c>
      <c r="DO267" s="148">
        <f>+MIN((SUM($D$266:$D$267)-$D$266)/$E$267,SUM($D$266:$D$267)-SUM($I$266:DN267))*(DO$7&gt;$E$266)</f>
        <v>0</v>
      </c>
      <c r="DP267" s="148">
        <f>+MIN((SUM($D$266:$D$267)-$D$266)/$E$267,SUM($D$266:$D$267)-SUM($I$266:DO267))*(DP$7&gt;$E$266)</f>
        <v>0</v>
      </c>
      <c r="DQ267" s="148">
        <f>+MIN((SUM($D$266:$D$267)-$D$266)/$E$267,SUM($D$266:$D$267)-SUM($I$266:DP267))*(DQ$7&gt;$E$266)</f>
        <v>0</v>
      </c>
      <c r="DR267" s="148">
        <f>+MIN((SUM($D$266:$D$267)-$D$266)/$E$267,SUM($D$266:$D$267)-SUM($I$266:DQ267))*(DR$7&gt;$E$266)</f>
        <v>0</v>
      </c>
      <c r="DS267" s="148">
        <f>+MIN((SUM($D$266:$D$267)-$D$266)/$E$267,SUM($D$266:$D$267)-SUM($I$266:DR267))*(DS$7&gt;$E$266)</f>
        <v>0</v>
      </c>
      <c r="DT267" s="148">
        <f>+MIN((SUM($D$266:$D$267)-$D$266)/$E$267,SUM($D$266:$D$267)-SUM($I$266:DS267))*(DT$7&gt;$E$266)</f>
        <v>0</v>
      </c>
      <c r="DU267" s="148">
        <f>+MIN((SUM($D$266:$D$267)-$D$266)/$E$267,SUM($D$266:$D$267)-SUM($I$266:DT267))*(DU$7&gt;$E$266)</f>
        <v>0</v>
      </c>
      <c r="DV267" s="148">
        <f>+MIN((SUM($D$266:$D$267)-$D$266)/$E$267,SUM($D$266:$D$267)-SUM($I$266:DU267))*(DV$7&gt;$E$266)</f>
        <v>0</v>
      </c>
      <c r="DW267" s="148">
        <f>+MIN((SUM($D$266:$D$267)-$D$266)/$E$267,SUM($D$266:$D$267)-SUM($I$266:DV267))*(DW$7&gt;$E$266)</f>
        <v>0</v>
      </c>
      <c r="DX267" s="148">
        <f>+MIN((SUM($D$266:$D$267)-$D$266)/$E$267,SUM($D$266:$D$267)-SUM($I$266:DW267))*(DX$7&gt;$E$266)</f>
        <v>0</v>
      </c>
      <c r="DY267" s="148">
        <f>+MIN((SUM($D$266:$D$267)-$D$266)/$E$267,SUM($D$266:$D$267)-SUM($I$266:DX267))*(DY$7&gt;$E$266)</f>
        <v>0</v>
      </c>
    </row>
    <row r="268" spans="1:130" s="3" customFormat="1" ht="11.7" customHeight="1" outlineLevel="1" x14ac:dyDescent="0.25">
      <c r="B268" s="113" t="s">
        <v>407</v>
      </c>
      <c r="C268" s="113"/>
      <c r="D268" s="324">
        <f>+Inputs!$D$15+Inputs!$D$16</f>
        <v>972.22</v>
      </c>
      <c r="G268" s="74"/>
      <c r="H268" s="74"/>
      <c r="I268" s="151">
        <f>+SUM(I257:I267)</f>
        <v>0</v>
      </c>
      <c r="J268" s="151">
        <f t="shared" ref="J268:AN268" si="269">+SUM(J257:J267)</f>
        <v>0</v>
      </c>
      <c r="K268" s="151">
        <f t="shared" si="269"/>
        <v>0</v>
      </c>
      <c r="L268" s="151">
        <f t="shared" si="269"/>
        <v>0</v>
      </c>
      <c r="M268" s="151">
        <f t="shared" si="269"/>
        <v>0</v>
      </c>
      <c r="N268" s="151">
        <f t="shared" si="269"/>
        <v>0</v>
      </c>
      <c r="O268" s="151">
        <f t="shared" si="269"/>
        <v>0</v>
      </c>
      <c r="P268" s="151">
        <f t="shared" si="269"/>
        <v>0</v>
      </c>
      <c r="Q268" s="151">
        <f t="shared" si="269"/>
        <v>0</v>
      </c>
      <c r="R268" s="151">
        <f t="shared" si="269"/>
        <v>0</v>
      </c>
      <c r="S268" s="151">
        <f t="shared" si="269"/>
        <v>0</v>
      </c>
      <c r="T268" s="151">
        <f t="shared" si="269"/>
        <v>0</v>
      </c>
      <c r="U268" s="151">
        <f t="shared" si="269"/>
        <v>0</v>
      </c>
      <c r="V268" s="151">
        <f t="shared" si="269"/>
        <v>0</v>
      </c>
      <c r="W268" s="151">
        <f t="shared" si="269"/>
        <v>0</v>
      </c>
      <c r="X268" s="151">
        <f t="shared" si="269"/>
        <v>0</v>
      </c>
      <c r="Y268" s="151">
        <f t="shared" si="269"/>
        <v>0</v>
      </c>
      <c r="Z268" s="151">
        <f t="shared" si="269"/>
        <v>0</v>
      </c>
      <c r="AA268" s="151">
        <f t="shared" si="269"/>
        <v>0</v>
      </c>
      <c r="AB268" s="151">
        <f t="shared" si="269"/>
        <v>0</v>
      </c>
      <c r="AC268" s="151">
        <f t="shared" si="269"/>
        <v>0</v>
      </c>
      <c r="AD268" s="151">
        <f t="shared" si="269"/>
        <v>0</v>
      </c>
      <c r="AE268" s="151">
        <f t="shared" si="269"/>
        <v>0</v>
      </c>
      <c r="AF268" s="151">
        <f t="shared" si="269"/>
        <v>0</v>
      </c>
      <c r="AG268" s="151">
        <f t="shared" si="269"/>
        <v>0</v>
      </c>
      <c r="AH268" s="151">
        <f t="shared" si="269"/>
        <v>0</v>
      </c>
      <c r="AI268" s="151">
        <f t="shared" si="269"/>
        <v>0</v>
      </c>
      <c r="AJ268" s="151">
        <f t="shared" si="269"/>
        <v>0</v>
      </c>
      <c r="AK268" s="151">
        <f t="shared" si="269"/>
        <v>0</v>
      </c>
      <c r="AL268" s="151">
        <f t="shared" si="269"/>
        <v>0</v>
      </c>
      <c r="AM268" s="151">
        <f t="shared" si="269"/>
        <v>0</v>
      </c>
      <c r="AN268" s="151">
        <f t="shared" si="269"/>
        <v>0</v>
      </c>
      <c r="AO268" s="151">
        <f t="shared" ref="AO268:BT268" si="270">+SUM(AO257:AO267)</f>
        <v>0</v>
      </c>
      <c r="AP268" s="151">
        <f t="shared" si="270"/>
        <v>0</v>
      </c>
      <c r="AQ268" s="151">
        <f t="shared" si="270"/>
        <v>0</v>
      </c>
      <c r="AR268" s="151">
        <f t="shared" si="270"/>
        <v>0</v>
      </c>
      <c r="AS268" s="151">
        <f t="shared" si="270"/>
        <v>0</v>
      </c>
      <c r="AT268" s="151">
        <f t="shared" si="270"/>
        <v>0</v>
      </c>
      <c r="AU268" s="151">
        <f t="shared" si="270"/>
        <v>0</v>
      </c>
      <c r="AV268" s="151">
        <f t="shared" si="270"/>
        <v>0</v>
      </c>
      <c r="AW268" s="151">
        <f t="shared" si="270"/>
        <v>0</v>
      </c>
      <c r="AX268" s="151">
        <f t="shared" si="270"/>
        <v>0</v>
      </c>
      <c r="AY268" s="151">
        <f t="shared" si="270"/>
        <v>0</v>
      </c>
      <c r="AZ268" s="151">
        <f t="shared" si="270"/>
        <v>0</v>
      </c>
      <c r="BA268" s="151">
        <f t="shared" si="270"/>
        <v>0</v>
      </c>
      <c r="BB268" s="151">
        <f t="shared" si="270"/>
        <v>0</v>
      </c>
      <c r="BC268" s="151">
        <f t="shared" si="270"/>
        <v>0</v>
      </c>
      <c r="BD268" s="151">
        <f t="shared" si="270"/>
        <v>0</v>
      </c>
      <c r="BE268" s="151">
        <f t="shared" si="270"/>
        <v>0</v>
      </c>
      <c r="BF268" s="151">
        <f t="shared" si="270"/>
        <v>0</v>
      </c>
      <c r="BG268" s="151">
        <f t="shared" si="270"/>
        <v>0</v>
      </c>
      <c r="BH268" s="151">
        <f t="shared" si="270"/>
        <v>0</v>
      </c>
      <c r="BI268" s="151">
        <f t="shared" si="270"/>
        <v>0</v>
      </c>
      <c r="BJ268" s="151">
        <f t="shared" si="270"/>
        <v>0</v>
      </c>
      <c r="BK268" s="151">
        <f t="shared" si="270"/>
        <v>0</v>
      </c>
      <c r="BL268" s="151">
        <f t="shared" si="270"/>
        <v>0</v>
      </c>
      <c r="BM268" s="151">
        <f t="shared" si="270"/>
        <v>0</v>
      </c>
      <c r="BN268" s="151">
        <f t="shared" si="270"/>
        <v>0</v>
      </c>
      <c r="BO268" s="151">
        <f t="shared" si="270"/>
        <v>0</v>
      </c>
      <c r="BP268" s="151">
        <f t="shared" si="270"/>
        <v>0</v>
      </c>
      <c r="BQ268" s="151">
        <f t="shared" si="270"/>
        <v>0</v>
      </c>
      <c r="BR268" s="151">
        <f t="shared" si="270"/>
        <v>0</v>
      </c>
      <c r="BS268" s="151">
        <f t="shared" si="270"/>
        <v>0</v>
      </c>
      <c r="BT268" s="151">
        <f t="shared" si="270"/>
        <v>0</v>
      </c>
      <c r="BU268" s="151">
        <f t="shared" ref="BU268:CZ268" si="271">+SUM(BU257:BU267)</f>
        <v>0</v>
      </c>
      <c r="BV268" s="151">
        <f t="shared" si="271"/>
        <v>0</v>
      </c>
      <c r="BW268" s="151">
        <f t="shared" si="271"/>
        <v>52.45</v>
      </c>
      <c r="BX268" s="151">
        <f t="shared" si="271"/>
        <v>52.45</v>
      </c>
      <c r="BY268" s="151">
        <f t="shared" si="271"/>
        <v>52.45</v>
      </c>
      <c r="BZ268" s="151">
        <f t="shared" si="271"/>
        <v>52.45</v>
      </c>
      <c r="CA268" s="151">
        <f t="shared" si="271"/>
        <v>214.48666666666668</v>
      </c>
      <c r="CB268" s="151">
        <f t="shared" si="271"/>
        <v>376.52333333333337</v>
      </c>
      <c r="CC268" s="151">
        <f t="shared" si="271"/>
        <v>538.56000000000006</v>
      </c>
      <c r="CD268" s="151">
        <f t="shared" si="271"/>
        <v>700.59666666666681</v>
      </c>
      <c r="CE268" s="151">
        <f t="shared" si="271"/>
        <v>862.63333333333344</v>
      </c>
      <c r="CF268" s="151">
        <f t="shared" si="271"/>
        <v>972.22</v>
      </c>
      <c r="CG268" s="151">
        <f t="shared" si="271"/>
        <v>972.22</v>
      </c>
      <c r="CH268" s="151">
        <f t="shared" si="271"/>
        <v>972.22</v>
      </c>
      <c r="CI268" s="151">
        <f t="shared" si="271"/>
        <v>972.22</v>
      </c>
      <c r="CJ268" s="151">
        <f t="shared" si="271"/>
        <v>972.22</v>
      </c>
      <c r="CK268" s="151">
        <f t="shared" si="271"/>
        <v>972.22</v>
      </c>
      <c r="CL268" s="151">
        <f t="shared" si="271"/>
        <v>972.22</v>
      </c>
      <c r="CM268" s="151">
        <f t="shared" si="271"/>
        <v>972.22</v>
      </c>
      <c r="CN268" s="151">
        <f t="shared" si="271"/>
        <v>972.22</v>
      </c>
      <c r="CO268" s="151">
        <f t="shared" si="271"/>
        <v>972.22</v>
      </c>
      <c r="CP268" s="151">
        <f t="shared" si="271"/>
        <v>972.22</v>
      </c>
      <c r="CQ268" s="151">
        <f t="shared" si="271"/>
        <v>972.22</v>
      </c>
      <c r="CR268" s="151">
        <f t="shared" si="271"/>
        <v>972.22</v>
      </c>
      <c r="CS268" s="151">
        <f t="shared" si="271"/>
        <v>972.22</v>
      </c>
      <c r="CT268" s="151">
        <f t="shared" si="271"/>
        <v>972.22</v>
      </c>
      <c r="CU268" s="151">
        <f t="shared" si="271"/>
        <v>972.22</v>
      </c>
      <c r="CV268" s="151">
        <f t="shared" si="271"/>
        <v>972.22</v>
      </c>
      <c r="CW268" s="151">
        <f t="shared" si="271"/>
        <v>972.22</v>
      </c>
      <c r="CX268" s="151">
        <f t="shared" si="271"/>
        <v>972.22</v>
      </c>
      <c r="CY268" s="151">
        <f t="shared" si="271"/>
        <v>972.22</v>
      </c>
      <c r="CZ268" s="151">
        <f t="shared" si="271"/>
        <v>972.22</v>
      </c>
      <c r="DA268" s="151">
        <f t="shared" ref="DA268:DW268" si="272">+SUM(DA257:DA267)</f>
        <v>972.22</v>
      </c>
      <c r="DB268" s="151">
        <f t="shared" si="272"/>
        <v>972.22</v>
      </c>
      <c r="DC268" s="151">
        <f t="shared" si="272"/>
        <v>972.22</v>
      </c>
      <c r="DD268" s="151">
        <f t="shared" si="272"/>
        <v>972.22</v>
      </c>
      <c r="DE268" s="151">
        <f t="shared" si="272"/>
        <v>972.22</v>
      </c>
      <c r="DF268" s="151">
        <f t="shared" si="272"/>
        <v>972.22</v>
      </c>
      <c r="DG268" s="151">
        <f t="shared" si="272"/>
        <v>972.22</v>
      </c>
      <c r="DH268" s="151">
        <f t="shared" si="272"/>
        <v>972.22</v>
      </c>
      <c r="DI268" s="151">
        <f t="shared" si="272"/>
        <v>972.22</v>
      </c>
      <c r="DJ268" s="151">
        <f t="shared" si="272"/>
        <v>972.22</v>
      </c>
      <c r="DK268" s="151">
        <f t="shared" si="272"/>
        <v>972.22</v>
      </c>
      <c r="DL268" s="151">
        <f t="shared" si="272"/>
        <v>972.22</v>
      </c>
      <c r="DM268" s="151">
        <f t="shared" si="272"/>
        <v>972.22</v>
      </c>
      <c r="DN268" s="151">
        <f t="shared" si="272"/>
        <v>972.22</v>
      </c>
      <c r="DO268" s="151">
        <f t="shared" si="272"/>
        <v>972.22</v>
      </c>
      <c r="DP268" s="151">
        <f t="shared" si="272"/>
        <v>972.22</v>
      </c>
      <c r="DQ268" s="151">
        <f t="shared" si="272"/>
        <v>972.22</v>
      </c>
      <c r="DR268" s="151">
        <f t="shared" si="272"/>
        <v>972.22</v>
      </c>
      <c r="DS268" s="151">
        <f t="shared" si="272"/>
        <v>972.22</v>
      </c>
      <c r="DT268" s="151">
        <f t="shared" si="272"/>
        <v>972.22</v>
      </c>
      <c r="DU268" s="151">
        <f t="shared" si="272"/>
        <v>972.22</v>
      </c>
      <c r="DV268" s="151">
        <f t="shared" si="272"/>
        <v>972.22</v>
      </c>
      <c r="DW268" s="151">
        <f t="shared" si="272"/>
        <v>972.22</v>
      </c>
      <c r="DX268" s="151">
        <f t="shared" ref="DX268" si="273">+SUM(DX257:DX267)</f>
        <v>972.22</v>
      </c>
      <c r="DY268" s="151">
        <f t="shared" ref="DY268" si="274">+SUM(DY257:DY267)</f>
        <v>972.22</v>
      </c>
    </row>
    <row r="269" spans="1:130" s="3" customFormat="1" ht="11.7" customHeight="1" outlineLevel="1" x14ac:dyDescent="0.3">
      <c r="A269" s="13"/>
      <c r="B269" s="149"/>
      <c r="C269" s="149"/>
      <c r="G269" s="127"/>
      <c r="H269" s="127"/>
      <c r="I269" s="111"/>
      <c r="J269" s="111"/>
      <c r="K269" s="111"/>
      <c r="L269" s="111"/>
      <c r="M269" s="111"/>
      <c r="N269" s="111"/>
      <c r="O269" s="111"/>
      <c r="P269" s="111"/>
      <c r="Q269" s="111"/>
      <c r="R269" s="111"/>
      <c r="S269" s="111"/>
      <c r="T269" s="111"/>
      <c r="U269" s="111"/>
      <c r="V269" s="111"/>
      <c r="W269" s="111"/>
      <c r="X269" s="111"/>
      <c r="Y269" s="111"/>
      <c r="Z269" s="111"/>
      <c r="AA269" s="111"/>
      <c r="AB269" s="111"/>
      <c r="AC269" s="111"/>
      <c r="AD269" s="111"/>
      <c r="AE269" s="111"/>
      <c r="AF269" s="111"/>
      <c r="AG269" s="111"/>
      <c r="AH269" s="111"/>
      <c r="AI269" s="111"/>
      <c r="AJ269" s="111"/>
      <c r="AK269" s="111"/>
      <c r="AL269" s="111"/>
      <c r="AM269" s="111"/>
      <c r="AN269" s="111"/>
      <c r="AO269" s="111"/>
      <c r="AP269" s="111"/>
      <c r="AQ269" s="111"/>
      <c r="AR269" s="111"/>
      <c r="AS269" s="111"/>
      <c r="AT269" s="111"/>
      <c r="AU269" s="111"/>
      <c r="AV269" s="111"/>
      <c r="AW269" s="111"/>
      <c r="AX269" s="111"/>
      <c r="AY269" s="111"/>
      <c r="AZ269" s="111"/>
      <c r="BA269" s="111"/>
      <c r="BB269" s="111"/>
      <c r="BC269" s="111"/>
      <c r="BD269" s="111"/>
      <c r="BE269" s="111"/>
      <c r="BF269" s="111"/>
      <c r="BG269" s="111"/>
      <c r="BH269" s="111"/>
      <c r="BI269" s="111"/>
      <c r="BJ269" s="111"/>
      <c r="BK269" s="111"/>
      <c r="BL269" s="111"/>
      <c r="BM269" s="111"/>
      <c r="BN269" s="111"/>
      <c r="BO269" s="111"/>
      <c r="BP269" s="111"/>
      <c r="BQ269" s="111"/>
      <c r="BR269" s="111"/>
      <c r="BS269" s="111"/>
      <c r="BT269" s="111"/>
      <c r="BU269" s="111"/>
      <c r="BV269" s="111"/>
      <c r="BW269" s="111"/>
      <c r="BX269" s="111"/>
      <c r="BY269" s="111"/>
      <c r="BZ269" s="111"/>
      <c r="CA269" s="111"/>
      <c r="CB269" s="111"/>
      <c r="CC269" s="111"/>
      <c r="CD269" s="111"/>
      <c r="CE269" s="111"/>
      <c r="CF269" s="111"/>
      <c r="CG269" s="111"/>
      <c r="CH269" s="111"/>
      <c r="CI269" s="111"/>
      <c r="CJ269" s="111"/>
      <c r="CK269" s="111"/>
      <c r="CL269" s="111"/>
      <c r="CM269" s="111"/>
      <c r="CN269" s="111"/>
      <c r="CO269" s="111"/>
      <c r="CP269" s="111"/>
      <c r="CQ269" s="111"/>
      <c r="CR269" s="111"/>
      <c r="CS269" s="111"/>
      <c r="CT269" s="111"/>
      <c r="CU269" s="111"/>
      <c r="CV269" s="111"/>
      <c r="CW269" s="111"/>
      <c r="CX269" s="111"/>
      <c r="CY269" s="111"/>
      <c r="CZ269" s="111"/>
      <c r="DA269" s="111"/>
      <c r="DB269" s="111"/>
      <c r="DC269" s="111"/>
      <c r="DD269" s="111"/>
      <c r="DE269" s="111"/>
      <c r="DF269" s="111"/>
      <c r="DG269" s="111"/>
      <c r="DH269" s="111"/>
      <c r="DI269" s="111"/>
      <c r="DJ269" s="111"/>
      <c r="DK269" s="111"/>
      <c r="DL269" s="111"/>
      <c r="DM269" s="111"/>
      <c r="DN269" s="111"/>
      <c r="DO269" s="111"/>
      <c r="DP269" s="111"/>
      <c r="DQ269" s="111"/>
      <c r="DR269" s="111"/>
      <c r="DS269" s="111"/>
      <c r="DT269" s="111"/>
      <c r="DU269" s="111"/>
      <c r="DV269" s="111"/>
      <c r="DW269" s="111"/>
      <c r="DX269" s="111"/>
      <c r="DY269" s="111"/>
    </row>
    <row r="270" spans="1:130" s="3" customFormat="1" ht="11.7" customHeight="1" outlineLevel="1" x14ac:dyDescent="0.3">
      <c r="A270" s="85"/>
      <c r="B270" s="329" t="s">
        <v>254</v>
      </c>
      <c r="C270" s="329"/>
      <c r="D270" s="159"/>
      <c r="G270" s="127"/>
      <c r="H270" s="127"/>
      <c r="I270" s="921">
        <f>+IFERROR(I268/$D$268,0)</f>
        <v>0</v>
      </c>
      <c r="J270" s="921">
        <f t="shared" ref="J270:BU270" si="275">+IFERROR(J268/$D$268,0)</f>
        <v>0</v>
      </c>
      <c r="K270" s="921">
        <f t="shared" si="275"/>
        <v>0</v>
      </c>
      <c r="L270" s="921">
        <f t="shared" si="275"/>
        <v>0</v>
      </c>
      <c r="M270" s="921">
        <f t="shared" si="275"/>
        <v>0</v>
      </c>
      <c r="N270" s="921">
        <f t="shared" si="275"/>
        <v>0</v>
      </c>
      <c r="O270" s="921">
        <f t="shared" si="275"/>
        <v>0</v>
      </c>
      <c r="P270" s="921">
        <f t="shared" si="275"/>
        <v>0</v>
      </c>
      <c r="Q270" s="921">
        <f t="shared" si="275"/>
        <v>0</v>
      </c>
      <c r="R270" s="921">
        <f t="shared" si="275"/>
        <v>0</v>
      </c>
      <c r="S270" s="921">
        <f t="shared" si="275"/>
        <v>0</v>
      </c>
      <c r="T270" s="921">
        <f t="shared" si="275"/>
        <v>0</v>
      </c>
      <c r="U270" s="921">
        <f t="shared" si="275"/>
        <v>0</v>
      </c>
      <c r="V270" s="921">
        <f t="shared" si="275"/>
        <v>0</v>
      </c>
      <c r="W270" s="921">
        <f t="shared" si="275"/>
        <v>0</v>
      </c>
      <c r="X270" s="921">
        <f t="shared" si="275"/>
        <v>0</v>
      </c>
      <c r="Y270" s="921">
        <f t="shared" si="275"/>
        <v>0</v>
      </c>
      <c r="Z270" s="921">
        <f t="shared" si="275"/>
        <v>0</v>
      </c>
      <c r="AA270" s="921">
        <f t="shared" si="275"/>
        <v>0</v>
      </c>
      <c r="AB270" s="921">
        <f t="shared" si="275"/>
        <v>0</v>
      </c>
      <c r="AC270" s="921">
        <f t="shared" si="275"/>
        <v>0</v>
      </c>
      <c r="AD270" s="921">
        <f t="shared" si="275"/>
        <v>0</v>
      </c>
      <c r="AE270" s="921">
        <f t="shared" si="275"/>
        <v>0</v>
      </c>
      <c r="AF270" s="921">
        <f t="shared" si="275"/>
        <v>0</v>
      </c>
      <c r="AG270" s="921">
        <f t="shared" si="275"/>
        <v>0</v>
      </c>
      <c r="AH270" s="921">
        <f t="shared" si="275"/>
        <v>0</v>
      </c>
      <c r="AI270" s="921">
        <f t="shared" si="275"/>
        <v>0</v>
      </c>
      <c r="AJ270" s="921">
        <f t="shared" si="275"/>
        <v>0</v>
      </c>
      <c r="AK270" s="921">
        <f t="shared" si="275"/>
        <v>0</v>
      </c>
      <c r="AL270" s="921">
        <f t="shared" si="275"/>
        <v>0</v>
      </c>
      <c r="AM270" s="921">
        <f t="shared" si="275"/>
        <v>0</v>
      </c>
      <c r="AN270" s="921">
        <f t="shared" si="275"/>
        <v>0</v>
      </c>
      <c r="AO270" s="921">
        <f t="shared" si="275"/>
        <v>0</v>
      </c>
      <c r="AP270" s="921">
        <f t="shared" si="275"/>
        <v>0</v>
      </c>
      <c r="AQ270" s="921">
        <f t="shared" si="275"/>
        <v>0</v>
      </c>
      <c r="AR270" s="921">
        <f t="shared" si="275"/>
        <v>0</v>
      </c>
      <c r="AS270" s="921">
        <f>+IFERROR(AS268/$D$268,0)</f>
        <v>0</v>
      </c>
      <c r="AT270" s="921">
        <f t="shared" si="275"/>
        <v>0</v>
      </c>
      <c r="AU270" s="921">
        <f t="shared" si="275"/>
        <v>0</v>
      </c>
      <c r="AV270" s="921">
        <f t="shared" si="275"/>
        <v>0</v>
      </c>
      <c r="AW270" s="921">
        <f t="shared" si="275"/>
        <v>0</v>
      </c>
      <c r="AX270" s="921">
        <f t="shared" si="275"/>
        <v>0</v>
      </c>
      <c r="AY270" s="921">
        <f t="shared" si="275"/>
        <v>0</v>
      </c>
      <c r="AZ270" s="921">
        <f t="shared" si="275"/>
        <v>0</v>
      </c>
      <c r="BA270" s="921">
        <f t="shared" si="275"/>
        <v>0</v>
      </c>
      <c r="BB270" s="921">
        <f t="shared" si="275"/>
        <v>0</v>
      </c>
      <c r="BC270" s="921">
        <f t="shared" si="275"/>
        <v>0</v>
      </c>
      <c r="BD270" s="921">
        <f t="shared" si="275"/>
        <v>0</v>
      </c>
      <c r="BE270" s="921">
        <f t="shared" si="275"/>
        <v>0</v>
      </c>
      <c r="BF270" s="921">
        <f t="shared" si="275"/>
        <v>0</v>
      </c>
      <c r="BG270" s="921">
        <f t="shared" si="275"/>
        <v>0</v>
      </c>
      <c r="BH270" s="921">
        <f t="shared" si="275"/>
        <v>0</v>
      </c>
      <c r="BI270" s="921">
        <f t="shared" si="275"/>
        <v>0</v>
      </c>
      <c r="BJ270" s="921">
        <f t="shared" si="275"/>
        <v>0</v>
      </c>
      <c r="BK270" s="921">
        <f t="shared" si="275"/>
        <v>0</v>
      </c>
      <c r="BL270" s="921">
        <f t="shared" si="275"/>
        <v>0</v>
      </c>
      <c r="BM270" s="921">
        <f t="shared" si="275"/>
        <v>0</v>
      </c>
      <c r="BN270" s="921">
        <f t="shared" si="275"/>
        <v>0</v>
      </c>
      <c r="BO270" s="921">
        <f t="shared" si="275"/>
        <v>0</v>
      </c>
      <c r="BP270" s="921">
        <f t="shared" si="275"/>
        <v>0</v>
      </c>
      <c r="BQ270" s="921">
        <f t="shared" si="275"/>
        <v>0</v>
      </c>
      <c r="BR270" s="921">
        <f t="shared" si="275"/>
        <v>0</v>
      </c>
      <c r="BS270" s="921">
        <f t="shared" si="275"/>
        <v>0</v>
      </c>
      <c r="BT270" s="921">
        <f t="shared" si="275"/>
        <v>0</v>
      </c>
      <c r="BU270" s="921">
        <f t="shared" si="275"/>
        <v>0</v>
      </c>
      <c r="BV270" s="921">
        <f t="shared" ref="BV270:DW270" si="276">+IFERROR(BV268/$D$268,0)</f>
        <v>0</v>
      </c>
      <c r="BW270" s="921">
        <f t="shared" si="276"/>
        <v>5.3948694739873695E-2</v>
      </c>
      <c r="BX270" s="921">
        <f t="shared" si="276"/>
        <v>5.3948694739873695E-2</v>
      </c>
      <c r="BY270" s="921">
        <f t="shared" si="276"/>
        <v>5.3948694739873695E-2</v>
      </c>
      <c r="BZ270" s="921">
        <f t="shared" si="276"/>
        <v>5.3948694739873695E-2</v>
      </c>
      <c r="CA270" s="921">
        <f t="shared" si="276"/>
        <v>0.22061536140654037</v>
      </c>
      <c r="CB270" s="921">
        <f t="shared" si="276"/>
        <v>0.38728202807320705</v>
      </c>
      <c r="CC270" s="921">
        <f t="shared" si="276"/>
        <v>0.55394869473987374</v>
      </c>
      <c r="CD270" s="921">
        <f t="shared" si="276"/>
        <v>0.72061536140654048</v>
      </c>
      <c r="CE270" s="921">
        <f t="shared" si="276"/>
        <v>0.88728202807320711</v>
      </c>
      <c r="CF270" s="921">
        <f t="shared" si="276"/>
        <v>1</v>
      </c>
      <c r="CG270" s="921">
        <f t="shared" si="276"/>
        <v>1</v>
      </c>
      <c r="CH270" s="921">
        <f t="shared" si="276"/>
        <v>1</v>
      </c>
      <c r="CI270" s="921">
        <f t="shared" si="276"/>
        <v>1</v>
      </c>
      <c r="CJ270" s="921">
        <f t="shared" si="276"/>
        <v>1</v>
      </c>
      <c r="CK270" s="921">
        <f t="shared" si="276"/>
        <v>1</v>
      </c>
      <c r="CL270" s="921">
        <f t="shared" si="276"/>
        <v>1</v>
      </c>
      <c r="CM270" s="921">
        <f t="shared" si="276"/>
        <v>1</v>
      </c>
      <c r="CN270" s="921">
        <f t="shared" si="276"/>
        <v>1</v>
      </c>
      <c r="CO270" s="921">
        <f t="shared" si="276"/>
        <v>1</v>
      </c>
      <c r="CP270" s="921">
        <f t="shared" si="276"/>
        <v>1</v>
      </c>
      <c r="CQ270" s="921">
        <f t="shared" si="276"/>
        <v>1</v>
      </c>
      <c r="CR270" s="921">
        <f t="shared" si="276"/>
        <v>1</v>
      </c>
      <c r="CS270" s="921">
        <f t="shared" si="276"/>
        <v>1</v>
      </c>
      <c r="CT270" s="921">
        <f t="shared" si="276"/>
        <v>1</v>
      </c>
      <c r="CU270" s="921">
        <f t="shared" si="276"/>
        <v>1</v>
      </c>
      <c r="CV270" s="921">
        <f t="shared" si="276"/>
        <v>1</v>
      </c>
      <c r="CW270" s="921">
        <f t="shared" si="276"/>
        <v>1</v>
      </c>
      <c r="CX270" s="921">
        <f t="shared" si="276"/>
        <v>1</v>
      </c>
      <c r="CY270" s="921">
        <f t="shared" si="276"/>
        <v>1</v>
      </c>
      <c r="CZ270" s="921">
        <f t="shared" si="276"/>
        <v>1</v>
      </c>
      <c r="DA270" s="921">
        <f t="shared" si="276"/>
        <v>1</v>
      </c>
      <c r="DB270" s="921">
        <f t="shared" si="276"/>
        <v>1</v>
      </c>
      <c r="DC270" s="921">
        <f t="shared" si="276"/>
        <v>1</v>
      </c>
      <c r="DD270" s="921">
        <f t="shared" si="276"/>
        <v>1</v>
      </c>
      <c r="DE270" s="921">
        <f t="shared" si="276"/>
        <v>1</v>
      </c>
      <c r="DF270" s="921">
        <f t="shared" si="276"/>
        <v>1</v>
      </c>
      <c r="DG270" s="921">
        <f t="shared" si="276"/>
        <v>1</v>
      </c>
      <c r="DH270" s="921">
        <f t="shared" si="276"/>
        <v>1</v>
      </c>
      <c r="DI270" s="921">
        <f t="shared" si="276"/>
        <v>1</v>
      </c>
      <c r="DJ270" s="921">
        <f t="shared" si="276"/>
        <v>1</v>
      </c>
      <c r="DK270" s="921">
        <f t="shared" si="276"/>
        <v>1</v>
      </c>
      <c r="DL270" s="921">
        <f t="shared" si="276"/>
        <v>1</v>
      </c>
      <c r="DM270" s="921">
        <f t="shared" si="276"/>
        <v>1</v>
      </c>
      <c r="DN270" s="921">
        <f t="shared" si="276"/>
        <v>1</v>
      </c>
      <c r="DO270" s="921">
        <f t="shared" si="276"/>
        <v>1</v>
      </c>
      <c r="DP270" s="921">
        <f t="shared" si="276"/>
        <v>1</v>
      </c>
      <c r="DQ270" s="921">
        <f t="shared" si="276"/>
        <v>1</v>
      </c>
      <c r="DR270" s="921">
        <f t="shared" si="276"/>
        <v>1</v>
      </c>
      <c r="DS270" s="921">
        <f t="shared" si="276"/>
        <v>1</v>
      </c>
      <c r="DT270" s="921">
        <f t="shared" si="276"/>
        <v>1</v>
      </c>
      <c r="DU270" s="921">
        <f t="shared" si="276"/>
        <v>1</v>
      </c>
      <c r="DV270" s="921">
        <f t="shared" si="276"/>
        <v>1</v>
      </c>
      <c r="DW270" s="921">
        <f t="shared" si="276"/>
        <v>1</v>
      </c>
      <c r="DX270" s="921">
        <f t="shared" ref="DX270" si="277">+IFERROR(DX268/$D$268,0)</f>
        <v>1</v>
      </c>
      <c r="DY270" s="921">
        <f t="shared" ref="DY270" si="278">+IFERROR(DY268/$D$268,0)</f>
        <v>1</v>
      </c>
      <c r="DZ270" s="921"/>
    </row>
    <row r="271" spans="1:130" s="3" customFormat="1" ht="11.7" customHeight="1" outlineLevel="1" x14ac:dyDescent="0.3">
      <c r="A271" s="85"/>
      <c r="B271" s="141" t="s">
        <v>558</v>
      </c>
      <c r="C271" s="141"/>
      <c r="D271" s="159"/>
      <c r="G271" s="127"/>
      <c r="H271" s="127"/>
      <c r="I271" s="920">
        <f t="shared" ref="I271:AN271" si="279">MAX(1-I270,$D$104)</f>
        <v>1</v>
      </c>
      <c r="J271" s="920">
        <f t="shared" si="279"/>
        <v>1</v>
      </c>
      <c r="K271" s="920">
        <f t="shared" si="279"/>
        <v>1</v>
      </c>
      <c r="L271" s="920">
        <f t="shared" si="279"/>
        <v>1</v>
      </c>
      <c r="M271" s="920">
        <f t="shared" si="279"/>
        <v>1</v>
      </c>
      <c r="N271" s="920">
        <f t="shared" si="279"/>
        <v>1</v>
      </c>
      <c r="O271" s="920">
        <f t="shared" si="279"/>
        <v>1</v>
      </c>
      <c r="P271" s="920">
        <f t="shared" si="279"/>
        <v>1</v>
      </c>
      <c r="Q271" s="920">
        <f t="shared" si="279"/>
        <v>1</v>
      </c>
      <c r="R271" s="920">
        <f t="shared" si="279"/>
        <v>1</v>
      </c>
      <c r="S271" s="920">
        <f t="shared" si="279"/>
        <v>1</v>
      </c>
      <c r="T271" s="920">
        <f t="shared" si="279"/>
        <v>1</v>
      </c>
      <c r="U271" s="920">
        <f t="shared" si="279"/>
        <v>1</v>
      </c>
      <c r="V271" s="920">
        <f t="shared" si="279"/>
        <v>1</v>
      </c>
      <c r="W271" s="920">
        <f t="shared" si="279"/>
        <v>1</v>
      </c>
      <c r="X271" s="920">
        <f t="shared" si="279"/>
        <v>1</v>
      </c>
      <c r="Y271" s="920">
        <f t="shared" si="279"/>
        <v>1</v>
      </c>
      <c r="Z271" s="920">
        <f t="shared" si="279"/>
        <v>1</v>
      </c>
      <c r="AA271" s="920">
        <f t="shared" si="279"/>
        <v>1</v>
      </c>
      <c r="AB271" s="920">
        <f t="shared" si="279"/>
        <v>1</v>
      </c>
      <c r="AC271" s="920">
        <f t="shared" si="279"/>
        <v>1</v>
      </c>
      <c r="AD271" s="920">
        <f t="shared" si="279"/>
        <v>1</v>
      </c>
      <c r="AE271" s="920">
        <f t="shared" si="279"/>
        <v>1</v>
      </c>
      <c r="AF271" s="920">
        <f t="shared" si="279"/>
        <v>1</v>
      </c>
      <c r="AG271" s="920">
        <f t="shared" si="279"/>
        <v>1</v>
      </c>
      <c r="AH271" s="920">
        <f t="shared" si="279"/>
        <v>1</v>
      </c>
      <c r="AI271" s="920">
        <f t="shared" si="279"/>
        <v>1</v>
      </c>
      <c r="AJ271" s="920">
        <f t="shared" si="279"/>
        <v>1</v>
      </c>
      <c r="AK271" s="920">
        <f t="shared" si="279"/>
        <v>1</v>
      </c>
      <c r="AL271" s="920">
        <f t="shared" si="279"/>
        <v>1</v>
      </c>
      <c r="AM271" s="920">
        <f t="shared" si="279"/>
        <v>1</v>
      </c>
      <c r="AN271" s="920">
        <f t="shared" si="279"/>
        <v>1</v>
      </c>
      <c r="AO271" s="920">
        <f t="shared" ref="AO271:BT271" si="280">MAX(1-AO270,$D$104)</f>
        <v>1</v>
      </c>
      <c r="AP271" s="920">
        <f t="shared" si="280"/>
        <v>1</v>
      </c>
      <c r="AQ271" s="920">
        <f t="shared" si="280"/>
        <v>1</v>
      </c>
      <c r="AR271" s="920">
        <f t="shared" si="280"/>
        <v>1</v>
      </c>
      <c r="AS271" s="920">
        <f t="shared" si="280"/>
        <v>1</v>
      </c>
      <c r="AT271" s="920">
        <f t="shared" si="280"/>
        <v>1</v>
      </c>
      <c r="AU271" s="920">
        <f t="shared" si="280"/>
        <v>1</v>
      </c>
      <c r="AV271" s="920">
        <f t="shared" si="280"/>
        <v>1</v>
      </c>
      <c r="AW271" s="920">
        <f t="shared" si="280"/>
        <v>1</v>
      </c>
      <c r="AX271" s="920">
        <f t="shared" si="280"/>
        <v>1</v>
      </c>
      <c r="AY271" s="920">
        <f t="shared" si="280"/>
        <v>1</v>
      </c>
      <c r="AZ271" s="920">
        <f t="shared" si="280"/>
        <v>1</v>
      </c>
      <c r="BA271" s="920">
        <f t="shared" si="280"/>
        <v>1</v>
      </c>
      <c r="BB271" s="920">
        <f t="shared" si="280"/>
        <v>1</v>
      </c>
      <c r="BC271" s="920">
        <f t="shared" si="280"/>
        <v>1</v>
      </c>
      <c r="BD271" s="920">
        <f t="shared" si="280"/>
        <v>1</v>
      </c>
      <c r="BE271" s="920">
        <f t="shared" si="280"/>
        <v>1</v>
      </c>
      <c r="BF271" s="920">
        <f t="shared" si="280"/>
        <v>1</v>
      </c>
      <c r="BG271" s="920">
        <f t="shared" si="280"/>
        <v>1</v>
      </c>
      <c r="BH271" s="920">
        <f t="shared" si="280"/>
        <v>1</v>
      </c>
      <c r="BI271" s="920">
        <f t="shared" si="280"/>
        <v>1</v>
      </c>
      <c r="BJ271" s="920">
        <f t="shared" si="280"/>
        <v>1</v>
      </c>
      <c r="BK271" s="920">
        <f t="shared" si="280"/>
        <v>1</v>
      </c>
      <c r="BL271" s="920">
        <f t="shared" si="280"/>
        <v>1</v>
      </c>
      <c r="BM271" s="920">
        <f t="shared" si="280"/>
        <v>1</v>
      </c>
      <c r="BN271" s="920">
        <f t="shared" si="280"/>
        <v>1</v>
      </c>
      <c r="BO271" s="920">
        <f t="shared" si="280"/>
        <v>1</v>
      </c>
      <c r="BP271" s="920">
        <f t="shared" si="280"/>
        <v>1</v>
      </c>
      <c r="BQ271" s="920">
        <f t="shared" si="280"/>
        <v>1</v>
      </c>
      <c r="BR271" s="920">
        <f t="shared" si="280"/>
        <v>1</v>
      </c>
      <c r="BS271" s="920">
        <f t="shared" si="280"/>
        <v>1</v>
      </c>
      <c r="BT271" s="920">
        <f t="shared" si="280"/>
        <v>1</v>
      </c>
      <c r="BU271" s="920">
        <f t="shared" ref="BU271:CZ271" si="281">MAX(1-BU270,$D$104)</f>
        <v>1</v>
      </c>
      <c r="BV271" s="920">
        <f t="shared" si="281"/>
        <v>1</v>
      </c>
      <c r="BW271" s="920">
        <f t="shared" si="281"/>
        <v>0.94605130526012626</v>
      </c>
      <c r="BX271" s="920">
        <f t="shared" si="281"/>
        <v>0.94605130526012626</v>
      </c>
      <c r="BY271" s="920">
        <f t="shared" si="281"/>
        <v>0.94605130526012626</v>
      </c>
      <c r="BZ271" s="920">
        <f t="shared" si="281"/>
        <v>0.94605130526012626</v>
      </c>
      <c r="CA271" s="920">
        <f t="shared" si="281"/>
        <v>0.77938463859345963</v>
      </c>
      <c r="CB271" s="920">
        <f t="shared" si="281"/>
        <v>0.612717971926793</v>
      </c>
      <c r="CC271" s="920">
        <f t="shared" si="281"/>
        <v>0.44605130526012626</v>
      </c>
      <c r="CD271" s="920">
        <f t="shared" si="281"/>
        <v>0.27938463859345952</v>
      </c>
      <c r="CE271" s="920">
        <f t="shared" si="281"/>
        <v>0.11271797192679289</v>
      </c>
      <c r="CF271" s="920">
        <f t="shared" si="281"/>
        <v>2.5000000000000001E-2</v>
      </c>
      <c r="CG271" s="920">
        <f t="shared" si="281"/>
        <v>2.5000000000000001E-2</v>
      </c>
      <c r="CH271" s="920">
        <f t="shared" si="281"/>
        <v>2.5000000000000001E-2</v>
      </c>
      <c r="CI271" s="920">
        <f t="shared" si="281"/>
        <v>2.5000000000000001E-2</v>
      </c>
      <c r="CJ271" s="920">
        <f t="shared" si="281"/>
        <v>2.5000000000000001E-2</v>
      </c>
      <c r="CK271" s="920">
        <f t="shared" si="281"/>
        <v>2.5000000000000001E-2</v>
      </c>
      <c r="CL271" s="920">
        <f t="shared" si="281"/>
        <v>2.5000000000000001E-2</v>
      </c>
      <c r="CM271" s="920">
        <f t="shared" si="281"/>
        <v>2.5000000000000001E-2</v>
      </c>
      <c r="CN271" s="920">
        <f t="shared" si="281"/>
        <v>2.5000000000000001E-2</v>
      </c>
      <c r="CO271" s="920">
        <f t="shared" si="281"/>
        <v>2.5000000000000001E-2</v>
      </c>
      <c r="CP271" s="920">
        <f t="shared" si="281"/>
        <v>2.5000000000000001E-2</v>
      </c>
      <c r="CQ271" s="920">
        <f t="shared" si="281"/>
        <v>2.5000000000000001E-2</v>
      </c>
      <c r="CR271" s="920">
        <f t="shared" si="281"/>
        <v>2.5000000000000001E-2</v>
      </c>
      <c r="CS271" s="920">
        <f t="shared" si="281"/>
        <v>2.5000000000000001E-2</v>
      </c>
      <c r="CT271" s="920">
        <f t="shared" si="281"/>
        <v>2.5000000000000001E-2</v>
      </c>
      <c r="CU271" s="920">
        <f t="shared" si="281"/>
        <v>2.5000000000000001E-2</v>
      </c>
      <c r="CV271" s="920">
        <f t="shared" si="281"/>
        <v>2.5000000000000001E-2</v>
      </c>
      <c r="CW271" s="920">
        <f t="shared" si="281"/>
        <v>2.5000000000000001E-2</v>
      </c>
      <c r="CX271" s="920">
        <f t="shared" si="281"/>
        <v>2.5000000000000001E-2</v>
      </c>
      <c r="CY271" s="920">
        <f t="shared" si="281"/>
        <v>2.5000000000000001E-2</v>
      </c>
      <c r="CZ271" s="920">
        <f t="shared" si="281"/>
        <v>2.5000000000000001E-2</v>
      </c>
      <c r="DA271" s="920">
        <f t="shared" ref="DA271:DZ271" si="282">MAX(1-DA270,$D$104)</f>
        <v>2.5000000000000001E-2</v>
      </c>
      <c r="DB271" s="920">
        <f t="shared" si="282"/>
        <v>2.5000000000000001E-2</v>
      </c>
      <c r="DC271" s="920">
        <f t="shared" si="282"/>
        <v>2.5000000000000001E-2</v>
      </c>
      <c r="DD271" s="920">
        <f t="shared" si="282"/>
        <v>2.5000000000000001E-2</v>
      </c>
      <c r="DE271" s="920">
        <f t="shared" si="282"/>
        <v>2.5000000000000001E-2</v>
      </c>
      <c r="DF271" s="920">
        <f t="shared" si="282"/>
        <v>2.5000000000000001E-2</v>
      </c>
      <c r="DG271" s="920">
        <f t="shared" si="282"/>
        <v>2.5000000000000001E-2</v>
      </c>
      <c r="DH271" s="920">
        <f t="shared" si="282"/>
        <v>2.5000000000000001E-2</v>
      </c>
      <c r="DI271" s="920">
        <f t="shared" si="282"/>
        <v>2.5000000000000001E-2</v>
      </c>
      <c r="DJ271" s="920">
        <f t="shared" si="282"/>
        <v>2.5000000000000001E-2</v>
      </c>
      <c r="DK271" s="920">
        <f t="shared" si="282"/>
        <v>2.5000000000000001E-2</v>
      </c>
      <c r="DL271" s="920">
        <f t="shared" si="282"/>
        <v>2.5000000000000001E-2</v>
      </c>
      <c r="DM271" s="920">
        <f t="shared" si="282"/>
        <v>2.5000000000000001E-2</v>
      </c>
      <c r="DN271" s="920">
        <f t="shared" si="282"/>
        <v>2.5000000000000001E-2</v>
      </c>
      <c r="DO271" s="920">
        <f t="shared" si="282"/>
        <v>2.5000000000000001E-2</v>
      </c>
      <c r="DP271" s="920">
        <f t="shared" si="282"/>
        <v>2.5000000000000001E-2</v>
      </c>
      <c r="DQ271" s="920">
        <f t="shared" si="282"/>
        <v>2.5000000000000001E-2</v>
      </c>
      <c r="DR271" s="920">
        <f t="shared" si="282"/>
        <v>2.5000000000000001E-2</v>
      </c>
      <c r="DS271" s="920">
        <f t="shared" si="282"/>
        <v>2.5000000000000001E-2</v>
      </c>
      <c r="DT271" s="920">
        <f t="shared" si="282"/>
        <v>2.5000000000000001E-2</v>
      </c>
      <c r="DU271" s="920">
        <f t="shared" si="282"/>
        <v>2.5000000000000001E-2</v>
      </c>
      <c r="DV271" s="920">
        <f t="shared" si="282"/>
        <v>2.5000000000000001E-2</v>
      </c>
      <c r="DW271" s="920">
        <f t="shared" si="282"/>
        <v>2.5000000000000001E-2</v>
      </c>
      <c r="DX271" s="920">
        <f t="shared" si="282"/>
        <v>2.5000000000000001E-2</v>
      </c>
      <c r="DY271" s="920">
        <f t="shared" si="282"/>
        <v>2.5000000000000001E-2</v>
      </c>
      <c r="DZ271" s="920">
        <f t="shared" si="282"/>
        <v>1</v>
      </c>
    </row>
    <row r="272" spans="1:130" s="3" customFormat="1" ht="11.7" customHeight="1" outlineLevel="1" x14ac:dyDescent="0.3">
      <c r="A272" s="85"/>
      <c r="B272" s="141" t="s">
        <v>559</v>
      </c>
      <c r="C272" s="141"/>
      <c r="D272" s="157"/>
      <c r="E272" s="130"/>
      <c r="F272" s="130"/>
      <c r="G272" s="134"/>
      <c r="H272" s="134"/>
      <c r="I272" s="323">
        <f t="shared" ref="I272:AN272" si="283">+MIN(I270,1-$D$308)*$D$268</f>
        <v>0</v>
      </c>
      <c r="J272" s="323">
        <f t="shared" si="283"/>
        <v>0</v>
      </c>
      <c r="K272" s="323">
        <f t="shared" si="283"/>
        <v>0</v>
      </c>
      <c r="L272" s="323">
        <f t="shared" si="283"/>
        <v>0</v>
      </c>
      <c r="M272" s="323">
        <f t="shared" si="283"/>
        <v>0</v>
      </c>
      <c r="N272" s="323">
        <f t="shared" si="283"/>
        <v>0</v>
      </c>
      <c r="O272" s="323">
        <f t="shared" si="283"/>
        <v>0</v>
      </c>
      <c r="P272" s="323">
        <f t="shared" si="283"/>
        <v>0</v>
      </c>
      <c r="Q272" s="323">
        <f t="shared" si="283"/>
        <v>0</v>
      </c>
      <c r="R272" s="323">
        <f t="shared" si="283"/>
        <v>0</v>
      </c>
      <c r="S272" s="323">
        <f t="shared" si="283"/>
        <v>0</v>
      </c>
      <c r="T272" s="323">
        <f t="shared" si="283"/>
        <v>0</v>
      </c>
      <c r="U272" s="323">
        <f t="shared" si="283"/>
        <v>0</v>
      </c>
      <c r="V272" s="323">
        <f t="shared" si="283"/>
        <v>0</v>
      </c>
      <c r="W272" s="323">
        <f t="shared" si="283"/>
        <v>0</v>
      </c>
      <c r="X272" s="323">
        <f t="shared" si="283"/>
        <v>0</v>
      </c>
      <c r="Y272" s="323">
        <f t="shared" si="283"/>
        <v>0</v>
      </c>
      <c r="Z272" s="323">
        <f t="shared" si="283"/>
        <v>0</v>
      </c>
      <c r="AA272" s="323">
        <f t="shared" si="283"/>
        <v>0</v>
      </c>
      <c r="AB272" s="323">
        <f t="shared" si="283"/>
        <v>0</v>
      </c>
      <c r="AC272" s="323">
        <f t="shared" si="283"/>
        <v>0</v>
      </c>
      <c r="AD272" s="323">
        <f t="shared" si="283"/>
        <v>0</v>
      </c>
      <c r="AE272" s="323">
        <f t="shared" si="283"/>
        <v>0</v>
      </c>
      <c r="AF272" s="323">
        <f t="shared" si="283"/>
        <v>0</v>
      </c>
      <c r="AG272" s="323">
        <f t="shared" si="283"/>
        <v>0</v>
      </c>
      <c r="AH272" s="323">
        <f t="shared" si="283"/>
        <v>0</v>
      </c>
      <c r="AI272" s="323">
        <f t="shared" si="283"/>
        <v>0</v>
      </c>
      <c r="AJ272" s="323">
        <f t="shared" si="283"/>
        <v>0</v>
      </c>
      <c r="AK272" s="323">
        <f t="shared" si="283"/>
        <v>0</v>
      </c>
      <c r="AL272" s="323">
        <f t="shared" si="283"/>
        <v>0</v>
      </c>
      <c r="AM272" s="323">
        <f t="shared" si="283"/>
        <v>0</v>
      </c>
      <c r="AN272" s="323">
        <f t="shared" si="283"/>
        <v>0</v>
      </c>
      <c r="AO272" s="323">
        <f t="shared" ref="AO272:BT272" si="284">+MIN(AO270,1-$D$308)*$D$268</f>
        <v>0</v>
      </c>
      <c r="AP272" s="323">
        <f t="shared" si="284"/>
        <v>0</v>
      </c>
      <c r="AQ272" s="323">
        <f t="shared" si="284"/>
        <v>0</v>
      </c>
      <c r="AR272" s="323">
        <f t="shared" si="284"/>
        <v>0</v>
      </c>
      <c r="AS272" s="323">
        <f t="shared" si="284"/>
        <v>0</v>
      </c>
      <c r="AT272" s="323">
        <f t="shared" si="284"/>
        <v>0</v>
      </c>
      <c r="AU272" s="323">
        <f t="shared" si="284"/>
        <v>0</v>
      </c>
      <c r="AV272" s="323">
        <f t="shared" si="284"/>
        <v>0</v>
      </c>
      <c r="AW272" s="323">
        <f t="shared" si="284"/>
        <v>0</v>
      </c>
      <c r="AX272" s="323">
        <f t="shared" si="284"/>
        <v>0</v>
      </c>
      <c r="AY272" s="323">
        <f t="shared" si="284"/>
        <v>0</v>
      </c>
      <c r="AZ272" s="323">
        <f t="shared" si="284"/>
        <v>0</v>
      </c>
      <c r="BA272" s="323">
        <f t="shared" si="284"/>
        <v>0</v>
      </c>
      <c r="BB272" s="323">
        <f t="shared" si="284"/>
        <v>0</v>
      </c>
      <c r="BC272" s="323">
        <f t="shared" si="284"/>
        <v>0</v>
      </c>
      <c r="BD272" s="323">
        <f t="shared" si="284"/>
        <v>0</v>
      </c>
      <c r="BE272" s="323">
        <f t="shared" si="284"/>
        <v>0</v>
      </c>
      <c r="BF272" s="323">
        <f t="shared" si="284"/>
        <v>0</v>
      </c>
      <c r="BG272" s="323">
        <f t="shared" si="284"/>
        <v>0</v>
      </c>
      <c r="BH272" s="323">
        <f t="shared" si="284"/>
        <v>0</v>
      </c>
      <c r="BI272" s="323">
        <f t="shared" si="284"/>
        <v>0</v>
      </c>
      <c r="BJ272" s="323">
        <f t="shared" si="284"/>
        <v>0</v>
      </c>
      <c r="BK272" s="323">
        <f t="shared" si="284"/>
        <v>0</v>
      </c>
      <c r="BL272" s="323">
        <f t="shared" si="284"/>
        <v>0</v>
      </c>
      <c r="BM272" s="323">
        <f t="shared" si="284"/>
        <v>0</v>
      </c>
      <c r="BN272" s="323">
        <f t="shared" si="284"/>
        <v>0</v>
      </c>
      <c r="BO272" s="323">
        <f t="shared" si="284"/>
        <v>0</v>
      </c>
      <c r="BP272" s="323">
        <f t="shared" si="284"/>
        <v>0</v>
      </c>
      <c r="BQ272" s="323">
        <f t="shared" si="284"/>
        <v>0</v>
      </c>
      <c r="BR272" s="323">
        <f t="shared" si="284"/>
        <v>0</v>
      </c>
      <c r="BS272" s="323">
        <f t="shared" si="284"/>
        <v>0</v>
      </c>
      <c r="BT272" s="323">
        <f t="shared" si="284"/>
        <v>0</v>
      </c>
      <c r="BU272" s="323">
        <f t="shared" ref="BU272:CZ272" si="285">+MIN(BU270,1-$D$308)*$D$268</f>
        <v>0</v>
      </c>
      <c r="BV272" s="323">
        <f t="shared" si="285"/>
        <v>0</v>
      </c>
      <c r="BW272" s="323">
        <f t="shared" si="285"/>
        <v>52.45</v>
      </c>
      <c r="BX272" s="323">
        <f t="shared" si="285"/>
        <v>52.45</v>
      </c>
      <c r="BY272" s="323">
        <f t="shared" si="285"/>
        <v>52.45</v>
      </c>
      <c r="BZ272" s="323">
        <f t="shared" si="285"/>
        <v>52.45</v>
      </c>
      <c r="CA272" s="323">
        <f t="shared" si="285"/>
        <v>214.48666666666668</v>
      </c>
      <c r="CB272" s="323">
        <f t="shared" si="285"/>
        <v>376.52333333333337</v>
      </c>
      <c r="CC272" s="323">
        <f t="shared" si="285"/>
        <v>538.56000000000006</v>
      </c>
      <c r="CD272" s="323">
        <f t="shared" si="285"/>
        <v>700.59666666666681</v>
      </c>
      <c r="CE272" s="323">
        <f t="shared" si="285"/>
        <v>862.63333333333344</v>
      </c>
      <c r="CF272" s="323">
        <f t="shared" si="285"/>
        <v>923.60900000000004</v>
      </c>
      <c r="CG272" s="323">
        <f t="shared" si="285"/>
        <v>923.60900000000004</v>
      </c>
      <c r="CH272" s="323">
        <f t="shared" si="285"/>
        <v>923.60900000000004</v>
      </c>
      <c r="CI272" s="323">
        <f t="shared" si="285"/>
        <v>923.60900000000004</v>
      </c>
      <c r="CJ272" s="323">
        <f t="shared" si="285"/>
        <v>923.60900000000004</v>
      </c>
      <c r="CK272" s="323">
        <f t="shared" si="285"/>
        <v>923.60900000000004</v>
      </c>
      <c r="CL272" s="323">
        <f t="shared" si="285"/>
        <v>923.60900000000004</v>
      </c>
      <c r="CM272" s="323">
        <f t="shared" si="285"/>
        <v>923.60900000000004</v>
      </c>
      <c r="CN272" s="323">
        <f t="shared" si="285"/>
        <v>923.60900000000004</v>
      </c>
      <c r="CO272" s="323">
        <f t="shared" si="285"/>
        <v>923.60900000000004</v>
      </c>
      <c r="CP272" s="323">
        <f t="shared" si="285"/>
        <v>923.60900000000004</v>
      </c>
      <c r="CQ272" s="323">
        <f t="shared" si="285"/>
        <v>923.60900000000004</v>
      </c>
      <c r="CR272" s="323">
        <f t="shared" si="285"/>
        <v>923.60900000000004</v>
      </c>
      <c r="CS272" s="323">
        <f t="shared" si="285"/>
        <v>923.60900000000004</v>
      </c>
      <c r="CT272" s="323">
        <f t="shared" si="285"/>
        <v>923.60900000000004</v>
      </c>
      <c r="CU272" s="323">
        <f t="shared" si="285"/>
        <v>923.60900000000004</v>
      </c>
      <c r="CV272" s="323">
        <f t="shared" si="285"/>
        <v>923.60900000000004</v>
      </c>
      <c r="CW272" s="323">
        <f t="shared" si="285"/>
        <v>923.60900000000004</v>
      </c>
      <c r="CX272" s="323">
        <f t="shared" si="285"/>
        <v>923.60900000000004</v>
      </c>
      <c r="CY272" s="323">
        <f t="shared" si="285"/>
        <v>923.60900000000004</v>
      </c>
      <c r="CZ272" s="323">
        <f t="shared" si="285"/>
        <v>923.60900000000004</v>
      </c>
      <c r="DA272" s="323">
        <f t="shared" ref="DA272:DY272" si="286">+MIN(DA270,1-$D$308)*$D$268</f>
        <v>923.60900000000004</v>
      </c>
      <c r="DB272" s="323">
        <f t="shared" si="286"/>
        <v>923.60900000000004</v>
      </c>
      <c r="DC272" s="323">
        <f t="shared" si="286"/>
        <v>923.60900000000004</v>
      </c>
      <c r="DD272" s="323">
        <f t="shared" si="286"/>
        <v>923.60900000000004</v>
      </c>
      <c r="DE272" s="323">
        <f t="shared" si="286"/>
        <v>923.60900000000004</v>
      </c>
      <c r="DF272" s="323">
        <f t="shared" si="286"/>
        <v>923.60900000000004</v>
      </c>
      <c r="DG272" s="323">
        <f t="shared" si="286"/>
        <v>923.60900000000004</v>
      </c>
      <c r="DH272" s="323">
        <f t="shared" si="286"/>
        <v>923.60900000000004</v>
      </c>
      <c r="DI272" s="323">
        <f t="shared" si="286"/>
        <v>923.60900000000004</v>
      </c>
      <c r="DJ272" s="323">
        <f t="shared" si="286"/>
        <v>923.60900000000004</v>
      </c>
      <c r="DK272" s="323">
        <f t="shared" si="286"/>
        <v>923.60900000000004</v>
      </c>
      <c r="DL272" s="323">
        <f t="shared" si="286"/>
        <v>923.60900000000004</v>
      </c>
      <c r="DM272" s="323">
        <f t="shared" si="286"/>
        <v>923.60900000000004</v>
      </c>
      <c r="DN272" s="323">
        <f t="shared" si="286"/>
        <v>923.60900000000004</v>
      </c>
      <c r="DO272" s="323">
        <f t="shared" si="286"/>
        <v>923.60900000000004</v>
      </c>
      <c r="DP272" s="323">
        <f t="shared" si="286"/>
        <v>923.60900000000004</v>
      </c>
      <c r="DQ272" s="323">
        <f t="shared" si="286"/>
        <v>923.60900000000004</v>
      </c>
      <c r="DR272" s="323">
        <f t="shared" si="286"/>
        <v>923.60900000000004</v>
      </c>
      <c r="DS272" s="323">
        <f t="shared" si="286"/>
        <v>923.60900000000004</v>
      </c>
      <c r="DT272" s="323">
        <f t="shared" si="286"/>
        <v>923.60900000000004</v>
      </c>
      <c r="DU272" s="323">
        <f t="shared" si="286"/>
        <v>923.60900000000004</v>
      </c>
      <c r="DV272" s="323">
        <f t="shared" si="286"/>
        <v>923.60900000000004</v>
      </c>
      <c r="DW272" s="323">
        <f t="shared" si="286"/>
        <v>923.60900000000004</v>
      </c>
      <c r="DX272" s="323">
        <f t="shared" si="286"/>
        <v>923.60900000000004</v>
      </c>
      <c r="DY272" s="323">
        <f t="shared" si="286"/>
        <v>923.60900000000004</v>
      </c>
    </row>
    <row r="273" spans="1:129" s="3" customFormat="1" ht="11.7" customHeight="1" outlineLevel="1" x14ac:dyDescent="0.3">
      <c r="A273" s="85"/>
      <c r="B273" s="149"/>
      <c r="C273" s="149"/>
      <c r="G273" s="127"/>
      <c r="H273" s="127"/>
      <c r="I273" s="111"/>
      <c r="J273" s="111"/>
      <c r="K273" s="111"/>
      <c r="L273" s="111"/>
      <c r="M273" s="111"/>
      <c r="N273" s="111"/>
      <c r="O273" s="111"/>
      <c r="P273" s="111"/>
      <c r="Q273" s="111"/>
      <c r="R273" s="111"/>
      <c r="S273" s="111"/>
      <c r="T273" s="111"/>
      <c r="U273" s="111"/>
      <c r="V273" s="111"/>
      <c r="W273" s="111"/>
      <c r="X273" s="111"/>
      <c r="Y273" s="111"/>
      <c r="Z273" s="111"/>
      <c r="AA273" s="111"/>
      <c r="AB273" s="111"/>
      <c r="AC273" s="111"/>
      <c r="AD273" s="111"/>
      <c r="AE273" s="111"/>
      <c r="AF273" s="111"/>
      <c r="AG273" s="111"/>
      <c r="AH273" s="111"/>
      <c r="AI273" s="111"/>
      <c r="AJ273" s="111"/>
      <c r="AK273" s="111"/>
      <c r="AL273" s="111"/>
      <c r="AM273" s="111"/>
      <c r="AN273" s="111"/>
      <c r="AO273" s="111"/>
      <c r="AP273" s="111"/>
      <c r="AQ273" s="111"/>
      <c r="AR273" s="111"/>
      <c r="AS273" s="111"/>
      <c r="AT273" s="111"/>
      <c r="AU273" s="111"/>
      <c r="AV273" s="111"/>
      <c r="AW273" s="111"/>
      <c r="AX273" s="111"/>
      <c r="AY273" s="111"/>
      <c r="AZ273" s="111"/>
      <c r="BA273" s="111"/>
      <c r="BB273" s="111"/>
      <c r="BC273" s="111"/>
      <c r="BD273" s="111"/>
      <c r="BE273" s="111"/>
      <c r="BF273" s="111"/>
      <c r="BG273" s="111"/>
      <c r="BH273" s="111"/>
      <c r="BI273" s="111"/>
      <c r="BJ273" s="111"/>
      <c r="BK273" s="111"/>
      <c r="BL273" s="111"/>
      <c r="BM273" s="111"/>
      <c r="BN273" s="111"/>
      <c r="BO273" s="111"/>
      <c r="BP273" s="111"/>
      <c r="BQ273" s="111"/>
      <c r="BR273" s="111"/>
      <c r="BS273" s="111"/>
      <c r="BT273" s="111"/>
      <c r="BU273" s="111"/>
      <c r="BV273" s="111"/>
      <c r="BW273" s="111"/>
      <c r="BX273" s="111"/>
      <c r="BY273" s="111"/>
      <c r="BZ273" s="111"/>
      <c r="CA273" s="111"/>
      <c r="CB273" s="111"/>
      <c r="CC273" s="111"/>
      <c r="CD273" s="111"/>
      <c r="CE273" s="111"/>
      <c r="CF273" s="111"/>
      <c r="CG273" s="111"/>
      <c r="CH273" s="111"/>
      <c r="CI273" s="111"/>
      <c r="CJ273" s="111"/>
      <c r="CK273" s="111"/>
      <c r="CL273" s="111"/>
      <c r="CM273" s="111"/>
      <c r="CN273" s="111"/>
      <c r="CO273" s="111"/>
      <c r="CP273" s="111"/>
      <c r="CQ273" s="111"/>
      <c r="CR273" s="111"/>
      <c r="CS273" s="111"/>
      <c r="CT273" s="111"/>
      <c r="CU273" s="111"/>
      <c r="CV273" s="111"/>
      <c r="CW273" s="111"/>
      <c r="CX273" s="111"/>
      <c r="CY273" s="111"/>
      <c r="CZ273" s="111"/>
      <c r="DA273" s="111"/>
      <c r="DB273" s="111"/>
      <c r="DC273" s="111"/>
      <c r="DD273" s="111"/>
      <c r="DE273" s="111"/>
      <c r="DF273" s="111"/>
      <c r="DG273" s="111"/>
      <c r="DH273" s="111"/>
      <c r="DI273" s="111"/>
      <c r="DJ273" s="111"/>
      <c r="DK273" s="111"/>
      <c r="DL273" s="111"/>
      <c r="DM273" s="111"/>
      <c r="DN273" s="111"/>
      <c r="DO273" s="111"/>
      <c r="DP273" s="111"/>
      <c r="DQ273" s="111"/>
      <c r="DR273" s="111"/>
      <c r="DS273" s="111"/>
      <c r="DT273" s="111"/>
      <c r="DU273" s="111"/>
      <c r="DV273" s="111"/>
      <c r="DW273" s="111"/>
      <c r="DX273" s="111"/>
      <c r="DY273" s="111"/>
    </row>
    <row r="274" spans="1:129" s="130" customFormat="1" ht="11.7" customHeight="1" outlineLevel="1" x14ac:dyDescent="0.3">
      <c r="A274" s="85"/>
      <c r="B274" s="195" t="s">
        <v>504</v>
      </c>
      <c r="C274" s="195"/>
      <c r="D274" s="158"/>
      <c r="E274" s="159"/>
      <c r="F274" s="159"/>
      <c r="G274" s="127"/>
      <c r="H274" s="127"/>
      <c r="I274" s="160"/>
      <c r="J274" s="160"/>
      <c r="K274" s="160"/>
      <c r="L274" s="160"/>
      <c r="M274" s="160"/>
      <c r="N274" s="160"/>
      <c r="O274" s="160"/>
      <c r="P274" s="160"/>
      <c r="Q274" s="160"/>
      <c r="R274" s="160"/>
      <c r="S274" s="160"/>
      <c r="T274" s="160"/>
      <c r="U274" s="160"/>
      <c r="V274" s="160"/>
      <c r="W274" s="160"/>
      <c r="X274" s="160"/>
      <c r="Y274" s="160"/>
      <c r="Z274" s="160"/>
      <c r="AA274" s="160"/>
      <c r="AB274" s="160"/>
      <c r="AC274" s="160"/>
      <c r="AD274" s="160"/>
      <c r="AE274" s="160"/>
      <c r="AF274" s="160"/>
      <c r="AG274" s="160"/>
      <c r="AH274" s="160"/>
      <c r="AI274" s="160"/>
      <c r="AJ274" s="160"/>
      <c r="AK274" s="160"/>
      <c r="AL274" s="160"/>
      <c r="AM274" s="160"/>
      <c r="AN274" s="160"/>
      <c r="AO274" s="160"/>
      <c r="AP274" s="160"/>
      <c r="AQ274" s="160"/>
      <c r="AR274" s="160"/>
      <c r="AS274" s="160"/>
      <c r="AT274" s="160"/>
      <c r="AU274" s="160"/>
      <c r="AV274" s="160"/>
      <c r="AW274" s="160"/>
      <c r="AX274" s="160"/>
      <c r="AY274" s="160"/>
      <c r="AZ274" s="160"/>
      <c r="BA274" s="160"/>
      <c r="BB274" s="160"/>
      <c r="BC274" s="160"/>
      <c r="BD274" s="160"/>
      <c r="BE274" s="160"/>
      <c r="BF274" s="160"/>
      <c r="BG274" s="160"/>
      <c r="BH274" s="160"/>
      <c r="BI274" s="160"/>
      <c r="BJ274" s="160"/>
      <c r="BK274" s="160"/>
      <c r="BL274" s="160"/>
      <c r="BM274" s="160"/>
      <c r="BN274" s="160"/>
      <c r="BO274" s="160"/>
      <c r="BP274" s="160"/>
      <c r="BQ274" s="160"/>
      <c r="BR274" s="160"/>
      <c r="BS274" s="160"/>
      <c r="BT274" s="160"/>
      <c r="BU274" s="160"/>
      <c r="BV274" s="160"/>
      <c r="BW274" s="160"/>
      <c r="BX274" s="160"/>
      <c r="BY274" s="160"/>
      <c r="BZ274" s="160"/>
      <c r="CA274" s="160"/>
      <c r="CB274" s="160"/>
      <c r="CC274" s="160"/>
      <c r="CD274" s="160"/>
      <c r="CE274" s="160"/>
      <c r="CF274" s="160"/>
      <c r="CG274" s="160"/>
      <c r="CH274" s="160"/>
      <c r="CI274" s="160"/>
      <c r="CJ274" s="160"/>
      <c r="CK274" s="160"/>
      <c r="CL274" s="160"/>
      <c r="CM274" s="160"/>
      <c r="CN274" s="160"/>
      <c r="CO274" s="160"/>
      <c r="CP274" s="160"/>
      <c r="CQ274" s="160"/>
      <c r="CR274" s="160"/>
      <c r="CS274" s="160"/>
      <c r="CT274" s="160"/>
      <c r="CU274" s="160"/>
      <c r="CV274" s="160"/>
      <c r="CW274" s="160"/>
      <c r="CX274" s="160"/>
      <c r="CY274" s="160"/>
      <c r="CZ274" s="160"/>
      <c r="DA274" s="160"/>
      <c r="DB274" s="160"/>
      <c r="DC274" s="160"/>
      <c r="DD274" s="160"/>
      <c r="DE274" s="160"/>
      <c r="DF274" s="160"/>
      <c r="DG274" s="160"/>
      <c r="DH274" s="160"/>
      <c r="DI274" s="160"/>
      <c r="DJ274" s="160"/>
      <c r="DK274" s="160"/>
      <c r="DL274" s="160"/>
      <c r="DM274" s="160"/>
      <c r="DN274" s="160"/>
      <c r="DO274" s="160"/>
      <c r="DP274" s="160"/>
      <c r="DQ274" s="160"/>
      <c r="DR274" s="160"/>
      <c r="DS274" s="160"/>
      <c r="DT274" s="160"/>
      <c r="DU274" s="160"/>
      <c r="DV274" s="160"/>
      <c r="DW274" s="160"/>
      <c r="DX274" s="160"/>
      <c r="DY274" s="160"/>
    </row>
    <row r="275" spans="1:129" s="130" customFormat="1" ht="11.7" customHeight="1" outlineLevel="1" x14ac:dyDescent="0.3">
      <c r="A275" s="85"/>
      <c r="B275" s="113" t="s">
        <v>529</v>
      </c>
      <c r="C275" s="113"/>
      <c r="D275" s="158"/>
      <c r="E275" s="159"/>
      <c r="F275" s="159"/>
      <c r="G275" s="127"/>
      <c r="H275" s="127"/>
      <c r="I275" s="160"/>
      <c r="J275" s="160"/>
      <c r="K275" s="160"/>
      <c r="L275" s="160"/>
      <c r="M275" s="160"/>
      <c r="N275" s="160"/>
      <c r="O275" s="160"/>
      <c r="P275" s="160"/>
      <c r="Q275" s="160"/>
      <c r="R275" s="160"/>
      <c r="S275" s="160"/>
      <c r="T275" s="160"/>
      <c r="U275" s="160"/>
      <c r="V275" s="160"/>
      <c r="W275" s="160"/>
      <c r="X275" s="160"/>
      <c r="Y275" s="160"/>
      <c r="Z275" s="160"/>
      <c r="AA275" s="160"/>
      <c r="AB275" s="160"/>
      <c r="AC275" s="160"/>
      <c r="AD275" s="160"/>
      <c r="AE275" s="160"/>
      <c r="AF275" s="160"/>
      <c r="AG275" s="160"/>
      <c r="AH275" s="160"/>
      <c r="AI275" s="160"/>
      <c r="AJ275" s="160"/>
      <c r="AK275" s="160"/>
      <c r="AL275" s="160"/>
      <c r="AM275" s="160"/>
      <c r="AN275" s="160"/>
      <c r="AO275" s="160"/>
      <c r="AP275" s="160"/>
      <c r="AQ275" s="160"/>
      <c r="AR275" s="160"/>
      <c r="AS275" s="160"/>
      <c r="AT275" s="160"/>
      <c r="AU275" s="160"/>
      <c r="AV275" s="160"/>
      <c r="AW275" s="160"/>
      <c r="AX275" s="160"/>
      <c r="AY275" s="160"/>
      <c r="AZ275" s="160"/>
      <c r="BA275" s="160"/>
      <c r="BB275" s="160"/>
      <c r="BC275" s="160"/>
      <c r="BD275" s="160"/>
      <c r="BE275" s="160"/>
      <c r="BF275" s="160"/>
      <c r="BG275" s="160"/>
      <c r="BH275" s="160"/>
      <c r="BI275" s="160"/>
      <c r="BJ275" s="160"/>
      <c r="BK275" s="160"/>
      <c r="BL275" s="160"/>
      <c r="BM275" s="160"/>
      <c r="BN275" s="160"/>
      <c r="BO275" s="160"/>
      <c r="BP275" s="160"/>
      <c r="BQ275" s="160"/>
      <c r="BR275" s="160"/>
      <c r="BS275" s="160"/>
      <c r="BT275" s="160"/>
      <c r="BU275" s="160"/>
      <c r="BV275" s="160"/>
      <c r="BW275" s="160"/>
      <c r="BX275" s="160"/>
      <c r="BY275" s="160"/>
      <c r="BZ275" s="160"/>
      <c r="CA275" s="160"/>
      <c r="CB275" s="160"/>
      <c r="CC275" s="160"/>
      <c r="CD275" s="160"/>
      <c r="CE275" s="160"/>
      <c r="CF275" s="160"/>
      <c r="CG275" s="160"/>
      <c r="CH275" s="160"/>
      <c r="CI275" s="160"/>
      <c r="CJ275" s="160"/>
      <c r="CK275" s="160"/>
      <c r="CL275" s="160"/>
      <c r="CM275" s="160"/>
      <c r="CN275" s="160"/>
      <c r="CO275" s="160"/>
      <c r="CP275" s="160"/>
      <c r="CQ275" s="160"/>
      <c r="CR275" s="160"/>
      <c r="CS275" s="160"/>
      <c r="CT275" s="160"/>
      <c r="CU275" s="160"/>
      <c r="CV275" s="160"/>
      <c r="CW275" s="160"/>
      <c r="CX275" s="160"/>
      <c r="CY275" s="160"/>
      <c r="CZ275" s="160"/>
      <c r="DA275" s="160"/>
      <c r="DB275" s="160"/>
      <c r="DC275" s="160"/>
      <c r="DD275" s="160"/>
      <c r="DE275" s="160"/>
      <c r="DF275" s="160"/>
      <c r="DG275" s="160"/>
      <c r="DH275" s="160"/>
      <c r="DI275" s="160"/>
      <c r="DJ275" s="160"/>
      <c r="DK275" s="160"/>
      <c r="DL275" s="160"/>
      <c r="DM275" s="160"/>
      <c r="DN275" s="160"/>
      <c r="DO275" s="160"/>
      <c r="DP275" s="160"/>
      <c r="DQ275" s="160"/>
      <c r="DR275" s="160"/>
      <c r="DS275" s="160"/>
      <c r="DT275" s="160"/>
      <c r="DU275" s="160"/>
      <c r="DV275" s="160"/>
      <c r="DW275" s="160"/>
      <c r="DX275" s="160"/>
      <c r="DY275" s="160"/>
    </row>
    <row r="276" spans="1:129" s="130" customFormat="1" ht="11.7" customHeight="1" outlineLevel="1" x14ac:dyDescent="0.25">
      <c r="A276" s="85"/>
      <c r="B276" s="858" t="s">
        <v>496</v>
      </c>
      <c r="C276" s="858"/>
      <c r="D276" s="317">
        <f>+Inputs!G138</f>
        <v>0</v>
      </c>
      <c r="E276" s="292">
        <f>+Inputs!$F$139</f>
        <v>45291</v>
      </c>
      <c r="F276" s="159"/>
      <c r="G276" s="127"/>
      <c r="H276" s="127"/>
      <c r="I276" s="330">
        <f t="shared" ref="I276:AN276" si="287">+$D$276*(I$7&lt;=$E$276)</f>
        <v>0</v>
      </c>
      <c r="J276" s="330">
        <f t="shared" si="287"/>
        <v>0</v>
      </c>
      <c r="K276" s="330">
        <f t="shared" si="287"/>
        <v>0</v>
      </c>
      <c r="L276" s="330">
        <f t="shared" si="287"/>
        <v>0</v>
      </c>
      <c r="M276" s="330">
        <f t="shared" si="287"/>
        <v>0</v>
      </c>
      <c r="N276" s="330">
        <f t="shared" si="287"/>
        <v>0</v>
      </c>
      <c r="O276" s="330">
        <f t="shared" si="287"/>
        <v>0</v>
      </c>
      <c r="P276" s="330">
        <f t="shared" si="287"/>
        <v>0</v>
      </c>
      <c r="Q276" s="330">
        <f t="shared" si="287"/>
        <v>0</v>
      </c>
      <c r="R276" s="330">
        <f t="shared" si="287"/>
        <v>0</v>
      </c>
      <c r="S276" s="330">
        <f t="shared" si="287"/>
        <v>0</v>
      </c>
      <c r="T276" s="330">
        <f t="shared" si="287"/>
        <v>0</v>
      </c>
      <c r="U276" s="330">
        <f t="shared" si="287"/>
        <v>0</v>
      </c>
      <c r="V276" s="330">
        <f t="shared" si="287"/>
        <v>0</v>
      </c>
      <c r="W276" s="330">
        <f t="shared" si="287"/>
        <v>0</v>
      </c>
      <c r="X276" s="330">
        <f t="shared" si="287"/>
        <v>0</v>
      </c>
      <c r="Y276" s="330">
        <f t="shared" si="287"/>
        <v>0</v>
      </c>
      <c r="Z276" s="330">
        <f t="shared" si="287"/>
        <v>0</v>
      </c>
      <c r="AA276" s="330">
        <f t="shared" si="287"/>
        <v>0</v>
      </c>
      <c r="AB276" s="330">
        <f t="shared" si="287"/>
        <v>0</v>
      </c>
      <c r="AC276" s="330">
        <f t="shared" si="287"/>
        <v>0</v>
      </c>
      <c r="AD276" s="330">
        <f t="shared" si="287"/>
        <v>0</v>
      </c>
      <c r="AE276" s="330">
        <f t="shared" si="287"/>
        <v>0</v>
      </c>
      <c r="AF276" s="330">
        <f t="shared" si="287"/>
        <v>0</v>
      </c>
      <c r="AG276" s="330">
        <f t="shared" si="287"/>
        <v>0</v>
      </c>
      <c r="AH276" s="330">
        <f t="shared" si="287"/>
        <v>0</v>
      </c>
      <c r="AI276" s="330">
        <f t="shared" si="287"/>
        <v>0</v>
      </c>
      <c r="AJ276" s="330">
        <f t="shared" si="287"/>
        <v>0</v>
      </c>
      <c r="AK276" s="330">
        <f t="shared" si="287"/>
        <v>0</v>
      </c>
      <c r="AL276" s="330">
        <f t="shared" si="287"/>
        <v>0</v>
      </c>
      <c r="AM276" s="330">
        <f t="shared" si="287"/>
        <v>0</v>
      </c>
      <c r="AN276" s="330">
        <f t="shared" si="287"/>
        <v>0</v>
      </c>
      <c r="AO276" s="330">
        <f t="shared" ref="AO276:BT276" si="288">+$D$276*(AO$7&lt;=$E$276)</f>
        <v>0</v>
      </c>
      <c r="AP276" s="330">
        <f t="shared" si="288"/>
        <v>0</v>
      </c>
      <c r="AQ276" s="330">
        <f t="shared" si="288"/>
        <v>0</v>
      </c>
      <c r="AR276" s="330">
        <f t="shared" si="288"/>
        <v>0</v>
      </c>
      <c r="AS276" s="330">
        <f t="shared" si="288"/>
        <v>0</v>
      </c>
      <c r="AT276" s="330">
        <f t="shared" si="288"/>
        <v>0</v>
      </c>
      <c r="AU276" s="330">
        <f t="shared" si="288"/>
        <v>0</v>
      </c>
      <c r="AV276" s="330">
        <f t="shared" si="288"/>
        <v>0</v>
      </c>
      <c r="AW276" s="330">
        <f t="shared" si="288"/>
        <v>0</v>
      </c>
      <c r="AX276" s="330">
        <f t="shared" si="288"/>
        <v>0</v>
      </c>
      <c r="AY276" s="330">
        <f t="shared" si="288"/>
        <v>0</v>
      </c>
      <c r="AZ276" s="330">
        <f t="shared" si="288"/>
        <v>0</v>
      </c>
      <c r="BA276" s="330">
        <f t="shared" si="288"/>
        <v>0</v>
      </c>
      <c r="BB276" s="330">
        <f t="shared" si="288"/>
        <v>0</v>
      </c>
      <c r="BC276" s="330">
        <f t="shared" si="288"/>
        <v>0</v>
      </c>
      <c r="BD276" s="330">
        <f t="shared" si="288"/>
        <v>0</v>
      </c>
      <c r="BE276" s="330">
        <f t="shared" si="288"/>
        <v>0</v>
      </c>
      <c r="BF276" s="330">
        <f t="shared" si="288"/>
        <v>0</v>
      </c>
      <c r="BG276" s="330">
        <f t="shared" si="288"/>
        <v>0</v>
      </c>
      <c r="BH276" s="330">
        <f t="shared" si="288"/>
        <v>0</v>
      </c>
      <c r="BI276" s="330">
        <f t="shared" si="288"/>
        <v>0</v>
      </c>
      <c r="BJ276" s="330">
        <f t="shared" si="288"/>
        <v>0</v>
      </c>
      <c r="BK276" s="330">
        <f t="shared" si="288"/>
        <v>0</v>
      </c>
      <c r="BL276" s="330">
        <f t="shared" si="288"/>
        <v>0</v>
      </c>
      <c r="BM276" s="330">
        <f t="shared" si="288"/>
        <v>0</v>
      </c>
      <c r="BN276" s="330">
        <f t="shared" si="288"/>
        <v>0</v>
      </c>
      <c r="BO276" s="330">
        <f t="shared" si="288"/>
        <v>0</v>
      </c>
      <c r="BP276" s="330">
        <f t="shared" si="288"/>
        <v>0</v>
      </c>
      <c r="BQ276" s="330">
        <f t="shared" si="288"/>
        <v>0</v>
      </c>
      <c r="BR276" s="330">
        <f t="shared" si="288"/>
        <v>0</v>
      </c>
      <c r="BS276" s="330">
        <f t="shared" si="288"/>
        <v>0</v>
      </c>
      <c r="BT276" s="330">
        <f t="shared" si="288"/>
        <v>0</v>
      </c>
      <c r="BU276" s="330">
        <f t="shared" ref="BU276:CZ276" si="289">+$D$276*(BU$7&lt;=$E$276)</f>
        <v>0</v>
      </c>
      <c r="BV276" s="330">
        <f t="shared" si="289"/>
        <v>0</v>
      </c>
      <c r="BW276" s="330">
        <f t="shared" si="289"/>
        <v>0</v>
      </c>
      <c r="BX276" s="330">
        <f t="shared" si="289"/>
        <v>0</v>
      </c>
      <c r="BY276" s="330">
        <f t="shared" si="289"/>
        <v>0</v>
      </c>
      <c r="BZ276" s="330">
        <f t="shared" si="289"/>
        <v>0</v>
      </c>
      <c r="CA276" s="330">
        <f t="shared" si="289"/>
        <v>0</v>
      </c>
      <c r="CB276" s="330">
        <f t="shared" si="289"/>
        <v>0</v>
      </c>
      <c r="CC276" s="330">
        <f t="shared" si="289"/>
        <v>0</v>
      </c>
      <c r="CD276" s="330">
        <f t="shared" si="289"/>
        <v>0</v>
      </c>
      <c r="CE276" s="330">
        <f t="shared" si="289"/>
        <v>0</v>
      </c>
      <c r="CF276" s="330">
        <f t="shared" si="289"/>
        <v>0</v>
      </c>
      <c r="CG276" s="330">
        <f t="shared" si="289"/>
        <v>0</v>
      </c>
      <c r="CH276" s="330">
        <f t="shared" si="289"/>
        <v>0</v>
      </c>
      <c r="CI276" s="330">
        <f t="shared" si="289"/>
        <v>0</v>
      </c>
      <c r="CJ276" s="330">
        <f t="shared" si="289"/>
        <v>0</v>
      </c>
      <c r="CK276" s="330">
        <f t="shared" si="289"/>
        <v>0</v>
      </c>
      <c r="CL276" s="330">
        <f t="shared" si="289"/>
        <v>0</v>
      </c>
      <c r="CM276" s="330">
        <f t="shared" si="289"/>
        <v>0</v>
      </c>
      <c r="CN276" s="330">
        <f t="shared" si="289"/>
        <v>0</v>
      </c>
      <c r="CO276" s="330">
        <f t="shared" si="289"/>
        <v>0</v>
      </c>
      <c r="CP276" s="330">
        <f t="shared" si="289"/>
        <v>0</v>
      </c>
      <c r="CQ276" s="330">
        <f t="shared" si="289"/>
        <v>0</v>
      </c>
      <c r="CR276" s="330">
        <f t="shared" si="289"/>
        <v>0</v>
      </c>
      <c r="CS276" s="330">
        <f t="shared" si="289"/>
        <v>0</v>
      </c>
      <c r="CT276" s="330">
        <f t="shared" si="289"/>
        <v>0</v>
      </c>
      <c r="CU276" s="330">
        <f t="shared" si="289"/>
        <v>0</v>
      </c>
      <c r="CV276" s="330">
        <f t="shared" si="289"/>
        <v>0</v>
      </c>
      <c r="CW276" s="330">
        <f t="shared" si="289"/>
        <v>0</v>
      </c>
      <c r="CX276" s="330">
        <f t="shared" si="289"/>
        <v>0</v>
      </c>
      <c r="CY276" s="330">
        <f t="shared" si="289"/>
        <v>0</v>
      </c>
      <c r="CZ276" s="330">
        <f t="shared" si="289"/>
        <v>0</v>
      </c>
      <c r="DA276" s="330">
        <f t="shared" ref="DA276:DY276" si="290">+$D$276*(DA$7&lt;=$E$276)</f>
        <v>0</v>
      </c>
      <c r="DB276" s="330">
        <f t="shared" si="290"/>
        <v>0</v>
      </c>
      <c r="DC276" s="330">
        <f t="shared" si="290"/>
        <v>0</v>
      </c>
      <c r="DD276" s="330">
        <f t="shared" si="290"/>
        <v>0</v>
      </c>
      <c r="DE276" s="330">
        <f t="shared" si="290"/>
        <v>0</v>
      </c>
      <c r="DF276" s="330">
        <f t="shared" si="290"/>
        <v>0</v>
      </c>
      <c r="DG276" s="330">
        <f t="shared" si="290"/>
        <v>0</v>
      </c>
      <c r="DH276" s="330">
        <f t="shared" si="290"/>
        <v>0</v>
      </c>
      <c r="DI276" s="330">
        <f t="shared" si="290"/>
        <v>0</v>
      </c>
      <c r="DJ276" s="330">
        <f t="shared" si="290"/>
        <v>0</v>
      </c>
      <c r="DK276" s="330">
        <f t="shared" si="290"/>
        <v>0</v>
      </c>
      <c r="DL276" s="330">
        <f t="shared" si="290"/>
        <v>0</v>
      </c>
      <c r="DM276" s="330">
        <f t="shared" si="290"/>
        <v>0</v>
      </c>
      <c r="DN276" s="330">
        <f t="shared" si="290"/>
        <v>0</v>
      </c>
      <c r="DO276" s="330">
        <f t="shared" si="290"/>
        <v>0</v>
      </c>
      <c r="DP276" s="330">
        <f t="shared" si="290"/>
        <v>0</v>
      </c>
      <c r="DQ276" s="330">
        <f t="shared" si="290"/>
        <v>0</v>
      </c>
      <c r="DR276" s="330">
        <f t="shared" si="290"/>
        <v>0</v>
      </c>
      <c r="DS276" s="330">
        <f t="shared" si="290"/>
        <v>0</v>
      </c>
      <c r="DT276" s="330">
        <f t="shared" si="290"/>
        <v>0</v>
      </c>
      <c r="DU276" s="330">
        <f t="shared" si="290"/>
        <v>0</v>
      </c>
      <c r="DV276" s="330">
        <f t="shared" si="290"/>
        <v>0</v>
      </c>
      <c r="DW276" s="330">
        <f t="shared" si="290"/>
        <v>0</v>
      </c>
      <c r="DX276" s="330">
        <f t="shared" si="290"/>
        <v>0</v>
      </c>
      <c r="DY276" s="330">
        <f t="shared" si="290"/>
        <v>0</v>
      </c>
    </row>
    <row r="277" spans="1:129" s="130" customFormat="1" ht="11.7" customHeight="1" outlineLevel="1" x14ac:dyDescent="0.25">
      <c r="A277" s="85"/>
      <c r="B277" s="858" t="s">
        <v>761</v>
      </c>
      <c r="C277" s="858"/>
      <c r="D277" s="317">
        <f>+Inputs!G140</f>
        <v>0</v>
      </c>
      <c r="E277" s="3"/>
      <c r="F277" s="159"/>
      <c r="G277" s="127"/>
      <c r="H277" s="127"/>
      <c r="I277" s="330">
        <f t="shared" ref="I277:AN277" si="291">+$D$277*(I$7&gt;$E$276)</f>
        <v>0</v>
      </c>
      <c r="J277" s="330">
        <f t="shared" si="291"/>
        <v>0</v>
      </c>
      <c r="K277" s="330">
        <f t="shared" si="291"/>
        <v>0</v>
      </c>
      <c r="L277" s="330">
        <f t="shared" si="291"/>
        <v>0</v>
      </c>
      <c r="M277" s="330">
        <f t="shared" si="291"/>
        <v>0</v>
      </c>
      <c r="N277" s="330">
        <f t="shared" si="291"/>
        <v>0</v>
      </c>
      <c r="O277" s="330">
        <f t="shared" si="291"/>
        <v>0</v>
      </c>
      <c r="P277" s="330">
        <f t="shared" si="291"/>
        <v>0</v>
      </c>
      <c r="Q277" s="330">
        <f t="shared" si="291"/>
        <v>0</v>
      </c>
      <c r="R277" s="330">
        <f t="shared" si="291"/>
        <v>0</v>
      </c>
      <c r="S277" s="330">
        <f t="shared" si="291"/>
        <v>0</v>
      </c>
      <c r="T277" s="330">
        <f t="shared" si="291"/>
        <v>0</v>
      </c>
      <c r="U277" s="330">
        <f t="shared" si="291"/>
        <v>0</v>
      </c>
      <c r="V277" s="330">
        <f t="shared" si="291"/>
        <v>0</v>
      </c>
      <c r="W277" s="330">
        <f t="shared" si="291"/>
        <v>0</v>
      </c>
      <c r="X277" s="330">
        <f t="shared" si="291"/>
        <v>0</v>
      </c>
      <c r="Y277" s="330">
        <f t="shared" si="291"/>
        <v>0</v>
      </c>
      <c r="Z277" s="330">
        <f t="shared" si="291"/>
        <v>0</v>
      </c>
      <c r="AA277" s="330">
        <f t="shared" si="291"/>
        <v>0</v>
      </c>
      <c r="AB277" s="330">
        <f t="shared" si="291"/>
        <v>0</v>
      </c>
      <c r="AC277" s="330">
        <f t="shared" si="291"/>
        <v>0</v>
      </c>
      <c r="AD277" s="330">
        <f t="shared" si="291"/>
        <v>0</v>
      </c>
      <c r="AE277" s="330">
        <f t="shared" si="291"/>
        <v>0</v>
      </c>
      <c r="AF277" s="330">
        <f t="shared" si="291"/>
        <v>0</v>
      </c>
      <c r="AG277" s="330">
        <f t="shared" si="291"/>
        <v>0</v>
      </c>
      <c r="AH277" s="330">
        <f t="shared" si="291"/>
        <v>0</v>
      </c>
      <c r="AI277" s="330">
        <f t="shared" si="291"/>
        <v>0</v>
      </c>
      <c r="AJ277" s="330">
        <f t="shared" si="291"/>
        <v>0</v>
      </c>
      <c r="AK277" s="330">
        <f t="shared" si="291"/>
        <v>0</v>
      </c>
      <c r="AL277" s="330">
        <f t="shared" si="291"/>
        <v>0</v>
      </c>
      <c r="AM277" s="330">
        <f t="shared" si="291"/>
        <v>0</v>
      </c>
      <c r="AN277" s="330">
        <f t="shared" si="291"/>
        <v>0</v>
      </c>
      <c r="AO277" s="330">
        <f t="shared" ref="AO277:BT277" si="292">+$D$277*(AO$7&gt;$E$276)</f>
        <v>0</v>
      </c>
      <c r="AP277" s="330">
        <f t="shared" si="292"/>
        <v>0</v>
      </c>
      <c r="AQ277" s="330">
        <f t="shared" si="292"/>
        <v>0</v>
      </c>
      <c r="AR277" s="330">
        <f t="shared" si="292"/>
        <v>0</v>
      </c>
      <c r="AS277" s="330">
        <f t="shared" si="292"/>
        <v>0</v>
      </c>
      <c r="AT277" s="330">
        <f t="shared" si="292"/>
        <v>0</v>
      </c>
      <c r="AU277" s="330">
        <f t="shared" si="292"/>
        <v>0</v>
      </c>
      <c r="AV277" s="330">
        <f t="shared" si="292"/>
        <v>0</v>
      </c>
      <c r="AW277" s="330">
        <f t="shared" si="292"/>
        <v>0</v>
      </c>
      <c r="AX277" s="330">
        <f t="shared" si="292"/>
        <v>0</v>
      </c>
      <c r="AY277" s="330">
        <f t="shared" si="292"/>
        <v>0</v>
      </c>
      <c r="AZ277" s="330">
        <f t="shared" si="292"/>
        <v>0</v>
      </c>
      <c r="BA277" s="330">
        <f t="shared" si="292"/>
        <v>0</v>
      </c>
      <c r="BB277" s="330">
        <f t="shared" si="292"/>
        <v>0</v>
      </c>
      <c r="BC277" s="330">
        <f t="shared" si="292"/>
        <v>0</v>
      </c>
      <c r="BD277" s="330">
        <f t="shared" si="292"/>
        <v>0</v>
      </c>
      <c r="BE277" s="330">
        <f t="shared" si="292"/>
        <v>0</v>
      </c>
      <c r="BF277" s="330">
        <f t="shared" si="292"/>
        <v>0</v>
      </c>
      <c r="BG277" s="330">
        <f t="shared" si="292"/>
        <v>0</v>
      </c>
      <c r="BH277" s="330">
        <f t="shared" si="292"/>
        <v>0</v>
      </c>
      <c r="BI277" s="330">
        <f t="shared" si="292"/>
        <v>0</v>
      </c>
      <c r="BJ277" s="330">
        <f t="shared" si="292"/>
        <v>0</v>
      </c>
      <c r="BK277" s="330">
        <f t="shared" si="292"/>
        <v>0</v>
      </c>
      <c r="BL277" s="330">
        <f t="shared" si="292"/>
        <v>0</v>
      </c>
      <c r="BM277" s="330">
        <f t="shared" si="292"/>
        <v>0</v>
      </c>
      <c r="BN277" s="330">
        <f t="shared" si="292"/>
        <v>0</v>
      </c>
      <c r="BO277" s="330">
        <f t="shared" si="292"/>
        <v>0</v>
      </c>
      <c r="BP277" s="330">
        <f t="shared" si="292"/>
        <v>0</v>
      </c>
      <c r="BQ277" s="330">
        <f t="shared" si="292"/>
        <v>0</v>
      </c>
      <c r="BR277" s="330">
        <f t="shared" si="292"/>
        <v>0</v>
      </c>
      <c r="BS277" s="330">
        <f t="shared" si="292"/>
        <v>0</v>
      </c>
      <c r="BT277" s="330">
        <f t="shared" si="292"/>
        <v>0</v>
      </c>
      <c r="BU277" s="330">
        <f t="shared" ref="BU277:CZ277" si="293">+$D$277*(BU$7&gt;$E$276)</f>
        <v>0</v>
      </c>
      <c r="BV277" s="330">
        <f t="shared" si="293"/>
        <v>0</v>
      </c>
      <c r="BW277" s="330">
        <f t="shared" si="293"/>
        <v>0</v>
      </c>
      <c r="BX277" s="330">
        <f t="shared" si="293"/>
        <v>0</v>
      </c>
      <c r="BY277" s="330">
        <f t="shared" si="293"/>
        <v>0</v>
      </c>
      <c r="BZ277" s="330">
        <f t="shared" si="293"/>
        <v>0</v>
      </c>
      <c r="CA277" s="330">
        <f t="shared" si="293"/>
        <v>0</v>
      </c>
      <c r="CB277" s="330">
        <f t="shared" si="293"/>
        <v>0</v>
      </c>
      <c r="CC277" s="330">
        <f t="shared" si="293"/>
        <v>0</v>
      </c>
      <c r="CD277" s="330">
        <f t="shared" si="293"/>
        <v>0</v>
      </c>
      <c r="CE277" s="330">
        <f t="shared" si="293"/>
        <v>0</v>
      </c>
      <c r="CF277" s="330">
        <f t="shared" si="293"/>
        <v>0</v>
      </c>
      <c r="CG277" s="330">
        <f t="shared" si="293"/>
        <v>0</v>
      </c>
      <c r="CH277" s="330">
        <f t="shared" si="293"/>
        <v>0</v>
      </c>
      <c r="CI277" s="330">
        <f t="shared" si="293"/>
        <v>0</v>
      </c>
      <c r="CJ277" s="330">
        <f t="shared" si="293"/>
        <v>0</v>
      </c>
      <c r="CK277" s="330">
        <f t="shared" si="293"/>
        <v>0</v>
      </c>
      <c r="CL277" s="330">
        <f t="shared" si="293"/>
        <v>0</v>
      </c>
      <c r="CM277" s="330">
        <f t="shared" si="293"/>
        <v>0</v>
      </c>
      <c r="CN277" s="330">
        <f t="shared" si="293"/>
        <v>0</v>
      </c>
      <c r="CO277" s="330">
        <f t="shared" si="293"/>
        <v>0</v>
      </c>
      <c r="CP277" s="330">
        <f t="shared" si="293"/>
        <v>0</v>
      </c>
      <c r="CQ277" s="330">
        <f t="shared" si="293"/>
        <v>0</v>
      </c>
      <c r="CR277" s="330">
        <f t="shared" si="293"/>
        <v>0</v>
      </c>
      <c r="CS277" s="330">
        <f t="shared" si="293"/>
        <v>0</v>
      </c>
      <c r="CT277" s="330">
        <f t="shared" si="293"/>
        <v>0</v>
      </c>
      <c r="CU277" s="330">
        <f t="shared" si="293"/>
        <v>0</v>
      </c>
      <c r="CV277" s="330">
        <f t="shared" si="293"/>
        <v>0</v>
      </c>
      <c r="CW277" s="330">
        <f t="shared" si="293"/>
        <v>0</v>
      </c>
      <c r="CX277" s="330">
        <f t="shared" si="293"/>
        <v>0</v>
      </c>
      <c r="CY277" s="330">
        <f t="shared" si="293"/>
        <v>0</v>
      </c>
      <c r="CZ277" s="330">
        <f t="shared" si="293"/>
        <v>0</v>
      </c>
      <c r="DA277" s="330">
        <f t="shared" ref="DA277:DY277" si="294">+$D$277*(DA$7&gt;$E$276)</f>
        <v>0</v>
      </c>
      <c r="DB277" s="330">
        <f t="shared" si="294"/>
        <v>0</v>
      </c>
      <c r="DC277" s="330">
        <f t="shared" si="294"/>
        <v>0</v>
      </c>
      <c r="DD277" s="330">
        <f t="shared" si="294"/>
        <v>0</v>
      </c>
      <c r="DE277" s="330">
        <f t="shared" si="294"/>
        <v>0</v>
      </c>
      <c r="DF277" s="330">
        <f t="shared" si="294"/>
        <v>0</v>
      </c>
      <c r="DG277" s="330">
        <f t="shared" si="294"/>
        <v>0</v>
      </c>
      <c r="DH277" s="330">
        <f t="shared" si="294"/>
        <v>0</v>
      </c>
      <c r="DI277" s="330">
        <f t="shared" si="294"/>
        <v>0</v>
      </c>
      <c r="DJ277" s="330">
        <f t="shared" si="294"/>
        <v>0</v>
      </c>
      <c r="DK277" s="330">
        <f t="shared" si="294"/>
        <v>0</v>
      </c>
      <c r="DL277" s="330">
        <f t="shared" si="294"/>
        <v>0</v>
      </c>
      <c r="DM277" s="330">
        <f t="shared" si="294"/>
        <v>0</v>
      </c>
      <c r="DN277" s="330">
        <f t="shared" si="294"/>
        <v>0</v>
      </c>
      <c r="DO277" s="330">
        <f t="shared" si="294"/>
        <v>0</v>
      </c>
      <c r="DP277" s="330">
        <f t="shared" si="294"/>
        <v>0</v>
      </c>
      <c r="DQ277" s="330">
        <f t="shared" si="294"/>
        <v>0</v>
      </c>
      <c r="DR277" s="330">
        <f t="shared" si="294"/>
        <v>0</v>
      </c>
      <c r="DS277" s="330">
        <f t="shared" si="294"/>
        <v>0</v>
      </c>
      <c r="DT277" s="330">
        <f t="shared" si="294"/>
        <v>0</v>
      </c>
      <c r="DU277" s="330">
        <f t="shared" si="294"/>
        <v>0</v>
      </c>
      <c r="DV277" s="330">
        <f t="shared" si="294"/>
        <v>0</v>
      </c>
      <c r="DW277" s="330">
        <f t="shared" si="294"/>
        <v>0</v>
      </c>
      <c r="DX277" s="330">
        <f t="shared" si="294"/>
        <v>0</v>
      </c>
      <c r="DY277" s="330">
        <f t="shared" si="294"/>
        <v>0</v>
      </c>
    </row>
    <row r="278" spans="1:129" s="3" customFormat="1" ht="11.7" customHeight="1" outlineLevel="1" x14ac:dyDescent="0.25">
      <c r="A278" s="85"/>
      <c r="B278" s="113" t="s">
        <v>538</v>
      </c>
      <c r="C278" s="113"/>
      <c r="D278" s="843"/>
      <c r="G278" s="127"/>
      <c r="H278" s="127"/>
      <c r="I278" s="330"/>
      <c r="J278" s="330"/>
      <c r="K278" s="330"/>
      <c r="L278" s="330"/>
      <c r="M278" s="330"/>
      <c r="N278" s="330"/>
      <c r="O278" s="330"/>
      <c r="P278" s="330"/>
      <c r="Q278" s="330"/>
      <c r="R278" s="330"/>
      <c r="S278" s="330"/>
      <c r="T278" s="330"/>
      <c r="U278" s="330"/>
      <c r="V278" s="330"/>
      <c r="W278" s="330"/>
      <c r="X278" s="330"/>
      <c r="Y278" s="330"/>
      <c r="Z278" s="330"/>
      <c r="AA278" s="330"/>
      <c r="AB278" s="330"/>
      <c r="AC278" s="330"/>
      <c r="AD278" s="330"/>
      <c r="AE278" s="330"/>
      <c r="AF278" s="330"/>
      <c r="AG278" s="330"/>
      <c r="AH278" s="330"/>
      <c r="AI278" s="330"/>
      <c r="AJ278" s="330"/>
      <c r="AK278" s="330"/>
      <c r="AL278" s="330"/>
      <c r="AM278" s="330"/>
      <c r="AN278" s="330"/>
      <c r="AO278" s="330"/>
      <c r="AP278" s="330"/>
      <c r="AQ278" s="330"/>
      <c r="AR278" s="330"/>
      <c r="AS278" s="330"/>
      <c r="AT278" s="330"/>
      <c r="AU278" s="330"/>
      <c r="AV278" s="330"/>
      <c r="AW278" s="330"/>
      <c r="AX278" s="330"/>
      <c r="AY278" s="330"/>
      <c r="AZ278" s="330"/>
      <c r="BA278" s="330"/>
      <c r="BB278" s="330"/>
      <c r="BC278" s="330"/>
      <c r="BD278" s="330"/>
      <c r="BE278" s="330"/>
      <c r="BF278" s="330"/>
      <c r="BG278" s="330"/>
      <c r="BH278" s="330"/>
      <c r="BI278" s="330"/>
      <c r="BJ278" s="330"/>
      <c r="BK278" s="330"/>
      <c r="BL278" s="330"/>
      <c r="BM278" s="330"/>
      <c r="BN278" s="330"/>
      <c r="BO278" s="330"/>
      <c r="BP278" s="330"/>
      <c r="BQ278" s="330"/>
      <c r="BR278" s="330"/>
      <c r="BS278" s="330"/>
      <c r="BT278" s="330"/>
      <c r="BU278" s="330"/>
      <c r="BV278" s="330"/>
      <c r="BW278" s="330"/>
      <c r="BX278" s="330"/>
      <c r="BY278" s="330"/>
      <c r="BZ278" s="330"/>
      <c r="CA278" s="330"/>
      <c r="CB278" s="330"/>
      <c r="CC278" s="330"/>
      <c r="CD278" s="330"/>
      <c r="CE278" s="330"/>
      <c r="CF278" s="330"/>
      <c r="CG278" s="330"/>
      <c r="CH278" s="330"/>
      <c r="CI278" s="330"/>
      <c r="CJ278" s="330"/>
      <c r="CK278" s="330"/>
      <c r="CL278" s="330"/>
      <c r="CM278" s="330"/>
      <c r="CN278" s="330"/>
      <c r="CO278" s="330"/>
      <c r="CP278" s="330"/>
      <c r="CQ278" s="330"/>
      <c r="CR278" s="330"/>
      <c r="CS278" s="330"/>
      <c r="CT278" s="330"/>
      <c r="CU278" s="330"/>
      <c r="CV278" s="330"/>
      <c r="CW278" s="330"/>
      <c r="CX278" s="330"/>
      <c r="CY278" s="330"/>
      <c r="CZ278" s="330"/>
      <c r="DA278" s="330"/>
      <c r="DB278" s="330"/>
      <c r="DC278" s="330"/>
      <c r="DD278" s="330"/>
      <c r="DE278" s="330"/>
      <c r="DF278" s="330"/>
      <c r="DG278" s="330"/>
      <c r="DH278" s="330"/>
      <c r="DI278" s="330"/>
      <c r="DJ278" s="330"/>
      <c r="DK278" s="330"/>
      <c r="DL278" s="330"/>
      <c r="DM278" s="330"/>
      <c r="DN278" s="330"/>
      <c r="DO278" s="330"/>
      <c r="DP278" s="330"/>
      <c r="DQ278" s="330"/>
      <c r="DR278" s="330"/>
      <c r="DS278" s="330"/>
      <c r="DT278" s="330"/>
      <c r="DU278" s="330"/>
      <c r="DV278" s="330"/>
      <c r="DW278" s="330"/>
      <c r="DX278" s="330"/>
      <c r="DY278" s="330"/>
    </row>
    <row r="279" spans="1:129" s="3" customFormat="1" ht="11.7" customHeight="1" outlineLevel="1" x14ac:dyDescent="0.25">
      <c r="A279" s="85"/>
      <c r="B279" s="858" t="s">
        <v>496</v>
      </c>
      <c r="C279" s="858"/>
      <c r="D279" s="317">
        <f>+Inputs!G142</f>
        <v>0.5</v>
      </c>
      <c r="E279" s="292">
        <f>+Inputs!$F$143</f>
        <v>45291</v>
      </c>
      <c r="G279" s="127"/>
      <c r="H279" s="127"/>
      <c r="I279" s="330">
        <f t="shared" ref="I279:AN279" si="295">+$D$279*(I7&lt;=$E$279)</f>
        <v>0.5</v>
      </c>
      <c r="J279" s="330">
        <f t="shared" si="295"/>
        <v>0.5</v>
      </c>
      <c r="K279" s="330">
        <f t="shared" si="295"/>
        <v>0.5</v>
      </c>
      <c r="L279" s="330">
        <f t="shared" si="295"/>
        <v>0.5</v>
      </c>
      <c r="M279" s="330">
        <f t="shared" si="295"/>
        <v>0.5</v>
      </c>
      <c r="N279" s="330">
        <f t="shared" si="295"/>
        <v>0.5</v>
      </c>
      <c r="O279" s="330">
        <f t="shared" si="295"/>
        <v>0.5</v>
      </c>
      <c r="P279" s="330">
        <f t="shared" si="295"/>
        <v>0.5</v>
      </c>
      <c r="Q279" s="330">
        <f t="shared" si="295"/>
        <v>0.5</v>
      </c>
      <c r="R279" s="330">
        <f t="shared" si="295"/>
        <v>0.5</v>
      </c>
      <c r="S279" s="330">
        <f t="shared" si="295"/>
        <v>0.5</v>
      </c>
      <c r="T279" s="330">
        <f t="shared" si="295"/>
        <v>0.5</v>
      </c>
      <c r="U279" s="330">
        <f t="shared" si="295"/>
        <v>0.5</v>
      </c>
      <c r="V279" s="330">
        <f t="shared" si="295"/>
        <v>0.5</v>
      </c>
      <c r="W279" s="330">
        <f t="shared" si="295"/>
        <v>0.5</v>
      </c>
      <c r="X279" s="330">
        <f t="shared" si="295"/>
        <v>0.5</v>
      </c>
      <c r="Y279" s="330">
        <f t="shared" si="295"/>
        <v>0.5</v>
      </c>
      <c r="Z279" s="330">
        <f t="shared" si="295"/>
        <v>0.5</v>
      </c>
      <c r="AA279" s="330">
        <f t="shared" si="295"/>
        <v>0.5</v>
      </c>
      <c r="AB279" s="330">
        <f t="shared" si="295"/>
        <v>0.5</v>
      </c>
      <c r="AC279" s="330">
        <f t="shared" si="295"/>
        <v>0.5</v>
      </c>
      <c r="AD279" s="330">
        <f t="shared" si="295"/>
        <v>0.5</v>
      </c>
      <c r="AE279" s="330">
        <f t="shared" si="295"/>
        <v>0.5</v>
      </c>
      <c r="AF279" s="330">
        <f t="shared" si="295"/>
        <v>0.5</v>
      </c>
      <c r="AG279" s="330">
        <f t="shared" si="295"/>
        <v>0.5</v>
      </c>
      <c r="AH279" s="330">
        <f t="shared" si="295"/>
        <v>0.5</v>
      </c>
      <c r="AI279" s="330">
        <f t="shared" si="295"/>
        <v>0.5</v>
      </c>
      <c r="AJ279" s="330">
        <f t="shared" si="295"/>
        <v>0.5</v>
      </c>
      <c r="AK279" s="330">
        <f t="shared" si="295"/>
        <v>0.5</v>
      </c>
      <c r="AL279" s="330">
        <f t="shared" si="295"/>
        <v>0.5</v>
      </c>
      <c r="AM279" s="330">
        <f t="shared" si="295"/>
        <v>0.5</v>
      </c>
      <c r="AN279" s="330">
        <f t="shared" si="295"/>
        <v>0.5</v>
      </c>
      <c r="AO279" s="330">
        <f t="shared" ref="AO279:BT279" si="296">+$D$279*(AO7&lt;=$E$279)</f>
        <v>0.5</v>
      </c>
      <c r="AP279" s="330">
        <f t="shared" si="296"/>
        <v>0.5</v>
      </c>
      <c r="AQ279" s="330">
        <f t="shared" si="296"/>
        <v>0.5</v>
      </c>
      <c r="AR279" s="330">
        <f t="shared" si="296"/>
        <v>0.5</v>
      </c>
      <c r="AS279" s="330">
        <f t="shared" si="296"/>
        <v>0.5</v>
      </c>
      <c r="AT279" s="330">
        <f t="shared" si="296"/>
        <v>0.5</v>
      </c>
      <c r="AU279" s="330">
        <f t="shared" si="296"/>
        <v>0.5</v>
      </c>
      <c r="AV279" s="330">
        <f t="shared" si="296"/>
        <v>0.5</v>
      </c>
      <c r="AW279" s="330">
        <f t="shared" si="296"/>
        <v>0.5</v>
      </c>
      <c r="AX279" s="330">
        <f t="shared" si="296"/>
        <v>0.5</v>
      </c>
      <c r="AY279" s="330">
        <f t="shared" si="296"/>
        <v>0.5</v>
      </c>
      <c r="AZ279" s="330">
        <f t="shared" si="296"/>
        <v>0.5</v>
      </c>
      <c r="BA279" s="330">
        <f t="shared" si="296"/>
        <v>0.5</v>
      </c>
      <c r="BB279" s="330">
        <f t="shared" si="296"/>
        <v>0.5</v>
      </c>
      <c r="BC279" s="330">
        <f t="shared" si="296"/>
        <v>0.5</v>
      </c>
      <c r="BD279" s="330">
        <f t="shared" si="296"/>
        <v>0.5</v>
      </c>
      <c r="BE279" s="330">
        <f t="shared" si="296"/>
        <v>0.5</v>
      </c>
      <c r="BF279" s="330">
        <f t="shared" si="296"/>
        <v>0.5</v>
      </c>
      <c r="BG279" s="330">
        <f t="shared" si="296"/>
        <v>0.5</v>
      </c>
      <c r="BH279" s="330">
        <f t="shared" si="296"/>
        <v>0.5</v>
      </c>
      <c r="BI279" s="330">
        <f t="shared" si="296"/>
        <v>0.5</v>
      </c>
      <c r="BJ279" s="330">
        <f t="shared" si="296"/>
        <v>0.5</v>
      </c>
      <c r="BK279" s="330">
        <f t="shared" si="296"/>
        <v>0.5</v>
      </c>
      <c r="BL279" s="330">
        <f t="shared" si="296"/>
        <v>0.5</v>
      </c>
      <c r="BM279" s="330">
        <f t="shared" si="296"/>
        <v>0.5</v>
      </c>
      <c r="BN279" s="330">
        <f t="shared" si="296"/>
        <v>0.5</v>
      </c>
      <c r="BO279" s="330">
        <f t="shared" si="296"/>
        <v>0.5</v>
      </c>
      <c r="BP279" s="330">
        <f t="shared" si="296"/>
        <v>0.5</v>
      </c>
      <c r="BQ279" s="330">
        <f t="shared" si="296"/>
        <v>0.5</v>
      </c>
      <c r="BR279" s="330">
        <f t="shared" si="296"/>
        <v>0.5</v>
      </c>
      <c r="BS279" s="330">
        <f t="shared" si="296"/>
        <v>0.5</v>
      </c>
      <c r="BT279" s="330">
        <f t="shared" si="296"/>
        <v>0.5</v>
      </c>
      <c r="BU279" s="330">
        <f t="shared" ref="BU279:CZ279" si="297">+$D$279*(BU7&lt;=$E$279)</f>
        <v>0.5</v>
      </c>
      <c r="BV279" s="330">
        <f t="shared" si="297"/>
        <v>0.5</v>
      </c>
      <c r="BW279" s="330">
        <f t="shared" si="297"/>
        <v>0.5</v>
      </c>
      <c r="BX279" s="330">
        <f t="shared" si="297"/>
        <v>0.5</v>
      </c>
      <c r="BY279" s="330">
        <f t="shared" si="297"/>
        <v>0.5</v>
      </c>
      <c r="BZ279" s="330">
        <f t="shared" si="297"/>
        <v>0.5</v>
      </c>
      <c r="CA279" s="330">
        <f t="shared" si="297"/>
        <v>0.5</v>
      </c>
      <c r="CB279" s="330">
        <f t="shared" si="297"/>
        <v>0.5</v>
      </c>
      <c r="CC279" s="330">
        <f t="shared" si="297"/>
        <v>0.5</v>
      </c>
      <c r="CD279" s="330">
        <f t="shared" si="297"/>
        <v>0.5</v>
      </c>
      <c r="CE279" s="330">
        <f t="shared" si="297"/>
        <v>0.5</v>
      </c>
      <c r="CF279" s="330">
        <f t="shared" si="297"/>
        <v>0.5</v>
      </c>
      <c r="CG279" s="330">
        <f t="shared" si="297"/>
        <v>0</v>
      </c>
      <c r="CH279" s="330">
        <f t="shared" si="297"/>
        <v>0</v>
      </c>
      <c r="CI279" s="330">
        <f t="shared" si="297"/>
        <v>0</v>
      </c>
      <c r="CJ279" s="330">
        <f t="shared" si="297"/>
        <v>0</v>
      </c>
      <c r="CK279" s="330">
        <f t="shared" si="297"/>
        <v>0</v>
      </c>
      <c r="CL279" s="330">
        <f t="shared" si="297"/>
        <v>0</v>
      </c>
      <c r="CM279" s="330">
        <f t="shared" si="297"/>
        <v>0</v>
      </c>
      <c r="CN279" s="330">
        <f t="shared" si="297"/>
        <v>0</v>
      </c>
      <c r="CO279" s="330">
        <f t="shared" si="297"/>
        <v>0</v>
      </c>
      <c r="CP279" s="330">
        <f t="shared" si="297"/>
        <v>0</v>
      </c>
      <c r="CQ279" s="330">
        <f t="shared" si="297"/>
        <v>0</v>
      </c>
      <c r="CR279" s="330">
        <f t="shared" si="297"/>
        <v>0</v>
      </c>
      <c r="CS279" s="330">
        <f t="shared" si="297"/>
        <v>0</v>
      </c>
      <c r="CT279" s="330">
        <f t="shared" si="297"/>
        <v>0</v>
      </c>
      <c r="CU279" s="330">
        <f t="shared" si="297"/>
        <v>0</v>
      </c>
      <c r="CV279" s="330">
        <f t="shared" si="297"/>
        <v>0</v>
      </c>
      <c r="CW279" s="330">
        <f t="shared" si="297"/>
        <v>0</v>
      </c>
      <c r="CX279" s="330">
        <f t="shared" si="297"/>
        <v>0</v>
      </c>
      <c r="CY279" s="330">
        <f t="shared" si="297"/>
        <v>0</v>
      </c>
      <c r="CZ279" s="330">
        <f t="shared" si="297"/>
        <v>0</v>
      </c>
      <c r="DA279" s="330">
        <f t="shared" ref="DA279:DY279" si="298">+$D$279*(DA7&lt;=$E$279)</f>
        <v>0</v>
      </c>
      <c r="DB279" s="330">
        <f t="shared" si="298"/>
        <v>0</v>
      </c>
      <c r="DC279" s="330">
        <f t="shared" si="298"/>
        <v>0</v>
      </c>
      <c r="DD279" s="330">
        <f t="shared" si="298"/>
        <v>0</v>
      </c>
      <c r="DE279" s="330">
        <f t="shared" si="298"/>
        <v>0</v>
      </c>
      <c r="DF279" s="330">
        <f t="shared" si="298"/>
        <v>0</v>
      </c>
      <c r="DG279" s="330">
        <f t="shared" si="298"/>
        <v>0</v>
      </c>
      <c r="DH279" s="330">
        <f t="shared" si="298"/>
        <v>0</v>
      </c>
      <c r="DI279" s="330">
        <f t="shared" si="298"/>
        <v>0</v>
      </c>
      <c r="DJ279" s="330">
        <f t="shared" si="298"/>
        <v>0</v>
      </c>
      <c r="DK279" s="330">
        <f t="shared" si="298"/>
        <v>0</v>
      </c>
      <c r="DL279" s="330">
        <f t="shared" si="298"/>
        <v>0</v>
      </c>
      <c r="DM279" s="330">
        <f t="shared" si="298"/>
        <v>0</v>
      </c>
      <c r="DN279" s="330">
        <f t="shared" si="298"/>
        <v>0</v>
      </c>
      <c r="DO279" s="330">
        <f t="shared" si="298"/>
        <v>0</v>
      </c>
      <c r="DP279" s="330">
        <f t="shared" si="298"/>
        <v>0</v>
      </c>
      <c r="DQ279" s="330">
        <f t="shared" si="298"/>
        <v>0</v>
      </c>
      <c r="DR279" s="330">
        <f t="shared" si="298"/>
        <v>0</v>
      </c>
      <c r="DS279" s="330">
        <f t="shared" si="298"/>
        <v>0</v>
      </c>
      <c r="DT279" s="330">
        <f t="shared" si="298"/>
        <v>0</v>
      </c>
      <c r="DU279" s="330">
        <f t="shared" si="298"/>
        <v>0</v>
      </c>
      <c r="DV279" s="330">
        <f t="shared" si="298"/>
        <v>0</v>
      </c>
      <c r="DW279" s="330">
        <f t="shared" si="298"/>
        <v>0</v>
      </c>
      <c r="DX279" s="330">
        <f t="shared" si="298"/>
        <v>0</v>
      </c>
      <c r="DY279" s="330">
        <f t="shared" si="298"/>
        <v>0</v>
      </c>
    </row>
    <row r="280" spans="1:129" s="3" customFormat="1" ht="11.7" customHeight="1" outlineLevel="1" x14ac:dyDescent="0.25">
      <c r="A280" s="85"/>
      <c r="B280" s="858" t="s">
        <v>761</v>
      </c>
      <c r="C280" s="858"/>
      <c r="D280" s="317">
        <f>+Inputs!G144</f>
        <v>0.5</v>
      </c>
      <c r="G280" s="127"/>
      <c r="H280" s="127"/>
      <c r="I280" s="330">
        <f t="shared" ref="I280:AN280" si="299">+$D$280*(I$7&gt;$E$279)</f>
        <v>0</v>
      </c>
      <c r="J280" s="330">
        <f t="shared" si="299"/>
        <v>0</v>
      </c>
      <c r="K280" s="330">
        <f t="shared" si="299"/>
        <v>0</v>
      </c>
      <c r="L280" s="330">
        <f t="shared" si="299"/>
        <v>0</v>
      </c>
      <c r="M280" s="330">
        <f t="shared" si="299"/>
        <v>0</v>
      </c>
      <c r="N280" s="330">
        <f t="shared" si="299"/>
        <v>0</v>
      </c>
      <c r="O280" s="330">
        <f t="shared" si="299"/>
        <v>0</v>
      </c>
      <c r="P280" s="330">
        <f t="shared" si="299"/>
        <v>0</v>
      </c>
      <c r="Q280" s="330">
        <f t="shared" si="299"/>
        <v>0</v>
      </c>
      <c r="R280" s="330">
        <f t="shared" si="299"/>
        <v>0</v>
      </c>
      <c r="S280" s="330">
        <f t="shared" si="299"/>
        <v>0</v>
      </c>
      <c r="T280" s="330">
        <f t="shared" si="299"/>
        <v>0</v>
      </c>
      <c r="U280" s="330">
        <f t="shared" si="299"/>
        <v>0</v>
      </c>
      <c r="V280" s="330">
        <f t="shared" si="299"/>
        <v>0</v>
      </c>
      <c r="W280" s="330">
        <f t="shared" si="299"/>
        <v>0</v>
      </c>
      <c r="X280" s="330">
        <f t="shared" si="299"/>
        <v>0</v>
      </c>
      <c r="Y280" s="330">
        <f t="shared" si="299"/>
        <v>0</v>
      </c>
      <c r="Z280" s="330">
        <f t="shared" si="299"/>
        <v>0</v>
      </c>
      <c r="AA280" s="330">
        <f t="shared" si="299"/>
        <v>0</v>
      </c>
      <c r="AB280" s="330">
        <f t="shared" si="299"/>
        <v>0</v>
      </c>
      <c r="AC280" s="330">
        <f t="shared" si="299"/>
        <v>0</v>
      </c>
      <c r="AD280" s="330">
        <f t="shared" si="299"/>
        <v>0</v>
      </c>
      <c r="AE280" s="330">
        <f t="shared" si="299"/>
        <v>0</v>
      </c>
      <c r="AF280" s="330">
        <f t="shared" si="299"/>
        <v>0</v>
      </c>
      <c r="AG280" s="330">
        <f t="shared" si="299"/>
        <v>0</v>
      </c>
      <c r="AH280" s="330">
        <f t="shared" si="299"/>
        <v>0</v>
      </c>
      <c r="AI280" s="330">
        <f t="shared" si="299"/>
        <v>0</v>
      </c>
      <c r="AJ280" s="330">
        <f t="shared" si="299"/>
        <v>0</v>
      </c>
      <c r="AK280" s="330">
        <f t="shared" si="299"/>
        <v>0</v>
      </c>
      <c r="AL280" s="330">
        <f t="shared" si="299"/>
        <v>0</v>
      </c>
      <c r="AM280" s="330">
        <f t="shared" si="299"/>
        <v>0</v>
      </c>
      <c r="AN280" s="330">
        <f t="shared" si="299"/>
        <v>0</v>
      </c>
      <c r="AO280" s="330">
        <f t="shared" ref="AO280:BT280" si="300">+$D$280*(AO$7&gt;$E$279)</f>
        <v>0</v>
      </c>
      <c r="AP280" s="330">
        <f t="shared" si="300"/>
        <v>0</v>
      </c>
      <c r="AQ280" s="330">
        <f t="shared" si="300"/>
        <v>0</v>
      </c>
      <c r="AR280" s="330">
        <f t="shared" si="300"/>
        <v>0</v>
      </c>
      <c r="AS280" s="330">
        <f t="shared" si="300"/>
        <v>0</v>
      </c>
      <c r="AT280" s="330">
        <f t="shared" si="300"/>
        <v>0</v>
      </c>
      <c r="AU280" s="330">
        <f t="shared" si="300"/>
        <v>0</v>
      </c>
      <c r="AV280" s="330">
        <f t="shared" si="300"/>
        <v>0</v>
      </c>
      <c r="AW280" s="330">
        <f t="shared" si="300"/>
        <v>0</v>
      </c>
      <c r="AX280" s="330">
        <f t="shared" si="300"/>
        <v>0</v>
      </c>
      <c r="AY280" s="330">
        <f t="shared" si="300"/>
        <v>0</v>
      </c>
      <c r="AZ280" s="330">
        <f t="shared" si="300"/>
        <v>0</v>
      </c>
      <c r="BA280" s="330">
        <f t="shared" si="300"/>
        <v>0</v>
      </c>
      <c r="BB280" s="330">
        <f t="shared" si="300"/>
        <v>0</v>
      </c>
      <c r="BC280" s="330">
        <f t="shared" si="300"/>
        <v>0</v>
      </c>
      <c r="BD280" s="330">
        <f t="shared" si="300"/>
        <v>0</v>
      </c>
      <c r="BE280" s="330">
        <f t="shared" si="300"/>
        <v>0</v>
      </c>
      <c r="BF280" s="330">
        <f t="shared" si="300"/>
        <v>0</v>
      </c>
      <c r="BG280" s="330">
        <f t="shared" si="300"/>
        <v>0</v>
      </c>
      <c r="BH280" s="330">
        <f t="shared" si="300"/>
        <v>0</v>
      </c>
      <c r="BI280" s="330">
        <f t="shared" si="300"/>
        <v>0</v>
      </c>
      <c r="BJ280" s="330">
        <f t="shared" si="300"/>
        <v>0</v>
      </c>
      <c r="BK280" s="330">
        <f t="shared" si="300"/>
        <v>0</v>
      </c>
      <c r="BL280" s="330">
        <f t="shared" si="300"/>
        <v>0</v>
      </c>
      <c r="BM280" s="330">
        <f t="shared" si="300"/>
        <v>0</v>
      </c>
      <c r="BN280" s="330">
        <f t="shared" si="300"/>
        <v>0</v>
      </c>
      <c r="BO280" s="330">
        <f t="shared" si="300"/>
        <v>0</v>
      </c>
      <c r="BP280" s="330">
        <f t="shared" si="300"/>
        <v>0</v>
      </c>
      <c r="BQ280" s="330">
        <f t="shared" si="300"/>
        <v>0</v>
      </c>
      <c r="BR280" s="330">
        <f t="shared" si="300"/>
        <v>0</v>
      </c>
      <c r="BS280" s="330">
        <f t="shared" si="300"/>
        <v>0</v>
      </c>
      <c r="BT280" s="330">
        <f t="shared" si="300"/>
        <v>0</v>
      </c>
      <c r="BU280" s="330">
        <f t="shared" ref="BU280:CZ280" si="301">+$D$280*(BU$7&gt;$E$279)</f>
        <v>0</v>
      </c>
      <c r="BV280" s="330">
        <f t="shared" si="301"/>
        <v>0</v>
      </c>
      <c r="BW280" s="330">
        <f t="shared" si="301"/>
        <v>0</v>
      </c>
      <c r="BX280" s="330">
        <f t="shared" si="301"/>
        <v>0</v>
      </c>
      <c r="BY280" s="330">
        <f t="shared" si="301"/>
        <v>0</v>
      </c>
      <c r="BZ280" s="330">
        <f t="shared" si="301"/>
        <v>0</v>
      </c>
      <c r="CA280" s="330">
        <f t="shared" si="301"/>
        <v>0</v>
      </c>
      <c r="CB280" s="330">
        <f t="shared" si="301"/>
        <v>0</v>
      </c>
      <c r="CC280" s="330">
        <f t="shared" si="301"/>
        <v>0</v>
      </c>
      <c r="CD280" s="330">
        <f t="shared" si="301"/>
        <v>0</v>
      </c>
      <c r="CE280" s="330">
        <f t="shared" si="301"/>
        <v>0</v>
      </c>
      <c r="CF280" s="330">
        <f t="shared" si="301"/>
        <v>0</v>
      </c>
      <c r="CG280" s="330">
        <f t="shared" si="301"/>
        <v>0.5</v>
      </c>
      <c r="CH280" s="330">
        <f t="shared" si="301"/>
        <v>0.5</v>
      </c>
      <c r="CI280" s="330">
        <f t="shared" si="301"/>
        <v>0.5</v>
      </c>
      <c r="CJ280" s="330">
        <f t="shared" si="301"/>
        <v>0.5</v>
      </c>
      <c r="CK280" s="330">
        <f t="shared" si="301"/>
        <v>0.5</v>
      </c>
      <c r="CL280" s="330">
        <f t="shared" si="301"/>
        <v>0.5</v>
      </c>
      <c r="CM280" s="330">
        <f t="shared" si="301"/>
        <v>0.5</v>
      </c>
      <c r="CN280" s="330">
        <f t="shared" si="301"/>
        <v>0.5</v>
      </c>
      <c r="CO280" s="330">
        <f t="shared" si="301"/>
        <v>0.5</v>
      </c>
      <c r="CP280" s="330">
        <f t="shared" si="301"/>
        <v>0.5</v>
      </c>
      <c r="CQ280" s="330">
        <f t="shared" si="301"/>
        <v>0.5</v>
      </c>
      <c r="CR280" s="330">
        <f t="shared" si="301"/>
        <v>0.5</v>
      </c>
      <c r="CS280" s="330">
        <f t="shared" si="301"/>
        <v>0.5</v>
      </c>
      <c r="CT280" s="330">
        <f t="shared" si="301"/>
        <v>0.5</v>
      </c>
      <c r="CU280" s="330">
        <f t="shared" si="301"/>
        <v>0.5</v>
      </c>
      <c r="CV280" s="330">
        <f t="shared" si="301"/>
        <v>0.5</v>
      </c>
      <c r="CW280" s="330">
        <f t="shared" si="301"/>
        <v>0.5</v>
      </c>
      <c r="CX280" s="330">
        <f t="shared" si="301"/>
        <v>0.5</v>
      </c>
      <c r="CY280" s="330">
        <f t="shared" si="301"/>
        <v>0.5</v>
      </c>
      <c r="CZ280" s="330">
        <f t="shared" si="301"/>
        <v>0.5</v>
      </c>
      <c r="DA280" s="330">
        <f t="shared" ref="DA280:DY280" si="302">+$D$280*(DA$7&gt;$E$279)</f>
        <v>0.5</v>
      </c>
      <c r="DB280" s="330">
        <f t="shared" si="302"/>
        <v>0.5</v>
      </c>
      <c r="DC280" s="330">
        <f t="shared" si="302"/>
        <v>0.5</v>
      </c>
      <c r="DD280" s="330">
        <f t="shared" si="302"/>
        <v>0.5</v>
      </c>
      <c r="DE280" s="330">
        <f t="shared" si="302"/>
        <v>0.5</v>
      </c>
      <c r="DF280" s="330">
        <f t="shared" si="302"/>
        <v>0.5</v>
      </c>
      <c r="DG280" s="330">
        <f t="shared" si="302"/>
        <v>0.5</v>
      </c>
      <c r="DH280" s="330">
        <f t="shared" si="302"/>
        <v>0.5</v>
      </c>
      <c r="DI280" s="330">
        <f t="shared" si="302"/>
        <v>0.5</v>
      </c>
      <c r="DJ280" s="330">
        <f t="shared" si="302"/>
        <v>0.5</v>
      </c>
      <c r="DK280" s="330">
        <f t="shared" si="302"/>
        <v>0.5</v>
      </c>
      <c r="DL280" s="330">
        <f t="shared" si="302"/>
        <v>0.5</v>
      </c>
      <c r="DM280" s="330">
        <f t="shared" si="302"/>
        <v>0.5</v>
      </c>
      <c r="DN280" s="330">
        <f t="shared" si="302"/>
        <v>0.5</v>
      </c>
      <c r="DO280" s="330">
        <f t="shared" si="302"/>
        <v>0.5</v>
      </c>
      <c r="DP280" s="330">
        <f t="shared" si="302"/>
        <v>0.5</v>
      </c>
      <c r="DQ280" s="330">
        <f t="shared" si="302"/>
        <v>0.5</v>
      </c>
      <c r="DR280" s="330">
        <f t="shared" si="302"/>
        <v>0.5</v>
      </c>
      <c r="DS280" s="330">
        <f t="shared" si="302"/>
        <v>0.5</v>
      </c>
      <c r="DT280" s="330">
        <f t="shared" si="302"/>
        <v>0.5</v>
      </c>
      <c r="DU280" s="330">
        <f t="shared" si="302"/>
        <v>0.5</v>
      </c>
      <c r="DV280" s="330">
        <f t="shared" si="302"/>
        <v>0.5</v>
      </c>
      <c r="DW280" s="330">
        <f t="shared" si="302"/>
        <v>0.5</v>
      </c>
      <c r="DX280" s="330">
        <f t="shared" si="302"/>
        <v>0.5</v>
      </c>
      <c r="DY280" s="330">
        <f t="shared" si="302"/>
        <v>0.5</v>
      </c>
    </row>
    <row r="281" spans="1:129" s="3" customFormat="1" ht="11.7" customHeight="1" outlineLevel="1" x14ac:dyDescent="0.25">
      <c r="A281" s="85"/>
      <c r="B281" s="113" t="s">
        <v>539</v>
      </c>
      <c r="C281" s="113"/>
      <c r="D281" s="843"/>
      <c r="G281" s="127"/>
      <c r="H281" s="127"/>
      <c r="I281" s="330"/>
      <c r="J281" s="330"/>
      <c r="K281" s="330"/>
      <c r="L281" s="330"/>
      <c r="M281" s="330"/>
      <c r="N281" s="330"/>
      <c r="O281" s="330"/>
      <c r="P281" s="330"/>
      <c r="Q281" s="330"/>
      <c r="R281" s="330"/>
      <c r="S281" s="330"/>
      <c r="T281" s="330"/>
      <c r="U281" s="330"/>
      <c r="V281" s="330"/>
      <c r="W281" s="330"/>
      <c r="X281" s="330"/>
      <c r="Y281" s="330"/>
      <c r="Z281" s="330"/>
      <c r="AA281" s="330"/>
      <c r="AB281" s="330"/>
      <c r="AC281" s="330"/>
      <c r="AD281" s="330"/>
      <c r="AE281" s="330"/>
      <c r="AF281" s="330"/>
      <c r="AG281" s="330"/>
      <c r="AH281" s="330"/>
      <c r="AI281" s="330"/>
      <c r="AJ281" s="330"/>
      <c r="AK281" s="330"/>
      <c r="AL281" s="330"/>
      <c r="AM281" s="330"/>
      <c r="AN281" s="330"/>
      <c r="AO281" s="330"/>
      <c r="AP281" s="330"/>
      <c r="AQ281" s="330"/>
      <c r="AR281" s="330"/>
      <c r="AS281" s="330"/>
      <c r="AT281" s="330"/>
      <c r="AU281" s="330"/>
      <c r="AV281" s="330"/>
      <c r="AW281" s="330"/>
      <c r="AX281" s="330"/>
      <c r="AY281" s="330"/>
      <c r="AZ281" s="330"/>
      <c r="BA281" s="330"/>
      <c r="BB281" s="330"/>
      <c r="BC281" s="330"/>
      <c r="BD281" s="330"/>
      <c r="BE281" s="330"/>
      <c r="BF281" s="330"/>
      <c r="BG281" s="330"/>
      <c r="BH281" s="330"/>
      <c r="BI281" s="330"/>
      <c r="BJ281" s="330"/>
      <c r="BK281" s="330"/>
      <c r="BL281" s="330"/>
      <c r="BM281" s="330"/>
      <c r="BN281" s="330"/>
      <c r="BO281" s="330"/>
      <c r="BP281" s="330"/>
      <c r="BQ281" s="330"/>
      <c r="BR281" s="330"/>
      <c r="BS281" s="330"/>
      <c r="BT281" s="330"/>
      <c r="BU281" s="330"/>
      <c r="BV281" s="330"/>
      <c r="BW281" s="330"/>
      <c r="BX281" s="330"/>
      <c r="BY281" s="330"/>
      <c r="BZ281" s="330"/>
      <c r="CA281" s="330"/>
      <c r="CB281" s="330"/>
      <c r="CC281" s="330"/>
      <c r="CD281" s="330"/>
      <c r="CE281" s="330"/>
      <c r="CF281" s="330"/>
      <c r="CG281" s="330"/>
      <c r="CH281" s="330"/>
      <c r="CI281" s="330"/>
      <c r="CJ281" s="330"/>
      <c r="CK281" s="330"/>
      <c r="CL281" s="330"/>
      <c r="CM281" s="330"/>
      <c r="CN281" s="330"/>
      <c r="CO281" s="330"/>
      <c r="CP281" s="330"/>
      <c r="CQ281" s="330"/>
      <c r="CR281" s="330"/>
      <c r="CS281" s="330"/>
      <c r="CT281" s="330"/>
      <c r="CU281" s="330"/>
      <c r="CV281" s="330"/>
      <c r="CW281" s="330"/>
      <c r="CX281" s="330"/>
      <c r="CY281" s="330"/>
      <c r="CZ281" s="330"/>
      <c r="DA281" s="330"/>
      <c r="DB281" s="330"/>
      <c r="DC281" s="330"/>
      <c r="DD281" s="330"/>
      <c r="DE281" s="330"/>
      <c r="DF281" s="330"/>
      <c r="DG281" s="330"/>
      <c r="DH281" s="330"/>
      <c r="DI281" s="330"/>
      <c r="DJ281" s="330"/>
      <c r="DK281" s="330"/>
      <c r="DL281" s="330"/>
      <c r="DM281" s="330"/>
      <c r="DN281" s="330"/>
      <c r="DO281" s="330"/>
      <c r="DP281" s="330"/>
      <c r="DQ281" s="330"/>
      <c r="DR281" s="330"/>
      <c r="DS281" s="330"/>
      <c r="DT281" s="330"/>
      <c r="DU281" s="330"/>
      <c r="DV281" s="330"/>
      <c r="DW281" s="330"/>
      <c r="DX281" s="330"/>
      <c r="DY281" s="330"/>
    </row>
    <row r="282" spans="1:129" s="3" customFormat="1" ht="11.7" customHeight="1" outlineLevel="1" x14ac:dyDescent="0.25">
      <c r="A282" s="85"/>
      <c r="B282" s="858" t="s">
        <v>496</v>
      </c>
      <c r="C282" s="858"/>
      <c r="D282" s="317">
        <f>+Inputs!G146</f>
        <v>0.75</v>
      </c>
      <c r="E282" s="292">
        <f>+Inputs!$F$147</f>
        <v>45291</v>
      </c>
      <c r="G282" s="127"/>
      <c r="H282" s="127"/>
      <c r="I282" s="330">
        <f t="shared" ref="I282:AN282" si="303">+$D$282*(I7&lt;=$E$282)</f>
        <v>0.75</v>
      </c>
      <c r="J282" s="330">
        <f t="shared" si="303"/>
        <v>0.75</v>
      </c>
      <c r="K282" s="330">
        <f t="shared" si="303"/>
        <v>0.75</v>
      </c>
      <c r="L282" s="330">
        <f t="shared" si="303"/>
        <v>0.75</v>
      </c>
      <c r="M282" s="330">
        <f t="shared" si="303"/>
        <v>0.75</v>
      </c>
      <c r="N282" s="330">
        <f t="shared" si="303"/>
        <v>0.75</v>
      </c>
      <c r="O282" s="330">
        <f t="shared" si="303"/>
        <v>0.75</v>
      </c>
      <c r="P282" s="330">
        <f t="shared" si="303"/>
        <v>0.75</v>
      </c>
      <c r="Q282" s="330">
        <f t="shared" si="303"/>
        <v>0.75</v>
      </c>
      <c r="R282" s="330">
        <f t="shared" si="303"/>
        <v>0.75</v>
      </c>
      <c r="S282" s="330">
        <f t="shared" si="303"/>
        <v>0.75</v>
      </c>
      <c r="T282" s="330">
        <f t="shared" si="303"/>
        <v>0.75</v>
      </c>
      <c r="U282" s="330">
        <f t="shared" si="303"/>
        <v>0.75</v>
      </c>
      <c r="V282" s="330">
        <f t="shared" si="303"/>
        <v>0.75</v>
      </c>
      <c r="W282" s="330">
        <f t="shared" si="303"/>
        <v>0.75</v>
      </c>
      <c r="X282" s="330">
        <f t="shared" si="303"/>
        <v>0.75</v>
      </c>
      <c r="Y282" s="330">
        <f t="shared" si="303"/>
        <v>0.75</v>
      </c>
      <c r="Z282" s="330">
        <f t="shared" si="303"/>
        <v>0.75</v>
      </c>
      <c r="AA282" s="330">
        <f t="shared" si="303"/>
        <v>0.75</v>
      </c>
      <c r="AB282" s="330">
        <f t="shared" si="303"/>
        <v>0.75</v>
      </c>
      <c r="AC282" s="330">
        <f t="shared" si="303"/>
        <v>0.75</v>
      </c>
      <c r="AD282" s="330">
        <f t="shared" si="303"/>
        <v>0.75</v>
      </c>
      <c r="AE282" s="330">
        <f t="shared" si="303"/>
        <v>0.75</v>
      </c>
      <c r="AF282" s="330">
        <f t="shared" si="303"/>
        <v>0.75</v>
      </c>
      <c r="AG282" s="330">
        <f t="shared" si="303"/>
        <v>0.75</v>
      </c>
      <c r="AH282" s="330">
        <f t="shared" si="303"/>
        <v>0.75</v>
      </c>
      <c r="AI282" s="330">
        <f t="shared" si="303"/>
        <v>0.75</v>
      </c>
      <c r="AJ282" s="330">
        <f t="shared" si="303"/>
        <v>0.75</v>
      </c>
      <c r="AK282" s="330">
        <f t="shared" si="303"/>
        <v>0.75</v>
      </c>
      <c r="AL282" s="330">
        <f t="shared" si="303"/>
        <v>0.75</v>
      </c>
      <c r="AM282" s="330">
        <f t="shared" si="303"/>
        <v>0.75</v>
      </c>
      <c r="AN282" s="330">
        <f t="shared" si="303"/>
        <v>0.75</v>
      </c>
      <c r="AO282" s="330">
        <f t="shared" ref="AO282:BT282" si="304">+$D$282*(AO7&lt;=$E$282)</f>
        <v>0.75</v>
      </c>
      <c r="AP282" s="330">
        <f t="shared" si="304"/>
        <v>0.75</v>
      </c>
      <c r="AQ282" s="330">
        <f t="shared" si="304"/>
        <v>0.75</v>
      </c>
      <c r="AR282" s="330">
        <f t="shared" si="304"/>
        <v>0.75</v>
      </c>
      <c r="AS282" s="330">
        <f t="shared" si="304"/>
        <v>0.75</v>
      </c>
      <c r="AT282" s="330">
        <f t="shared" si="304"/>
        <v>0.75</v>
      </c>
      <c r="AU282" s="330">
        <f t="shared" si="304"/>
        <v>0.75</v>
      </c>
      <c r="AV282" s="330">
        <f t="shared" si="304"/>
        <v>0.75</v>
      </c>
      <c r="AW282" s="330">
        <f t="shared" si="304"/>
        <v>0.75</v>
      </c>
      <c r="AX282" s="330">
        <f t="shared" si="304"/>
        <v>0.75</v>
      </c>
      <c r="AY282" s="330">
        <f t="shared" si="304"/>
        <v>0.75</v>
      </c>
      <c r="AZ282" s="330">
        <f t="shared" si="304"/>
        <v>0.75</v>
      </c>
      <c r="BA282" s="330">
        <f t="shared" si="304"/>
        <v>0.75</v>
      </c>
      <c r="BB282" s="330">
        <f t="shared" si="304"/>
        <v>0.75</v>
      </c>
      <c r="BC282" s="330">
        <f t="shared" si="304"/>
        <v>0.75</v>
      </c>
      <c r="BD282" s="330">
        <f t="shared" si="304"/>
        <v>0.75</v>
      </c>
      <c r="BE282" s="330">
        <f t="shared" si="304"/>
        <v>0.75</v>
      </c>
      <c r="BF282" s="330">
        <f t="shared" si="304"/>
        <v>0.75</v>
      </c>
      <c r="BG282" s="330">
        <f t="shared" si="304"/>
        <v>0.75</v>
      </c>
      <c r="BH282" s="330">
        <f t="shared" si="304"/>
        <v>0.75</v>
      </c>
      <c r="BI282" s="330">
        <f t="shared" si="304"/>
        <v>0.75</v>
      </c>
      <c r="BJ282" s="330">
        <f t="shared" si="304"/>
        <v>0.75</v>
      </c>
      <c r="BK282" s="330">
        <f t="shared" si="304"/>
        <v>0.75</v>
      </c>
      <c r="BL282" s="330">
        <f t="shared" si="304"/>
        <v>0.75</v>
      </c>
      <c r="BM282" s="330">
        <f t="shared" si="304"/>
        <v>0.75</v>
      </c>
      <c r="BN282" s="330">
        <f t="shared" si="304"/>
        <v>0.75</v>
      </c>
      <c r="BO282" s="330">
        <f t="shared" si="304"/>
        <v>0.75</v>
      </c>
      <c r="BP282" s="330">
        <f t="shared" si="304"/>
        <v>0.75</v>
      </c>
      <c r="BQ282" s="330">
        <f t="shared" si="304"/>
        <v>0.75</v>
      </c>
      <c r="BR282" s="330">
        <f t="shared" si="304"/>
        <v>0.75</v>
      </c>
      <c r="BS282" s="330">
        <f t="shared" si="304"/>
        <v>0.75</v>
      </c>
      <c r="BT282" s="330">
        <f t="shared" si="304"/>
        <v>0.75</v>
      </c>
      <c r="BU282" s="330">
        <f t="shared" ref="BU282:CZ282" si="305">+$D$282*(BU7&lt;=$E$282)</f>
        <v>0.75</v>
      </c>
      <c r="BV282" s="330">
        <f t="shared" si="305"/>
        <v>0.75</v>
      </c>
      <c r="BW282" s="330">
        <f t="shared" si="305"/>
        <v>0.75</v>
      </c>
      <c r="BX282" s="330">
        <f t="shared" si="305"/>
        <v>0.75</v>
      </c>
      <c r="BY282" s="330">
        <f t="shared" si="305"/>
        <v>0.75</v>
      </c>
      <c r="BZ282" s="330">
        <f t="shared" si="305"/>
        <v>0.75</v>
      </c>
      <c r="CA282" s="330">
        <f t="shared" si="305"/>
        <v>0.75</v>
      </c>
      <c r="CB282" s="330">
        <f t="shared" si="305"/>
        <v>0.75</v>
      </c>
      <c r="CC282" s="330">
        <f t="shared" si="305"/>
        <v>0.75</v>
      </c>
      <c r="CD282" s="330">
        <f t="shared" si="305"/>
        <v>0.75</v>
      </c>
      <c r="CE282" s="330">
        <f t="shared" si="305"/>
        <v>0.75</v>
      </c>
      <c r="CF282" s="330">
        <f t="shared" si="305"/>
        <v>0.75</v>
      </c>
      <c r="CG282" s="330">
        <f t="shared" si="305"/>
        <v>0</v>
      </c>
      <c r="CH282" s="330">
        <f t="shared" si="305"/>
        <v>0</v>
      </c>
      <c r="CI282" s="330">
        <f t="shared" si="305"/>
        <v>0</v>
      </c>
      <c r="CJ282" s="330">
        <f t="shared" si="305"/>
        <v>0</v>
      </c>
      <c r="CK282" s="330">
        <f t="shared" si="305"/>
        <v>0</v>
      </c>
      <c r="CL282" s="330">
        <f t="shared" si="305"/>
        <v>0</v>
      </c>
      <c r="CM282" s="330">
        <f t="shared" si="305"/>
        <v>0</v>
      </c>
      <c r="CN282" s="330">
        <f t="shared" si="305"/>
        <v>0</v>
      </c>
      <c r="CO282" s="330">
        <f t="shared" si="305"/>
        <v>0</v>
      </c>
      <c r="CP282" s="330">
        <f t="shared" si="305"/>
        <v>0</v>
      </c>
      <c r="CQ282" s="330">
        <f t="shared" si="305"/>
        <v>0</v>
      </c>
      <c r="CR282" s="330">
        <f t="shared" si="305"/>
        <v>0</v>
      </c>
      <c r="CS282" s="330">
        <f t="shared" si="305"/>
        <v>0</v>
      </c>
      <c r="CT282" s="330">
        <f t="shared" si="305"/>
        <v>0</v>
      </c>
      <c r="CU282" s="330">
        <f t="shared" si="305"/>
        <v>0</v>
      </c>
      <c r="CV282" s="330">
        <f t="shared" si="305"/>
        <v>0</v>
      </c>
      <c r="CW282" s="330">
        <f t="shared" si="305"/>
        <v>0</v>
      </c>
      <c r="CX282" s="330">
        <f t="shared" si="305"/>
        <v>0</v>
      </c>
      <c r="CY282" s="330">
        <f t="shared" si="305"/>
        <v>0</v>
      </c>
      <c r="CZ282" s="330">
        <f t="shared" si="305"/>
        <v>0</v>
      </c>
      <c r="DA282" s="330">
        <f t="shared" ref="DA282:DY282" si="306">+$D$282*(DA7&lt;=$E$282)</f>
        <v>0</v>
      </c>
      <c r="DB282" s="330">
        <f t="shared" si="306"/>
        <v>0</v>
      </c>
      <c r="DC282" s="330">
        <f t="shared" si="306"/>
        <v>0</v>
      </c>
      <c r="DD282" s="330">
        <f t="shared" si="306"/>
        <v>0</v>
      </c>
      <c r="DE282" s="330">
        <f t="shared" si="306"/>
        <v>0</v>
      </c>
      <c r="DF282" s="330">
        <f t="shared" si="306"/>
        <v>0</v>
      </c>
      <c r="DG282" s="330">
        <f t="shared" si="306"/>
        <v>0</v>
      </c>
      <c r="DH282" s="330">
        <f t="shared" si="306"/>
        <v>0</v>
      </c>
      <c r="DI282" s="330">
        <f t="shared" si="306"/>
        <v>0</v>
      </c>
      <c r="DJ282" s="330">
        <f t="shared" si="306"/>
        <v>0</v>
      </c>
      <c r="DK282" s="330">
        <f t="shared" si="306"/>
        <v>0</v>
      </c>
      <c r="DL282" s="330">
        <f t="shared" si="306"/>
        <v>0</v>
      </c>
      <c r="DM282" s="330">
        <f t="shared" si="306"/>
        <v>0</v>
      </c>
      <c r="DN282" s="330">
        <f t="shared" si="306"/>
        <v>0</v>
      </c>
      <c r="DO282" s="330">
        <f t="shared" si="306"/>
        <v>0</v>
      </c>
      <c r="DP282" s="330">
        <f t="shared" si="306"/>
        <v>0</v>
      </c>
      <c r="DQ282" s="330">
        <f t="shared" si="306"/>
        <v>0</v>
      </c>
      <c r="DR282" s="330">
        <f t="shared" si="306"/>
        <v>0</v>
      </c>
      <c r="DS282" s="330">
        <f t="shared" si="306"/>
        <v>0</v>
      </c>
      <c r="DT282" s="330">
        <f t="shared" si="306"/>
        <v>0</v>
      </c>
      <c r="DU282" s="330">
        <f t="shared" si="306"/>
        <v>0</v>
      </c>
      <c r="DV282" s="330">
        <f t="shared" si="306"/>
        <v>0</v>
      </c>
      <c r="DW282" s="330">
        <f t="shared" si="306"/>
        <v>0</v>
      </c>
      <c r="DX282" s="330">
        <f t="shared" si="306"/>
        <v>0</v>
      </c>
      <c r="DY282" s="330">
        <f t="shared" si="306"/>
        <v>0</v>
      </c>
    </row>
    <row r="283" spans="1:129" s="3" customFormat="1" ht="11.7" customHeight="1" outlineLevel="1" x14ac:dyDescent="0.25">
      <c r="A283" s="85"/>
      <c r="B283" s="858" t="s">
        <v>761</v>
      </c>
      <c r="C283" s="858"/>
      <c r="D283" s="317">
        <f>+Inputs!G148</f>
        <v>0.75</v>
      </c>
      <c r="G283" s="127"/>
      <c r="H283" s="127"/>
      <c r="I283" s="330">
        <f t="shared" ref="I283:AN283" si="307">+$D$283*(I$7&gt;$E$282)</f>
        <v>0</v>
      </c>
      <c r="J283" s="330">
        <f t="shared" si="307"/>
        <v>0</v>
      </c>
      <c r="K283" s="330">
        <f t="shared" si="307"/>
        <v>0</v>
      </c>
      <c r="L283" s="330">
        <f t="shared" si="307"/>
        <v>0</v>
      </c>
      <c r="M283" s="330">
        <f t="shared" si="307"/>
        <v>0</v>
      </c>
      <c r="N283" s="330">
        <f t="shared" si="307"/>
        <v>0</v>
      </c>
      <c r="O283" s="330">
        <f t="shared" si="307"/>
        <v>0</v>
      </c>
      <c r="P283" s="330">
        <f t="shared" si="307"/>
        <v>0</v>
      </c>
      <c r="Q283" s="330">
        <f t="shared" si="307"/>
        <v>0</v>
      </c>
      <c r="R283" s="330">
        <f t="shared" si="307"/>
        <v>0</v>
      </c>
      <c r="S283" s="330">
        <f t="shared" si="307"/>
        <v>0</v>
      </c>
      <c r="T283" s="330">
        <f t="shared" si="307"/>
        <v>0</v>
      </c>
      <c r="U283" s="330">
        <f t="shared" si="307"/>
        <v>0</v>
      </c>
      <c r="V283" s="330">
        <f t="shared" si="307"/>
        <v>0</v>
      </c>
      <c r="W283" s="330">
        <f t="shared" si="307"/>
        <v>0</v>
      </c>
      <c r="X283" s="330">
        <f t="shared" si="307"/>
        <v>0</v>
      </c>
      <c r="Y283" s="330">
        <f t="shared" si="307"/>
        <v>0</v>
      </c>
      <c r="Z283" s="330">
        <f t="shared" si="307"/>
        <v>0</v>
      </c>
      <c r="AA283" s="330">
        <f t="shared" si="307"/>
        <v>0</v>
      </c>
      <c r="AB283" s="330">
        <f t="shared" si="307"/>
        <v>0</v>
      </c>
      <c r="AC283" s="330">
        <f t="shared" si="307"/>
        <v>0</v>
      </c>
      <c r="AD283" s="330">
        <f t="shared" si="307"/>
        <v>0</v>
      </c>
      <c r="AE283" s="330">
        <f t="shared" si="307"/>
        <v>0</v>
      </c>
      <c r="AF283" s="330">
        <f t="shared" si="307"/>
        <v>0</v>
      </c>
      <c r="AG283" s="330">
        <f t="shared" si="307"/>
        <v>0</v>
      </c>
      <c r="AH283" s="330">
        <f t="shared" si="307"/>
        <v>0</v>
      </c>
      <c r="AI283" s="330">
        <f t="shared" si="307"/>
        <v>0</v>
      </c>
      <c r="AJ283" s="330">
        <f t="shared" si="307"/>
        <v>0</v>
      </c>
      <c r="AK283" s="330">
        <f t="shared" si="307"/>
        <v>0</v>
      </c>
      <c r="AL283" s="330">
        <f t="shared" si="307"/>
        <v>0</v>
      </c>
      <c r="AM283" s="330">
        <f t="shared" si="307"/>
        <v>0</v>
      </c>
      <c r="AN283" s="330">
        <f t="shared" si="307"/>
        <v>0</v>
      </c>
      <c r="AO283" s="330">
        <f t="shared" ref="AO283:BT283" si="308">+$D$283*(AO$7&gt;$E$282)</f>
        <v>0</v>
      </c>
      <c r="AP283" s="330">
        <f t="shared" si="308"/>
        <v>0</v>
      </c>
      <c r="AQ283" s="330">
        <f t="shared" si="308"/>
        <v>0</v>
      </c>
      <c r="AR283" s="330">
        <f t="shared" si="308"/>
        <v>0</v>
      </c>
      <c r="AS283" s="330">
        <f t="shared" si="308"/>
        <v>0</v>
      </c>
      <c r="AT283" s="330">
        <f t="shared" si="308"/>
        <v>0</v>
      </c>
      <c r="AU283" s="330">
        <f t="shared" si="308"/>
        <v>0</v>
      </c>
      <c r="AV283" s="330">
        <f t="shared" si="308"/>
        <v>0</v>
      </c>
      <c r="AW283" s="330">
        <f t="shared" si="308"/>
        <v>0</v>
      </c>
      <c r="AX283" s="330">
        <f t="shared" si="308"/>
        <v>0</v>
      </c>
      <c r="AY283" s="330">
        <f t="shared" si="308"/>
        <v>0</v>
      </c>
      <c r="AZ283" s="330">
        <f t="shared" si="308"/>
        <v>0</v>
      </c>
      <c r="BA283" s="330">
        <f t="shared" si="308"/>
        <v>0</v>
      </c>
      <c r="BB283" s="330">
        <f t="shared" si="308"/>
        <v>0</v>
      </c>
      <c r="BC283" s="330">
        <f t="shared" si="308"/>
        <v>0</v>
      </c>
      <c r="BD283" s="330">
        <f t="shared" si="308"/>
        <v>0</v>
      </c>
      <c r="BE283" s="330">
        <f t="shared" si="308"/>
        <v>0</v>
      </c>
      <c r="BF283" s="330">
        <f t="shared" si="308"/>
        <v>0</v>
      </c>
      <c r="BG283" s="330">
        <f t="shared" si="308"/>
        <v>0</v>
      </c>
      <c r="BH283" s="330">
        <f t="shared" si="308"/>
        <v>0</v>
      </c>
      <c r="BI283" s="330">
        <f t="shared" si="308"/>
        <v>0</v>
      </c>
      <c r="BJ283" s="330">
        <f t="shared" si="308"/>
        <v>0</v>
      </c>
      <c r="BK283" s="330">
        <f t="shared" si="308"/>
        <v>0</v>
      </c>
      <c r="BL283" s="330">
        <f t="shared" si="308"/>
        <v>0</v>
      </c>
      <c r="BM283" s="330">
        <f t="shared" si="308"/>
        <v>0</v>
      </c>
      <c r="BN283" s="330">
        <f t="shared" si="308"/>
        <v>0</v>
      </c>
      <c r="BO283" s="330">
        <f t="shared" si="308"/>
        <v>0</v>
      </c>
      <c r="BP283" s="330">
        <f t="shared" si="308"/>
        <v>0</v>
      </c>
      <c r="BQ283" s="330">
        <f t="shared" si="308"/>
        <v>0</v>
      </c>
      <c r="BR283" s="330">
        <f t="shared" si="308"/>
        <v>0</v>
      </c>
      <c r="BS283" s="330">
        <f t="shared" si="308"/>
        <v>0</v>
      </c>
      <c r="BT283" s="330">
        <f t="shared" si="308"/>
        <v>0</v>
      </c>
      <c r="BU283" s="330">
        <f t="shared" ref="BU283:CZ283" si="309">+$D$283*(BU$7&gt;$E$282)</f>
        <v>0</v>
      </c>
      <c r="BV283" s="330">
        <f t="shared" si="309"/>
        <v>0</v>
      </c>
      <c r="BW283" s="330">
        <f t="shared" si="309"/>
        <v>0</v>
      </c>
      <c r="BX283" s="330">
        <f t="shared" si="309"/>
        <v>0</v>
      </c>
      <c r="BY283" s="330">
        <f t="shared" si="309"/>
        <v>0</v>
      </c>
      <c r="BZ283" s="330">
        <f t="shared" si="309"/>
        <v>0</v>
      </c>
      <c r="CA283" s="330">
        <f t="shared" si="309"/>
        <v>0</v>
      </c>
      <c r="CB283" s="330">
        <f t="shared" si="309"/>
        <v>0</v>
      </c>
      <c r="CC283" s="330">
        <f t="shared" si="309"/>
        <v>0</v>
      </c>
      <c r="CD283" s="330">
        <f t="shared" si="309"/>
        <v>0</v>
      </c>
      <c r="CE283" s="330">
        <f t="shared" si="309"/>
        <v>0</v>
      </c>
      <c r="CF283" s="330">
        <f t="shared" si="309"/>
        <v>0</v>
      </c>
      <c r="CG283" s="330">
        <f t="shared" si="309"/>
        <v>0.75</v>
      </c>
      <c r="CH283" s="330">
        <f t="shared" si="309"/>
        <v>0.75</v>
      </c>
      <c r="CI283" s="330">
        <f t="shared" si="309"/>
        <v>0.75</v>
      </c>
      <c r="CJ283" s="330">
        <f t="shared" si="309"/>
        <v>0.75</v>
      </c>
      <c r="CK283" s="330">
        <f t="shared" si="309"/>
        <v>0.75</v>
      </c>
      <c r="CL283" s="330">
        <f t="shared" si="309"/>
        <v>0.75</v>
      </c>
      <c r="CM283" s="330">
        <f t="shared" si="309"/>
        <v>0.75</v>
      </c>
      <c r="CN283" s="330">
        <f t="shared" si="309"/>
        <v>0.75</v>
      </c>
      <c r="CO283" s="330">
        <f t="shared" si="309"/>
        <v>0.75</v>
      </c>
      <c r="CP283" s="330">
        <f t="shared" si="309"/>
        <v>0.75</v>
      </c>
      <c r="CQ283" s="330">
        <f t="shared" si="309"/>
        <v>0.75</v>
      </c>
      <c r="CR283" s="330">
        <f t="shared" si="309"/>
        <v>0.75</v>
      </c>
      <c r="CS283" s="330">
        <f t="shared" si="309"/>
        <v>0.75</v>
      </c>
      <c r="CT283" s="330">
        <f t="shared" si="309"/>
        <v>0.75</v>
      </c>
      <c r="CU283" s="330">
        <f t="shared" si="309"/>
        <v>0.75</v>
      </c>
      <c r="CV283" s="330">
        <f t="shared" si="309"/>
        <v>0.75</v>
      </c>
      <c r="CW283" s="330">
        <f t="shared" si="309"/>
        <v>0.75</v>
      </c>
      <c r="CX283" s="330">
        <f t="shared" si="309"/>
        <v>0.75</v>
      </c>
      <c r="CY283" s="330">
        <f t="shared" si="309"/>
        <v>0.75</v>
      </c>
      <c r="CZ283" s="330">
        <f t="shared" si="309"/>
        <v>0.75</v>
      </c>
      <c r="DA283" s="330">
        <f t="shared" ref="DA283:DY283" si="310">+$D$283*(DA$7&gt;$E$282)</f>
        <v>0.75</v>
      </c>
      <c r="DB283" s="330">
        <f t="shared" si="310"/>
        <v>0.75</v>
      </c>
      <c r="DC283" s="330">
        <f t="shared" si="310"/>
        <v>0.75</v>
      </c>
      <c r="DD283" s="330">
        <f t="shared" si="310"/>
        <v>0.75</v>
      </c>
      <c r="DE283" s="330">
        <f t="shared" si="310"/>
        <v>0.75</v>
      </c>
      <c r="DF283" s="330">
        <f t="shared" si="310"/>
        <v>0.75</v>
      </c>
      <c r="DG283" s="330">
        <f t="shared" si="310"/>
        <v>0.75</v>
      </c>
      <c r="DH283" s="330">
        <f t="shared" si="310"/>
        <v>0.75</v>
      </c>
      <c r="DI283" s="330">
        <f t="shared" si="310"/>
        <v>0.75</v>
      </c>
      <c r="DJ283" s="330">
        <f t="shared" si="310"/>
        <v>0.75</v>
      </c>
      <c r="DK283" s="330">
        <f t="shared" si="310"/>
        <v>0.75</v>
      </c>
      <c r="DL283" s="330">
        <f t="shared" si="310"/>
        <v>0.75</v>
      </c>
      <c r="DM283" s="330">
        <f t="shared" si="310"/>
        <v>0.75</v>
      </c>
      <c r="DN283" s="330">
        <f t="shared" si="310"/>
        <v>0.75</v>
      </c>
      <c r="DO283" s="330">
        <f t="shared" si="310"/>
        <v>0.75</v>
      </c>
      <c r="DP283" s="330">
        <f t="shared" si="310"/>
        <v>0.75</v>
      </c>
      <c r="DQ283" s="330">
        <f t="shared" si="310"/>
        <v>0.75</v>
      </c>
      <c r="DR283" s="330">
        <f t="shared" si="310"/>
        <v>0.75</v>
      </c>
      <c r="DS283" s="330">
        <f t="shared" si="310"/>
        <v>0.75</v>
      </c>
      <c r="DT283" s="330">
        <f t="shared" si="310"/>
        <v>0.75</v>
      </c>
      <c r="DU283" s="330">
        <f t="shared" si="310"/>
        <v>0.75</v>
      </c>
      <c r="DV283" s="330">
        <f t="shared" si="310"/>
        <v>0.75</v>
      </c>
      <c r="DW283" s="330">
        <f t="shared" si="310"/>
        <v>0.75</v>
      </c>
      <c r="DX283" s="330">
        <f t="shared" si="310"/>
        <v>0.75</v>
      </c>
      <c r="DY283" s="330">
        <f t="shared" si="310"/>
        <v>0.75</v>
      </c>
    </row>
    <row r="284" spans="1:129" s="3" customFormat="1" ht="11.7" customHeight="1" outlineLevel="1" x14ac:dyDescent="0.25">
      <c r="A284" s="85"/>
      <c r="B284" s="113" t="s">
        <v>540</v>
      </c>
      <c r="C284" s="113"/>
      <c r="D284" s="904"/>
      <c r="G284" s="127"/>
      <c r="H284" s="127"/>
      <c r="I284" s="330"/>
      <c r="J284" s="330"/>
      <c r="K284" s="330"/>
      <c r="L284" s="330"/>
      <c r="M284" s="330"/>
      <c r="N284" s="330"/>
      <c r="O284" s="330"/>
      <c r="P284" s="330"/>
      <c r="Q284" s="330"/>
      <c r="R284" s="330"/>
      <c r="S284" s="330"/>
      <c r="T284" s="330"/>
      <c r="U284" s="330"/>
      <c r="V284" s="330"/>
      <c r="W284" s="330"/>
      <c r="X284" s="330"/>
      <c r="Y284" s="330"/>
      <c r="Z284" s="330"/>
      <c r="AA284" s="330"/>
      <c r="AB284" s="330"/>
      <c r="AC284" s="330"/>
      <c r="AD284" s="330"/>
      <c r="AE284" s="330"/>
      <c r="AF284" s="330"/>
      <c r="AG284" s="330"/>
      <c r="AH284" s="330"/>
      <c r="AI284" s="330"/>
      <c r="AJ284" s="330"/>
      <c r="AK284" s="330"/>
      <c r="AL284" s="330"/>
      <c r="AM284" s="330"/>
      <c r="AN284" s="330"/>
      <c r="AO284" s="330"/>
      <c r="AP284" s="330"/>
      <c r="AQ284" s="330"/>
      <c r="AR284" s="330"/>
      <c r="AS284" s="330"/>
      <c r="AT284" s="330"/>
      <c r="AU284" s="330"/>
      <c r="AV284" s="330"/>
      <c r="AW284" s="330"/>
      <c r="AX284" s="330"/>
      <c r="AY284" s="330"/>
      <c r="AZ284" s="330"/>
      <c r="BA284" s="330"/>
      <c r="BB284" s="330"/>
      <c r="BC284" s="330"/>
      <c r="BD284" s="330"/>
      <c r="BE284" s="330"/>
      <c r="BF284" s="330"/>
      <c r="BG284" s="330"/>
      <c r="BH284" s="330"/>
      <c r="BI284" s="330"/>
      <c r="BJ284" s="330"/>
      <c r="BK284" s="330"/>
      <c r="BL284" s="330"/>
      <c r="BM284" s="330"/>
      <c r="BN284" s="330"/>
      <c r="BO284" s="330"/>
      <c r="BP284" s="330"/>
      <c r="BQ284" s="330"/>
      <c r="BR284" s="330"/>
      <c r="BS284" s="330"/>
      <c r="BT284" s="330"/>
      <c r="BU284" s="330"/>
      <c r="BV284" s="330"/>
      <c r="BW284" s="330"/>
      <c r="BX284" s="330"/>
      <c r="BY284" s="330"/>
      <c r="BZ284" s="330"/>
      <c r="CA284" s="330"/>
      <c r="CB284" s="330"/>
      <c r="CC284" s="330"/>
      <c r="CD284" s="330"/>
      <c r="CE284" s="330"/>
      <c r="CF284" s="330"/>
      <c r="CG284" s="330"/>
      <c r="CH284" s="330"/>
      <c r="CI284" s="330"/>
      <c r="CJ284" s="330"/>
      <c r="CK284" s="330"/>
      <c r="CL284" s="330"/>
      <c r="CM284" s="330"/>
      <c r="CN284" s="330"/>
      <c r="CO284" s="330"/>
      <c r="CP284" s="330"/>
      <c r="CQ284" s="330"/>
      <c r="CR284" s="330"/>
      <c r="CS284" s="330"/>
      <c r="CT284" s="330"/>
      <c r="CU284" s="330"/>
      <c r="CV284" s="330"/>
      <c r="CW284" s="330"/>
      <c r="CX284" s="330"/>
      <c r="CY284" s="330"/>
      <c r="CZ284" s="330"/>
      <c r="DA284" s="330"/>
      <c r="DB284" s="330"/>
      <c r="DC284" s="330"/>
      <c r="DD284" s="330"/>
      <c r="DE284" s="330"/>
      <c r="DF284" s="330"/>
      <c r="DG284" s="330"/>
      <c r="DH284" s="330"/>
      <c r="DI284" s="330"/>
      <c r="DJ284" s="330"/>
      <c r="DK284" s="330"/>
      <c r="DL284" s="330"/>
      <c r="DM284" s="330"/>
      <c r="DN284" s="330"/>
      <c r="DO284" s="330"/>
      <c r="DP284" s="330"/>
      <c r="DQ284" s="330"/>
      <c r="DR284" s="330"/>
      <c r="DS284" s="330"/>
      <c r="DT284" s="330"/>
      <c r="DU284" s="330"/>
      <c r="DV284" s="330"/>
      <c r="DW284" s="330"/>
      <c r="DX284" s="330"/>
      <c r="DY284" s="330"/>
    </row>
    <row r="285" spans="1:129" s="3" customFormat="1" ht="11.7" customHeight="1" outlineLevel="1" x14ac:dyDescent="0.25">
      <c r="A285" s="85"/>
      <c r="B285" s="858" t="s">
        <v>496</v>
      </c>
      <c r="C285" s="858"/>
      <c r="D285" s="317">
        <f>+Inputs!G150</f>
        <v>0</v>
      </c>
      <c r="E285" s="292">
        <f>+Inputs!$F$151</f>
        <v>45291</v>
      </c>
      <c r="G285" s="127"/>
      <c r="H285" s="127"/>
      <c r="I285" s="330">
        <f t="shared" ref="I285:AN285" si="311">+$D$285*(I7&lt;=$E$285)</f>
        <v>0</v>
      </c>
      <c r="J285" s="330">
        <f t="shared" si="311"/>
        <v>0</v>
      </c>
      <c r="K285" s="330">
        <f t="shared" si="311"/>
        <v>0</v>
      </c>
      <c r="L285" s="330">
        <f t="shared" si="311"/>
        <v>0</v>
      </c>
      <c r="M285" s="330">
        <f t="shared" si="311"/>
        <v>0</v>
      </c>
      <c r="N285" s="330">
        <f t="shared" si="311"/>
        <v>0</v>
      </c>
      <c r="O285" s="330">
        <f t="shared" si="311"/>
        <v>0</v>
      </c>
      <c r="P285" s="330">
        <f t="shared" si="311"/>
        <v>0</v>
      </c>
      <c r="Q285" s="330">
        <f t="shared" si="311"/>
        <v>0</v>
      </c>
      <c r="R285" s="330">
        <f t="shared" si="311"/>
        <v>0</v>
      </c>
      <c r="S285" s="330">
        <f t="shared" si="311"/>
        <v>0</v>
      </c>
      <c r="T285" s="330">
        <f t="shared" si="311"/>
        <v>0</v>
      </c>
      <c r="U285" s="330">
        <f t="shared" si="311"/>
        <v>0</v>
      </c>
      <c r="V285" s="330">
        <f t="shared" si="311"/>
        <v>0</v>
      </c>
      <c r="W285" s="330">
        <f t="shared" si="311"/>
        <v>0</v>
      </c>
      <c r="X285" s="330">
        <f t="shared" si="311"/>
        <v>0</v>
      </c>
      <c r="Y285" s="330">
        <f t="shared" si="311"/>
        <v>0</v>
      </c>
      <c r="Z285" s="330">
        <f t="shared" si="311"/>
        <v>0</v>
      </c>
      <c r="AA285" s="330">
        <f t="shared" si="311"/>
        <v>0</v>
      </c>
      <c r="AB285" s="330">
        <f t="shared" si="311"/>
        <v>0</v>
      </c>
      <c r="AC285" s="330">
        <f t="shared" si="311"/>
        <v>0</v>
      </c>
      <c r="AD285" s="330">
        <f t="shared" si="311"/>
        <v>0</v>
      </c>
      <c r="AE285" s="330">
        <f t="shared" si="311"/>
        <v>0</v>
      </c>
      <c r="AF285" s="330">
        <f t="shared" si="311"/>
        <v>0</v>
      </c>
      <c r="AG285" s="330">
        <f t="shared" si="311"/>
        <v>0</v>
      </c>
      <c r="AH285" s="330">
        <f t="shared" si="311"/>
        <v>0</v>
      </c>
      <c r="AI285" s="330">
        <f t="shared" si="311"/>
        <v>0</v>
      </c>
      <c r="AJ285" s="330">
        <f t="shared" si="311"/>
        <v>0</v>
      </c>
      <c r="AK285" s="330">
        <f t="shared" si="311"/>
        <v>0</v>
      </c>
      <c r="AL285" s="330">
        <f t="shared" si="311"/>
        <v>0</v>
      </c>
      <c r="AM285" s="330">
        <f t="shared" si="311"/>
        <v>0</v>
      </c>
      <c r="AN285" s="330">
        <f t="shared" si="311"/>
        <v>0</v>
      </c>
      <c r="AO285" s="330">
        <f t="shared" ref="AO285:BT285" si="312">+$D$285*(AO7&lt;=$E$285)</f>
        <v>0</v>
      </c>
      <c r="AP285" s="330">
        <f t="shared" si="312"/>
        <v>0</v>
      </c>
      <c r="AQ285" s="330">
        <f t="shared" si="312"/>
        <v>0</v>
      </c>
      <c r="AR285" s="330">
        <f t="shared" si="312"/>
        <v>0</v>
      </c>
      <c r="AS285" s="330">
        <f t="shared" si="312"/>
        <v>0</v>
      </c>
      <c r="AT285" s="330">
        <f t="shared" si="312"/>
        <v>0</v>
      </c>
      <c r="AU285" s="330">
        <f t="shared" si="312"/>
        <v>0</v>
      </c>
      <c r="AV285" s="330">
        <f t="shared" si="312"/>
        <v>0</v>
      </c>
      <c r="AW285" s="330">
        <f t="shared" si="312"/>
        <v>0</v>
      </c>
      <c r="AX285" s="330">
        <f t="shared" si="312"/>
        <v>0</v>
      </c>
      <c r="AY285" s="330">
        <f t="shared" si="312"/>
        <v>0</v>
      </c>
      <c r="AZ285" s="330">
        <f t="shared" si="312"/>
        <v>0</v>
      </c>
      <c r="BA285" s="330">
        <f t="shared" si="312"/>
        <v>0</v>
      </c>
      <c r="BB285" s="330">
        <f t="shared" si="312"/>
        <v>0</v>
      </c>
      <c r="BC285" s="330">
        <f t="shared" si="312"/>
        <v>0</v>
      </c>
      <c r="BD285" s="330">
        <f t="shared" si="312"/>
        <v>0</v>
      </c>
      <c r="BE285" s="330">
        <f t="shared" si="312"/>
        <v>0</v>
      </c>
      <c r="BF285" s="330">
        <f t="shared" si="312"/>
        <v>0</v>
      </c>
      <c r="BG285" s="330">
        <f t="shared" si="312"/>
        <v>0</v>
      </c>
      <c r="BH285" s="330">
        <f t="shared" si="312"/>
        <v>0</v>
      </c>
      <c r="BI285" s="330">
        <f t="shared" si="312"/>
        <v>0</v>
      </c>
      <c r="BJ285" s="330">
        <f t="shared" si="312"/>
        <v>0</v>
      </c>
      <c r="BK285" s="330">
        <f t="shared" si="312"/>
        <v>0</v>
      </c>
      <c r="BL285" s="330">
        <f t="shared" si="312"/>
        <v>0</v>
      </c>
      <c r="BM285" s="330">
        <f t="shared" si="312"/>
        <v>0</v>
      </c>
      <c r="BN285" s="330">
        <f t="shared" si="312"/>
        <v>0</v>
      </c>
      <c r="BO285" s="330">
        <f t="shared" si="312"/>
        <v>0</v>
      </c>
      <c r="BP285" s="330">
        <f t="shared" si="312"/>
        <v>0</v>
      </c>
      <c r="BQ285" s="330">
        <f t="shared" si="312"/>
        <v>0</v>
      </c>
      <c r="BR285" s="330">
        <f t="shared" si="312"/>
        <v>0</v>
      </c>
      <c r="BS285" s="330">
        <f t="shared" si="312"/>
        <v>0</v>
      </c>
      <c r="BT285" s="330">
        <f t="shared" si="312"/>
        <v>0</v>
      </c>
      <c r="BU285" s="330">
        <f t="shared" ref="BU285:CZ285" si="313">+$D$285*(BU7&lt;=$E$285)</f>
        <v>0</v>
      </c>
      <c r="BV285" s="330">
        <f t="shared" si="313"/>
        <v>0</v>
      </c>
      <c r="BW285" s="330">
        <f t="shared" si="313"/>
        <v>0</v>
      </c>
      <c r="BX285" s="330">
        <f t="shared" si="313"/>
        <v>0</v>
      </c>
      <c r="BY285" s="330">
        <f t="shared" si="313"/>
        <v>0</v>
      </c>
      <c r="BZ285" s="330">
        <f t="shared" si="313"/>
        <v>0</v>
      </c>
      <c r="CA285" s="330">
        <f t="shared" si="313"/>
        <v>0</v>
      </c>
      <c r="CB285" s="330">
        <f t="shared" si="313"/>
        <v>0</v>
      </c>
      <c r="CC285" s="330">
        <f t="shared" si="313"/>
        <v>0</v>
      </c>
      <c r="CD285" s="330">
        <f t="shared" si="313"/>
        <v>0</v>
      </c>
      <c r="CE285" s="330">
        <f t="shared" si="313"/>
        <v>0</v>
      </c>
      <c r="CF285" s="330">
        <f t="shared" si="313"/>
        <v>0</v>
      </c>
      <c r="CG285" s="330">
        <f t="shared" si="313"/>
        <v>0</v>
      </c>
      <c r="CH285" s="330">
        <f t="shared" si="313"/>
        <v>0</v>
      </c>
      <c r="CI285" s="330">
        <f t="shared" si="313"/>
        <v>0</v>
      </c>
      <c r="CJ285" s="330">
        <f t="shared" si="313"/>
        <v>0</v>
      </c>
      <c r="CK285" s="330">
        <f t="shared" si="313"/>
        <v>0</v>
      </c>
      <c r="CL285" s="330">
        <f t="shared" si="313"/>
        <v>0</v>
      </c>
      <c r="CM285" s="330">
        <f t="shared" si="313"/>
        <v>0</v>
      </c>
      <c r="CN285" s="330">
        <f t="shared" si="313"/>
        <v>0</v>
      </c>
      <c r="CO285" s="330">
        <f t="shared" si="313"/>
        <v>0</v>
      </c>
      <c r="CP285" s="330">
        <f t="shared" si="313"/>
        <v>0</v>
      </c>
      <c r="CQ285" s="330">
        <f t="shared" si="313"/>
        <v>0</v>
      </c>
      <c r="CR285" s="330">
        <f t="shared" si="313"/>
        <v>0</v>
      </c>
      <c r="CS285" s="330">
        <f t="shared" si="313"/>
        <v>0</v>
      </c>
      <c r="CT285" s="330">
        <f t="shared" si="313"/>
        <v>0</v>
      </c>
      <c r="CU285" s="330">
        <f t="shared" si="313"/>
        <v>0</v>
      </c>
      <c r="CV285" s="330">
        <f t="shared" si="313"/>
        <v>0</v>
      </c>
      <c r="CW285" s="330">
        <f t="shared" si="313"/>
        <v>0</v>
      </c>
      <c r="CX285" s="330">
        <f t="shared" si="313"/>
        <v>0</v>
      </c>
      <c r="CY285" s="330">
        <f t="shared" si="313"/>
        <v>0</v>
      </c>
      <c r="CZ285" s="330">
        <f t="shared" si="313"/>
        <v>0</v>
      </c>
      <c r="DA285" s="330">
        <f t="shared" ref="DA285:DY285" si="314">+$D$285*(DA7&lt;=$E$285)</f>
        <v>0</v>
      </c>
      <c r="DB285" s="330">
        <f t="shared" si="314"/>
        <v>0</v>
      </c>
      <c r="DC285" s="330">
        <f t="shared" si="314"/>
        <v>0</v>
      </c>
      <c r="DD285" s="330">
        <f t="shared" si="314"/>
        <v>0</v>
      </c>
      <c r="DE285" s="330">
        <f t="shared" si="314"/>
        <v>0</v>
      </c>
      <c r="DF285" s="330">
        <f t="shared" si="314"/>
        <v>0</v>
      </c>
      <c r="DG285" s="330">
        <f t="shared" si="314"/>
        <v>0</v>
      </c>
      <c r="DH285" s="330">
        <f t="shared" si="314"/>
        <v>0</v>
      </c>
      <c r="DI285" s="330">
        <f t="shared" si="314"/>
        <v>0</v>
      </c>
      <c r="DJ285" s="330">
        <f t="shared" si="314"/>
        <v>0</v>
      </c>
      <c r="DK285" s="330">
        <f t="shared" si="314"/>
        <v>0</v>
      </c>
      <c r="DL285" s="330">
        <f t="shared" si="314"/>
        <v>0</v>
      </c>
      <c r="DM285" s="330">
        <f t="shared" si="314"/>
        <v>0</v>
      </c>
      <c r="DN285" s="330">
        <f t="shared" si="314"/>
        <v>0</v>
      </c>
      <c r="DO285" s="330">
        <f t="shared" si="314"/>
        <v>0</v>
      </c>
      <c r="DP285" s="330">
        <f t="shared" si="314"/>
        <v>0</v>
      </c>
      <c r="DQ285" s="330">
        <f t="shared" si="314"/>
        <v>0</v>
      </c>
      <c r="DR285" s="330">
        <f t="shared" si="314"/>
        <v>0</v>
      </c>
      <c r="DS285" s="330">
        <f t="shared" si="314"/>
        <v>0</v>
      </c>
      <c r="DT285" s="330">
        <f t="shared" si="314"/>
        <v>0</v>
      </c>
      <c r="DU285" s="330">
        <f t="shared" si="314"/>
        <v>0</v>
      </c>
      <c r="DV285" s="330">
        <f t="shared" si="314"/>
        <v>0</v>
      </c>
      <c r="DW285" s="330">
        <f t="shared" si="314"/>
        <v>0</v>
      </c>
      <c r="DX285" s="330">
        <f t="shared" si="314"/>
        <v>0</v>
      </c>
      <c r="DY285" s="330">
        <f t="shared" si="314"/>
        <v>0</v>
      </c>
    </row>
    <row r="286" spans="1:129" s="3" customFormat="1" ht="11.7" customHeight="1" outlineLevel="1" x14ac:dyDescent="0.25">
      <c r="A286" s="85"/>
      <c r="B286" s="858" t="s">
        <v>761</v>
      </c>
      <c r="C286" s="858"/>
      <c r="D286" s="317">
        <f>+Inputs!G152</f>
        <v>0</v>
      </c>
      <c r="G286" s="127"/>
      <c r="H286" s="127"/>
      <c r="I286" s="330">
        <f t="shared" ref="I286:AN286" si="315">+$D$286*(I$7&gt;$E$285)</f>
        <v>0</v>
      </c>
      <c r="J286" s="330">
        <f t="shared" si="315"/>
        <v>0</v>
      </c>
      <c r="K286" s="330">
        <f t="shared" si="315"/>
        <v>0</v>
      </c>
      <c r="L286" s="330">
        <f t="shared" si="315"/>
        <v>0</v>
      </c>
      <c r="M286" s="330">
        <f t="shared" si="315"/>
        <v>0</v>
      </c>
      <c r="N286" s="330">
        <f t="shared" si="315"/>
        <v>0</v>
      </c>
      <c r="O286" s="330">
        <f t="shared" si="315"/>
        <v>0</v>
      </c>
      <c r="P286" s="330">
        <f t="shared" si="315"/>
        <v>0</v>
      </c>
      <c r="Q286" s="330">
        <f t="shared" si="315"/>
        <v>0</v>
      </c>
      <c r="R286" s="330">
        <f t="shared" si="315"/>
        <v>0</v>
      </c>
      <c r="S286" s="330">
        <f t="shared" si="315"/>
        <v>0</v>
      </c>
      <c r="T286" s="330">
        <f t="shared" si="315"/>
        <v>0</v>
      </c>
      <c r="U286" s="330">
        <f t="shared" si="315"/>
        <v>0</v>
      </c>
      <c r="V286" s="330">
        <f t="shared" si="315"/>
        <v>0</v>
      </c>
      <c r="W286" s="330">
        <f t="shared" si="315"/>
        <v>0</v>
      </c>
      <c r="X286" s="330">
        <f t="shared" si="315"/>
        <v>0</v>
      </c>
      <c r="Y286" s="330">
        <f t="shared" si="315"/>
        <v>0</v>
      </c>
      <c r="Z286" s="330">
        <f t="shared" si="315"/>
        <v>0</v>
      </c>
      <c r="AA286" s="330">
        <f t="shared" si="315"/>
        <v>0</v>
      </c>
      <c r="AB286" s="330">
        <f t="shared" si="315"/>
        <v>0</v>
      </c>
      <c r="AC286" s="330">
        <f t="shared" si="315"/>
        <v>0</v>
      </c>
      <c r="AD286" s="330">
        <f t="shared" si="315"/>
        <v>0</v>
      </c>
      <c r="AE286" s="330">
        <f t="shared" si="315"/>
        <v>0</v>
      </c>
      <c r="AF286" s="330">
        <f t="shared" si="315"/>
        <v>0</v>
      </c>
      <c r="AG286" s="330">
        <f t="shared" si="315"/>
        <v>0</v>
      </c>
      <c r="AH286" s="330">
        <f t="shared" si="315"/>
        <v>0</v>
      </c>
      <c r="AI286" s="330">
        <f t="shared" si="315"/>
        <v>0</v>
      </c>
      <c r="AJ286" s="330">
        <f t="shared" si="315"/>
        <v>0</v>
      </c>
      <c r="AK286" s="330">
        <f t="shared" si="315"/>
        <v>0</v>
      </c>
      <c r="AL286" s="330">
        <f t="shared" si="315"/>
        <v>0</v>
      </c>
      <c r="AM286" s="330">
        <f t="shared" si="315"/>
        <v>0</v>
      </c>
      <c r="AN286" s="330">
        <f t="shared" si="315"/>
        <v>0</v>
      </c>
      <c r="AO286" s="330">
        <f t="shared" ref="AO286:BT286" si="316">+$D$286*(AO$7&gt;$E$285)</f>
        <v>0</v>
      </c>
      <c r="AP286" s="330">
        <f t="shared" si="316"/>
        <v>0</v>
      </c>
      <c r="AQ286" s="330">
        <f t="shared" si="316"/>
        <v>0</v>
      </c>
      <c r="AR286" s="330">
        <f t="shared" si="316"/>
        <v>0</v>
      </c>
      <c r="AS286" s="330">
        <f t="shared" si="316"/>
        <v>0</v>
      </c>
      <c r="AT286" s="330">
        <f t="shared" si="316"/>
        <v>0</v>
      </c>
      <c r="AU286" s="330">
        <f t="shared" si="316"/>
        <v>0</v>
      </c>
      <c r="AV286" s="330">
        <f t="shared" si="316"/>
        <v>0</v>
      </c>
      <c r="AW286" s="330">
        <f t="shared" si="316"/>
        <v>0</v>
      </c>
      <c r="AX286" s="330">
        <f t="shared" si="316"/>
        <v>0</v>
      </c>
      <c r="AY286" s="330">
        <f t="shared" si="316"/>
        <v>0</v>
      </c>
      <c r="AZ286" s="330">
        <f t="shared" si="316"/>
        <v>0</v>
      </c>
      <c r="BA286" s="330">
        <f t="shared" si="316"/>
        <v>0</v>
      </c>
      <c r="BB286" s="330">
        <f t="shared" si="316"/>
        <v>0</v>
      </c>
      <c r="BC286" s="330">
        <f t="shared" si="316"/>
        <v>0</v>
      </c>
      <c r="BD286" s="330">
        <f t="shared" si="316"/>
        <v>0</v>
      </c>
      <c r="BE286" s="330">
        <f t="shared" si="316"/>
        <v>0</v>
      </c>
      <c r="BF286" s="330">
        <f t="shared" si="316"/>
        <v>0</v>
      </c>
      <c r="BG286" s="330">
        <f t="shared" si="316"/>
        <v>0</v>
      </c>
      <c r="BH286" s="330">
        <f t="shared" si="316"/>
        <v>0</v>
      </c>
      <c r="BI286" s="330">
        <f t="shared" si="316"/>
        <v>0</v>
      </c>
      <c r="BJ286" s="330">
        <f t="shared" si="316"/>
        <v>0</v>
      </c>
      <c r="BK286" s="330">
        <f t="shared" si="316"/>
        <v>0</v>
      </c>
      <c r="BL286" s="330">
        <f t="shared" si="316"/>
        <v>0</v>
      </c>
      <c r="BM286" s="330">
        <f t="shared" si="316"/>
        <v>0</v>
      </c>
      <c r="BN286" s="330">
        <f t="shared" si="316"/>
        <v>0</v>
      </c>
      <c r="BO286" s="330">
        <f t="shared" si="316"/>
        <v>0</v>
      </c>
      <c r="BP286" s="330">
        <f t="shared" si="316"/>
        <v>0</v>
      </c>
      <c r="BQ286" s="330">
        <f t="shared" si="316"/>
        <v>0</v>
      </c>
      <c r="BR286" s="330">
        <f t="shared" si="316"/>
        <v>0</v>
      </c>
      <c r="BS286" s="330">
        <f t="shared" si="316"/>
        <v>0</v>
      </c>
      <c r="BT286" s="330">
        <f t="shared" si="316"/>
        <v>0</v>
      </c>
      <c r="BU286" s="330">
        <f t="shared" ref="BU286:CZ286" si="317">+$D$286*(BU$7&gt;$E$285)</f>
        <v>0</v>
      </c>
      <c r="BV286" s="330">
        <f t="shared" si="317"/>
        <v>0</v>
      </c>
      <c r="BW286" s="330">
        <f t="shared" si="317"/>
        <v>0</v>
      </c>
      <c r="BX286" s="330">
        <f t="shared" si="317"/>
        <v>0</v>
      </c>
      <c r="BY286" s="330">
        <f t="shared" si="317"/>
        <v>0</v>
      </c>
      <c r="BZ286" s="330">
        <f t="shared" si="317"/>
        <v>0</v>
      </c>
      <c r="CA286" s="330">
        <f t="shared" si="317"/>
        <v>0</v>
      </c>
      <c r="CB286" s="330">
        <f t="shared" si="317"/>
        <v>0</v>
      </c>
      <c r="CC286" s="330">
        <f t="shared" si="317"/>
        <v>0</v>
      </c>
      <c r="CD286" s="330">
        <f t="shared" si="317"/>
        <v>0</v>
      </c>
      <c r="CE286" s="330">
        <f t="shared" si="317"/>
        <v>0</v>
      </c>
      <c r="CF286" s="330">
        <f t="shared" si="317"/>
        <v>0</v>
      </c>
      <c r="CG286" s="330">
        <f t="shared" si="317"/>
        <v>0</v>
      </c>
      <c r="CH286" s="330">
        <f t="shared" si="317"/>
        <v>0</v>
      </c>
      <c r="CI286" s="330">
        <f t="shared" si="317"/>
        <v>0</v>
      </c>
      <c r="CJ286" s="330">
        <f t="shared" si="317"/>
        <v>0</v>
      </c>
      <c r="CK286" s="330">
        <f t="shared" si="317"/>
        <v>0</v>
      </c>
      <c r="CL286" s="330">
        <f t="shared" si="317"/>
        <v>0</v>
      </c>
      <c r="CM286" s="330">
        <f t="shared" si="317"/>
        <v>0</v>
      </c>
      <c r="CN286" s="330">
        <f t="shared" si="317"/>
        <v>0</v>
      </c>
      <c r="CO286" s="330">
        <f t="shared" si="317"/>
        <v>0</v>
      </c>
      <c r="CP286" s="330">
        <f t="shared" si="317"/>
        <v>0</v>
      </c>
      <c r="CQ286" s="330">
        <f t="shared" si="317"/>
        <v>0</v>
      </c>
      <c r="CR286" s="330">
        <f t="shared" si="317"/>
        <v>0</v>
      </c>
      <c r="CS286" s="330">
        <f t="shared" si="317"/>
        <v>0</v>
      </c>
      <c r="CT286" s="330">
        <f t="shared" si="317"/>
        <v>0</v>
      </c>
      <c r="CU286" s="330">
        <f t="shared" si="317"/>
        <v>0</v>
      </c>
      <c r="CV286" s="330">
        <f t="shared" si="317"/>
        <v>0</v>
      </c>
      <c r="CW286" s="330">
        <f t="shared" si="317"/>
        <v>0</v>
      </c>
      <c r="CX286" s="330">
        <f t="shared" si="317"/>
        <v>0</v>
      </c>
      <c r="CY286" s="330">
        <f t="shared" si="317"/>
        <v>0</v>
      </c>
      <c r="CZ286" s="330">
        <f t="shared" si="317"/>
        <v>0</v>
      </c>
      <c r="DA286" s="330">
        <f t="shared" ref="DA286:DY286" si="318">+$D$286*(DA$7&gt;$E$285)</f>
        <v>0</v>
      </c>
      <c r="DB286" s="330">
        <f t="shared" si="318"/>
        <v>0</v>
      </c>
      <c r="DC286" s="330">
        <f t="shared" si="318"/>
        <v>0</v>
      </c>
      <c r="DD286" s="330">
        <f t="shared" si="318"/>
        <v>0</v>
      </c>
      <c r="DE286" s="330">
        <f t="shared" si="318"/>
        <v>0</v>
      </c>
      <c r="DF286" s="330">
        <f t="shared" si="318"/>
        <v>0</v>
      </c>
      <c r="DG286" s="330">
        <f t="shared" si="318"/>
        <v>0</v>
      </c>
      <c r="DH286" s="330">
        <f t="shared" si="318"/>
        <v>0</v>
      </c>
      <c r="DI286" s="330">
        <f t="shared" si="318"/>
        <v>0</v>
      </c>
      <c r="DJ286" s="330">
        <f t="shared" si="318"/>
        <v>0</v>
      </c>
      <c r="DK286" s="330">
        <f t="shared" si="318"/>
        <v>0</v>
      </c>
      <c r="DL286" s="330">
        <f t="shared" si="318"/>
        <v>0</v>
      </c>
      <c r="DM286" s="330">
        <f t="shared" si="318"/>
        <v>0</v>
      </c>
      <c r="DN286" s="330">
        <f t="shared" si="318"/>
        <v>0</v>
      </c>
      <c r="DO286" s="330">
        <f t="shared" si="318"/>
        <v>0</v>
      </c>
      <c r="DP286" s="330">
        <f t="shared" si="318"/>
        <v>0</v>
      </c>
      <c r="DQ286" s="330">
        <f t="shared" si="318"/>
        <v>0</v>
      </c>
      <c r="DR286" s="330">
        <f t="shared" si="318"/>
        <v>0</v>
      </c>
      <c r="DS286" s="330">
        <f t="shared" si="318"/>
        <v>0</v>
      </c>
      <c r="DT286" s="330">
        <f t="shared" si="318"/>
        <v>0</v>
      </c>
      <c r="DU286" s="330">
        <f t="shared" si="318"/>
        <v>0</v>
      </c>
      <c r="DV286" s="330">
        <f t="shared" si="318"/>
        <v>0</v>
      </c>
      <c r="DW286" s="330">
        <f t="shared" si="318"/>
        <v>0</v>
      </c>
      <c r="DX286" s="330">
        <f t="shared" si="318"/>
        <v>0</v>
      </c>
      <c r="DY286" s="330">
        <f t="shared" si="318"/>
        <v>0</v>
      </c>
    </row>
    <row r="287" spans="1:129" s="3" customFormat="1" ht="11.7" customHeight="1" outlineLevel="1" x14ac:dyDescent="0.25">
      <c r="A287" s="85"/>
      <c r="B287" s="113" t="s">
        <v>541</v>
      </c>
      <c r="C287" s="113"/>
      <c r="D287" s="904"/>
      <c r="G287" s="127"/>
      <c r="H287" s="127"/>
      <c r="I287" s="330"/>
      <c r="J287" s="330"/>
      <c r="K287" s="330"/>
      <c r="L287" s="330"/>
      <c r="M287" s="330"/>
      <c r="N287" s="330"/>
      <c r="O287" s="330"/>
      <c r="P287" s="330"/>
      <c r="Q287" s="330"/>
      <c r="R287" s="330"/>
      <c r="S287" s="330"/>
      <c r="T287" s="330"/>
      <c r="U287" s="330"/>
      <c r="V287" s="330"/>
      <c r="W287" s="330"/>
      <c r="X287" s="330"/>
      <c r="Y287" s="330"/>
      <c r="Z287" s="330"/>
      <c r="AA287" s="330"/>
      <c r="AB287" s="330"/>
      <c r="AC287" s="330"/>
      <c r="AD287" s="330"/>
      <c r="AE287" s="330"/>
      <c r="AF287" s="330"/>
      <c r="AG287" s="330"/>
      <c r="AH287" s="330"/>
      <c r="AI287" s="330"/>
      <c r="AJ287" s="330"/>
      <c r="AK287" s="330"/>
      <c r="AL287" s="330"/>
      <c r="AM287" s="330"/>
      <c r="AN287" s="330"/>
      <c r="AO287" s="330"/>
      <c r="AP287" s="330"/>
      <c r="AQ287" s="330"/>
      <c r="AR287" s="330"/>
      <c r="AS287" s="330"/>
      <c r="AT287" s="330"/>
      <c r="AU287" s="330"/>
      <c r="AV287" s="330"/>
      <c r="AW287" s="330"/>
      <c r="AX287" s="330"/>
      <c r="AY287" s="330"/>
      <c r="AZ287" s="330"/>
      <c r="BA287" s="330"/>
      <c r="BB287" s="330"/>
      <c r="BC287" s="330"/>
      <c r="BD287" s="330"/>
      <c r="BE287" s="330"/>
      <c r="BF287" s="330"/>
      <c r="BG287" s="330"/>
      <c r="BH287" s="330"/>
      <c r="BI287" s="330"/>
      <c r="BJ287" s="330"/>
      <c r="BK287" s="330"/>
      <c r="BL287" s="330"/>
      <c r="BM287" s="330"/>
      <c r="BN287" s="330"/>
      <c r="BO287" s="330"/>
      <c r="BP287" s="330"/>
      <c r="BQ287" s="330"/>
      <c r="BR287" s="330"/>
      <c r="BS287" s="330"/>
      <c r="BT287" s="330"/>
      <c r="BU287" s="330"/>
      <c r="BV287" s="330"/>
      <c r="BW287" s="330"/>
      <c r="BX287" s="330"/>
      <c r="BY287" s="330"/>
      <c r="BZ287" s="330"/>
      <c r="CA287" s="330"/>
      <c r="CB287" s="330"/>
      <c r="CC287" s="330"/>
      <c r="CD287" s="330"/>
      <c r="CE287" s="330"/>
      <c r="CF287" s="330"/>
      <c r="CG287" s="330"/>
      <c r="CH287" s="330"/>
      <c r="CI287" s="330"/>
      <c r="CJ287" s="330"/>
      <c r="CK287" s="330"/>
      <c r="CL287" s="330"/>
      <c r="CM287" s="330"/>
      <c r="CN287" s="330"/>
      <c r="CO287" s="330"/>
      <c r="CP287" s="330"/>
      <c r="CQ287" s="330"/>
      <c r="CR287" s="330"/>
      <c r="CS287" s="330"/>
      <c r="CT287" s="330"/>
      <c r="CU287" s="330"/>
      <c r="CV287" s="330"/>
      <c r="CW287" s="330"/>
      <c r="CX287" s="330"/>
      <c r="CY287" s="330"/>
      <c r="CZ287" s="330"/>
      <c r="DA287" s="330"/>
      <c r="DB287" s="330"/>
      <c r="DC287" s="330"/>
      <c r="DD287" s="330"/>
      <c r="DE287" s="330"/>
      <c r="DF287" s="330"/>
      <c r="DG287" s="330"/>
      <c r="DH287" s="330"/>
      <c r="DI287" s="330"/>
      <c r="DJ287" s="330"/>
      <c r="DK287" s="330"/>
      <c r="DL287" s="330"/>
      <c r="DM287" s="330"/>
      <c r="DN287" s="330"/>
      <c r="DO287" s="330"/>
      <c r="DP287" s="330"/>
      <c r="DQ287" s="330"/>
      <c r="DR287" s="330"/>
      <c r="DS287" s="330"/>
      <c r="DT287" s="330"/>
      <c r="DU287" s="330"/>
      <c r="DV287" s="330"/>
      <c r="DW287" s="330"/>
      <c r="DX287" s="330"/>
      <c r="DY287" s="330"/>
    </row>
    <row r="288" spans="1:129" s="3" customFormat="1" ht="11.7" customHeight="1" outlineLevel="1" x14ac:dyDescent="0.25">
      <c r="A288" s="85"/>
      <c r="B288" s="858" t="s">
        <v>496</v>
      </c>
      <c r="C288" s="858"/>
      <c r="D288" s="317">
        <f>+Inputs!G154</f>
        <v>0</v>
      </c>
      <c r="E288" s="292">
        <f>+Inputs!$F$155</f>
        <v>45291</v>
      </c>
      <c r="G288" s="127"/>
      <c r="H288" s="127"/>
      <c r="I288" s="330">
        <f t="shared" ref="I288:AN288" si="319">+$D$288*(I7&lt;=$E$288)</f>
        <v>0</v>
      </c>
      <c r="J288" s="330">
        <f t="shared" si="319"/>
        <v>0</v>
      </c>
      <c r="K288" s="330">
        <f t="shared" si="319"/>
        <v>0</v>
      </c>
      <c r="L288" s="330">
        <f t="shared" si="319"/>
        <v>0</v>
      </c>
      <c r="M288" s="330">
        <f t="shared" si="319"/>
        <v>0</v>
      </c>
      <c r="N288" s="330">
        <f t="shared" si="319"/>
        <v>0</v>
      </c>
      <c r="O288" s="330">
        <f t="shared" si="319"/>
        <v>0</v>
      </c>
      <c r="P288" s="330">
        <f t="shared" si="319"/>
        <v>0</v>
      </c>
      <c r="Q288" s="330">
        <f t="shared" si="319"/>
        <v>0</v>
      </c>
      <c r="R288" s="330">
        <f t="shared" si="319"/>
        <v>0</v>
      </c>
      <c r="S288" s="330">
        <f t="shared" si="319"/>
        <v>0</v>
      </c>
      <c r="T288" s="330">
        <f t="shared" si="319"/>
        <v>0</v>
      </c>
      <c r="U288" s="330">
        <f t="shared" si="319"/>
        <v>0</v>
      </c>
      <c r="V288" s="330">
        <f t="shared" si="319"/>
        <v>0</v>
      </c>
      <c r="W288" s="330">
        <f t="shared" si="319"/>
        <v>0</v>
      </c>
      <c r="X288" s="330">
        <f t="shared" si="319"/>
        <v>0</v>
      </c>
      <c r="Y288" s="330">
        <f t="shared" si="319"/>
        <v>0</v>
      </c>
      <c r="Z288" s="330">
        <f t="shared" si="319"/>
        <v>0</v>
      </c>
      <c r="AA288" s="330">
        <f t="shared" si="319"/>
        <v>0</v>
      </c>
      <c r="AB288" s="330">
        <f t="shared" si="319"/>
        <v>0</v>
      </c>
      <c r="AC288" s="330">
        <f t="shared" si="319"/>
        <v>0</v>
      </c>
      <c r="AD288" s="330">
        <f t="shared" si="319"/>
        <v>0</v>
      </c>
      <c r="AE288" s="330">
        <f t="shared" si="319"/>
        <v>0</v>
      </c>
      <c r="AF288" s="330">
        <f t="shared" si="319"/>
        <v>0</v>
      </c>
      <c r="AG288" s="330">
        <f t="shared" si="319"/>
        <v>0</v>
      </c>
      <c r="AH288" s="330">
        <f t="shared" si="319"/>
        <v>0</v>
      </c>
      <c r="AI288" s="330">
        <f t="shared" si="319"/>
        <v>0</v>
      </c>
      <c r="AJ288" s="330">
        <f t="shared" si="319"/>
        <v>0</v>
      </c>
      <c r="AK288" s="330">
        <f t="shared" si="319"/>
        <v>0</v>
      </c>
      <c r="AL288" s="330">
        <f t="shared" si="319"/>
        <v>0</v>
      </c>
      <c r="AM288" s="330">
        <f t="shared" si="319"/>
        <v>0</v>
      </c>
      <c r="AN288" s="330">
        <f t="shared" si="319"/>
        <v>0</v>
      </c>
      <c r="AO288" s="330">
        <f t="shared" ref="AO288:BT288" si="320">+$D$288*(AO7&lt;=$E$288)</f>
        <v>0</v>
      </c>
      <c r="AP288" s="330">
        <f t="shared" si="320"/>
        <v>0</v>
      </c>
      <c r="AQ288" s="330">
        <f t="shared" si="320"/>
        <v>0</v>
      </c>
      <c r="AR288" s="330">
        <f t="shared" si="320"/>
        <v>0</v>
      </c>
      <c r="AS288" s="330">
        <f t="shared" si="320"/>
        <v>0</v>
      </c>
      <c r="AT288" s="330">
        <f t="shared" si="320"/>
        <v>0</v>
      </c>
      <c r="AU288" s="330">
        <f t="shared" si="320"/>
        <v>0</v>
      </c>
      <c r="AV288" s="330">
        <f t="shared" si="320"/>
        <v>0</v>
      </c>
      <c r="AW288" s="330">
        <f t="shared" si="320"/>
        <v>0</v>
      </c>
      <c r="AX288" s="330">
        <f t="shared" si="320"/>
        <v>0</v>
      </c>
      <c r="AY288" s="330">
        <f t="shared" si="320"/>
        <v>0</v>
      </c>
      <c r="AZ288" s="330">
        <f t="shared" si="320"/>
        <v>0</v>
      </c>
      <c r="BA288" s="330">
        <f t="shared" si="320"/>
        <v>0</v>
      </c>
      <c r="BB288" s="330">
        <f t="shared" si="320"/>
        <v>0</v>
      </c>
      <c r="BC288" s="330">
        <f t="shared" si="320"/>
        <v>0</v>
      </c>
      <c r="BD288" s="330">
        <f t="shared" si="320"/>
        <v>0</v>
      </c>
      <c r="BE288" s="330">
        <f t="shared" si="320"/>
        <v>0</v>
      </c>
      <c r="BF288" s="330">
        <f t="shared" si="320"/>
        <v>0</v>
      </c>
      <c r="BG288" s="330">
        <f t="shared" si="320"/>
        <v>0</v>
      </c>
      <c r="BH288" s="330">
        <f t="shared" si="320"/>
        <v>0</v>
      </c>
      <c r="BI288" s="330">
        <f t="shared" si="320"/>
        <v>0</v>
      </c>
      <c r="BJ288" s="330">
        <f t="shared" si="320"/>
        <v>0</v>
      </c>
      <c r="BK288" s="330">
        <f t="shared" si="320"/>
        <v>0</v>
      </c>
      <c r="BL288" s="330">
        <f t="shared" si="320"/>
        <v>0</v>
      </c>
      <c r="BM288" s="330">
        <f t="shared" si="320"/>
        <v>0</v>
      </c>
      <c r="BN288" s="330">
        <f t="shared" si="320"/>
        <v>0</v>
      </c>
      <c r="BO288" s="330">
        <f t="shared" si="320"/>
        <v>0</v>
      </c>
      <c r="BP288" s="330">
        <f t="shared" si="320"/>
        <v>0</v>
      </c>
      <c r="BQ288" s="330">
        <f t="shared" si="320"/>
        <v>0</v>
      </c>
      <c r="BR288" s="330">
        <f t="shared" si="320"/>
        <v>0</v>
      </c>
      <c r="BS288" s="330">
        <f t="shared" si="320"/>
        <v>0</v>
      </c>
      <c r="BT288" s="330">
        <f t="shared" si="320"/>
        <v>0</v>
      </c>
      <c r="BU288" s="330">
        <f t="shared" ref="BU288:CZ288" si="321">+$D$288*(BU7&lt;=$E$288)</f>
        <v>0</v>
      </c>
      <c r="BV288" s="330">
        <f t="shared" si="321"/>
        <v>0</v>
      </c>
      <c r="BW288" s="330">
        <f t="shared" si="321"/>
        <v>0</v>
      </c>
      <c r="BX288" s="330">
        <f t="shared" si="321"/>
        <v>0</v>
      </c>
      <c r="BY288" s="330">
        <f t="shared" si="321"/>
        <v>0</v>
      </c>
      <c r="BZ288" s="330">
        <f t="shared" si="321"/>
        <v>0</v>
      </c>
      <c r="CA288" s="330">
        <f t="shared" si="321"/>
        <v>0</v>
      </c>
      <c r="CB288" s="330">
        <f t="shared" si="321"/>
        <v>0</v>
      </c>
      <c r="CC288" s="330">
        <f t="shared" si="321"/>
        <v>0</v>
      </c>
      <c r="CD288" s="330">
        <f t="shared" si="321"/>
        <v>0</v>
      </c>
      <c r="CE288" s="330">
        <f t="shared" si="321"/>
        <v>0</v>
      </c>
      <c r="CF288" s="330">
        <f t="shared" si="321"/>
        <v>0</v>
      </c>
      <c r="CG288" s="330">
        <f t="shared" si="321"/>
        <v>0</v>
      </c>
      <c r="CH288" s="330">
        <f t="shared" si="321"/>
        <v>0</v>
      </c>
      <c r="CI288" s="330">
        <f t="shared" si="321"/>
        <v>0</v>
      </c>
      <c r="CJ288" s="330">
        <f t="shared" si="321"/>
        <v>0</v>
      </c>
      <c r="CK288" s="330">
        <f t="shared" si="321"/>
        <v>0</v>
      </c>
      <c r="CL288" s="330">
        <f t="shared" si="321"/>
        <v>0</v>
      </c>
      <c r="CM288" s="330">
        <f t="shared" si="321"/>
        <v>0</v>
      </c>
      <c r="CN288" s="330">
        <f t="shared" si="321"/>
        <v>0</v>
      </c>
      <c r="CO288" s="330">
        <f t="shared" si="321"/>
        <v>0</v>
      </c>
      <c r="CP288" s="330">
        <f t="shared" si="321"/>
        <v>0</v>
      </c>
      <c r="CQ288" s="330">
        <f t="shared" si="321"/>
        <v>0</v>
      </c>
      <c r="CR288" s="330">
        <f t="shared" si="321"/>
        <v>0</v>
      </c>
      <c r="CS288" s="330">
        <f t="shared" si="321"/>
        <v>0</v>
      </c>
      <c r="CT288" s="330">
        <f t="shared" si="321"/>
        <v>0</v>
      </c>
      <c r="CU288" s="330">
        <f t="shared" si="321"/>
        <v>0</v>
      </c>
      <c r="CV288" s="330">
        <f t="shared" si="321"/>
        <v>0</v>
      </c>
      <c r="CW288" s="330">
        <f t="shared" si="321"/>
        <v>0</v>
      </c>
      <c r="CX288" s="330">
        <f t="shared" si="321"/>
        <v>0</v>
      </c>
      <c r="CY288" s="330">
        <f t="shared" si="321"/>
        <v>0</v>
      </c>
      <c r="CZ288" s="330">
        <f t="shared" si="321"/>
        <v>0</v>
      </c>
      <c r="DA288" s="330">
        <f t="shared" ref="DA288:DY288" si="322">+$D$288*(DA7&lt;=$E$288)</f>
        <v>0</v>
      </c>
      <c r="DB288" s="330">
        <f t="shared" si="322"/>
        <v>0</v>
      </c>
      <c r="DC288" s="330">
        <f t="shared" si="322"/>
        <v>0</v>
      </c>
      <c r="DD288" s="330">
        <f t="shared" si="322"/>
        <v>0</v>
      </c>
      <c r="DE288" s="330">
        <f t="shared" si="322"/>
        <v>0</v>
      </c>
      <c r="DF288" s="330">
        <f t="shared" si="322"/>
        <v>0</v>
      </c>
      <c r="DG288" s="330">
        <f t="shared" si="322"/>
        <v>0</v>
      </c>
      <c r="DH288" s="330">
        <f t="shared" si="322"/>
        <v>0</v>
      </c>
      <c r="DI288" s="330">
        <f t="shared" si="322"/>
        <v>0</v>
      </c>
      <c r="DJ288" s="330">
        <f t="shared" si="322"/>
        <v>0</v>
      </c>
      <c r="DK288" s="330">
        <f t="shared" si="322"/>
        <v>0</v>
      </c>
      <c r="DL288" s="330">
        <f t="shared" si="322"/>
        <v>0</v>
      </c>
      <c r="DM288" s="330">
        <f t="shared" si="322"/>
        <v>0</v>
      </c>
      <c r="DN288" s="330">
        <f t="shared" si="322"/>
        <v>0</v>
      </c>
      <c r="DO288" s="330">
        <f t="shared" si="322"/>
        <v>0</v>
      </c>
      <c r="DP288" s="330">
        <f t="shared" si="322"/>
        <v>0</v>
      </c>
      <c r="DQ288" s="330">
        <f t="shared" si="322"/>
        <v>0</v>
      </c>
      <c r="DR288" s="330">
        <f t="shared" si="322"/>
        <v>0</v>
      </c>
      <c r="DS288" s="330">
        <f t="shared" si="322"/>
        <v>0</v>
      </c>
      <c r="DT288" s="330">
        <f t="shared" si="322"/>
        <v>0</v>
      </c>
      <c r="DU288" s="330">
        <f t="shared" si="322"/>
        <v>0</v>
      </c>
      <c r="DV288" s="330">
        <f t="shared" si="322"/>
        <v>0</v>
      </c>
      <c r="DW288" s="330">
        <f t="shared" si="322"/>
        <v>0</v>
      </c>
      <c r="DX288" s="330">
        <f t="shared" si="322"/>
        <v>0</v>
      </c>
      <c r="DY288" s="330">
        <f t="shared" si="322"/>
        <v>0</v>
      </c>
    </row>
    <row r="289" spans="1:129" s="3" customFormat="1" ht="11.7" customHeight="1" outlineLevel="1" x14ac:dyDescent="0.25">
      <c r="A289" s="85"/>
      <c r="B289" s="858" t="s">
        <v>761</v>
      </c>
      <c r="C289" s="858"/>
      <c r="D289" s="317">
        <f>+Inputs!G156</f>
        <v>0</v>
      </c>
      <c r="G289" s="127"/>
      <c r="H289" s="127"/>
      <c r="I289" s="330">
        <f t="shared" ref="I289:AN289" si="323">+$D$289*(I$7&gt;$E$288)</f>
        <v>0</v>
      </c>
      <c r="J289" s="330">
        <f t="shared" si="323"/>
        <v>0</v>
      </c>
      <c r="K289" s="330">
        <f t="shared" si="323"/>
        <v>0</v>
      </c>
      <c r="L289" s="330">
        <f t="shared" si="323"/>
        <v>0</v>
      </c>
      <c r="M289" s="330">
        <f t="shared" si="323"/>
        <v>0</v>
      </c>
      <c r="N289" s="330">
        <f t="shared" si="323"/>
        <v>0</v>
      </c>
      <c r="O289" s="330">
        <f t="shared" si="323"/>
        <v>0</v>
      </c>
      <c r="P289" s="330">
        <f t="shared" si="323"/>
        <v>0</v>
      </c>
      <c r="Q289" s="330">
        <f t="shared" si="323"/>
        <v>0</v>
      </c>
      <c r="R289" s="330">
        <f t="shared" si="323"/>
        <v>0</v>
      </c>
      <c r="S289" s="330">
        <f t="shared" si="323"/>
        <v>0</v>
      </c>
      <c r="T289" s="330">
        <f t="shared" si="323"/>
        <v>0</v>
      </c>
      <c r="U289" s="330">
        <f t="shared" si="323"/>
        <v>0</v>
      </c>
      <c r="V289" s="330">
        <f t="shared" si="323"/>
        <v>0</v>
      </c>
      <c r="W289" s="330">
        <f t="shared" si="323"/>
        <v>0</v>
      </c>
      <c r="X289" s="330">
        <f t="shared" si="323"/>
        <v>0</v>
      </c>
      <c r="Y289" s="330">
        <f t="shared" si="323"/>
        <v>0</v>
      </c>
      <c r="Z289" s="330">
        <f t="shared" si="323"/>
        <v>0</v>
      </c>
      <c r="AA289" s="330">
        <f t="shared" si="323"/>
        <v>0</v>
      </c>
      <c r="AB289" s="330">
        <f t="shared" si="323"/>
        <v>0</v>
      </c>
      <c r="AC289" s="330">
        <f t="shared" si="323"/>
        <v>0</v>
      </c>
      <c r="AD289" s="330">
        <f t="shared" si="323"/>
        <v>0</v>
      </c>
      <c r="AE289" s="330">
        <f t="shared" si="323"/>
        <v>0</v>
      </c>
      <c r="AF289" s="330">
        <f t="shared" si="323"/>
        <v>0</v>
      </c>
      <c r="AG289" s="330">
        <f t="shared" si="323"/>
        <v>0</v>
      </c>
      <c r="AH289" s="330">
        <f t="shared" si="323"/>
        <v>0</v>
      </c>
      <c r="AI289" s="330">
        <f t="shared" si="323"/>
        <v>0</v>
      </c>
      <c r="AJ289" s="330">
        <f t="shared" si="323"/>
        <v>0</v>
      </c>
      <c r="AK289" s="330">
        <f t="shared" si="323"/>
        <v>0</v>
      </c>
      <c r="AL289" s="330">
        <f t="shared" si="323"/>
        <v>0</v>
      </c>
      <c r="AM289" s="330">
        <f t="shared" si="323"/>
        <v>0</v>
      </c>
      <c r="AN289" s="330">
        <f t="shared" si="323"/>
        <v>0</v>
      </c>
      <c r="AO289" s="330">
        <f t="shared" ref="AO289:BT289" si="324">+$D$289*(AO$7&gt;$E$288)</f>
        <v>0</v>
      </c>
      <c r="AP289" s="330">
        <f t="shared" si="324"/>
        <v>0</v>
      </c>
      <c r="AQ289" s="330">
        <f t="shared" si="324"/>
        <v>0</v>
      </c>
      <c r="AR289" s="330">
        <f t="shared" si="324"/>
        <v>0</v>
      </c>
      <c r="AS289" s="330">
        <f t="shared" si="324"/>
        <v>0</v>
      </c>
      <c r="AT289" s="330">
        <f t="shared" si="324"/>
        <v>0</v>
      </c>
      <c r="AU289" s="330">
        <f t="shared" si="324"/>
        <v>0</v>
      </c>
      <c r="AV289" s="330">
        <f t="shared" si="324"/>
        <v>0</v>
      </c>
      <c r="AW289" s="330">
        <f t="shared" si="324"/>
        <v>0</v>
      </c>
      <c r="AX289" s="330">
        <f t="shared" si="324"/>
        <v>0</v>
      </c>
      <c r="AY289" s="330">
        <f t="shared" si="324"/>
        <v>0</v>
      </c>
      <c r="AZ289" s="330">
        <f t="shared" si="324"/>
        <v>0</v>
      </c>
      <c r="BA289" s="330">
        <f t="shared" si="324"/>
        <v>0</v>
      </c>
      <c r="BB289" s="330">
        <f t="shared" si="324"/>
        <v>0</v>
      </c>
      <c r="BC289" s="330">
        <f t="shared" si="324"/>
        <v>0</v>
      </c>
      <c r="BD289" s="330">
        <f t="shared" si="324"/>
        <v>0</v>
      </c>
      <c r="BE289" s="330">
        <f t="shared" si="324"/>
        <v>0</v>
      </c>
      <c r="BF289" s="330">
        <f t="shared" si="324"/>
        <v>0</v>
      </c>
      <c r="BG289" s="330">
        <f t="shared" si="324"/>
        <v>0</v>
      </c>
      <c r="BH289" s="330">
        <f t="shared" si="324"/>
        <v>0</v>
      </c>
      <c r="BI289" s="330">
        <f t="shared" si="324"/>
        <v>0</v>
      </c>
      <c r="BJ289" s="330">
        <f t="shared" si="324"/>
        <v>0</v>
      </c>
      <c r="BK289" s="330">
        <f t="shared" si="324"/>
        <v>0</v>
      </c>
      <c r="BL289" s="330">
        <f t="shared" si="324"/>
        <v>0</v>
      </c>
      <c r="BM289" s="330">
        <f t="shared" si="324"/>
        <v>0</v>
      </c>
      <c r="BN289" s="330">
        <f t="shared" si="324"/>
        <v>0</v>
      </c>
      <c r="BO289" s="330">
        <f t="shared" si="324"/>
        <v>0</v>
      </c>
      <c r="BP289" s="330">
        <f t="shared" si="324"/>
        <v>0</v>
      </c>
      <c r="BQ289" s="330">
        <f t="shared" si="324"/>
        <v>0</v>
      </c>
      <c r="BR289" s="330">
        <f t="shared" si="324"/>
        <v>0</v>
      </c>
      <c r="BS289" s="330">
        <f t="shared" si="324"/>
        <v>0</v>
      </c>
      <c r="BT289" s="330">
        <f t="shared" si="324"/>
        <v>0</v>
      </c>
      <c r="BU289" s="330">
        <f t="shared" ref="BU289:CZ289" si="325">+$D$289*(BU$7&gt;$E$288)</f>
        <v>0</v>
      </c>
      <c r="BV289" s="330">
        <f t="shared" si="325"/>
        <v>0</v>
      </c>
      <c r="BW289" s="330">
        <f t="shared" si="325"/>
        <v>0</v>
      </c>
      <c r="BX289" s="330">
        <f t="shared" si="325"/>
        <v>0</v>
      </c>
      <c r="BY289" s="330">
        <f t="shared" si="325"/>
        <v>0</v>
      </c>
      <c r="BZ289" s="330">
        <f t="shared" si="325"/>
        <v>0</v>
      </c>
      <c r="CA289" s="330">
        <f t="shared" si="325"/>
        <v>0</v>
      </c>
      <c r="CB289" s="330">
        <f t="shared" si="325"/>
        <v>0</v>
      </c>
      <c r="CC289" s="330">
        <f t="shared" si="325"/>
        <v>0</v>
      </c>
      <c r="CD289" s="330">
        <f t="shared" si="325"/>
        <v>0</v>
      </c>
      <c r="CE289" s="330">
        <f t="shared" si="325"/>
        <v>0</v>
      </c>
      <c r="CF289" s="330">
        <f t="shared" si="325"/>
        <v>0</v>
      </c>
      <c r="CG289" s="330">
        <f t="shared" si="325"/>
        <v>0</v>
      </c>
      <c r="CH289" s="330">
        <f t="shared" si="325"/>
        <v>0</v>
      </c>
      <c r="CI289" s="330">
        <f t="shared" si="325"/>
        <v>0</v>
      </c>
      <c r="CJ289" s="330">
        <f t="shared" si="325"/>
        <v>0</v>
      </c>
      <c r="CK289" s="330">
        <f t="shared" si="325"/>
        <v>0</v>
      </c>
      <c r="CL289" s="330">
        <f t="shared" si="325"/>
        <v>0</v>
      </c>
      <c r="CM289" s="330">
        <f t="shared" si="325"/>
        <v>0</v>
      </c>
      <c r="CN289" s="330">
        <f t="shared" si="325"/>
        <v>0</v>
      </c>
      <c r="CO289" s="330">
        <f t="shared" si="325"/>
        <v>0</v>
      </c>
      <c r="CP289" s="330">
        <f t="shared" si="325"/>
        <v>0</v>
      </c>
      <c r="CQ289" s="330">
        <f t="shared" si="325"/>
        <v>0</v>
      </c>
      <c r="CR289" s="330">
        <f t="shared" si="325"/>
        <v>0</v>
      </c>
      <c r="CS289" s="330">
        <f t="shared" si="325"/>
        <v>0</v>
      </c>
      <c r="CT289" s="330">
        <f t="shared" si="325"/>
        <v>0</v>
      </c>
      <c r="CU289" s="330">
        <f t="shared" si="325"/>
        <v>0</v>
      </c>
      <c r="CV289" s="330">
        <f t="shared" si="325"/>
        <v>0</v>
      </c>
      <c r="CW289" s="330">
        <f t="shared" si="325"/>
        <v>0</v>
      </c>
      <c r="CX289" s="330">
        <f t="shared" si="325"/>
        <v>0</v>
      </c>
      <c r="CY289" s="330">
        <f t="shared" si="325"/>
        <v>0</v>
      </c>
      <c r="CZ289" s="330">
        <f t="shared" si="325"/>
        <v>0</v>
      </c>
      <c r="DA289" s="330">
        <f t="shared" ref="DA289:DY289" si="326">+$D$289*(DA$7&gt;$E$288)</f>
        <v>0</v>
      </c>
      <c r="DB289" s="330">
        <f t="shared" si="326"/>
        <v>0</v>
      </c>
      <c r="DC289" s="330">
        <f t="shared" si="326"/>
        <v>0</v>
      </c>
      <c r="DD289" s="330">
        <f t="shared" si="326"/>
        <v>0</v>
      </c>
      <c r="DE289" s="330">
        <f t="shared" si="326"/>
        <v>0</v>
      </c>
      <c r="DF289" s="330">
        <f t="shared" si="326"/>
        <v>0</v>
      </c>
      <c r="DG289" s="330">
        <f t="shared" si="326"/>
        <v>0</v>
      </c>
      <c r="DH289" s="330">
        <f t="shared" si="326"/>
        <v>0</v>
      </c>
      <c r="DI289" s="330">
        <f t="shared" si="326"/>
        <v>0</v>
      </c>
      <c r="DJ289" s="330">
        <f t="shared" si="326"/>
        <v>0</v>
      </c>
      <c r="DK289" s="330">
        <f t="shared" si="326"/>
        <v>0</v>
      </c>
      <c r="DL289" s="330">
        <f t="shared" si="326"/>
        <v>0</v>
      </c>
      <c r="DM289" s="330">
        <f t="shared" si="326"/>
        <v>0</v>
      </c>
      <c r="DN289" s="330">
        <f t="shared" si="326"/>
        <v>0</v>
      </c>
      <c r="DO289" s="330">
        <f t="shared" si="326"/>
        <v>0</v>
      </c>
      <c r="DP289" s="330">
        <f t="shared" si="326"/>
        <v>0</v>
      </c>
      <c r="DQ289" s="330">
        <f t="shared" si="326"/>
        <v>0</v>
      </c>
      <c r="DR289" s="330">
        <f t="shared" si="326"/>
        <v>0</v>
      </c>
      <c r="DS289" s="330">
        <f t="shared" si="326"/>
        <v>0</v>
      </c>
      <c r="DT289" s="330">
        <f t="shared" si="326"/>
        <v>0</v>
      </c>
      <c r="DU289" s="330">
        <f t="shared" si="326"/>
        <v>0</v>
      </c>
      <c r="DV289" s="330">
        <f t="shared" si="326"/>
        <v>0</v>
      </c>
      <c r="DW289" s="330">
        <f t="shared" si="326"/>
        <v>0</v>
      </c>
      <c r="DX289" s="330">
        <f t="shared" si="326"/>
        <v>0</v>
      </c>
      <c r="DY289" s="330">
        <f t="shared" si="326"/>
        <v>0</v>
      </c>
    </row>
    <row r="290" spans="1:129" s="3" customFormat="1" ht="11.7" customHeight="1" outlineLevel="1" x14ac:dyDescent="0.3">
      <c r="A290" s="85"/>
      <c r="B290" s="141" t="s">
        <v>115</v>
      </c>
      <c r="C290" s="141"/>
      <c r="D290" s="328"/>
      <c r="E290" s="159"/>
      <c r="F290" s="159"/>
      <c r="G290" s="127"/>
      <c r="H290" s="127"/>
      <c r="I290" s="922">
        <v>0</v>
      </c>
      <c r="J290" s="922">
        <v>0</v>
      </c>
      <c r="K290" s="922">
        <v>0</v>
      </c>
      <c r="L290" s="922">
        <v>0</v>
      </c>
      <c r="M290" s="922">
        <v>0</v>
      </c>
      <c r="N290" s="922">
        <v>0</v>
      </c>
      <c r="O290" s="922">
        <v>0</v>
      </c>
      <c r="P290" s="922">
        <v>0</v>
      </c>
      <c r="Q290" s="922">
        <v>0</v>
      </c>
      <c r="R290" s="922">
        <v>0</v>
      </c>
      <c r="S290" s="922">
        <v>0</v>
      </c>
      <c r="T290" s="922">
        <v>0</v>
      </c>
      <c r="U290" s="922">
        <v>0</v>
      </c>
      <c r="V290" s="922">
        <v>0</v>
      </c>
      <c r="W290" s="922">
        <v>0</v>
      </c>
      <c r="X290" s="922">
        <v>0</v>
      </c>
      <c r="Y290" s="922">
        <v>0</v>
      </c>
      <c r="Z290" s="922">
        <v>0</v>
      </c>
      <c r="AA290" s="922">
        <v>0</v>
      </c>
      <c r="AB290" s="922">
        <v>0</v>
      </c>
      <c r="AC290" s="922">
        <v>0</v>
      </c>
      <c r="AD290" s="922">
        <v>0</v>
      </c>
      <c r="AE290" s="922">
        <v>0</v>
      </c>
      <c r="AF290" s="922">
        <v>0</v>
      </c>
      <c r="AG290" s="922">
        <v>0</v>
      </c>
      <c r="AH290" s="922">
        <v>0</v>
      </c>
      <c r="AI290" s="922">
        <v>0</v>
      </c>
      <c r="AJ290" s="922">
        <v>0</v>
      </c>
      <c r="AK290" s="922">
        <v>0</v>
      </c>
      <c r="AL290" s="922">
        <v>0</v>
      </c>
      <c r="AM290" s="922">
        <v>0</v>
      </c>
      <c r="AN290" s="922">
        <v>0</v>
      </c>
      <c r="AO290" s="922">
        <v>0</v>
      </c>
      <c r="AP290" s="922">
        <v>0</v>
      </c>
      <c r="AQ290" s="922">
        <v>0</v>
      </c>
      <c r="AR290" s="922">
        <v>0</v>
      </c>
      <c r="AS290" s="922">
        <v>0</v>
      </c>
      <c r="AT290" s="922">
        <v>0</v>
      </c>
      <c r="AU290" s="922">
        <v>0</v>
      </c>
      <c r="AV290" s="922">
        <v>0</v>
      </c>
      <c r="AW290" s="922">
        <v>0</v>
      </c>
      <c r="AX290" s="922">
        <v>0</v>
      </c>
      <c r="AY290" s="922">
        <v>0</v>
      </c>
      <c r="AZ290" s="922">
        <v>0</v>
      </c>
      <c r="BA290" s="922">
        <v>0</v>
      </c>
      <c r="BB290" s="922">
        <v>0</v>
      </c>
      <c r="BC290" s="922">
        <v>0</v>
      </c>
      <c r="BD290" s="922">
        <v>0</v>
      </c>
      <c r="BE290" s="922">
        <v>0</v>
      </c>
      <c r="BF290" s="922">
        <v>0</v>
      </c>
      <c r="BG290" s="922">
        <v>0</v>
      </c>
      <c r="BH290" s="922">
        <v>0</v>
      </c>
      <c r="BI290" s="922">
        <v>0</v>
      </c>
      <c r="BJ290" s="922">
        <v>0</v>
      </c>
      <c r="BK290" s="922">
        <v>0</v>
      </c>
      <c r="BL290" s="922">
        <v>0</v>
      </c>
      <c r="BM290" s="922">
        <v>0</v>
      </c>
      <c r="BN290" s="922">
        <v>0</v>
      </c>
      <c r="BO290" s="922">
        <v>0</v>
      </c>
      <c r="BP290" s="922">
        <v>0</v>
      </c>
      <c r="BQ290" s="922">
        <v>0</v>
      </c>
      <c r="BR290" s="922">
        <v>0</v>
      </c>
      <c r="BS290" s="922">
        <v>0</v>
      </c>
      <c r="BT290" s="922">
        <v>0</v>
      </c>
      <c r="BU290" s="922">
        <v>0</v>
      </c>
      <c r="BV290" s="922">
        <v>0</v>
      </c>
      <c r="BW290" s="922">
        <v>0</v>
      </c>
      <c r="BX290" s="922">
        <v>0</v>
      </c>
      <c r="BY290" s="922">
        <v>0</v>
      </c>
      <c r="BZ290" s="922">
        <v>0</v>
      </c>
      <c r="CA290" s="922">
        <v>0</v>
      </c>
      <c r="CB290" s="922">
        <v>0</v>
      </c>
      <c r="CC290" s="922">
        <v>0</v>
      </c>
      <c r="CD290" s="922">
        <v>0</v>
      </c>
      <c r="CE290" s="922">
        <v>0</v>
      </c>
      <c r="CF290" s="922">
        <v>0</v>
      </c>
      <c r="CG290" s="922">
        <v>0</v>
      </c>
      <c r="CH290" s="922">
        <v>0</v>
      </c>
      <c r="CI290" s="922">
        <v>0</v>
      </c>
      <c r="CJ290" s="922">
        <v>0</v>
      </c>
      <c r="CK290" s="922">
        <v>0</v>
      </c>
      <c r="CL290" s="922">
        <v>0</v>
      </c>
      <c r="CM290" s="922">
        <v>0</v>
      </c>
      <c r="CN290" s="922">
        <v>0</v>
      </c>
      <c r="CO290" s="922">
        <v>0</v>
      </c>
      <c r="CP290" s="922">
        <v>0</v>
      </c>
      <c r="CQ290" s="922">
        <v>0</v>
      </c>
      <c r="CR290" s="922">
        <v>0</v>
      </c>
      <c r="CS290" s="922">
        <v>0</v>
      </c>
      <c r="CT290" s="922">
        <v>0</v>
      </c>
      <c r="CU290" s="922">
        <v>0</v>
      </c>
      <c r="CV290" s="922">
        <v>0</v>
      </c>
      <c r="CW290" s="922">
        <v>0</v>
      </c>
      <c r="CX290" s="922">
        <v>0</v>
      </c>
      <c r="CY290" s="922">
        <v>0</v>
      </c>
      <c r="CZ290" s="922">
        <v>0</v>
      </c>
      <c r="DA290" s="922">
        <v>0</v>
      </c>
      <c r="DB290" s="922">
        <v>0</v>
      </c>
      <c r="DC290" s="922">
        <v>0</v>
      </c>
      <c r="DD290" s="922">
        <v>0</v>
      </c>
      <c r="DE290" s="922">
        <v>0</v>
      </c>
      <c r="DF290" s="922">
        <v>0</v>
      </c>
      <c r="DG290" s="922">
        <v>0</v>
      </c>
      <c r="DH290" s="922">
        <v>0</v>
      </c>
      <c r="DI290" s="922">
        <v>0</v>
      </c>
      <c r="DJ290" s="922">
        <v>0</v>
      </c>
      <c r="DK290" s="922">
        <v>0</v>
      </c>
      <c r="DL290" s="922">
        <v>0</v>
      </c>
      <c r="DM290" s="922">
        <v>0</v>
      </c>
      <c r="DN290" s="922">
        <v>0</v>
      </c>
      <c r="DO290" s="922">
        <v>0</v>
      </c>
      <c r="DP290" s="922">
        <v>0</v>
      </c>
      <c r="DQ290" s="922">
        <v>0</v>
      </c>
      <c r="DR290" s="922">
        <v>0</v>
      </c>
      <c r="DS290" s="922">
        <v>0</v>
      </c>
      <c r="DT290" s="922">
        <v>0</v>
      </c>
      <c r="DU290" s="922">
        <v>0</v>
      </c>
      <c r="DV290" s="922">
        <v>0</v>
      </c>
      <c r="DW290" s="922">
        <v>0</v>
      </c>
      <c r="DX290" s="922">
        <v>0</v>
      </c>
      <c r="DY290" s="922">
        <v>0</v>
      </c>
    </row>
    <row r="291" spans="1:129" s="3" customFormat="1" ht="11.7" customHeight="1" outlineLevel="1" x14ac:dyDescent="0.3">
      <c r="A291" s="85"/>
      <c r="B291" s="141" t="s">
        <v>169</v>
      </c>
      <c r="C291" s="141"/>
      <c r="D291" s="328"/>
      <c r="E291" s="159"/>
      <c r="F291" s="159"/>
      <c r="G291" s="127"/>
      <c r="H291" s="327">
        <v>1</v>
      </c>
      <c r="I291" s="327">
        <f>IF(I290&gt;0,H291*(1+I290),H291)</f>
        <v>1</v>
      </c>
      <c r="J291" s="327">
        <f t="shared" ref="J291" si="327">IF(J290&gt;0,I291*(1+J290),I291)</f>
        <v>1</v>
      </c>
      <c r="K291" s="327">
        <f t="shared" ref="K291" si="328">IF(K290&gt;0,J291*(1+K290),J291)</f>
        <v>1</v>
      </c>
      <c r="L291" s="327">
        <f t="shared" ref="L291" si="329">IF(L290&gt;0,K291*(1+L290),K291)</f>
        <v>1</v>
      </c>
      <c r="M291" s="327">
        <f t="shared" ref="M291" si="330">IF(M290&gt;0,L291*(1+M290),L291)</f>
        <v>1</v>
      </c>
      <c r="N291" s="327">
        <f t="shared" ref="N291" si="331">IF(N290&gt;0,M291*(1+N290),M291)</f>
        <v>1</v>
      </c>
      <c r="O291" s="327">
        <f t="shared" ref="O291" si="332">IF(O290&gt;0,N291*(1+O290),N291)</f>
        <v>1</v>
      </c>
      <c r="P291" s="327">
        <f t="shared" ref="P291" si="333">IF(P290&gt;0,O291*(1+P290),O291)</f>
        <v>1</v>
      </c>
      <c r="Q291" s="327">
        <f t="shared" ref="Q291" si="334">IF(Q290&gt;0,P291*(1+Q290),P291)</f>
        <v>1</v>
      </c>
      <c r="R291" s="327">
        <f t="shared" ref="R291" si="335">IF(R290&gt;0,Q291*(1+R290),Q291)</f>
        <v>1</v>
      </c>
      <c r="S291" s="327">
        <f t="shared" ref="S291" si="336">IF(S290&gt;0,R291*(1+S290),R291)</f>
        <v>1</v>
      </c>
      <c r="T291" s="327">
        <f t="shared" ref="T291" si="337">IF(T290&gt;0,S291*(1+T290),S291)</f>
        <v>1</v>
      </c>
      <c r="U291" s="327">
        <f t="shared" ref="U291" si="338">IF(U290&gt;0,T291*(1+U290),T291)</f>
        <v>1</v>
      </c>
      <c r="V291" s="327">
        <f t="shared" ref="V291" si="339">IF(V290&gt;0,U291*(1+V290),U291)</f>
        <v>1</v>
      </c>
      <c r="W291" s="327">
        <f t="shared" ref="W291" si="340">IF(W290&gt;0,V291*(1+W290),V291)</f>
        <v>1</v>
      </c>
      <c r="X291" s="327">
        <f t="shared" ref="X291" si="341">IF(X290&gt;0,W291*(1+X290),W291)</f>
        <v>1</v>
      </c>
      <c r="Y291" s="327">
        <f t="shared" ref="Y291" si="342">IF(Y290&gt;0,X291*(1+Y290),X291)</f>
        <v>1</v>
      </c>
      <c r="Z291" s="327">
        <f t="shared" ref="Z291" si="343">IF(Z290&gt;0,Y291*(1+Z290),Y291)</f>
        <v>1</v>
      </c>
      <c r="AA291" s="327">
        <f t="shared" ref="AA291" si="344">IF(AA290&gt;0,Z291*(1+AA290),Z291)</f>
        <v>1</v>
      </c>
      <c r="AB291" s="327">
        <f>IF(AB290&gt;0,AA291*(1+AB290),AA291)</f>
        <v>1</v>
      </c>
      <c r="AC291" s="327">
        <f t="shared" ref="AC291" si="345">IF(AC290&gt;0,AB291*(1+AC290),AB291)</f>
        <v>1</v>
      </c>
      <c r="AD291" s="327">
        <f t="shared" ref="AD291" si="346">IF(AD290&gt;0,AC291*(1+AD290),AC291)</f>
        <v>1</v>
      </c>
      <c r="AE291" s="327">
        <f t="shared" ref="AE291" si="347">IF(AE290&gt;0,AD291*(1+AE290),AD291)</f>
        <v>1</v>
      </c>
      <c r="AF291" s="327">
        <f t="shared" ref="AF291" si="348">IF(AF290&gt;0,AE291*(1+AF290),AE291)</f>
        <v>1</v>
      </c>
      <c r="AG291" s="327">
        <f t="shared" ref="AG291:BT291" si="349">IF(AG290&gt;0,AF291*(1+AG290),AF291)</f>
        <v>1</v>
      </c>
      <c r="AH291" s="327">
        <f t="shared" si="349"/>
        <v>1</v>
      </c>
      <c r="AI291" s="327">
        <f t="shared" si="349"/>
        <v>1</v>
      </c>
      <c r="AJ291" s="327">
        <f t="shared" si="349"/>
        <v>1</v>
      </c>
      <c r="AK291" s="327">
        <f t="shared" si="349"/>
        <v>1</v>
      </c>
      <c r="AL291" s="327">
        <f t="shared" si="349"/>
        <v>1</v>
      </c>
      <c r="AM291" s="327">
        <f t="shared" si="349"/>
        <v>1</v>
      </c>
      <c r="AN291" s="327">
        <f t="shared" si="349"/>
        <v>1</v>
      </c>
      <c r="AO291" s="327">
        <f t="shared" si="349"/>
        <v>1</v>
      </c>
      <c r="AP291" s="327">
        <f t="shared" si="349"/>
        <v>1</v>
      </c>
      <c r="AQ291" s="327">
        <f t="shared" si="349"/>
        <v>1</v>
      </c>
      <c r="AR291" s="327">
        <f t="shared" si="349"/>
        <v>1</v>
      </c>
      <c r="AS291" s="327">
        <f t="shared" si="349"/>
        <v>1</v>
      </c>
      <c r="AT291" s="327">
        <f t="shared" si="349"/>
        <v>1</v>
      </c>
      <c r="AU291" s="327">
        <f t="shared" si="349"/>
        <v>1</v>
      </c>
      <c r="AV291" s="327">
        <f t="shared" si="349"/>
        <v>1</v>
      </c>
      <c r="AW291" s="327">
        <f t="shared" si="349"/>
        <v>1</v>
      </c>
      <c r="AX291" s="327">
        <f t="shared" si="349"/>
        <v>1</v>
      </c>
      <c r="AY291" s="327">
        <f t="shared" si="349"/>
        <v>1</v>
      </c>
      <c r="AZ291" s="327">
        <f t="shared" si="349"/>
        <v>1</v>
      </c>
      <c r="BA291" s="327">
        <f t="shared" si="349"/>
        <v>1</v>
      </c>
      <c r="BB291" s="327">
        <f t="shared" si="349"/>
        <v>1</v>
      </c>
      <c r="BC291" s="327">
        <f t="shared" si="349"/>
        <v>1</v>
      </c>
      <c r="BD291" s="327">
        <f t="shared" si="349"/>
        <v>1</v>
      </c>
      <c r="BE291" s="327">
        <f t="shared" si="349"/>
        <v>1</v>
      </c>
      <c r="BF291" s="327">
        <f t="shared" si="349"/>
        <v>1</v>
      </c>
      <c r="BG291" s="327">
        <f t="shared" si="349"/>
        <v>1</v>
      </c>
      <c r="BH291" s="327">
        <f t="shared" si="349"/>
        <v>1</v>
      </c>
      <c r="BI291" s="327">
        <f t="shared" si="349"/>
        <v>1</v>
      </c>
      <c r="BJ291" s="327">
        <f t="shared" si="349"/>
        <v>1</v>
      </c>
      <c r="BK291" s="327">
        <f t="shared" si="349"/>
        <v>1</v>
      </c>
      <c r="BL291" s="327">
        <f t="shared" si="349"/>
        <v>1</v>
      </c>
      <c r="BM291" s="327">
        <f t="shared" si="349"/>
        <v>1</v>
      </c>
      <c r="BN291" s="327">
        <f t="shared" si="349"/>
        <v>1</v>
      </c>
      <c r="BO291" s="327">
        <f t="shared" si="349"/>
        <v>1</v>
      </c>
      <c r="BP291" s="327">
        <f t="shared" si="349"/>
        <v>1</v>
      </c>
      <c r="BQ291" s="327">
        <f>IF(BQ290&gt;0,BP291*(1+BQ290),BP291)</f>
        <v>1</v>
      </c>
      <c r="BR291" s="327">
        <f t="shared" si="349"/>
        <v>1</v>
      </c>
      <c r="BS291" s="327">
        <f t="shared" si="349"/>
        <v>1</v>
      </c>
      <c r="BT291" s="327">
        <f t="shared" si="349"/>
        <v>1</v>
      </c>
      <c r="BU291" s="327">
        <f t="shared" ref="BU291:DW291" si="350">IF(BU290&gt;0,BT291*(1+BU290),BT291)</f>
        <v>1</v>
      </c>
      <c r="BV291" s="327">
        <f t="shared" si="350"/>
        <v>1</v>
      </c>
      <c r="BW291" s="327">
        <f t="shared" si="350"/>
        <v>1</v>
      </c>
      <c r="BX291" s="327">
        <f t="shared" si="350"/>
        <v>1</v>
      </c>
      <c r="BY291" s="327">
        <f t="shared" si="350"/>
        <v>1</v>
      </c>
      <c r="BZ291" s="327">
        <f>IF(BZ290&gt;0,BY291*(1+BZ290),BY291)</f>
        <v>1</v>
      </c>
      <c r="CA291" s="327">
        <f t="shared" si="350"/>
        <v>1</v>
      </c>
      <c r="CB291" s="327">
        <f t="shared" si="350"/>
        <v>1</v>
      </c>
      <c r="CC291" s="327">
        <f t="shared" si="350"/>
        <v>1</v>
      </c>
      <c r="CD291" s="327">
        <f t="shared" si="350"/>
        <v>1</v>
      </c>
      <c r="CE291" s="327">
        <f t="shared" si="350"/>
        <v>1</v>
      </c>
      <c r="CF291" s="327">
        <f t="shared" si="350"/>
        <v>1</v>
      </c>
      <c r="CG291" s="327">
        <f t="shared" si="350"/>
        <v>1</v>
      </c>
      <c r="CH291" s="327">
        <f t="shared" si="350"/>
        <v>1</v>
      </c>
      <c r="CI291" s="327">
        <f t="shared" si="350"/>
        <v>1</v>
      </c>
      <c r="CJ291" s="327">
        <f t="shared" si="350"/>
        <v>1</v>
      </c>
      <c r="CK291" s="327">
        <f t="shared" si="350"/>
        <v>1</v>
      </c>
      <c r="CL291" s="327">
        <f t="shared" si="350"/>
        <v>1</v>
      </c>
      <c r="CM291" s="327">
        <f t="shared" si="350"/>
        <v>1</v>
      </c>
      <c r="CN291" s="327">
        <f t="shared" si="350"/>
        <v>1</v>
      </c>
      <c r="CO291" s="327">
        <f t="shared" si="350"/>
        <v>1</v>
      </c>
      <c r="CP291" s="327">
        <f t="shared" si="350"/>
        <v>1</v>
      </c>
      <c r="CQ291" s="327">
        <f t="shared" si="350"/>
        <v>1</v>
      </c>
      <c r="CR291" s="327">
        <f t="shared" si="350"/>
        <v>1</v>
      </c>
      <c r="CS291" s="327">
        <f t="shared" si="350"/>
        <v>1</v>
      </c>
      <c r="CT291" s="327">
        <f t="shared" si="350"/>
        <v>1</v>
      </c>
      <c r="CU291" s="327">
        <f t="shared" si="350"/>
        <v>1</v>
      </c>
      <c r="CV291" s="327">
        <f t="shared" si="350"/>
        <v>1</v>
      </c>
      <c r="CW291" s="327">
        <f t="shared" si="350"/>
        <v>1</v>
      </c>
      <c r="CX291" s="327">
        <f t="shared" si="350"/>
        <v>1</v>
      </c>
      <c r="CY291" s="327">
        <f t="shared" si="350"/>
        <v>1</v>
      </c>
      <c r="CZ291" s="327">
        <f t="shared" si="350"/>
        <v>1</v>
      </c>
      <c r="DA291" s="327">
        <f t="shared" si="350"/>
        <v>1</v>
      </c>
      <c r="DB291" s="327">
        <f t="shared" si="350"/>
        <v>1</v>
      </c>
      <c r="DC291" s="327">
        <f t="shared" si="350"/>
        <v>1</v>
      </c>
      <c r="DD291" s="327">
        <f t="shared" si="350"/>
        <v>1</v>
      </c>
      <c r="DE291" s="327">
        <f t="shared" si="350"/>
        <v>1</v>
      </c>
      <c r="DF291" s="327">
        <f t="shared" si="350"/>
        <v>1</v>
      </c>
      <c r="DG291" s="327">
        <f t="shared" si="350"/>
        <v>1</v>
      </c>
      <c r="DH291" s="327">
        <f t="shared" si="350"/>
        <v>1</v>
      </c>
      <c r="DI291" s="327">
        <f t="shared" si="350"/>
        <v>1</v>
      </c>
      <c r="DJ291" s="327">
        <f t="shared" si="350"/>
        <v>1</v>
      </c>
      <c r="DK291" s="327">
        <f t="shared" si="350"/>
        <v>1</v>
      </c>
      <c r="DL291" s="327">
        <f t="shared" si="350"/>
        <v>1</v>
      </c>
      <c r="DM291" s="327">
        <f t="shared" si="350"/>
        <v>1</v>
      </c>
      <c r="DN291" s="327">
        <f t="shared" si="350"/>
        <v>1</v>
      </c>
      <c r="DO291" s="327">
        <f t="shared" si="350"/>
        <v>1</v>
      </c>
      <c r="DP291" s="327">
        <f t="shared" si="350"/>
        <v>1</v>
      </c>
      <c r="DQ291" s="327">
        <f t="shared" si="350"/>
        <v>1</v>
      </c>
      <c r="DR291" s="327">
        <f t="shared" si="350"/>
        <v>1</v>
      </c>
      <c r="DS291" s="327">
        <f t="shared" si="350"/>
        <v>1</v>
      </c>
      <c r="DT291" s="327">
        <f t="shared" si="350"/>
        <v>1</v>
      </c>
      <c r="DU291" s="327">
        <f t="shared" si="350"/>
        <v>1</v>
      </c>
      <c r="DV291" s="327">
        <f t="shared" si="350"/>
        <v>1</v>
      </c>
      <c r="DW291" s="327">
        <f t="shared" si="350"/>
        <v>1</v>
      </c>
      <c r="DX291" s="327">
        <f t="shared" ref="DX291" si="351">IF(DX290&gt;0,DW291*(1+DX290),DW291)</f>
        <v>1</v>
      </c>
      <c r="DY291" s="327">
        <f t="shared" ref="DY291" si="352">IF(DY290&gt;0,DX291*(1+DY290),DX291)</f>
        <v>1</v>
      </c>
    </row>
    <row r="292" spans="1:129" s="3" customFormat="1" ht="11.7" customHeight="1" outlineLevel="1" x14ac:dyDescent="0.3">
      <c r="A292" s="85"/>
      <c r="B292" s="198"/>
      <c r="C292" s="198"/>
      <c r="D292" s="328"/>
      <c r="E292" s="159"/>
      <c r="F292" s="159"/>
      <c r="G292" s="127"/>
      <c r="H292" s="327"/>
      <c r="I292" s="327"/>
      <c r="J292" s="327"/>
      <c r="K292" s="327"/>
      <c r="L292" s="327"/>
      <c r="M292" s="327"/>
      <c r="N292" s="327"/>
      <c r="O292" s="327"/>
      <c r="P292" s="327"/>
      <c r="Q292" s="327"/>
      <c r="R292" s="327"/>
      <c r="S292" s="327"/>
      <c r="T292" s="327"/>
      <c r="U292" s="327"/>
      <c r="V292" s="327"/>
      <c r="W292" s="327"/>
      <c r="X292" s="327"/>
      <c r="Y292" s="327"/>
      <c r="Z292" s="327"/>
      <c r="AA292" s="327"/>
      <c r="AB292" s="327"/>
      <c r="AC292" s="327"/>
      <c r="AD292" s="327"/>
      <c r="AE292" s="327"/>
      <c r="AF292" s="327"/>
      <c r="AG292" s="327"/>
      <c r="AH292" s="327"/>
      <c r="AI292" s="327"/>
      <c r="AJ292" s="327"/>
      <c r="AK292" s="327"/>
      <c r="AL292" s="327"/>
      <c r="AM292" s="327"/>
      <c r="AN292" s="327"/>
      <c r="AO292" s="327"/>
      <c r="AP292" s="327"/>
      <c r="AQ292" s="327"/>
      <c r="AR292" s="327"/>
      <c r="AS292" s="327"/>
      <c r="AT292" s="327"/>
      <c r="AU292" s="327"/>
      <c r="AV292" s="327"/>
      <c r="AW292" s="327"/>
      <c r="AX292" s="327"/>
      <c r="AY292" s="327"/>
      <c r="AZ292" s="327"/>
      <c r="BA292" s="327"/>
      <c r="BB292" s="327"/>
      <c r="BC292" s="327"/>
      <c r="BD292" s="327"/>
      <c r="BE292" s="327"/>
      <c r="BF292" s="327"/>
      <c r="BG292" s="327"/>
      <c r="BH292" s="327"/>
      <c r="BI292" s="327"/>
      <c r="BJ292" s="327"/>
      <c r="BK292" s="327"/>
      <c r="BL292" s="327"/>
      <c r="BM292" s="327"/>
      <c r="BN292" s="327"/>
      <c r="BO292" s="327"/>
      <c r="BP292" s="327"/>
      <c r="BQ292" s="327"/>
      <c r="BR292" s="327"/>
      <c r="BS292" s="327"/>
      <c r="BT292" s="327"/>
      <c r="BU292" s="327"/>
      <c r="BV292" s="327"/>
      <c r="BW292" s="327"/>
      <c r="BX292" s="327"/>
      <c r="BY292" s="327"/>
      <c r="BZ292" s="327"/>
      <c r="CA292" s="327"/>
      <c r="CB292" s="327"/>
      <c r="CC292" s="327"/>
      <c r="CD292" s="327"/>
      <c r="CE292" s="327"/>
      <c r="CF292" s="327"/>
      <c r="CG292" s="327"/>
      <c r="CH292" s="327"/>
      <c r="CI292" s="327"/>
      <c r="CJ292" s="327"/>
      <c r="CK292" s="327"/>
      <c r="CL292" s="327"/>
      <c r="CM292" s="327"/>
      <c r="CN292" s="327"/>
      <c r="CO292" s="327"/>
      <c r="CP292" s="327"/>
      <c r="CQ292" s="327"/>
      <c r="CR292" s="327"/>
      <c r="CS292" s="327"/>
      <c r="CT292" s="327"/>
      <c r="CU292" s="327"/>
      <c r="CV292" s="327"/>
      <c r="CW292" s="327"/>
      <c r="CX292" s="327"/>
      <c r="CY292" s="327"/>
      <c r="CZ292" s="327"/>
      <c r="DA292" s="327"/>
      <c r="DB292" s="327"/>
      <c r="DC292" s="327"/>
      <c r="DD292" s="327"/>
      <c r="DE292" s="327"/>
      <c r="DF292" s="327"/>
      <c r="DG292" s="327"/>
      <c r="DH292" s="327"/>
      <c r="DI292" s="327"/>
      <c r="DJ292" s="327"/>
      <c r="DK292" s="327"/>
      <c r="DL292" s="327"/>
      <c r="DM292" s="327"/>
      <c r="DN292" s="327"/>
      <c r="DO292" s="327"/>
      <c r="DP292" s="327"/>
      <c r="DQ292" s="327"/>
      <c r="DR292" s="327"/>
      <c r="DS292" s="327"/>
      <c r="DT292" s="327"/>
      <c r="DU292" s="327"/>
      <c r="DV292" s="327"/>
      <c r="DW292" s="327"/>
      <c r="DX292" s="327"/>
      <c r="DY292" s="327"/>
    </row>
    <row r="293" spans="1:129" s="3" customFormat="1" ht="11.7" customHeight="1" outlineLevel="1" x14ac:dyDescent="0.3">
      <c r="A293" s="85"/>
      <c r="B293" s="195" t="s">
        <v>547</v>
      </c>
      <c r="C293" s="195"/>
      <c r="D293" s="328"/>
      <c r="E293" s="159"/>
      <c r="F293" s="159"/>
      <c r="G293" s="127"/>
      <c r="H293" s="327"/>
      <c r="I293" s="327"/>
      <c r="J293" s="327"/>
      <c r="K293" s="327"/>
      <c r="L293" s="327"/>
      <c r="M293" s="327"/>
      <c r="N293" s="327"/>
      <c r="O293" s="327"/>
      <c r="P293" s="327"/>
      <c r="Q293" s="327"/>
      <c r="R293" s="327"/>
      <c r="S293" s="327"/>
      <c r="T293" s="327"/>
      <c r="U293" s="327"/>
      <c r="V293" s="327"/>
      <c r="W293" s="327"/>
      <c r="X293" s="327"/>
      <c r="Y293" s="327"/>
      <c r="Z293" s="327"/>
      <c r="AA293" s="327"/>
      <c r="AB293" s="327"/>
      <c r="AC293" s="327"/>
      <c r="AD293" s="327"/>
      <c r="AE293" s="327"/>
      <c r="AF293" s="327"/>
      <c r="AG293" s="327"/>
      <c r="AH293" s="327"/>
      <c r="AI293" s="327"/>
      <c r="AJ293" s="327"/>
      <c r="AK293" s="327"/>
      <c r="AL293" s="327"/>
      <c r="AM293" s="327"/>
      <c r="AN293" s="327"/>
      <c r="AO293" s="327"/>
      <c r="AP293" s="327"/>
      <c r="AQ293" s="327"/>
      <c r="AR293" s="327"/>
      <c r="AS293" s="327"/>
      <c r="AT293" s="327"/>
      <c r="AU293" s="327"/>
      <c r="AV293" s="327"/>
      <c r="AW293" s="327"/>
      <c r="AX293" s="327"/>
      <c r="AY293" s="327"/>
      <c r="AZ293" s="327"/>
      <c r="BA293" s="327"/>
      <c r="BB293" s="327"/>
      <c r="BC293" s="327"/>
      <c r="BD293" s="327"/>
      <c r="BE293" s="327"/>
      <c r="BF293" s="327"/>
      <c r="BG293" s="327"/>
      <c r="BH293" s="327"/>
      <c r="BI293" s="327"/>
      <c r="BJ293" s="327"/>
      <c r="BK293" s="327"/>
      <c r="BL293" s="327"/>
      <c r="BM293" s="327"/>
      <c r="BN293" s="327"/>
      <c r="BO293" s="327"/>
      <c r="BP293" s="327"/>
      <c r="BQ293" s="327"/>
      <c r="BR293" s="327"/>
      <c r="BS293" s="327"/>
      <c r="BT293" s="327"/>
      <c r="BU293" s="327"/>
      <c r="BV293" s="327"/>
      <c r="BW293" s="327"/>
      <c r="BX293" s="327"/>
      <c r="BY293" s="327"/>
      <c r="BZ293" s="327"/>
      <c r="CA293" s="327"/>
      <c r="CB293" s="327"/>
      <c r="CC293" s="327"/>
      <c r="CD293" s="327"/>
      <c r="CE293" s="327"/>
      <c r="CF293" s="327"/>
      <c r="CG293" s="327"/>
      <c r="CH293" s="327"/>
      <c r="CI293" s="327"/>
      <c r="CJ293" s="327"/>
      <c r="CK293" s="327"/>
      <c r="CL293" s="327"/>
      <c r="CM293" s="327"/>
      <c r="CN293" s="327"/>
      <c r="CO293" s="327"/>
      <c r="CP293" s="327"/>
      <c r="CQ293" s="327"/>
      <c r="CR293" s="327"/>
      <c r="CS293" s="327"/>
      <c r="CT293" s="327"/>
      <c r="CU293" s="327"/>
      <c r="CV293" s="327"/>
      <c r="CW293" s="327"/>
      <c r="CX293" s="327"/>
      <c r="CY293" s="327"/>
      <c r="CZ293" s="327"/>
      <c r="DA293" s="327"/>
      <c r="DB293" s="327"/>
      <c r="DC293" s="327"/>
      <c r="DD293" s="327"/>
      <c r="DE293" s="327"/>
      <c r="DF293" s="327"/>
      <c r="DG293" s="327"/>
      <c r="DH293" s="327"/>
      <c r="DI293" s="327"/>
      <c r="DJ293" s="327"/>
      <c r="DK293" s="327"/>
      <c r="DL293" s="327"/>
      <c r="DM293" s="327"/>
      <c r="DN293" s="327"/>
      <c r="DO293" s="327"/>
      <c r="DP293" s="327"/>
      <c r="DQ293" s="327"/>
      <c r="DR293" s="327"/>
      <c r="DS293" s="327"/>
      <c r="DT293" s="327"/>
      <c r="DU293" s="327"/>
      <c r="DV293" s="327"/>
      <c r="DW293" s="327"/>
      <c r="DX293" s="327"/>
      <c r="DY293" s="327"/>
    </row>
    <row r="294" spans="1:129" s="3" customFormat="1" ht="11.7" customHeight="1" outlineLevel="1" x14ac:dyDescent="0.3">
      <c r="A294" s="85"/>
      <c r="B294" s="113" t="s">
        <v>546</v>
      </c>
      <c r="C294" s="113"/>
      <c r="D294" s="149"/>
      <c r="E294" s="149"/>
      <c r="F294" s="149"/>
      <c r="G294" s="149"/>
      <c r="H294" s="149"/>
      <c r="I294" s="330">
        <f t="shared" ref="I294:AN294" si="353">+IF(I291&lt;=0,SUM(I276:I277),SUM(I276:I277)*I291)</f>
        <v>0</v>
      </c>
      <c r="J294" s="330">
        <f t="shared" si="353"/>
        <v>0</v>
      </c>
      <c r="K294" s="330">
        <f t="shared" si="353"/>
        <v>0</v>
      </c>
      <c r="L294" s="330">
        <f t="shared" si="353"/>
        <v>0</v>
      </c>
      <c r="M294" s="330">
        <f t="shared" si="353"/>
        <v>0</v>
      </c>
      <c r="N294" s="330">
        <f t="shared" si="353"/>
        <v>0</v>
      </c>
      <c r="O294" s="330">
        <f t="shared" si="353"/>
        <v>0</v>
      </c>
      <c r="P294" s="330">
        <f t="shared" si="353"/>
        <v>0</v>
      </c>
      <c r="Q294" s="330">
        <f t="shared" si="353"/>
        <v>0</v>
      </c>
      <c r="R294" s="330">
        <f t="shared" si="353"/>
        <v>0</v>
      </c>
      <c r="S294" s="330">
        <f t="shared" si="353"/>
        <v>0</v>
      </c>
      <c r="T294" s="330">
        <f t="shared" si="353"/>
        <v>0</v>
      </c>
      <c r="U294" s="330">
        <f t="shared" si="353"/>
        <v>0</v>
      </c>
      <c r="V294" s="330">
        <f t="shared" si="353"/>
        <v>0</v>
      </c>
      <c r="W294" s="330">
        <f t="shared" si="353"/>
        <v>0</v>
      </c>
      <c r="X294" s="330">
        <f t="shared" si="353"/>
        <v>0</v>
      </c>
      <c r="Y294" s="330">
        <f t="shared" si="353"/>
        <v>0</v>
      </c>
      <c r="Z294" s="330">
        <f t="shared" si="353"/>
        <v>0</v>
      </c>
      <c r="AA294" s="330">
        <f t="shared" si="353"/>
        <v>0</v>
      </c>
      <c r="AB294" s="330">
        <f t="shared" si="353"/>
        <v>0</v>
      </c>
      <c r="AC294" s="330">
        <f t="shared" si="353"/>
        <v>0</v>
      </c>
      <c r="AD294" s="330">
        <f t="shared" si="353"/>
        <v>0</v>
      </c>
      <c r="AE294" s="330">
        <f t="shared" si="353"/>
        <v>0</v>
      </c>
      <c r="AF294" s="330">
        <f t="shared" si="353"/>
        <v>0</v>
      </c>
      <c r="AG294" s="330">
        <f t="shared" si="353"/>
        <v>0</v>
      </c>
      <c r="AH294" s="330">
        <f t="shared" si="353"/>
        <v>0</v>
      </c>
      <c r="AI294" s="330">
        <f t="shared" si="353"/>
        <v>0</v>
      </c>
      <c r="AJ294" s="330">
        <f t="shared" si="353"/>
        <v>0</v>
      </c>
      <c r="AK294" s="330">
        <f t="shared" si="353"/>
        <v>0</v>
      </c>
      <c r="AL294" s="330">
        <f t="shared" si="353"/>
        <v>0</v>
      </c>
      <c r="AM294" s="330">
        <f t="shared" si="353"/>
        <v>0</v>
      </c>
      <c r="AN294" s="330">
        <f t="shared" si="353"/>
        <v>0</v>
      </c>
      <c r="AO294" s="330">
        <f t="shared" ref="AO294:BT294" si="354">+IF(AO291&lt;=0,SUM(AO276:AO277),SUM(AO276:AO277)*AO291)</f>
        <v>0</v>
      </c>
      <c r="AP294" s="330">
        <f t="shared" si="354"/>
        <v>0</v>
      </c>
      <c r="AQ294" s="330">
        <f t="shared" si="354"/>
        <v>0</v>
      </c>
      <c r="AR294" s="330">
        <f t="shared" si="354"/>
        <v>0</v>
      </c>
      <c r="AS294" s="330">
        <f t="shared" si="354"/>
        <v>0</v>
      </c>
      <c r="AT294" s="330">
        <f t="shared" si="354"/>
        <v>0</v>
      </c>
      <c r="AU294" s="330">
        <f t="shared" si="354"/>
        <v>0</v>
      </c>
      <c r="AV294" s="330">
        <f t="shared" si="354"/>
        <v>0</v>
      </c>
      <c r="AW294" s="330">
        <f t="shared" si="354"/>
        <v>0</v>
      </c>
      <c r="AX294" s="330">
        <f t="shared" si="354"/>
        <v>0</v>
      </c>
      <c r="AY294" s="330">
        <f t="shared" si="354"/>
        <v>0</v>
      </c>
      <c r="AZ294" s="330">
        <f t="shared" si="354"/>
        <v>0</v>
      </c>
      <c r="BA294" s="330">
        <f t="shared" si="354"/>
        <v>0</v>
      </c>
      <c r="BB294" s="330">
        <f t="shared" si="354"/>
        <v>0</v>
      </c>
      <c r="BC294" s="330">
        <f t="shared" si="354"/>
        <v>0</v>
      </c>
      <c r="BD294" s="330">
        <f t="shared" si="354"/>
        <v>0</v>
      </c>
      <c r="BE294" s="330">
        <f t="shared" si="354"/>
        <v>0</v>
      </c>
      <c r="BF294" s="330">
        <f t="shared" si="354"/>
        <v>0</v>
      </c>
      <c r="BG294" s="330">
        <f t="shared" si="354"/>
        <v>0</v>
      </c>
      <c r="BH294" s="330">
        <f t="shared" si="354"/>
        <v>0</v>
      </c>
      <c r="BI294" s="330">
        <f t="shared" si="354"/>
        <v>0</v>
      </c>
      <c r="BJ294" s="330">
        <f t="shared" si="354"/>
        <v>0</v>
      </c>
      <c r="BK294" s="330">
        <f t="shared" si="354"/>
        <v>0</v>
      </c>
      <c r="BL294" s="330">
        <f t="shared" si="354"/>
        <v>0</v>
      </c>
      <c r="BM294" s="330">
        <f t="shared" si="354"/>
        <v>0</v>
      </c>
      <c r="BN294" s="330">
        <f t="shared" si="354"/>
        <v>0</v>
      </c>
      <c r="BO294" s="330">
        <f t="shared" si="354"/>
        <v>0</v>
      </c>
      <c r="BP294" s="330">
        <f t="shared" si="354"/>
        <v>0</v>
      </c>
      <c r="BQ294" s="330">
        <f t="shared" si="354"/>
        <v>0</v>
      </c>
      <c r="BR294" s="330">
        <f t="shared" si="354"/>
        <v>0</v>
      </c>
      <c r="BS294" s="330">
        <f t="shared" si="354"/>
        <v>0</v>
      </c>
      <c r="BT294" s="330">
        <f t="shared" si="354"/>
        <v>0</v>
      </c>
      <c r="BU294" s="330">
        <f t="shared" ref="BU294:CZ294" si="355">+IF(BU291&lt;=0,SUM(BU276:BU277),SUM(BU276:BU277)*BU291)</f>
        <v>0</v>
      </c>
      <c r="BV294" s="330">
        <f t="shared" si="355"/>
        <v>0</v>
      </c>
      <c r="BW294" s="330">
        <f t="shared" si="355"/>
        <v>0</v>
      </c>
      <c r="BX294" s="330">
        <f t="shared" si="355"/>
        <v>0</v>
      </c>
      <c r="BY294" s="330">
        <f t="shared" si="355"/>
        <v>0</v>
      </c>
      <c r="BZ294" s="330">
        <f t="shared" si="355"/>
        <v>0</v>
      </c>
      <c r="CA294" s="330">
        <f t="shared" si="355"/>
        <v>0</v>
      </c>
      <c r="CB294" s="330">
        <f t="shared" si="355"/>
        <v>0</v>
      </c>
      <c r="CC294" s="330">
        <f t="shared" si="355"/>
        <v>0</v>
      </c>
      <c r="CD294" s="330">
        <f t="shared" si="355"/>
        <v>0</v>
      </c>
      <c r="CE294" s="330">
        <f t="shared" si="355"/>
        <v>0</v>
      </c>
      <c r="CF294" s="330">
        <f t="shared" si="355"/>
        <v>0</v>
      </c>
      <c r="CG294" s="330">
        <f t="shared" si="355"/>
        <v>0</v>
      </c>
      <c r="CH294" s="330">
        <f t="shared" si="355"/>
        <v>0</v>
      </c>
      <c r="CI294" s="330">
        <f t="shared" si="355"/>
        <v>0</v>
      </c>
      <c r="CJ294" s="330">
        <f t="shared" si="355"/>
        <v>0</v>
      </c>
      <c r="CK294" s="330">
        <f t="shared" si="355"/>
        <v>0</v>
      </c>
      <c r="CL294" s="330">
        <f t="shared" si="355"/>
        <v>0</v>
      </c>
      <c r="CM294" s="330">
        <f t="shared" si="355"/>
        <v>0</v>
      </c>
      <c r="CN294" s="330">
        <f t="shared" si="355"/>
        <v>0</v>
      </c>
      <c r="CO294" s="330">
        <f t="shared" si="355"/>
        <v>0</v>
      </c>
      <c r="CP294" s="330">
        <f t="shared" si="355"/>
        <v>0</v>
      </c>
      <c r="CQ294" s="330">
        <f t="shared" si="355"/>
        <v>0</v>
      </c>
      <c r="CR294" s="330">
        <f t="shared" si="355"/>
        <v>0</v>
      </c>
      <c r="CS294" s="330">
        <f t="shared" si="355"/>
        <v>0</v>
      </c>
      <c r="CT294" s="330">
        <f t="shared" si="355"/>
        <v>0</v>
      </c>
      <c r="CU294" s="330">
        <f t="shared" si="355"/>
        <v>0</v>
      </c>
      <c r="CV294" s="330">
        <f t="shared" si="355"/>
        <v>0</v>
      </c>
      <c r="CW294" s="330">
        <f t="shared" si="355"/>
        <v>0</v>
      </c>
      <c r="CX294" s="330">
        <f t="shared" si="355"/>
        <v>0</v>
      </c>
      <c r="CY294" s="330">
        <f t="shared" si="355"/>
        <v>0</v>
      </c>
      <c r="CZ294" s="330">
        <f t="shared" si="355"/>
        <v>0</v>
      </c>
      <c r="DA294" s="330">
        <f t="shared" ref="DA294:DY294" si="356">+IF(DA291&lt;=0,SUM(DA276:DA277),SUM(DA276:DA277)*DA291)</f>
        <v>0</v>
      </c>
      <c r="DB294" s="330">
        <f t="shared" si="356"/>
        <v>0</v>
      </c>
      <c r="DC294" s="330">
        <f t="shared" si="356"/>
        <v>0</v>
      </c>
      <c r="DD294" s="330">
        <f t="shared" si="356"/>
        <v>0</v>
      </c>
      <c r="DE294" s="330">
        <f t="shared" si="356"/>
        <v>0</v>
      </c>
      <c r="DF294" s="330">
        <f t="shared" si="356"/>
        <v>0</v>
      </c>
      <c r="DG294" s="330">
        <f t="shared" si="356"/>
        <v>0</v>
      </c>
      <c r="DH294" s="330">
        <f t="shared" si="356"/>
        <v>0</v>
      </c>
      <c r="DI294" s="330">
        <f t="shared" si="356"/>
        <v>0</v>
      </c>
      <c r="DJ294" s="330">
        <f t="shared" si="356"/>
        <v>0</v>
      </c>
      <c r="DK294" s="330">
        <f t="shared" si="356"/>
        <v>0</v>
      </c>
      <c r="DL294" s="330">
        <f t="shared" si="356"/>
        <v>0</v>
      </c>
      <c r="DM294" s="330">
        <f t="shared" si="356"/>
        <v>0</v>
      </c>
      <c r="DN294" s="330">
        <f t="shared" si="356"/>
        <v>0</v>
      </c>
      <c r="DO294" s="330">
        <f t="shared" si="356"/>
        <v>0</v>
      </c>
      <c r="DP294" s="330">
        <f t="shared" si="356"/>
        <v>0</v>
      </c>
      <c r="DQ294" s="330">
        <f t="shared" si="356"/>
        <v>0</v>
      </c>
      <c r="DR294" s="330">
        <f t="shared" si="356"/>
        <v>0</v>
      </c>
      <c r="DS294" s="330">
        <f t="shared" si="356"/>
        <v>0</v>
      </c>
      <c r="DT294" s="330">
        <f t="shared" si="356"/>
        <v>0</v>
      </c>
      <c r="DU294" s="330">
        <f t="shared" si="356"/>
        <v>0</v>
      </c>
      <c r="DV294" s="330">
        <f t="shared" si="356"/>
        <v>0</v>
      </c>
      <c r="DW294" s="330">
        <f t="shared" si="356"/>
        <v>0</v>
      </c>
      <c r="DX294" s="330">
        <f t="shared" si="356"/>
        <v>0</v>
      </c>
      <c r="DY294" s="330">
        <f t="shared" si="356"/>
        <v>0</v>
      </c>
    </row>
    <row r="295" spans="1:129" s="3" customFormat="1" ht="11.7" customHeight="1" outlineLevel="1" x14ac:dyDescent="0.3">
      <c r="A295" s="85"/>
      <c r="B295" s="113" t="s">
        <v>542</v>
      </c>
      <c r="C295" s="113"/>
      <c r="D295" s="651"/>
      <c r="E295" s="149"/>
      <c r="F295" s="149"/>
      <c r="G295" s="149"/>
      <c r="H295" s="149"/>
      <c r="I295" s="330">
        <f t="shared" ref="I295:AN295" si="357">+IF(I291&lt;=0,SUM(I279:I280),SUM(I279:I280)*I291)</f>
        <v>0.5</v>
      </c>
      <c r="J295" s="330">
        <f t="shared" si="357"/>
        <v>0.5</v>
      </c>
      <c r="K295" s="330">
        <f t="shared" si="357"/>
        <v>0.5</v>
      </c>
      <c r="L295" s="330">
        <f t="shared" si="357"/>
        <v>0.5</v>
      </c>
      <c r="M295" s="330">
        <f t="shared" si="357"/>
        <v>0.5</v>
      </c>
      <c r="N295" s="330">
        <f t="shared" si="357"/>
        <v>0.5</v>
      </c>
      <c r="O295" s="330">
        <f t="shared" si="357"/>
        <v>0.5</v>
      </c>
      <c r="P295" s="330">
        <f t="shared" si="357"/>
        <v>0.5</v>
      </c>
      <c r="Q295" s="330">
        <f t="shared" si="357"/>
        <v>0.5</v>
      </c>
      <c r="R295" s="330">
        <f t="shared" si="357"/>
        <v>0.5</v>
      </c>
      <c r="S295" s="330">
        <f t="shared" si="357"/>
        <v>0.5</v>
      </c>
      <c r="T295" s="330">
        <f t="shared" si="357"/>
        <v>0.5</v>
      </c>
      <c r="U295" s="330">
        <f t="shared" si="357"/>
        <v>0.5</v>
      </c>
      <c r="V295" s="330">
        <f t="shared" si="357"/>
        <v>0.5</v>
      </c>
      <c r="W295" s="330">
        <f t="shared" si="357"/>
        <v>0.5</v>
      </c>
      <c r="X295" s="330">
        <f t="shared" si="357"/>
        <v>0.5</v>
      </c>
      <c r="Y295" s="330">
        <f t="shared" si="357"/>
        <v>0.5</v>
      </c>
      <c r="Z295" s="330">
        <f t="shared" si="357"/>
        <v>0.5</v>
      </c>
      <c r="AA295" s="330">
        <f t="shared" si="357"/>
        <v>0.5</v>
      </c>
      <c r="AB295" s="330">
        <f t="shared" si="357"/>
        <v>0.5</v>
      </c>
      <c r="AC295" s="330">
        <f t="shared" si="357"/>
        <v>0.5</v>
      </c>
      <c r="AD295" s="330">
        <f t="shared" si="357"/>
        <v>0.5</v>
      </c>
      <c r="AE295" s="330">
        <f t="shared" si="357"/>
        <v>0.5</v>
      </c>
      <c r="AF295" s="330">
        <f t="shared" si="357"/>
        <v>0.5</v>
      </c>
      <c r="AG295" s="330">
        <f t="shared" si="357"/>
        <v>0.5</v>
      </c>
      <c r="AH295" s="330">
        <f t="shared" si="357"/>
        <v>0.5</v>
      </c>
      <c r="AI295" s="330">
        <f t="shared" si="357"/>
        <v>0.5</v>
      </c>
      <c r="AJ295" s="330">
        <f t="shared" si="357"/>
        <v>0.5</v>
      </c>
      <c r="AK295" s="330">
        <f t="shared" si="357"/>
        <v>0.5</v>
      </c>
      <c r="AL295" s="330">
        <f t="shared" si="357"/>
        <v>0.5</v>
      </c>
      <c r="AM295" s="330">
        <f t="shared" si="357"/>
        <v>0.5</v>
      </c>
      <c r="AN295" s="330">
        <f t="shared" si="357"/>
        <v>0.5</v>
      </c>
      <c r="AO295" s="330">
        <f t="shared" ref="AO295:BT295" si="358">+IF(AO291&lt;=0,SUM(AO279:AO280),SUM(AO279:AO280)*AO291)</f>
        <v>0.5</v>
      </c>
      <c r="AP295" s="330">
        <f t="shared" si="358"/>
        <v>0.5</v>
      </c>
      <c r="AQ295" s="330">
        <f t="shared" si="358"/>
        <v>0.5</v>
      </c>
      <c r="AR295" s="330">
        <f t="shared" si="358"/>
        <v>0.5</v>
      </c>
      <c r="AS295" s="330">
        <f t="shared" si="358"/>
        <v>0.5</v>
      </c>
      <c r="AT295" s="330">
        <f t="shared" si="358"/>
        <v>0.5</v>
      </c>
      <c r="AU295" s="330">
        <f t="shared" si="358"/>
        <v>0.5</v>
      </c>
      <c r="AV295" s="330">
        <f t="shared" si="358"/>
        <v>0.5</v>
      </c>
      <c r="AW295" s="330">
        <f t="shared" si="358"/>
        <v>0.5</v>
      </c>
      <c r="AX295" s="330">
        <f t="shared" si="358"/>
        <v>0.5</v>
      </c>
      <c r="AY295" s="330">
        <f t="shared" si="358"/>
        <v>0.5</v>
      </c>
      <c r="AZ295" s="330">
        <f t="shared" si="358"/>
        <v>0.5</v>
      </c>
      <c r="BA295" s="330">
        <f t="shared" si="358"/>
        <v>0.5</v>
      </c>
      <c r="BB295" s="330">
        <f t="shared" si="358"/>
        <v>0.5</v>
      </c>
      <c r="BC295" s="330">
        <f t="shared" si="358"/>
        <v>0.5</v>
      </c>
      <c r="BD295" s="330">
        <f t="shared" si="358"/>
        <v>0.5</v>
      </c>
      <c r="BE295" s="330">
        <f t="shared" si="358"/>
        <v>0.5</v>
      </c>
      <c r="BF295" s="330">
        <f t="shared" si="358"/>
        <v>0.5</v>
      </c>
      <c r="BG295" s="330">
        <f t="shared" si="358"/>
        <v>0.5</v>
      </c>
      <c r="BH295" s="330">
        <f t="shared" si="358"/>
        <v>0.5</v>
      </c>
      <c r="BI295" s="330">
        <f t="shared" si="358"/>
        <v>0.5</v>
      </c>
      <c r="BJ295" s="330">
        <f t="shared" si="358"/>
        <v>0.5</v>
      </c>
      <c r="BK295" s="330">
        <f t="shared" si="358"/>
        <v>0.5</v>
      </c>
      <c r="BL295" s="330">
        <f t="shared" si="358"/>
        <v>0.5</v>
      </c>
      <c r="BM295" s="330">
        <f t="shared" si="358"/>
        <v>0.5</v>
      </c>
      <c r="BN295" s="330">
        <f t="shared" si="358"/>
        <v>0.5</v>
      </c>
      <c r="BO295" s="330">
        <f t="shared" si="358"/>
        <v>0.5</v>
      </c>
      <c r="BP295" s="330">
        <f t="shared" si="358"/>
        <v>0.5</v>
      </c>
      <c r="BQ295" s="330">
        <f t="shared" si="358"/>
        <v>0.5</v>
      </c>
      <c r="BR295" s="330">
        <f t="shared" si="358"/>
        <v>0.5</v>
      </c>
      <c r="BS295" s="330">
        <f t="shared" si="358"/>
        <v>0.5</v>
      </c>
      <c r="BT295" s="330">
        <f t="shared" si="358"/>
        <v>0.5</v>
      </c>
      <c r="BU295" s="330">
        <f t="shared" ref="BU295:CZ295" si="359">+IF(BU291&lt;=0,SUM(BU279:BU280),SUM(BU279:BU280)*BU291)</f>
        <v>0.5</v>
      </c>
      <c r="BV295" s="330">
        <f t="shared" si="359"/>
        <v>0.5</v>
      </c>
      <c r="BW295" s="330">
        <f t="shared" si="359"/>
        <v>0.5</v>
      </c>
      <c r="BX295" s="330">
        <f t="shared" si="359"/>
        <v>0.5</v>
      </c>
      <c r="BY295" s="330">
        <f t="shared" si="359"/>
        <v>0.5</v>
      </c>
      <c r="BZ295" s="330">
        <f t="shared" si="359"/>
        <v>0.5</v>
      </c>
      <c r="CA295" s="330">
        <f t="shared" si="359"/>
        <v>0.5</v>
      </c>
      <c r="CB295" s="330">
        <f t="shared" si="359"/>
        <v>0.5</v>
      </c>
      <c r="CC295" s="330">
        <f t="shared" si="359"/>
        <v>0.5</v>
      </c>
      <c r="CD295" s="330">
        <f t="shared" si="359"/>
        <v>0.5</v>
      </c>
      <c r="CE295" s="330">
        <f t="shared" si="359"/>
        <v>0.5</v>
      </c>
      <c r="CF295" s="330">
        <f t="shared" si="359"/>
        <v>0.5</v>
      </c>
      <c r="CG295" s="330">
        <f t="shared" si="359"/>
        <v>0.5</v>
      </c>
      <c r="CH295" s="330">
        <f t="shared" si="359"/>
        <v>0.5</v>
      </c>
      <c r="CI295" s="330">
        <f t="shared" si="359"/>
        <v>0.5</v>
      </c>
      <c r="CJ295" s="330">
        <f t="shared" si="359"/>
        <v>0.5</v>
      </c>
      <c r="CK295" s="330">
        <f t="shared" si="359"/>
        <v>0.5</v>
      </c>
      <c r="CL295" s="330">
        <f t="shared" si="359"/>
        <v>0.5</v>
      </c>
      <c r="CM295" s="330">
        <f t="shared" si="359"/>
        <v>0.5</v>
      </c>
      <c r="CN295" s="330">
        <f t="shared" si="359"/>
        <v>0.5</v>
      </c>
      <c r="CO295" s="330">
        <f t="shared" si="359"/>
        <v>0.5</v>
      </c>
      <c r="CP295" s="330">
        <f t="shared" si="359"/>
        <v>0.5</v>
      </c>
      <c r="CQ295" s="330">
        <f t="shared" si="359"/>
        <v>0.5</v>
      </c>
      <c r="CR295" s="330">
        <f t="shared" si="359"/>
        <v>0.5</v>
      </c>
      <c r="CS295" s="330">
        <f t="shared" si="359"/>
        <v>0.5</v>
      </c>
      <c r="CT295" s="330">
        <f t="shared" si="359"/>
        <v>0.5</v>
      </c>
      <c r="CU295" s="330">
        <f t="shared" si="359"/>
        <v>0.5</v>
      </c>
      <c r="CV295" s="330">
        <f t="shared" si="359"/>
        <v>0.5</v>
      </c>
      <c r="CW295" s="330">
        <f t="shared" si="359"/>
        <v>0.5</v>
      </c>
      <c r="CX295" s="330">
        <f t="shared" si="359"/>
        <v>0.5</v>
      </c>
      <c r="CY295" s="330">
        <f t="shared" si="359"/>
        <v>0.5</v>
      </c>
      <c r="CZ295" s="330">
        <f t="shared" si="359"/>
        <v>0.5</v>
      </c>
      <c r="DA295" s="330">
        <f t="shared" ref="DA295:DY295" si="360">+IF(DA291&lt;=0,SUM(DA279:DA280),SUM(DA279:DA280)*DA291)</f>
        <v>0.5</v>
      </c>
      <c r="DB295" s="330">
        <f t="shared" si="360"/>
        <v>0.5</v>
      </c>
      <c r="DC295" s="330">
        <f t="shared" si="360"/>
        <v>0.5</v>
      </c>
      <c r="DD295" s="330">
        <f t="shared" si="360"/>
        <v>0.5</v>
      </c>
      <c r="DE295" s="330">
        <f t="shared" si="360"/>
        <v>0.5</v>
      </c>
      <c r="DF295" s="330">
        <f t="shared" si="360"/>
        <v>0.5</v>
      </c>
      <c r="DG295" s="330">
        <f t="shared" si="360"/>
        <v>0.5</v>
      </c>
      <c r="DH295" s="330">
        <f t="shared" si="360"/>
        <v>0.5</v>
      </c>
      <c r="DI295" s="330">
        <f t="shared" si="360"/>
        <v>0.5</v>
      </c>
      <c r="DJ295" s="330">
        <f t="shared" si="360"/>
        <v>0.5</v>
      </c>
      <c r="DK295" s="330">
        <f t="shared" si="360"/>
        <v>0.5</v>
      </c>
      <c r="DL295" s="330">
        <f t="shared" si="360"/>
        <v>0.5</v>
      </c>
      <c r="DM295" s="330">
        <f t="shared" si="360"/>
        <v>0.5</v>
      </c>
      <c r="DN295" s="330">
        <f t="shared" si="360"/>
        <v>0.5</v>
      </c>
      <c r="DO295" s="330">
        <f t="shared" si="360"/>
        <v>0.5</v>
      </c>
      <c r="DP295" s="330">
        <f t="shared" si="360"/>
        <v>0.5</v>
      </c>
      <c r="DQ295" s="330">
        <f t="shared" si="360"/>
        <v>0.5</v>
      </c>
      <c r="DR295" s="330">
        <f t="shared" si="360"/>
        <v>0.5</v>
      </c>
      <c r="DS295" s="330">
        <f t="shared" si="360"/>
        <v>0.5</v>
      </c>
      <c r="DT295" s="330">
        <f t="shared" si="360"/>
        <v>0.5</v>
      </c>
      <c r="DU295" s="330">
        <f t="shared" si="360"/>
        <v>0.5</v>
      </c>
      <c r="DV295" s="330">
        <f t="shared" si="360"/>
        <v>0.5</v>
      </c>
      <c r="DW295" s="330">
        <f t="shared" si="360"/>
        <v>0.5</v>
      </c>
      <c r="DX295" s="330">
        <f t="shared" si="360"/>
        <v>0.5</v>
      </c>
      <c r="DY295" s="330">
        <f t="shared" si="360"/>
        <v>0.5</v>
      </c>
    </row>
    <row r="296" spans="1:129" s="3" customFormat="1" ht="11.7" customHeight="1" outlineLevel="1" x14ac:dyDescent="0.3">
      <c r="A296" s="85"/>
      <c r="B296" s="113" t="s">
        <v>543</v>
      </c>
      <c r="C296" s="113"/>
      <c r="D296" s="651"/>
      <c r="E296" s="149"/>
      <c r="F296" s="149"/>
      <c r="G296" s="149"/>
      <c r="H296" s="149"/>
      <c r="I296" s="330">
        <f t="shared" ref="I296:AN296" si="361">+IF(I291&lt;=0,SUM(I282:I283),SUM(I282:I283)*I291)</f>
        <v>0.75</v>
      </c>
      <c r="J296" s="330">
        <f t="shared" si="361"/>
        <v>0.75</v>
      </c>
      <c r="K296" s="330">
        <f t="shared" si="361"/>
        <v>0.75</v>
      </c>
      <c r="L296" s="330">
        <f t="shared" si="361"/>
        <v>0.75</v>
      </c>
      <c r="M296" s="330">
        <f t="shared" si="361"/>
        <v>0.75</v>
      </c>
      <c r="N296" s="330">
        <f t="shared" si="361"/>
        <v>0.75</v>
      </c>
      <c r="O296" s="330">
        <f t="shared" si="361"/>
        <v>0.75</v>
      </c>
      <c r="P296" s="330">
        <f t="shared" si="361"/>
        <v>0.75</v>
      </c>
      <c r="Q296" s="330">
        <f t="shared" si="361"/>
        <v>0.75</v>
      </c>
      <c r="R296" s="330">
        <f t="shared" si="361"/>
        <v>0.75</v>
      </c>
      <c r="S296" s="330">
        <f t="shared" si="361"/>
        <v>0.75</v>
      </c>
      <c r="T296" s="330">
        <f t="shared" si="361"/>
        <v>0.75</v>
      </c>
      <c r="U296" s="330">
        <f t="shared" si="361"/>
        <v>0.75</v>
      </c>
      <c r="V296" s="330">
        <f t="shared" si="361"/>
        <v>0.75</v>
      </c>
      <c r="W296" s="330">
        <f t="shared" si="361"/>
        <v>0.75</v>
      </c>
      <c r="X296" s="330">
        <f t="shared" si="361"/>
        <v>0.75</v>
      </c>
      <c r="Y296" s="330">
        <f t="shared" si="361"/>
        <v>0.75</v>
      </c>
      <c r="Z296" s="330">
        <f t="shared" si="361"/>
        <v>0.75</v>
      </c>
      <c r="AA296" s="330">
        <f t="shared" si="361"/>
        <v>0.75</v>
      </c>
      <c r="AB296" s="330">
        <f t="shared" si="361"/>
        <v>0.75</v>
      </c>
      <c r="AC296" s="330">
        <f t="shared" si="361"/>
        <v>0.75</v>
      </c>
      <c r="AD296" s="330">
        <f t="shared" si="361"/>
        <v>0.75</v>
      </c>
      <c r="AE296" s="330">
        <f t="shared" si="361"/>
        <v>0.75</v>
      </c>
      <c r="AF296" s="330">
        <f t="shared" si="361"/>
        <v>0.75</v>
      </c>
      <c r="AG296" s="330">
        <f t="shared" si="361"/>
        <v>0.75</v>
      </c>
      <c r="AH296" s="330">
        <f t="shared" si="361"/>
        <v>0.75</v>
      </c>
      <c r="AI296" s="330">
        <f t="shared" si="361"/>
        <v>0.75</v>
      </c>
      <c r="AJ296" s="330">
        <f t="shared" si="361"/>
        <v>0.75</v>
      </c>
      <c r="AK296" s="330">
        <f t="shared" si="361"/>
        <v>0.75</v>
      </c>
      <c r="AL296" s="330">
        <f t="shared" si="361"/>
        <v>0.75</v>
      </c>
      <c r="AM296" s="330">
        <f t="shared" si="361"/>
        <v>0.75</v>
      </c>
      <c r="AN296" s="330">
        <f t="shared" si="361"/>
        <v>0.75</v>
      </c>
      <c r="AO296" s="330">
        <f t="shared" ref="AO296:BT296" si="362">+IF(AO291&lt;=0,SUM(AO282:AO283),SUM(AO282:AO283)*AO291)</f>
        <v>0.75</v>
      </c>
      <c r="AP296" s="330">
        <f t="shared" si="362"/>
        <v>0.75</v>
      </c>
      <c r="AQ296" s="330">
        <f t="shared" si="362"/>
        <v>0.75</v>
      </c>
      <c r="AR296" s="330">
        <f t="shared" si="362"/>
        <v>0.75</v>
      </c>
      <c r="AS296" s="330">
        <f t="shared" si="362"/>
        <v>0.75</v>
      </c>
      <c r="AT296" s="330">
        <f t="shared" si="362"/>
        <v>0.75</v>
      </c>
      <c r="AU296" s="330">
        <f t="shared" si="362"/>
        <v>0.75</v>
      </c>
      <c r="AV296" s="330">
        <f t="shared" si="362"/>
        <v>0.75</v>
      </c>
      <c r="AW296" s="330">
        <f t="shared" si="362"/>
        <v>0.75</v>
      </c>
      <c r="AX296" s="330">
        <f t="shared" si="362"/>
        <v>0.75</v>
      </c>
      <c r="AY296" s="330">
        <f t="shared" si="362"/>
        <v>0.75</v>
      </c>
      <c r="AZ296" s="330">
        <f t="shared" si="362"/>
        <v>0.75</v>
      </c>
      <c r="BA296" s="330">
        <f t="shared" si="362"/>
        <v>0.75</v>
      </c>
      <c r="BB296" s="330">
        <f t="shared" si="362"/>
        <v>0.75</v>
      </c>
      <c r="BC296" s="330">
        <f t="shared" si="362"/>
        <v>0.75</v>
      </c>
      <c r="BD296" s="330">
        <f t="shared" si="362"/>
        <v>0.75</v>
      </c>
      <c r="BE296" s="330">
        <f t="shared" si="362"/>
        <v>0.75</v>
      </c>
      <c r="BF296" s="330">
        <f t="shared" si="362"/>
        <v>0.75</v>
      </c>
      <c r="BG296" s="330">
        <f t="shared" si="362"/>
        <v>0.75</v>
      </c>
      <c r="BH296" s="330">
        <f t="shared" si="362"/>
        <v>0.75</v>
      </c>
      <c r="BI296" s="330">
        <f t="shared" si="362"/>
        <v>0.75</v>
      </c>
      <c r="BJ296" s="330">
        <f t="shared" si="362"/>
        <v>0.75</v>
      </c>
      <c r="BK296" s="330">
        <f t="shared" si="362"/>
        <v>0.75</v>
      </c>
      <c r="BL296" s="330">
        <f t="shared" si="362"/>
        <v>0.75</v>
      </c>
      <c r="BM296" s="330">
        <f t="shared" si="362"/>
        <v>0.75</v>
      </c>
      <c r="BN296" s="330">
        <f t="shared" si="362"/>
        <v>0.75</v>
      </c>
      <c r="BO296" s="330">
        <f t="shared" si="362"/>
        <v>0.75</v>
      </c>
      <c r="BP296" s="330">
        <f t="shared" si="362"/>
        <v>0.75</v>
      </c>
      <c r="BQ296" s="330">
        <f t="shared" si="362"/>
        <v>0.75</v>
      </c>
      <c r="BR296" s="330">
        <f t="shared" si="362"/>
        <v>0.75</v>
      </c>
      <c r="BS296" s="330">
        <f t="shared" si="362"/>
        <v>0.75</v>
      </c>
      <c r="BT296" s="330">
        <f t="shared" si="362"/>
        <v>0.75</v>
      </c>
      <c r="BU296" s="330">
        <f t="shared" ref="BU296:CZ296" si="363">+IF(BU291&lt;=0,SUM(BU282:BU283),SUM(BU282:BU283)*BU291)</f>
        <v>0.75</v>
      </c>
      <c r="BV296" s="330">
        <f t="shared" si="363"/>
        <v>0.75</v>
      </c>
      <c r="BW296" s="330">
        <f t="shared" si="363"/>
        <v>0.75</v>
      </c>
      <c r="BX296" s="330">
        <f t="shared" si="363"/>
        <v>0.75</v>
      </c>
      <c r="BY296" s="330">
        <f t="shared" si="363"/>
        <v>0.75</v>
      </c>
      <c r="BZ296" s="330">
        <f t="shared" si="363"/>
        <v>0.75</v>
      </c>
      <c r="CA296" s="330">
        <f t="shared" si="363"/>
        <v>0.75</v>
      </c>
      <c r="CB296" s="330">
        <f t="shared" si="363"/>
        <v>0.75</v>
      </c>
      <c r="CC296" s="330">
        <f t="shared" si="363"/>
        <v>0.75</v>
      </c>
      <c r="CD296" s="330">
        <f t="shared" si="363"/>
        <v>0.75</v>
      </c>
      <c r="CE296" s="330">
        <f t="shared" si="363"/>
        <v>0.75</v>
      </c>
      <c r="CF296" s="330">
        <f t="shared" si="363"/>
        <v>0.75</v>
      </c>
      <c r="CG296" s="330">
        <f t="shared" si="363"/>
        <v>0.75</v>
      </c>
      <c r="CH296" s="330">
        <f t="shared" si="363"/>
        <v>0.75</v>
      </c>
      <c r="CI296" s="330">
        <f t="shared" si="363"/>
        <v>0.75</v>
      </c>
      <c r="CJ296" s="330">
        <f t="shared" si="363"/>
        <v>0.75</v>
      </c>
      <c r="CK296" s="330">
        <f t="shared" si="363"/>
        <v>0.75</v>
      </c>
      <c r="CL296" s="330">
        <f t="shared" si="363"/>
        <v>0.75</v>
      </c>
      <c r="CM296" s="330">
        <f t="shared" si="363"/>
        <v>0.75</v>
      </c>
      <c r="CN296" s="330">
        <f t="shared" si="363"/>
        <v>0.75</v>
      </c>
      <c r="CO296" s="330">
        <f t="shared" si="363"/>
        <v>0.75</v>
      </c>
      <c r="CP296" s="330">
        <f t="shared" si="363"/>
        <v>0.75</v>
      </c>
      <c r="CQ296" s="330">
        <f t="shared" si="363"/>
        <v>0.75</v>
      </c>
      <c r="CR296" s="330">
        <f t="shared" si="363"/>
        <v>0.75</v>
      </c>
      <c r="CS296" s="330">
        <f t="shared" si="363"/>
        <v>0.75</v>
      </c>
      <c r="CT296" s="330">
        <f t="shared" si="363"/>
        <v>0.75</v>
      </c>
      <c r="CU296" s="330">
        <f t="shared" si="363"/>
        <v>0.75</v>
      </c>
      <c r="CV296" s="330">
        <f t="shared" si="363"/>
        <v>0.75</v>
      </c>
      <c r="CW296" s="330">
        <f t="shared" si="363"/>
        <v>0.75</v>
      </c>
      <c r="CX296" s="330">
        <f t="shared" si="363"/>
        <v>0.75</v>
      </c>
      <c r="CY296" s="330">
        <f t="shared" si="363"/>
        <v>0.75</v>
      </c>
      <c r="CZ296" s="330">
        <f t="shared" si="363"/>
        <v>0.75</v>
      </c>
      <c r="DA296" s="330">
        <f t="shared" ref="DA296:DY296" si="364">+IF(DA291&lt;=0,SUM(DA282:DA283),SUM(DA282:DA283)*DA291)</f>
        <v>0.75</v>
      </c>
      <c r="DB296" s="330">
        <f t="shared" si="364"/>
        <v>0.75</v>
      </c>
      <c r="DC296" s="330">
        <f t="shared" si="364"/>
        <v>0.75</v>
      </c>
      <c r="DD296" s="330">
        <f t="shared" si="364"/>
        <v>0.75</v>
      </c>
      <c r="DE296" s="330">
        <f t="shared" si="364"/>
        <v>0.75</v>
      </c>
      <c r="DF296" s="330">
        <f t="shared" si="364"/>
        <v>0.75</v>
      </c>
      <c r="DG296" s="330">
        <f t="shared" si="364"/>
        <v>0.75</v>
      </c>
      <c r="DH296" s="330">
        <f t="shared" si="364"/>
        <v>0.75</v>
      </c>
      <c r="DI296" s="330">
        <f t="shared" si="364"/>
        <v>0.75</v>
      </c>
      <c r="DJ296" s="330">
        <f t="shared" si="364"/>
        <v>0.75</v>
      </c>
      <c r="DK296" s="330">
        <f t="shared" si="364"/>
        <v>0.75</v>
      </c>
      <c r="DL296" s="330">
        <f t="shared" si="364"/>
        <v>0.75</v>
      </c>
      <c r="DM296" s="330">
        <f t="shared" si="364"/>
        <v>0.75</v>
      </c>
      <c r="DN296" s="330">
        <f t="shared" si="364"/>
        <v>0.75</v>
      </c>
      <c r="DO296" s="330">
        <f t="shared" si="364"/>
        <v>0.75</v>
      </c>
      <c r="DP296" s="330">
        <f t="shared" si="364"/>
        <v>0.75</v>
      </c>
      <c r="DQ296" s="330">
        <f t="shared" si="364"/>
        <v>0.75</v>
      </c>
      <c r="DR296" s="330">
        <f t="shared" si="364"/>
        <v>0.75</v>
      </c>
      <c r="DS296" s="330">
        <f t="shared" si="364"/>
        <v>0.75</v>
      </c>
      <c r="DT296" s="330">
        <f t="shared" si="364"/>
        <v>0.75</v>
      </c>
      <c r="DU296" s="330">
        <f t="shared" si="364"/>
        <v>0.75</v>
      </c>
      <c r="DV296" s="330">
        <f t="shared" si="364"/>
        <v>0.75</v>
      </c>
      <c r="DW296" s="330">
        <f t="shared" si="364"/>
        <v>0.75</v>
      </c>
      <c r="DX296" s="330">
        <f t="shared" si="364"/>
        <v>0.75</v>
      </c>
      <c r="DY296" s="330">
        <f t="shared" si="364"/>
        <v>0.75</v>
      </c>
    </row>
    <row r="297" spans="1:129" s="3" customFormat="1" ht="11.7" customHeight="1" outlineLevel="1" x14ac:dyDescent="0.3">
      <c r="A297" s="85"/>
      <c r="B297" s="113" t="s">
        <v>544</v>
      </c>
      <c r="C297" s="113"/>
      <c r="D297" s="651"/>
      <c r="E297" s="149"/>
      <c r="F297" s="149"/>
      <c r="G297" s="149"/>
      <c r="H297" s="149"/>
      <c r="I297" s="330">
        <f t="shared" ref="I297:AN297" si="365">+IF(I291&lt;=0,SUM(I285:I286),SUM(I285:I286)*I291)</f>
        <v>0</v>
      </c>
      <c r="J297" s="330">
        <f t="shared" si="365"/>
        <v>0</v>
      </c>
      <c r="K297" s="330">
        <f t="shared" si="365"/>
        <v>0</v>
      </c>
      <c r="L297" s="330">
        <f t="shared" si="365"/>
        <v>0</v>
      </c>
      <c r="M297" s="330">
        <f t="shared" si="365"/>
        <v>0</v>
      </c>
      <c r="N297" s="330">
        <f t="shared" si="365"/>
        <v>0</v>
      </c>
      <c r="O297" s="330">
        <f t="shared" si="365"/>
        <v>0</v>
      </c>
      <c r="P297" s="330">
        <f t="shared" si="365"/>
        <v>0</v>
      </c>
      <c r="Q297" s="330">
        <f t="shared" si="365"/>
        <v>0</v>
      </c>
      <c r="R297" s="330">
        <f t="shared" si="365"/>
        <v>0</v>
      </c>
      <c r="S297" s="330">
        <f t="shared" si="365"/>
        <v>0</v>
      </c>
      <c r="T297" s="330">
        <f t="shared" si="365"/>
        <v>0</v>
      </c>
      <c r="U297" s="330">
        <f t="shared" si="365"/>
        <v>0</v>
      </c>
      <c r="V297" s="330">
        <f t="shared" si="365"/>
        <v>0</v>
      </c>
      <c r="W297" s="330">
        <f t="shared" si="365"/>
        <v>0</v>
      </c>
      <c r="X297" s="330">
        <f t="shared" si="365"/>
        <v>0</v>
      </c>
      <c r="Y297" s="330">
        <f t="shared" si="365"/>
        <v>0</v>
      </c>
      <c r="Z297" s="330">
        <f t="shared" si="365"/>
        <v>0</v>
      </c>
      <c r="AA297" s="330">
        <f t="shared" si="365"/>
        <v>0</v>
      </c>
      <c r="AB297" s="330">
        <f t="shared" si="365"/>
        <v>0</v>
      </c>
      <c r="AC297" s="330">
        <f t="shared" si="365"/>
        <v>0</v>
      </c>
      <c r="AD297" s="330">
        <f t="shared" si="365"/>
        <v>0</v>
      </c>
      <c r="AE297" s="330">
        <f t="shared" si="365"/>
        <v>0</v>
      </c>
      <c r="AF297" s="330">
        <f t="shared" si="365"/>
        <v>0</v>
      </c>
      <c r="AG297" s="330">
        <f t="shared" si="365"/>
        <v>0</v>
      </c>
      <c r="AH297" s="330">
        <f t="shared" si="365"/>
        <v>0</v>
      </c>
      <c r="AI297" s="330">
        <f t="shared" si="365"/>
        <v>0</v>
      </c>
      <c r="AJ297" s="330">
        <f t="shared" si="365"/>
        <v>0</v>
      </c>
      <c r="AK297" s="330">
        <f t="shared" si="365"/>
        <v>0</v>
      </c>
      <c r="AL297" s="330">
        <f t="shared" si="365"/>
        <v>0</v>
      </c>
      <c r="AM297" s="330">
        <f t="shared" si="365"/>
        <v>0</v>
      </c>
      <c r="AN297" s="330">
        <f t="shared" si="365"/>
        <v>0</v>
      </c>
      <c r="AO297" s="330">
        <f t="shared" ref="AO297:BT297" si="366">+IF(AO291&lt;=0,SUM(AO285:AO286),SUM(AO285:AO286)*AO291)</f>
        <v>0</v>
      </c>
      <c r="AP297" s="330">
        <f t="shared" si="366"/>
        <v>0</v>
      </c>
      <c r="AQ297" s="330">
        <f t="shared" si="366"/>
        <v>0</v>
      </c>
      <c r="AR297" s="330">
        <f t="shared" si="366"/>
        <v>0</v>
      </c>
      <c r="AS297" s="330">
        <f t="shared" si="366"/>
        <v>0</v>
      </c>
      <c r="AT297" s="330">
        <f t="shared" si="366"/>
        <v>0</v>
      </c>
      <c r="AU297" s="330">
        <f t="shared" si="366"/>
        <v>0</v>
      </c>
      <c r="AV297" s="330">
        <f t="shared" si="366"/>
        <v>0</v>
      </c>
      <c r="AW297" s="330">
        <f t="shared" si="366"/>
        <v>0</v>
      </c>
      <c r="AX297" s="330">
        <f t="shared" si="366"/>
        <v>0</v>
      </c>
      <c r="AY297" s="330">
        <f t="shared" si="366"/>
        <v>0</v>
      </c>
      <c r="AZ297" s="330">
        <f t="shared" si="366"/>
        <v>0</v>
      </c>
      <c r="BA297" s="330">
        <f t="shared" si="366"/>
        <v>0</v>
      </c>
      <c r="BB297" s="330">
        <f t="shared" si="366"/>
        <v>0</v>
      </c>
      <c r="BC297" s="330">
        <f t="shared" si="366"/>
        <v>0</v>
      </c>
      <c r="BD297" s="330">
        <f t="shared" si="366"/>
        <v>0</v>
      </c>
      <c r="BE297" s="330">
        <f t="shared" si="366"/>
        <v>0</v>
      </c>
      <c r="BF297" s="330">
        <f t="shared" si="366"/>
        <v>0</v>
      </c>
      <c r="BG297" s="330">
        <f t="shared" si="366"/>
        <v>0</v>
      </c>
      <c r="BH297" s="330">
        <f t="shared" si="366"/>
        <v>0</v>
      </c>
      <c r="BI297" s="330">
        <f t="shared" si="366"/>
        <v>0</v>
      </c>
      <c r="BJ297" s="330">
        <f t="shared" si="366"/>
        <v>0</v>
      </c>
      <c r="BK297" s="330">
        <f t="shared" si="366"/>
        <v>0</v>
      </c>
      <c r="BL297" s="330">
        <f t="shared" si="366"/>
        <v>0</v>
      </c>
      <c r="BM297" s="330">
        <f t="shared" si="366"/>
        <v>0</v>
      </c>
      <c r="BN297" s="330">
        <f t="shared" si="366"/>
        <v>0</v>
      </c>
      <c r="BO297" s="330">
        <f t="shared" si="366"/>
        <v>0</v>
      </c>
      <c r="BP297" s="330">
        <f t="shared" si="366"/>
        <v>0</v>
      </c>
      <c r="BQ297" s="330">
        <f t="shared" si="366"/>
        <v>0</v>
      </c>
      <c r="BR297" s="330">
        <f t="shared" si="366"/>
        <v>0</v>
      </c>
      <c r="BS297" s="330">
        <f t="shared" si="366"/>
        <v>0</v>
      </c>
      <c r="BT297" s="330">
        <f t="shared" si="366"/>
        <v>0</v>
      </c>
      <c r="BU297" s="330">
        <f t="shared" ref="BU297:CZ297" si="367">+IF(BU291&lt;=0,SUM(BU285:BU286),SUM(BU285:BU286)*BU291)</f>
        <v>0</v>
      </c>
      <c r="BV297" s="330">
        <f t="shared" si="367"/>
        <v>0</v>
      </c>
      <c r="BW297" s="330">
        <f t="shared" si="367"/>
        <v>0</v>
      </c>
      <c r="BX297" s="330">
        <f t="shared" si="367"/>
        <v>0</v>
      </c>
      <c r="BY297" s="330">
        <f t="shared" si="367"/>
        <v>0</v>
      </c>
      <c r="BZ297" s="330">
        <f t="shared" si="367"/>
        <v>0</v>
      </c>
      <c r="CA297" s="330">
        <f t="shared" si="367"/>
        <v>0</v>
      </c>
      <c r="CB297" s="330">
        <f t="shared" si="367"/>
        <v>0</v>
      </c>
      <c r="CC297" s="330">
        <f t="shared" si="367"/>
        <v>0</v>
      </c>
      <c r="CD297" s="330">
        <f t="shared" si="367"/>
        <v>0</v>
      </c>
      <c r="CE297" s="330">
        <f t="shared" si="367"/>
        <v>0</v>
      </c>
      <c r="CF297" s="330">
        <f t="shared" si="367"/>
        <v>0</v>
      </c>
      <c r="CG297" s="330">
        <f t="shared" si="367"/>
        <v>0</v>
      </c>
      <c r="CH297" s="330">
        <f t="shared" si="367"/>
        <v>0</v>
      </c>
      <c r="CI297" s="330">
        <f t="shared" si="367"/>
        <v>0</v>
      </c>
      <c r="CJ297" s="330">
        <f t="shared" si="367"/>
        <v>0</v>
      </c>
      <c r="CK297" s="330">
        <f t="shared" si="367"/>
        <v>0</v>
      </c>
      <c r="CL297" s="330">
        <f t="shared" si="367"/>
        <v>0</v>
      </c>
      <c r="CM297" s="330">
        <f t="shared" si="367"/>
        <v>0</v>
      </c>
      <c r="CN297" s="330">
        <f t="shared" si="367"/>
        <v>0</v>
      </c>
      <c r="CO297" s="330">
        <f t="shared" si="367"/>
        <v>0</v>
      </c>
      <c r="CP297" s="330">
        <f t="shared" si="367"/>
        <v>0</v>
      </c>
      <c r="CQ297" s="330">
        <f t="shared" si="367"/>
        <v>0</v>
      </c>
      <c r="CR297" s="330">
        <f t="shared" si="367"/>
        <v>0</v>
      </c>
      <c r="CS297" s="330">
        <f t="shared" si="367"/>
        <v>0</v>
      </c>
      <c r="CT297" s="330">
        <f t="shared" si="367"/>
        <v>0</v>
      </c>
      <c r="CU297" s="330">
        <f t="shared" si="367"/>
        <v>0</v>
      </c>
      <c r="CV297" s="330">
        <f t="shared" si="367"/>
        <v>0</v>
      </c>
      <c r="CW297" s="330">
        <f t="shared" si="367"/>
        <v>0</v>
      </c>
      <c r="CX297" s="330">
        <f t="shared" si="367"/>
        <v>0</v>
      </c>
      <c r="CY297" s="330">
        <f t="shared" si="367"/>
        <v>0</v>
      </c>
      <c r="CZ297" s="330">
        <f t="shared" si="367"/>
        <v>0</v>
      </c>
      <c r="DA297" s="330">
        <f t="shared" ref="DA297:DY297" si="368">+IF(DA291&lt;=0,SUM(DA285:DA286),SUM(DA285:DA286)*DA291)</f>
        <v>0</v>
      </c>
      <c r="DB297" s="330">
        <f t="shared" si="368"/>
        <v>0</v>
      </c>
      <c r="DC297" s="330">
        <f t="shared" si="368"/>
        <v>0</v>
      </c>
      <c r="DD297" s="330">
        <f t="shared" si="368"/>
        <v>0</v>
      </c>
      <c r="DE297" s="330">
        <f t="shared" si="368"/>
        <v>0</v>
      </c>
      <c r="DF297" s="330">
        <f t="shared" si="368"/>
        <v>0</v>
      </c>
      <c r="DG297" s="330">
        <f t="shared" si="368"/>
        <v>0</v>
      </c>
      <c r="DH297" s="330">
        <f t="shared" si="368"/>
        <v>0</v>
      </c>
      <c r="DI297" s="330">
        <f t="shared" si="368"/>
        <v>0</v>
      </c>
      <c r="DJ297" s="330">
        <f t="shared" si="368"/>
        <v>0</v>
      </c>
      <c r="DK297" s="330">
        <f t="shared" si="368"/>
        <v>0</v>
      </c>
      <c r="DL297" s="330">
        <f t="shared" si="368"/>
        <v>0</v>
      </c>
      <c r="DM297" s="330">
        <f t="shared" si="368"/>
        <v>0</v>
      </c>
      <c r="DN297" s="330">
        <f t="shared" si="368"/>
        <v>0</v>
      </c>
      <c r="DO297" s="330">
        <f t="shared" si="368"/>
        <v>0</v>
      </c>
      <c r="DP297" s="330">
        <f t="shared" si="368"/>
        <v>0</v>
      </c>
      <c r="DQ297" s="330">
        <f t="shared" si="368"/>
        <v>0</v>
      </c>
      <c r="DR297" s="330">
        <f t="shared" si="368"/>
        <v>0</v>
      </c>
      <c r="DS297" s="330">
        <f t="shared" si="368"/>
        <v>0</v>
      </c>
      <c r="DT297" s="330">
        <f t="shared" si="368"/>
        <v>0</v>
      </c>
      <c r="DU297" s="330">
        <f t="shared" si="368"/>
        <v>0</v>
      </c>
      <c r="DV297" s="330">
        <f t="shared" si="368"/>
        <v>0</v>
      </c>
      <c r="DW297" s="330">
        <f t="shared" si="368"/>
        <v>0</v>
      </c>
      <c r="DX297" s="330">
        <f t="shared" si="368"/>
        <v>0</v>
      </c>
      <c r="DY297" s="330">
        <f t="shared" si="368"/>
        <v>0</v>
      </c>
    </row>
    <row r="298" spans="1:129" s="3" customFormat="1" ht="11.7" customHeight="1" outlineLevel="1" x14ac:dyDescent="0.3">
      <c r="A298" s="85"/>
      <c r="B298" s="113" t="s">
        <v>545</v>
      </c>
      <c r="C298" s="113"/>
      <c r="D298" s="651"/>
      <c r="E298" s="149"/>
      <c r="F298" s="149"/>
      <c r="G298" s="149"/>
      <c r="H298" s="149"/>
      <c r="I298" s="330">
        <f t="shared" ref="I298:AN298" si="369">+IF(I291&lt;=0,SUM(I288:I289),SUM(I288:I289)*I291)</f>
        <v>0</v>
      </c>
      <c r="J298" s="330">
        <f t="shared" si="369"/>
        <v>0</v>
      </c>
      <c r="K298" s="330">
        <f t="shared" si="369"/>
        <v>0</v>
      </c>
      <c r="L298" s="330">
        <f t="shared" si="369"/>
        <v>0</v>
      </c>
      <c r="M298" s="330">
        <f t="shared" si="369"/>
        <v>0</v>
      </c>
      <c r="N298" s="330">
        <f t="shared" si="369"/>
        <v>0</v>
      </c>
      <c r="O298" s="330">
        <f t="shared" si="369"/>
        <v>0</v>
      </c>
      <c r="P298" s="330">
        <f t="shared" si="369"/>
        <v>0</v>
      </c>
      <c r="Q298" s="330">
        <f t="shared" si="369"/>
        <v>0</v>
      </c>
      <c r="R298" s="330">
        <f t="shared" si="369"/>
        <v>0</v>
      </c>
      <c r="S298" s="330">
        <f t="shared" si="369"/>
        <v>0</v>
      </c>
      <c r="T298" s="330">
        <f t="shared" si="369"/>
        <v>0</v>
      </c>
      <c r="U298" s="330">
        <f t="shared" si="369"/>
        <v>0</v>
      </c>
      <c r="V298" s="330">
        <f t="shared" si="369"/>
        <v>0</v>
      </c>
      <c r="W298" s="330">
        <f t="shared" si="369"/>
        <v>0</v>
      </c>
      <c r="X298" s="330">
        <f t="shared" si="369"/>
        <v>0</v>
      </c>
      <c r="Y298" s="330">
        <f t="shared" si="369"/>
        <v>0</v>
      </c>
      <c r="Z298" s="330">
        <f t="shared" si="369"/>
        <v>0</v>
      </c>
      <c r="AA298" s="330">
        <f t="shared" si="369"/>
        <v>0</v>
      </c>
      <c r="AB298" s="330">
        <f t="shared" si="369"/>
        <v>0</v>
      </c>
      <c r="AC298" s="330">
        <f t="shared" si="369"/>
        <v>0</v>
      </c>
      <c r="AD298" s="330">
        <f t="shared" si="369"/>
        <v>0</v>
      </c>
      <c r="AE298" s="330">
        <f t="shared" si="369"/>
        <v>0</v>
      </c>
      <c r="AF298" s="330">
        <f t="shared" si="369"/>
        <v>0</v>
      </c>
      <c r="AG298" s="330">
        <f t="shared" si="369"/>
        <v>0</v>
      </c>
      <c r="AH298" s="330">
        <f t="shared" si="369"/>
        <v>0</v>
      </c>
      <c r="AI298" s="330">
        <f t="shared" si="369"/>
        <v>0</v>
      </c>
      <c r="AJ298" s="330">
        <f t="shared" si="369"/>
        <v>0</v>
      </c>
      <c r="AK298" s="330">
        <f t="shared" si="369"/>
        <v>0</v>
      </c>
      <c r="AL298" s="330">
        <f t="shared" si="369"/>
        <v>0</v>
      </c>
      <c r="AM298" s="330">
        <f t="shared" si="369"/>
        <v>0</v>
      </c>
      <c r="AN298" s="330">
        <f t="shared" si="369"/>
        <v>0</v>
      </c>
      <c r="AO298" s="330">
        <f t="shared" ref="AO298:BT298" si="370">+IF(AO291&lt;=0,SUM(AO288:AO289),SUM(AO288:AO289)*AO291)</f>
        <v>0</v>
      </c>
      <c r="AP298" s="330">
        <f t="shared" si="370"/>
        <v>0</v>
      </c>
      <c r="AQ298" s="330">
        <f t="shared" si="370"/>
        <v>0</v>
      </c>
      <c r="AR298" s="330">
        <f t="shared" si="370"/>
        <v>0</v>
      </c>
      <c r="AS298" s="330">
        <f t="shared" si="370"/>
        <v>0</v>
      </c>
      <c r="AT298" s="330">
        <f t="shared" si="370"/>
        <v>0</v>
      </c>
      <c r="AU298" s="330">
        <f t="shared" si="370"/>
        <v>0</v>
      </c>
      <c r="AV298" s="330">
        <f t="shared" si="370"/>
        <v>0</v>
      </c>
      <c r="AW298" s="330">
        <f t="shared" si="370"/>
        <v>0</v>
      </c>
      <c r="AX298" s="330">
        <f t="shared" si="370"/>
        <v>0</v>
      </c>
      <c r="AY298" s="330">
        <f t="shared" si="370"/>
        <v>0</v>
      </c>
      <c r="AZ298" s="330">
        <f t="shared" si="370"/>
        <v>0</v>
      </c>
      <c r="BA298" s="330">
        <f t="shared" si="370"/>
        <v>0</v>
      </c>
      <c r="BB298" s="330">
        <f t="shared" si="370"/>
        <v>0</v>
      </c>
      <c r="BC298" s="330">
        <f t="shared" si="370"/>
        <v>0</v>
      </c>
      <c r="BD298" s="330">
        <f t="shared" si="370"/>
        <v>0</v>
      </c>
      <c r="BE298" s="330">
        <f t="shared" si="370"/>
        <v>0</v>
      </c>
      <c r="BF298" s="330">
        <f t="shared" si="370"/>
        <v>0</v>
      </c>
      <c r="BG298" s="330">
        <f t="shared" si="370"/>
        <v>0</v>
      </c>
      <c r="BH298" s="330">
        <f t="shared" si="370"/>
        <v>0</v>
      </c>
      <c r="BI298" s="330">
        <f t="shared" si="370"/>
        <v>0</v>
      </c>
      <c r="BJ298" s="330">
        <f t="shared" si="370"/>
        <v>0</v>
      </c>
      <c r="BK298" s="330">
        <f t="shared" si="370"/>
        <v>0</v>
      </c>
      <c r="BL298" s="330">
        <f t="shared" si="370"/>
        <v>0</v>
      </c>
      <c r="BM298" s="330">
        <f t="shared" si="370"/>
        <v>0</v>
      </c>
      <c r="BN298" s="330">
        <f t="shared" si="370"/>
        <v>0</v>
      </c>
      <c r="BO298" s="330">
        <f t="shared" si="370"/>
        <v>0</v>
      </c>
      <c r="BP298" s="330">
        <f t="shared" si="370"/>
        <v>0</v>
      </c>
      <c r="BQ298" s="330">
        <f t="shared" si="370"/>
        <v>0</v>
      </c>
      <c r="BR298" s="330">
        <f t="shared" si="370"/>
        <v>0</v>
      </c>
      <c r="BS298" s="330">
        <f t="shared" si="370"/>
        <v>0</v>
      </c>
      <c r="BT298" s="330">
        <f t="shared" si="370"/>
        <v>0</v>
      </c>
      <c r="BU298" s="330">
        <f t="shared" ref="BU298:CZ298" si="371">+IF(BU291&lt;=0,SUM(BU288:BU289),SUM(BU288:BU289)*BU291)</f>
        <v>0</v>
      </c>
      <c r="BV298" s="330">
        <f t="shared" si="371"/>
        <v>0</v>
      </c>
      <c r="BW298" s="330">
        <f t="shared" si="371"/>
        <v>0</v>
      </c>
      <c r="BX298" s="330">
        <f t="shared" si="371"/>
        <v>0</v>
      </c>
      <c r="BY298" s="330">
        <f t="shared" si="371"/>
        <v>0</v>
      </c>
      <c r="BZ298" s="330">
        <f t="shared" si="371"/>
        <v>0</v>
      </c>
      <c r="CA298" s="330">
        <f t="shared" si="371"/>
        <v>0</v>
      </c>
      <c r="CB298" s="330">
        <f t="shared" si="371"/>
        <v>0</v>
      </c>
      <c r="CC298" s="330">
        <f t="shared" si="371"/>
        <v>0</v>
      </c>
      <c r="CD298" s="330">
        <f t="shared" si="371"/>
        <v>0</v>
      </c>
      <c r="CE298" s="330">
        <f t="shared" si="371"/>
        <v>0</v>
      </c>
      <c r="CF298" s="330">
        <f t="shared" si="371"/>
        <v>0</v>
      </c>
      <c r="CG298" s="330">
        <f t="shared" si="371"/>
        <v>0</v>
      </c>
      <c r="CH298" s="330">
        <f t="shared" si="371"/>
        <v>0</v>
      </c>
      <c r="CI298" s="330">
        <f t="shared" si="371"/>
        <v>0</v>
      </c>
      <c r="CJ298" s="330">
        <f t="shared" si="371"/>
        <v>0</v>
      </c>
      <c r="CK298" s="330">
        <f t="shared" si="371"/>
        <v>0</v>
      </c>
      <c r="CL298" s="330">
        <f t="shared" si="371"/>
        <v>0</v>
      </c>
      <c r="CM298" s="330">
        <f t="shared" si="371"/>
        <v>0</v>
      </c>
      <c r="CN298" s="330">
        <f t="shared" si="371"/>
        <v>0</v>
      </c>
      <c r="CO298" s="330">
        <f t="shared" si="371"/>
        <v>0</v>
      </c>
      <c r="CP298" s="330">
        <f t="shared" si="371"/>
        <v>0</v>
      </c>
      <c r="CQ298" s="330">
        <f t="shared" si="371"/>
        <v>0</v>
      </c>
      <c r="CR298" s="330">
        <f t="shared" si="371"/>
        <v>0</v>
      </c>
      <c r="CS298" s="330">
        <f t="shared" si="371"/>
        <v>0</v>
      </c>
      <c r="CT298" s="330">
        <f t="shared" si="371"/>
        <v>0</v>
      </c>
      <c r="CU298" s="330">
        <f t="shared" si="371"/>
        <v>0</v>
      </c>
      <c r="CV298" s="330">
        <f t="shared" si="371"/>
        <v>0</v>
      </c>
      <c r="CW298" s="330">
        <f t="shared" si="371"/>
        <v>0</v>
      </c>
      <c r="CX298" s="330">
        <f t="shared" si="371"/>
        <v>0</v>
      </c>
      <c r="CY298" s="330">
        <f t="shared" si="371"/>
        <v>0</v>
      </c>
      <c r="CZ298" s="330">
        <f t="shared" si="371"/>
        <v>0</v>
      </c>
      <c r="DA298" s="330">
        <f t="shared" ref="DA298:DY298" si="372">+IF(DA291&lt;=0,SUM(DA288:DA289),SUM(DA288:DA289)*DA291)</f>
        <v>0</v>
      </c>
      <c r="DB298" s="330">
        <f t="shared" si="372"/>
        <v>0</v>
      </c>
      <c r="DC298" s="330">
        <f t="shared" si="372"/>
        <v>0</v>
      </c>
      <c r="DD298" s="330">
        <f t="shared" si="372"/>
        <v>0</v>
      </c>
      <c r="DE298" s="330">
        <f t="shared" si="372"/>
        <v>0</v>
      </c>
      <c r="DF298" s="330">
        <f t="shared" si="372"/>
        <v>0</v>
      </c>
      <c r="DG298" s="330">
        <f t="shared" si="372"/>
        <v>0</v>
      </c>
      <c r="DH298" s="330">
        <f t="shared" si="372"/>
        <v>0</v>
      </c>
      <c r="DI298" s="330">
        <f t="shared" si="372"/>
        <v>0</v>
      </c>
      <c r="DJ298" s="330">
        <f t="shared" si="372"/>
        <v>0</v>
      </c>
      <c r="DK298" s="330">
        <f t="shared" si="372"/>
        <v>0</v>
      </c>
      <c r="DL298" s="330">
        <f t="shared" si="372"/>
        <v>0</v>
      </c>
      <c r="DM298" s="330">
        <f t="shared" si="372"/>
        <v>0</v>
      </c>
      <c r="DN298" s="330">
        <f t="shared" si="372"/>
        <v>0</v>
      </c>
      <c r="DO298" s="330">
        <f t="shared" si="372"/>
        <v>0</v>
      </c>
      <c r="DP298" s="330">
        <f t="shared" si="372"/>
        <v>0</v>
      </c>
      <c r="DQ298" s="330">
        <f t="shared" si="372"/>
        <v>0</v>
      </c>
      <c r="DR298" s="330">
        <f t="shared" si="372"/>
        <v>0</v>
      </c>
      <c r="DS298" s="330">
        <f t="shared" si="372"/>
        <v>0</v>
      </c>
      <c r="DT298" s="330">
        <f t="shared" si="372"/>
        <v>0</v>
      </c>
      <c r="DU298" s="330">
        <f t="shared" si="372"/>
        <v>0</v>
      </c>
      <c r="DV298" s="330">
        <f t="shared" si="372"/>
        <v>0</v>
      </c>
      <c r="DW298" s="330">
        <f t="shared" si="372"/>
        <v>0</v>
      </c>
      <c r="DX298" s="330">
        <f t="shared" si="372"/>
        <v>0</v>
      </c>
      <c r="DY298" s="330">
        <f t="shared" si="372"/>
        <v>0</v>
      </c>
    </row>
    <row r="299" spans="1:129" s="3" customFormat="1" ht="11.7" customHeight="1" outlineLevel="1" x14ac:dyDescent="0.3">
      <c r="A299" s="85"/>
      <c r="B299" s="149"/>
      <c r="C299" s="149"/>
      <c r="D299" s="651"/>
      <c r="E299" s="149"/>
      <c r="F299" s="149"/>
      <c r="G299" s="149"/>
      <c r="H299" s="149"/>
      <c r="I299" s="330"/>
      <c r="J299" s="330"/>
      <c r="K299" s="330"/>
      <c r="L299" s="330"/>
      <c r="M299" s="330"/>
      <c r="N299" s="330"/>
      <c r="O299" s="330"/>
      <c r="P299" s="330"/>
      <c r="Q299" s="330"/>
      <c r="R299" s="330"/>
      <c r="S299" s="330"/>
      <c r="T299" s="330"/>
      <c r="U299" s="330"/>
      <c r="V299" s="330"/>
      <c r="W299" s="330"/>
      <c r="X299" s="330"/>
      <c r="Y299" s="330"/>
      <c r="Z299" s="330"/>
      <c r="AA299" s="330"/>
      <c r="AB299" s="330"/>
      <c r="AC299" s="330"/>
      <c r="AD299" s="330"/>
      <c r="AE299" s="330"/>
      <c r="AF299" s="330"/>
      <c r="AG299" s="330"/>
      <c r="AH299" s="330"/>
      <c r="AI299" s="330"/>
      <c r="AJ299" s="330"/>
      <c r="AK299" s="330"/>
      <c r="AL299" s="330"/>
      <c r="AM299" s="330"/>
      <c r="AN299" s="330"/>
      <c r="AO299" s="330"/>
      <c r="AP299" s="330"/>
      <c r="AQ299" s="330"/>
      <c r="AR299" s="330"/>
      <c r="AS299" s="330"/>
      <c r="AT299" s="330"/>
      <c r="AU299" s="330"/>
      <c r="AV299" s="330"/>
      <c r="AW299" s="330"/>
      <c r="AX299" s="330"/>
      <c r="AY299" s="330"/>
      <c r="AZ299" s="330"/>
      <c r="BA299" s="330"/>
      <c r="BB299" s="330"/>
      <c r="BC299" s="330"/>
      <c r="BD299" s="330"/>
      <c r="BE299" s="330"/>
      <c r="BF299" s="330"/>
      <c r="BG299" s="330"/>
      <c r="BH299" s="330"/>
      <c r="BI299" s="330"/>
      <c r="BJ299" s="330"/>
      <c r="BK299" s="330"/>
      <c r="BL299" s="330"/>
      <c r="BM299" s="330"/>
      <c r="BN299" s="330"/>
      <c r="BO299" s="330"/>
      <c r="BP299" s="330"/>
      <c r="BQ299" s="330"/>
      <c r="BR299" s="330"/>
      <c r="BS299" s="330"/>
      <c r="BT299" s="330"/>
      <c r="BU299" s="330"/>
      <c r="BV299" s="330"/>
      <c r="BW299" s="330"/>
      <c r="BX299" s="330"/>
      <c r="BY299" s="330"/>
      <c r="BZ299" s="330"/>
      <c r="CA299" s="330"/>
      <c r="CB299" s="330"/>
      <c r="CC299" s="330"/>
      <c r="CD299" s="330"/>
      <c r="CE299" s="330"/>
      <c r="CF299" s="330"/>
      <c r="CG299" s="330"/>
      <c r="CH299" s="330"/>
      <c r="CI299" s="330"/>
      <c r="CJ299" s="330"/>
      <c r="CK299" s="330"/>
      <c r="CL299" s="330"/>
      <c r="CM299" s="330"/>
      <c r="CN299" s="330"/>
      <c r="CO299" s="330"/>
      <c r="CP299" s="330"/>
      <c r="CQ299" s="330"/>
      <c r="CR299" s="330"/>
      <c r="CS299" s="330"/>
      <c r="CT299" s="330"/>
      <c r="CU299" s="330"/>
      <c r="CV299" s="330"/>
      <c r="CW299" s="330"/>
      <c r="CX299" s="330"/>
      <c r="CY299" s="330"/>
      <c r="CZ299" s="330"/>
      <c r="DA299" s="330"/>
      <c r="DB299" s="330"/>
      <c r="DC299" s="330"/>
      <c r="DD299" s="330"/>
      <c r="DE299" s="330"/>
      <c r="DF299" s="330"/>
      <c r="DG299" s="330"/>
      <c r="DH299" s="330"/>
      <c r="DI299" s="330"/>
      <c r="DJ299" s="330"/>
      <c r="DK299" s="330"/>
      <c r="DL299" s="330"/>
      <c r="DM299" s="330"/>
      <c r="DN299" s="330"/>
      <c r="DO299" s="330"/>
      <c r="DP299" s="330"/>
      <c r="DQ299" s="330"/>
      <c r="DR299" s="330"/>
      <c r="DS299" s="330"/>
      <c r="DT299" s="330"/>
      <c r="DU299" s="330"/>
      <c r="DV299" s="330"/>
      <c r="DW299" s="330"/>
      <c r="DX299" s="330"/>
      <c r="DY299" s="330"/>
    </row>
    <row r="300" spans="1:129" s="3" customFormat="1" ht="11.7" customHeight="1" outlineLevel="1" x14ac:dyDescent="0.3">
      <c r="A300" s="85"/>
      <c r="B300" s="195" t="s">
        <v>116</v>
      </c>
      <c r="C300" s="195"/>
      <c r="D300" s="158"/>
      <c r="E300" s="159"/>
      <c r="F300" s="159"/>
      <c r="G300" s="127"/>
      <c r="H300" s="127"/>
      <c r="I300" s="160"/>
      <c r="J300" s="160"/>
      <c r="K300" s="160"/>
      <c r="L300" s="160"/>
      <c r="M300" s="160"/>
      <c r="N300" s="160"/>
      <c r="O300" s="160"/>
      <c r="P300" s="160"/>
      <c r="Q300" s="160"/>
      <c r="R300" s="160"/>
      <c r="S300" s="160"/>
      <c r="T300" s="160"/>
      <c r="U300" s="160"/>
      <c r="V300" s="160"/>
      <c r="W300" s="160"/>
      <c r="X300" s="160"/>
      <c r="Y300" s="160"/>
      <c r="Z300" s="160"/>
      <c r="AA300" s="160"/>
      <c r="AB300" s="160"/>
      <c r="AC300" s="160"/>
      <c r="AD300" s="160"/>
      <c r="AE300" s="160"/>
      <c r="AF300" s="160"/>
      <c r="AG300" s="160"/>
      <c r="AH300" s="160"/>
      <c r="AI300" s="160"/>
      <c r="AJ300" s="160"/>
      <c r="AK300" s="160"/>
      <c r="AL300" s="160"/>
      <c r="AM300" s="160"/>
      <c r="AN300" s="160"/>
      <c r="AO300" s="160"/>
      <c r="AP300" s="160"/>
      <c r="AQ300" s="160"/>
      <c r="AR300" s="160"/>
      <c r="AS300" s="160"/>
      <c r="AT300" s="160"/>
      <c r="AU300" s="160"/>
      <c r="AV300" s="160"/>
      <c r="AW300" s="160"/>
      <c r="AX300" s="160"/>
      <c r="AY300" s="160"/>
      <c r="AZ300" s="160"/>
      <c r="BA300" s="160"/>
      <c r="BB300" s="160"/>
      <c r="BC300" s="160"/>
      <c r="BD300" s="160"/>
      <c r="BE300" s="160"/>
      <c r="BF300" s="160"/>
      <c r="BG300" s="160"/>
      <c r="BH300" s="160"/>
      <c r="BI300" s="160"/>
      <c r="BJ300" s="160"/>
      <c r="BK300" s="160"/>
      <c r="BL300" s="160"/>
      <c r="BM300" s="160"/>
      <c r="BN300" s="160"/>
      <c r="BO300" s="160"/>
      <c r="BP300" s="160"/>
      <c r="BQ300" s="160"/>
      <c r="BR300" s="160"/>
      <c r="BS300" s="160"/>
      <c r="BT300" s="160"/>
      <c r="BU300" s="160"/>
      <c r="BV300" s="160"/>
      <c r="BW300" s="160"/>
      <c r="BX300" s="160"/>
      <c r="BY300" s="160"/>
      <c r="BZ300" s="160"/>
      <c r="CA300" s="160"/>
      <c r="CB300" s="160"/>
      <c r="CC300" s="160"/>
      <c r="CD300" s="160"/>
      <c r="CE300" s="160"/>
      <c r="CF300" s="160"/>
      <c r="CG300" s="160"/>
      <c r="CH300" s="160"/>
      <c r="CI300" s="160"/>
      <c r="CJ300" s="160"/>
      <c r="CK300" s="160"/>
      <c r="CL300" s="160"/>
      <c r="CM300" s="160"/>
      <c r="CN300" s="160"/>
      <c r="CO300" s="160"/>
      <c r="CP300" s="160"/>
      <c r="CQ300" s="160"/>
      <c r="CR300" s="160"/>
      <c r="CS300" s="160"/>
      <c r="CT300" s="160"/>
      <c r="CU300" s="160"/>
      <c r="CV300" s="160"/>
      <c r="CW300" s="160"/>
      <c r="CX300" s="160"/>
      <c r="CY300" s="160"/>
      <c r="CZ300" s="160"/>
      <c r="DA300" s="160"/>
      <c r="DB300" s="160"/>
      <c r="DC300" s="160"/>
      <c r="DD300" s="160"/>
      <c r="DE300" s="160"/>
      <c r="DF300" s="160"/>
      <c r="DG300" s="160"/>
      <c r="DH300" s="160"/>
      <c r="DI300" s="160"/>
      <c r="DJ300" s="160"/>
      <c r="DK300" s="160"/>
      <c r="DL300" s="160"/>
      <c r="DM300" s="160"/>
      <c r="DN300" s="160"/>
      <c r="DO300" s="160"/>
      <c r="DP300" s="160"/>
      <c r="DQ300" s="160"/>
      <c r="DR300" s="160"/>
      <c r="DS300" s="160"/>
      <c r="DT300" s="160"/>
      <c r="DU300" s="160"/>
      <c r="DV300" s="160"/>
      <c r="DW300" s="160"/>
      <c r="DX300" s="160"/>
      <c r="DY300" s="160"/>
    </row>
    <row r="301" spans="1:129" s="3" customFormat="1" ht="11.7" customHeight="1" outlineLevel="1" x14ac:dyDescent="0.3">
      <c r="A301" s="85"/>
      <c r="B301" s="113" t="s">
        <v>526</v>
      </c>
      <c r="C301" s="113"/>
      <c r="D301" s="158"/>
      <c r="E301" s="159"/>
      <c r="F301" s="159"/>
      <c r="G301" s="127"/>
      <c r="H301" s="290">
        <f t="shared" ref="H301:H311" si="373">+SUM(I301:DY301)</f>
        <v>0</v>
      </c>
      <c r="I301" s="1019">
        <v>0</v>
      </c>
      <c r="J301" s="1019">
        <v>0</v>
      </c>
      <c r="K301" s="1019">
        <v>0</v>
      </c>
      <c r="L301" s="1019">
        <v>0</v>
      </c>
      <c r="M301" s="1019">
        <v>0</v>
      </c>
      <c r="N301" s="1019">
        <v>0</v>
      </c>
      <c r="O301" s="1019">
        <v>0</v>
      </c>
      <c r="P301" s="1019">
        <v>0</v>
      </c>
      <c r="Q301" s="1019">
        <v>0</v>
      </c>
      <c r="R301" s="1019">
        <v>0</v>
      </c>
      <c r="S301" s="1019">
        <v>0</v>
      </c>
      <c r="T301" s="1019">
        <v>0</v>
      </c>
      <c r="U301" s="1019">
        <v>0</v>
      </c>
      <c r="V301" s="1019">
        <v>0</v>
      </c>
      <c r="W301" s="1019">
        <v>0</v>
      </c>
      <c r="X301" s="1019">
        <v>0</v>
      </c>
      <c r="Y301" s="1019">
        <v>0</v>
      </c>
      <c r="Z301" s="1019">
        <v>0</v>
      </c>
      <c r="AA301" s="1019">
        <v>0</v>
      </c>
      <c r="AB301" s="1019">
        <v>0</v>
      </c>
      <c r="AC301" s="1019">
        <v>0</v>
      </c>
      <c r="AD301" s="1019">
        <v>0</v>
      </c>
      <c r="AE301" s="1019">
        <v>0</v>
      </c>
      <c r="AF301" s="1019">
        <v>0</v>
      </c>
      <c r="AG301" s="1019">
        <v>0</v>
      </c>
      <c r="AH301" s="1019">
        <v>0</v>
      </c>
      <c r="AI301" s="1019">
        <v>0</v>
      </c>
      <c r="AJ301" s="1019">
        <v>0</v>
      </c>
      <c r="AK301" s="1019">
        <v>0</v>
      </c>
      <c r="AL301" s="1019">
        <v>0</v>
      </c>
      <c r="AM301" s="1019">
        <v>0</v>
      </c>
      <c r="AN301" s="1019">
        <v>0</v>
      </c>
      <c r="AO301" s="1019">
        <v>0</v>
      </c>
      <c r="AP301" s="1019">
        <v>0</v>
      </c>
      <c r="AQ301" s="1019">
        <v>0</v>
      </c>
      <c r="AR301" s="1019">
        <v>0</v>
      </c>
      <c r="AS301" s="1019">
        <v>0</v>
      </c>
      <c r="AT301" s="1019">
        <v>0</v>
      </c>
      <c r="AU301" s="1019">
        <v>0</v>
      </c>
      <c r="AV301" s="1019">
        <v>0</v>
      </c>
      <c r="AW301" s="1019">
        <v>0</v>
      </c>
      <c r="AX301" s="1019">
        <v>0</v>
      </c>
      <c r="AY301" s="1019">
        <v>0</v>
      </c>
      <c r="AZ301" s="1019">
        <v>0</v>
      </c>
      <c r="BA301" s="1019">
        <v>0</v>
      </c>
      <c r="BB301" s="1019">
        <v>0</v>
      </c>
      <c r="BC301" s="1019">
        <v>0</v>
      </c>
      <c r="BD301" s="1019">
        <v>0</v>
      </c>
      <c r="BE301" s="1019">
        <v>0</v>
      </c>
      <c r="BF301" s="1019">
        <v>0</v>
      </c>
      <c r="BG301" s="1019">
        <v>0</v>
      </c>
      <c r="BH301" s="1019">
        <v>0</v>
      </c>
      <c r="BI301" s="1019">
        <v>0</v>
      </c>
      <c r="BJ301" s="1019">
        <v>0</v>
      </c>
      <c r="BK301" s="1019">
        <v>0</v>
      </c>
      <c r="BL301" s="1019">
        <v>0</v>
      </c>
      <c r="BM301" s="1019">
        <v>0</v>
      </c>
      <c r="BN301" s="1019">
        <v>0</v>
      </c>
      <c r="BO301" s="1019">
        <v>0</v>
      </c>
      <c r="BP301" s="1019">
        <v>0</v>
      </c>
      <c r="BQ301" s="1019">
        <v>0</v>
      </c>
      <c r="BR301" s="1019">
        <v>0</v>
      </c>
      <c r="BS301" s="1019">
        <v>0</v>
      </c>
      <c r="BT301" s="1019">
        <v>0</v>
      </c>
      <c r="BU301" s="1019">
        <v>0</v>
      </c>
      <c r="BV301" s="1019">
        <v>0</v>
      </c>
      <c r="BW301" s="1019">
        <v>0</v>
      </c>
      <c r="BX301" s="1019">
        <v>0</v>
      </c>
      <c r="BY301" s="1019">
        <v>0</v>
      </c>
      <c r="BZ301" s="1019">
        <v>0</v>
      </c>
      <c r="CA301" s="14">
        <f>+CA294*SUM($D$258:$D$259)*(CA13&lt;1)*(CA7&gt;=Inputs!$L$76)</f>
        <v>0</v>
      </c>
      <c r="CB301" s="14">
        <f>+CB294*SUM($D$258:$D$259)*(CB13&lt;1)*(CB7&gt;=Inputs!$L$76)</f>
        <v>0</v>
      </c>
      <c r="CC301" s="14">
        <f>+CC294*SUM($D$258:$D$259)*(CC13&lt;1)*(CC7&gt;=Inputs!$L$76)</f>
        <v>0</v>
      </c>
      <c r="CD301" s="14">
        <f>+CD294*SUM($D$258:$D$259)*(CD13&lt;1)*(CD7&gt;=Inputs!$L$76)</f>
        <v>0</v>
      </c>
      <c r="CE301" s="14">
        <f>+CE294*SUM($D$258:$D$259)*(CE13&lt;1)*(CE7&gt;=Inputs!$L$76)</f>
        <v>0</v>
      </c>
      <c r="CF301" s="14">
        <f>+CF294*SUM($D$258:$D$259)*(CF13&lt;1)*(CF7&gt;=Inputs!$L$76)</f>
        <v>0</v>
      </c>
      <c r="CG301" s="14">
        <f>+CG294*SUM($D$258:$D$259)*(CG13&lt;1)*(CG7&gt;=Inputs!$L$76)</f>
        <v>0</v>
      </c>
      <c r="CH301" s="14">
        <f>+CH294*SUM($D$258:$D$259)*(CH13&lt;1)*(CH7&gt;=Inputs!$L$76)</f>
        <v>0</v>
      </c>
      <c r="CI301" s="14">
        <f>+CI294*SUM($D$258:$D$259)*(CI13&lt;1)*(CI7&gt;=Inputs!$L$76)</f>
        <v>0</v>
      </c>
      <c r="CJ301" s="14">
        <f>+CJ294*SUM($D$258:$D$259)*(CJ13&lt;1)*(CJ7&gt;=Inputs!$L$76)</f>
        <v>0</v>
      </c>
      <c r="CK301" s="14">
        <f>+CK294*SUM($D$258:$D$259)*(CK13&lt;1)*(CK7&gt;=Inputs!$L$76)</f>
        <v>0</v>
      </c>
      <c r="CL301" s="14">
        <f>+CL294*SUM($D$258:$D$259)*(CL13&lt;1)*(CL7&gt;=Inputs!$L$76)</f>
        <v>0</v>
      </c>
      <c r="CM301" s="14">
        <f>+CM294*SUM($D$258:$D$259)*(CM13&lt;1)*(CM7&gt;=Inputs!$L$76)</f>
        <v>0</v>
      </c>
      <c r="CN301" s="14">
        <f>+CN294*SUM($D$258:$D$259)*(CN13&lt;1)*(CN7&gt;=Inputs!$L$76)</f>
        <v>0</v>
      </c>
      <c r="CO301" s="14">
        <f>+CO294*SUM($D$258:$D$259)*(CO13&lt;1)*(CO7&gt;=Inputs!$L$76)</f>
        <v>0</v>
      </c>
      <c r="CP301" s="14">
        <f>+CP294*SUM($D$258:$D$259)*(CP13&lt;1)*(CP7&gt;=Inputs!$L$76)</f>
        <v>0</v>
      </c>
      <c r="CQ301" s="14">
        <f>+CQ294*SUM($D$258:$D$259)*(CQ13&lt;1)*(CQ7&gt;=Inputs!$L$76)</f>
        <v>0</v>
      </c>
      <c r="CR301" s="14">
        <f>+CR294*SUM($D$258:$D$259)*(CR13&lt;1)*(CR7&gt;=Inputs!$L$76)</f>
        <v>0</v>
      </c>
      <c r="CS301" s="14">
        <f>+CS294*SUM($D$258:$D$259)*(CS13&lt;1)*(CS7&gt;=Inputs!$L$76)</f>
        <v>0</v>
      </c>
      <c r="CT301" s="14">
        <f>+CT294*SUM($D$258:$D$259)*(CT13&lt;1)*(CT7&gt;=Inputs!$L$76)</f>
        <v>0</v>
      </c>
      <c r="CU301" s="14">
        <f>+CU294*SUM($D$258:$D$259)*(CU13&lt;1)*(CU7&gt;=Inputs!$L$76)</f>
        <v>0</v>
      </c>
      <c r="CV301" s="14">
        <f>+CV294*SUM($D$258:$D$259)*(CV13&lt;1)*(CV7&gt;=Inputs!$L$76)</f>
        <v>0</v>
      </c>
      <c r="CW301" s="14">
        <f>+CW294*SUM($D$258:$D$259)*(CW13&lt;1)*(CW7&gt;=Inputs!$L$76)</f>
        <v>0</v>
      </c>
      <c r="CX301" s="14">
        <f>+CX294*SUM($D$258:$D$259)*(CX13&lt;1)*(CX7&gt;=Inputs!$L$76)</f>
        <v>0</v>
      </c>
      <c r="CY301" s="14">
        <f>+CY294*SUM($D$258:$D$259)*(CY13&lt;1)*(CY7&gt;=Inputs!$L$76)</f>
        <v>0</v>
      </c>
      <c r="CZ301" s="14">
        <f>+CZ294*SUM($D$258:$D$259)*(CZ13&lt;1)*(CZ7&gt;=Inputs!$L$76)</f>
        <v>0</v>
      </c>
      <c r="DA301" s="14">
        <f>+DA294*SUM($D$258:$D$259)*(DA13&lt;1)*(DA7&gt;=Inputs!$L$76)</f>
        <v>0</v>
      </c>
      <c r="DB301" s="14">
        <f>+DB294*SUM($D$258:$D$259)*(DB13&lt;1)*(DB7&gt;=Inputs!$L$76)</f>
        <v>0</v>
      </c>
      <c r="DC301" s="14">
        <f>+DC294*SUM($D$258:$D$259)*(DC13&lt;1)*(DC7&gt;=Inputs!$L$76)</f>
        <v>0</v>
      </c>
      <c r="DD301" s="14">
        <f>+DD294*SUM($D$258:$D$259)*(DD13&lt;1)*(DD7&gt;=Inputs!$L$76)</f>
        <v>0</v>
      </c>
      <c r="DE301" s="14">
        <f>+DE294*SUM($D$258:$D$259)*(DE13&lt;1)*(DE7&gt;=Inputs!$L$76)</f>
        <v>0</v>
      </c>
      <c r="DF301" s="14">
        <f>+DF294*SUM($D$258:$D$259)*(DF13&lt;1)*(DF7&gt;=Inputs!$L$76)</f>
        <v>0</v>
      </c>
      <c r="DG301" s="14">
        <f>+DG294*SUM($D$258:$D$259)*(DG13&lt;1)*(DG7&gt;=Inputs!$L$76)</f>
        <v>0</v>
      </c>
      <c r="DH301" s="14">
        <f>+DH294*SUM($D$258:$D$259)*(DH13&lt;1)*(DH7&gt;=Inputs!$L$76)</f>
        <v>0</v>
      </c>
      <c r="DI301" s="14">
        <f>+DI294*SUM($D$258:$D$259)*(DI13&lt;1)*(DI7&gt;=Inputs!$L$76)</f>
        <v>0</v>
      </c>
      <c r="DJ301" s="14">
        <f>+DJ294*SUM($D$258:$D$259)*(DJ13&lt;1)*(DJ7&gt;=Inputs!$L$76)</f>
        <v>0</v>
      </c>
      <c r="DK301" s="14">
        <f>+DK294*SUM($D$258:$D$259)*(DK13&lt;1)*(DK7&gt;=Inputs!$L$76)</f>
        <v>0</v>
      </c>
      <c r="DL301" s="14">
        <f>+DL294*SUM($D$258:$D$259)*(DL13&lt;1)*(DL7&gt;=Inputs!$L$76)</f>
        <v>0</v>
      </c>
      <c r="DM301" s="14">
        <f>+DM294*SUM($D$258:$D$259)*(DM13&lt;1)*(DM7&gt;=Inputs!$L$76)</f>
        <v>0</v>
      </c>
      <c r="DN301" s="14">
        <f>+DN294*SUM($D$258:$D$259)*(DN13&lt;1)*(DN7&gt;=Inputs!$L$76)</f>
        <v>0</v>
      </c>
      <c r="DO301" s="14">
        <f>+DO294*SUM($D$258:$D$259)*(DO13&lt;1)*(DO7&gt;=Inputs!$L$76)</f>
        <v>0</v>
      </c>
      <c r="DP301" s="14">
        <f>+DP294*SUM($D$258:$D$259)*(DP13&lt;1)*(DP7&gt;=Inputs!$L$76)</f>
        <v>0</v>
      </c>
      <c r="DQ301" s="14">
        <f>+DQ294*SUM($D$258:$D$259)*(DQ13&lt;1)*(DQ7&gt;=Inputs!$L$76)</f>
        <v>0</v>
      </c>
      <c r="DR301" s="14">
        <f>+DR294*SUM($D$258:$D$259)*(DR13&lt;1)*(DR7&gt;=Inputs!$L$76)</f>
        <v>0</v>
      </c>
      <c r="DS301" s="14">
        <f>+DS294*SUM($D$258:$D$259)*(DS13&lt;1)*(DS7&gt;=Inputs!$L$76)</f>
        <v>0</v>
      </c>
      <c r="DT301" s="14">
        <f>+DT294*SUM($D$258:$D$259)*(DT13&lt;1)*(DT7&gt;=Inputs!$L$76)</f>
        <v>0</v>
      </c>
      <c r="DU301" s="14">
        <f>+DU294*SUM($D$258:$D$259)*(DU13&lt;1)*(DU7&gt;=Inputs!$L$76)</f>
        <v>0</v>
      </c>
      <c r="DV301" s="14">
        <f>+DV294*SUM($D$258:$D$259)*(DV13&lt;1)*(DV7&gt;=Inputs!$L$76)</f>
        <v>0</v>
      </c>
      <c r="DW301" s="14">
        <f>+DW294*SUM($D$258:$D$259)*(DW13&lt;1)*(DW7&gt;=Inputs!$L$76)</f>
        <v>0</v>
      </c>
      <c r="DX301" s="14">
        <f>+DX294*SUM($D$258:$D$259)*(DX13&lt;1)*(DX7&gt;=Inputs!$L$76)</f>
        <v>0</v>
      </c>
      <c r="DY301" s="14">
        <f>+DY294*SUM($D$258:$D$259)*(DY13&lt;1)*(DY7&gt;=Inputs!$L$76)</f>
        <v>0</v>
      </c>
    </row>
    <row r="302" spans="1:129" s="3" customFormat="1" ht="11.7" customHeight="1" outlineLevel="1" x14ac:dyDescent="0.3">
      <c r="A302" s="85"/>
      <c r="B302" s="113" t="s">
        <v>535</v>
      </c>
      <c r="C302" s="113"/>
      <c r="D302" s="158"/>
      <c r="E302" s="159"/>
      <c r="F302" s="159"/>
      <c r="G302" s="127"/>
      <c r="H302" s="290">
        <f t="shared" si="373"/>
        <v>9725.7000000000007</v>
      </c>
      <c r="I302" s="1019">
        <v>0</v>
      </c>
      <c r="J302" s="1019">
        <v>0</v>
      </c>
      <c r="K302" s="1019">
        <v>0</v>
      </c>
      <c r="L302" s="1019">
        <v>0</v>
      </c>
      <c r="M302" s="1019">
        <v>0</v>
      </c>
      <c r="N302" s="1019">
        <v>0</v>
      </c>
      <c r="O302" s="1019">
        <v>0</v>
      </c>
      <c r="P302" s="1019">
        <v>0</v>
      </c>
      <c r="Q302" s="1019">
        <v>0</v>
      </c>
      <c r="R302" s="1019">
        <v>0</v>
      </c>
      <c r="S302" s="1019">
        <v>0</v>
      </c>
      <c r="T302" s="1019">
        <v>0</v>
      </c>
      <c r="U302" s="1019">
        <v>0</v>
      </c>
      <c r="V302" s="1019">
        <v>0</v>
      </c>
      <c r="W302" s="1019">
        <v>0</v>
      </c>
      <c r="X302" s="1019">
        <v>0</v>
      </c>
      <c r="Y302" s="1019">
        <v>0</v>
      </c>
      <c r="Z302" s="1019">
        <v>0</v>
      </c>
      <c r="AA302" s="1019">
        <v>0</v>
      </c>
      <c r="AB302" s="1019">
        <v>0</v>
      </c>
      <c r="AC302" s="1019">
        <v>0</v>
      </c>
      <c r="AD302" s="1019">
        <v>0</v>
      </c>
      <c r="AE302" s="1019">
        <v>0</v>
      </c>
      <c r="AF302" s="1019">
        <v>0</v>
      </c>
      <c r="AG302" s="1019">
        <v>0</v>
      </c>
      <c r="AH302" s="1019">
        <v>0</v>
      </c>
      <c r="AI302" s="1019">
        <v>0</v>
      </c>
      <c r="AJ302" s="1019">
        <v>0</v>
      </c>
      <c r="AK302" s="1019">
        <v>0</v>
      </c>
      <c r="AL302" s="1019">
        <v>0</v>
      </c>
      <c r="AM302" s="1019">
        <v>0</v>
      </c>
      <c r="AN302" s="1019">
        <v>0</v>
      </c>
      <c r="AO302" s="1019">
        <v>0</v>
      </c>
      <c r="AP302" s="1019">
        <v>0</v>
      </c>
      <c r="AQ302" s="1019">
        <v>0</v>
      </c>
      <c r="AR302" s="1019">
        <v>0</v>
      </c>
      <c r="AS302" s="1019">
        <v>0</v>
      </c>
      <c r="AT302" s="1019">
        <v>0</v>
      </c>
      <c r="AU302" s="1019">
        <v>0</v>
      </c>
      <c r="AV302" s="1019">
        <v>0</v>
      </c>
      <c r="AW302" s="1019">
        <v>0</v>
      </c>
      <c r="AX302" s="1019">
        <v>0</v>
      </c>
      <c r="AY302" s="1019">
        <v>0</v>
      </c>
      <c r="AZ302" s="1019">
        <v>0</v>
      </c>
      <c r="BA302" s="1019">
        <v>0</v>
      </c>
      <c r="BB302" s="1019">
        <v>0</v>
      </c>
      <c r="BC302" s="1019">
        <v>0</v>
      </c>
      <c r="BD302" s="1019">
        <v>0</v>
      </c>
      <c r="BE302" s="1019">
        <v>0</v>
      </c>
      <c r="BF302" s="1019">
        <v>0</v>
      </c>
      <c r="BG302" s="1019">
        <v>0</v>
      </c>
      <c r="BH302" s="1019">
        <v>0</v>
      </c>
      <c r="BI302" s="1019">
        <v>0</v>
      </c>
      <c r="BJ302" s="1019">
        <v>0</v>
      </c>
      <c r="BK302" s="1019">
        <v>0</v>
      </c>
      <c r="BL302" s="1019">
        <v>0</v>
      </c>
      <c r="BM302" s="1019">
        <v>0</v>
      </c>
      <c r="BN302" s="1019">
        <v>0</v>
      </c>
      <c r="BO302" s="1019">
        <v>0</v>
      </c>
      <c r="BP302" s="1019">
        <v>0</v>
      </c>
      <c r="BQ302" s="1019">
        <v>0</v>
      </c>
      <c r="BR302" s="1019">
        <v>0</v>
      </c>
      <c r="BS302" s="1019">
        <v>0</v>
      </c>
      <c r="BT302" s="1019">
        <v>0</v>
      </c>
      <c r="BU302" s="1019">
        <v>0</v>
      </c>
      <c r="BV302" s="1019">
        <v>0</v>
      </c>
      <c r="BW302" s="1019">
        <v>0</v>
      </c>
      <c r="BX302" s="1019">
        <v>0</v>
      </c>
      <c r="BY302" s="1019">
        <v>0</v>
      </c>
      <c r="BZ302" s="1019">
        <v>0</v>
      </c>
      <c r="CA302" s="14">
        <f>CA295*SUM($D$260:$D$261)*(CA13&lt;1)*(CA7&gt;=Inputs!$L$76)</f>
        <v>190.7</v>
      </c>
      <c r="CB302" s="14">
        <f>CB295*SUM($D$260:$D$261)*(CB13&lt;1)*(CB7&gt;=Inputs!$L$76)</f>
        <v>190.7</v>
      </c>
      <c r="CC302" s="14">
        <f>CC295*SUM($D$260:$D$261)*(CC13&lt;1)*(CC7&gt;=Inputs!$L$76)</f>
        <v>190.7</v>
      </c>
      <c r="CD302" s="14">
        <f>CD295*SUM($D$260:$D$261)*(CD13&lt;1)*(CD7&gt;=Inputs!$L$76)</f>
        <v>190.7</v>
      </c>
      <c r="CE302" s="14">
        <f>CE295*SUM($D$260:$D$261)*(CE13&lt;1)*(CE7&gt;=Inputs!$L$76)</f>
        <v>190.7</v>
      </c>
      <c r="CF302" s="14">
        <f>CF295*SUM($D$260:$D$261)*(CF13&lt;1)*(CF7&gt;=Inputs!$L$76)</f>
        <v>190.7</v>
      </c>
      <c r="CG302" s="14">
        <f>CG295*SUM($D$260:$D$261)*(CG13&lt;1)*(CG7&gt;=Inputs!$L$76)</f>
        <v>190.7</v>
      </c>
      <c r="CH302" s="14">
        <f>CH295*SUM($D$260:$D$261)*(CH13&lt;1)*(CH7&gt;=Inputs!$L$76)</f>
        <v>190.7</v>
      </c>
      <c r="CI302" s="14">
        <f>CI295*SUM($D$260:$D$261)*(CI13&lt;1)*(CI7&gt;=Inputs!$L$76)</f>
        <v>190.7</v>
      </c>
      <c r="CJ302" s="14">
        <f>CJ295*SUM($D$260:$D$261)*(CJ13&lt;1)*(CJ7&gt;=Inputs!$L$76)</f>
        <v>190.7</v>
      </c>
      <c r="CK302" s="14">
        <f>CK295*SUM($D$260:$D$261)*(CK13&lt;1)*(CK7&gt;=Inputs!$L$76)</f>
        <v>190.7</v>
      </c>
      <c r="CL302" s="14">
        <f>CL295*SUM($D$260:$D$261)*(CL13&lt;1)*(CL7&gt;=Inputs!$L$76)</f>
        <v>190.7</v>
      </c>
      <c r="CM302" s="14">
        <f>CM295*SUM($D$260:$D$261)*(CM13&lt;1)*(CM7&gt;=Inputs!$L$76)</f>
        <v>190.7</v>
      </c>
      <c r="CN302" s="14">
        <f>CN295*SUM($D$260:$D$261)*(CN13&lt;1)*(CN7&gt;=Inputs!$L$76)</f>
        <v>190.7</v>
      </c>
      <c r="CO302" s="14">
        <f>CO295*SUM($D$260:$D$261)*(CO13&lt;1)*(CO7&gt;=Inputs!$L$76)</f>
        <v>190.7</v>
      </c>
      <c r="CP302" s="14">
        <f>CP295*SUM($D$260:$D$261)*(CP13&lt;1)*(CP7&gt;=Inputs!$L$76)</f>
        <v>190.7</v>
      </c>
      <c r="CQ302" s="14">
        <f>CQ295*SUM($D$260:$D$261)*(CQ13&lt;1)*(CQ7&gt;=Inputs!$L$76)</f>
        <v>190.7</v>
      </c>
      <c r="CR302" s="14">
        <f>CR295*SUM($D$260:$D$261)*(CR13&lt;1)*(CR7&gt;=Inputs!$L$76)</f>
        <v>190.7</v>
      </c>
      <c r="CS302" s="14">
        <f>CS295*SUM($D$260:$D$261)*(CS13&lt;1)*(CS7&gt;=Inputs!$L$76)</f>
        <v>190.7</v>
      </c>
      <c r="CT302" s="14">
        <f>CT295*SUM($D$260:$D$261)*(CT13&lt;1)*(CT7&gt;=Inputs!$L$76)</f>
        <v>190.7</v>
      </c>
      <c r="CU302" s="14">
        <f>CU295*SUM($D$260:$D$261)*(CU13&lt;1)*(CU7&gt;=Inputs!$L$76)</f>
        <v>190.7</v>
      </c>
      <c r="CV302" s="14">
        <f>CV295*SUM($D$260:$D$261)*(CV13&lt;1)*(CV7&gt;=Inputs!$L$76)</f>
        <v>190.7</v>
      </c>
      <c r="CW302" s="14">
        <f>CW295*SUM($D$260:$D$261)*(CW13&lt;1)*(CW7&gt;=Inputs!$L$76)</f>
        <v>190.7</v>
      </c>
      <c r="CX302" s="14">
        <f>CX295*SUM($D$260:$D$261)*(CX13&lt;1)*(CX7&gt;=Inputs!$L$76)</f>
        <v>190.7</v>
      </c>
      <c r="CY302" s="14">
        <f>CY295*SUM($D$260:$D$261)*(CY13&lt;1)*(CY7&gt;=Inputs!$L$76)</f>
        <v>190.7</v>
      </c>
      <c r="CZ302" s="14">
        <f>CZ295*SUM($D$260:$D$261)*(CZ13&lt;1)*(CZ7&gt;=Inputs!$L$76)</f>
        <v>190.7</v>
      </c>
      <c r="DA302" s="14">
        <f>DA295*SUM($D$260:$D$261)*(DA13&lt;1)*(DA7&gt;=Inputs!$L$76)</f>
        <v>190.7</v>
      </c>
      <c r="DB302" s="14">
        <f>DB295*SUM($D$260:$D$261)*(DB13&lt;1)*(DB7&gt;=Inputs!$L$76)</f>
        <v>190.7</v>
      </c>
      <c r="DC302" s="14">
        <f>DC295*SUM($D$260:$D$261)*(DC13&lt;1)*(DC7&gt;=Inputs!$L$76)</f>
        <v>190.7</v>
      </c>
      <c r="DD302" s="14">
        <f>DD295*SUM($D$260:$D$261)*(DD13&lt;1)*(DD7&gt;=Inputs!$L$76)</f>
        <v>190.7</v>
      </c>
      <c r="DE302" s="14">
        <f>DE295*SUM($D$260:$D$261)*(DE13&lt;1)*(DE7&gt;=Inputs!$L$76)</f>
        <v>190.7</v>
      </c>
      <c r="DF302" s="14">
        <f>DF295*SUM($D$260:$D$261)*(DF13&lt;1)*(DF7&gt;=Inputs!$L$76)</f>
        <v>190.7</v>
      </c>
      <c r="DG302" s="14">
        <f>DG295*SUM($D$260:$D$261)*(DG13&lt;1)*(DG7&gt;=Inputs!$L$76)</f>
        <v>190.7</v>
      </c>
      <c r="DH302" s="14">
        <f>DH295*SUM($D$260:$D$261)*(DH13&lt;1)*(DH7&gt;=Inputs!$L$76)</f>
        <v>190.7</v>
      </c>
      <c r="DI302" s="14">
        <f>DI295*SUM($D$260:$D$261)*(DI13&lt;1)*(DI7&gt;=Inputs!$L$76)</f>
        <v>190.7</v>
      </c>
      <c r="DJ302" s="14">
        <f>DJ295*SUM($D$260:$D$261)*(DJ13&lt;1)*(DJ7&gt;=Inputs!$L$76)</f>
        <v>190.7</v>
      </c>
      <c r="DK302" s="14">
        <f>DK295*SUM($D$260:$D$261)*(DK13&lt;1)*(DK7&gt;=Inputs!$L$76)</f>
        <v>190.7</v>
      </c>
      <c r="DL302" s="14">
        <f>DL295*SUM($D$260:$D$261)*(DL13&lt;1)*(DL7&gt;=Inputs!$L$76)</f>
        <v>190.7</v>
      </c>
      <c r="DM302" s="14">
        <f>DM295*SUM($D$260:$D$261)*(DM13&lt;1)*(DM7&gt;=Inputs!$L$76)</f>
        <v>190.7</v>
      </c>
      <c r="DN302" s="14">
        <f>DN295*SUM($D$260:$D$261)*(DN13&lt;1)*(DN7&gt;=Inputs!$L$76)</f>
        <v>190.7</v>
      </c>
      <c r="DO302" s="14">
        <f>DO295*SUM($D$260:$D$261)*(DO13&lt;1)*(DO7&gt;=Inputs!$L$76)</f>
        <v>190.7</v>
      </c>
      <c r="DP302" s="14">
        <f>DP295*SUM($D$260:$D$261)*(DP13&lt;1)*(DP7&gt;=Inputs!$L$76)</f>
        <v>190.7</v>
      </c>
      <c r="DQ302" s="14">
        <f>DQ295*SUM($D$260:$D$261)*(DQ13&lt;1)*(DQ7&gt;=Inputs!$L$76)</f>
        <v>190.7</v>
      </c>
      <c r="DR302" s="14">
        <f>DR295*SUM($D$260:$D$261)*(DR13&lt;1)*(DR7&gt;=Inputs!$L$76)</f>
        <v>190.7</v>
      </c>
      <c r="DS302" s="14">
        <f>DS295*SUM($D$260:$D$261)*(DS13&lt;1)*(DS7&gt;=Inputs!$L$76)</f>
        <v>190.7</v>
      </c>
      <c r="DT302" s="14">
        <f>DT295*SUM($D$260:$D$261)*(DT13&lt;1)*(DT7&gt;=Inputs!$L$76)</f>
        <v>190.7</v>
      </c>
      <c r="DU302" s="14">
        <f>DU295*SUM($D$260:$D$261)*(DU13&lt;1)*(DU7&gt;=Inputs!$L$76)</f>
        <v>190.7</v>
      </c>
      <c r="DV302" s="14">
        <f>DV295*SUM($D$260:$D$261)*(DV13&lt;1)*(DV7&gt;=Inputs!$L$76)</f>
        <v>190.7</v>
      </c>
      <c r="DW302" s="14">
        <f>DW295*SUM($D$260:$D$261)*(DW13&lt;1)*(DW7&gt;=Inputs!$L$76)</f>
        <v>190.7</v>
      </c>
      <c r="DX302" s="14">
        <f>DX295*SUM($D$260:$D$261)*(DX13&lt;1)*(DX7&gt;=Inputs!$L$76)</f>
        <v>190.7</v>
      </c>
      <c r="DY302" s="14">
        <f>DY295*SUM($D$260:$D$261)*(DY13&lt;1)*(DY7&gt;=Inputs!$L$76)</f>
        <v>190.7</v>
      </c>
    </row>
    <row r="303" spans="1:129" s="3" customFormat="1" ht="11.7" customHeight="1" outlineLevel="1" x14ac:dyDescent="0.3">
      <c r="A303" s="85"/>
      <c r="B303" s="113" t="s">
        <v>505</v>
      </c>
      <c r="C303" s="113"/>
      <c r="D303" s="158"/>
      <c r="E303" s="159"/>
      <c r="F303" s="159"/>
      <c r="G303" s="127"/>
      <c r="H303" s="290">
        <f t="shared" si="373"/>
        <v>22692.741996850855</v>
      </c>
      <c r="I303" s="1019">
        <v>0</v>
      </c>
      <c r="J303" s="1019">
        <v>0</v>
      </c>
      <c r="K303" s="1019">
        <v>0</v>
      </c>
      <c r="L303" s="1019">
        <v>0</v>
      </c>
      <c r="M303" s="1019">
        <v>0</v>
      </c>
      <c r="N303" s="1019">
        <v>0</v>
      </c>
      <c r="O303" s="1019">
        <v>0</v>
      </c>
      <c r="P303" s="1019">
        <v>0</v>
      </c>
      <c r="Q303" s="1019">
        <v>0</v>
      </c>
      <c r="R303" s="1019">
        <v>0</v>
      </c>
      <c r="S303" s="1019">
        <v>0</v>
      </c>
      <c r="T303" s="1019">
        <v>0</v>
      </c>
      <c r="U303" s="1019">
        <v>0</v>
      </c>
      <c r="V303" s="1019">
        <v>0</v>
      </c>
      <c r="W303" s="1019">
        <v>0</v>
      </c>
      <c r="X303" s="1019">
        <v>0</v>
      </c>
      <c r="Y303" s="1019">
        <v>0</v>
      </c>
      <c r="Z303" s="1019">
        <v>0</v>
      </c>
      <c r="AA303" s="1019">
        <v>0</v>
      </c>
      <c r="AB303" s="1019">
        <v>0</v>
      </c>
      <c r="AC303" s="1019">
        <v>0</v>
      </c>
      <c r="AD303" s="1019">
        <v>0</v>
      </c>
      <c r="AE303" s="1019">
        <v>0</v>
      </c>
      <c r="AF303" s="1019">
        <v>0</v>
      </c>
      <c r="AG303" s="1019">
        <v>0</v>
      </c>
      <c r="AH303" s="1019">
        <v>0</v>
      </c>
      <c r="AI303" s="1019">
        <v>0</v>
      </c>
      <c r="AJ303" s="1019">
        <v>0</v>
      </c>
      <c r="AK303" s="1019">
        <v>0</v>
      </c>
      <c r="AL303" s="1019">
        <v>0</v>
      </c>
      <c r="AM303" s="1019">
        <v>0</v>
      </c>
      <c r="AN303" s="1019">
        <v>0</v>
      </c>
      <c r="AO303" s="1019">
        <v>0</v>
      </c>
      <c r="AP303" s="1019">
        <v>0</v>
      </c>
      <c r="AQ303" s="1019">
        <v>0</v>
      </c>
      <c r="AR303" s="1019">
        <v>0</v>
      </c>
      <c r="AS303" s="1019">
        <v>0</v>
      </c>
      <c r="AT303" s="1019">
        <v>0</v>
      </c>
      <c r="AU303" s="1019">
        <v>0</v>
      </c>
      <c r="AV303" s="1019">
        <v>0</v>
      </c>
      <c r="AW303" s="1019">
        <v>0</v>
      </c>
      <c r="AX303" s="1019">
        <v>0</v>
      </c>
      <c r="AY303" s="1019">
        <v>0</v>
      </c>
      <c r="AZ303" s="1019">
        <v>0</v>
      </c>
      <c r="BA303" s="1019">
        <v>0</v>
      </c>
      <c r="BB303" s="1019">
        <v>0</v>
      </c>
      <c r="BC303" s="1019">
        <v>0</v>
      </c>
      <c r="BD303" s="1019">
        <v>0</v>
      </c>
      <c r="BE303" s="1019">
        <v>0</v>
      </c>
      <c r="BF303" s="1019">
        <v>0</v>
      </c>
      <c r="BG303" s="1019">
        <v>0</v>
      </c>
      <c r="BH303" s="1019">
        <v>0</v>
      </c>
      <c r="BI303" s="1019">
        <v>0</v>
      </c>
      <c r="BJ303" s="1019">
        <v>0</v>
      </c>
      <c r="BK303" s="1019">
        <v>0</v>
      </c>
      <c r="BL303" s="1019">
        <v>0</v>
      </c>
      <c r="BM303" s="1019">
        <v>0</v>
      </c>
      <c r="BN303" s="1019">
        <v>0</v>
      </c>
      <c r="BO303" s="1019">
        <v>0</v>
      </c>
      <c r="BP303" s="1019">
        <v>0</v>
      </c>
      <c r="BQ303" s="1019">
        <v>0</v>
      </c>
      <c r="BR303" s="1019">
        <v>0</v>
      </c>
      <c r="BS303" s="1019">
        <v>0</v>
      </c>
      <c r="BT303" s="1019">
        <v>0</v>
      </c>
      <c r="BU303" s="1019">
        <v>0</v>
      </c>
      <c r="BV303" s="1019">
        <v>0</v>
      </c>
      <c r="BW303" s="1019">
        <f>2228413/BW99</f>
        <v>62.63901428736871</v>
      </c>
      <c r="BX303" s="1019">
        <f>1119524/BX99</f>
        <v>31.237982563468666</v>
      </c>
      <c r="BY303" s="1019">
        <v>0</v>
      </c>
      <c r="BZ303" s="1019">
        <v>0</v>
      </c>
      <c r="CA303" s="14">
        <f>+CA296*SUM($D$262:$D$263)*(CA13&lt;1)*(CA7&gt;=Inputs!$L$76)</f>
        <v>443.11500000000001</v>
      </c>
      <c r="CB303" s="14">
        <f>+CB296*SUM($D$262:$D$263)*(CB13&lt;1)*(CB7&gt;=Inputs!$L$76)</f>
        <v>443.11500000000001</v>
      </c>
      <c r="CC303" s="14">
        <f>+CC296*SUM($D$262:$D$263)*(CC13&lt;1)*(CC7&gt;=Inputs!$L$76)</f>
        <v>443.11500000000001</v>
      </c>
      <c r="CD303" s="14">
        <f>+CD296*SUM($D$262:$D$263)*(CD13&lt;1)*(CD7&gt;=Inputs!$L$76)</f>
        <v>443.11500000000001</v>
      </c>
      <c r="CE303" s="14">
        <f>+CE296*SUM($D$262:$D$263)*(CE13&lt;1)*(CE7&gt;=Inputs!$L$76)</f>
        <v>443.11500000000001</v>
      </c>
      <c r="CF303" s="14">
        <f>+CF296*SUM($D$262:$D$263)*(CF13&lt;1)*(CF7&gt;=Inputs!$L$76)</f>
        <v>443.11500000000001</v>
      </c>
      <c r="CG303" s="14">
        <f>+CG296*SUM($D$262:$D$263)*(CG13&lt;1)*(CG7&gt;=Inputs!$L$76)</f>
        <v>443.11500000000001</v>
      </c>
      <c r="CH303" s="14">
        <f>+CH296*SUM($D$262:$D$263)*(CH13&lt;1)*(CH7&gt;=Inputs!$L$76)</f>
        <v>443.11500000000001</v>
      </c>
      <c r="CI303" s="14">
        <f>+CI296*SUM($D$262:$D$263)*(CI13&lt;1)*(CI7&gt;=Inputs!$L$76)</f>
        <v>443.11500000000001</v>
      </c>
      <c r="CJ303" s="14">
        <f>+CJ296*SUM($D$262:$D$263)*(CJ13&lt;1)*(CJ7&gt;=Inputs!$L$76)</f>
        <v>443.11500000000001</v>
      </c>
      <c r="CK303" s="14">
        <f>+CK296*SUM($D$262:$D$263)*(CK13&lt;1)*(CK7&gt;=Inputs!$L$76)</f>
        <v>443.11500000000001</v>
      </c>
      <c r="CL303" s="14">
        <f>+CL296*SUM($D$262:$D$263)*(CL13&lt;1)*(CL7&gt;=Inputs!$L$76)</f>
        <v>443.11500000000001</v>
      </c>
      <c r="CM303" s="14">
        <f>+CM296*SUM($D$262:$D$263)*(CM13&lt;1)*(CM7&gt;=Inputs!$L$76)</f>
        <v>443.11500000000001</v>
      </c>
      <c r="CN303" s="14">
        <f>+CN296*SUM($D$262:$D$263)*(CN13&lt;1)*(CN7&gt;=Inputs!$L$76)</f>
        <v>443.11500000000001</v>
      </c>
      <c r="CO303" s="14">
        <f>+CO296*SUM($D$262:$D$263)*(CO13&lt;1)*(CO7&gt;=Inputs!$L$76)</f>
        <v>443.11500000000001</v>
      </c>
      <c r="CP303" s="14">
        <f>+CP296*SUM($D$262:$D$263)*(CP13&lt;1)*(CP7&gt;=Inputs!$L$76)</f>
        <v>443.11500000000001</v>
      </c>
      <c r="CQ303" s="14">
        <f>+CQ296*SUM($D$262:$D$263)*(CQ13&lt;1)*(CQ7&gt;=Inputs!$L$76)</f>
        <v>443.11500000000001</v>
      </c>
      <c r="CR303" s="14">
        <f>+CR296*SUM($D$262:$D$263)*(CR13&lt;1)*(CR7&gt;=Inputs!$L$76)</f>
        <v>443.11500000000001</v>
      </c>
      <c r="CS303" s="14">
        <f>+CS296*SUM($D$262:$D$263)*(CS13&lt;1)*(CS7&gt;=Inputs!$L$76)</f>
        <v>443.11500000000001</v>
      </c>
      <c r="CT303" s="14">
        <f>+CT296*SUM($D$262:$D$263)*(CT13&lt;1)*(CT7&gt;=Inputs!$L$76)</f>
        <v>443.11500000000001</v>
      </c>
      <c r="CU303" s="14">
        <f>+CU296*SUM($D$262:$D$263)*(CU13&lt;1)*(CU7&gt;=Inputs!$L$76)</f>
        <v>443.11500000000001</v>
      </c>
      <c r="CV303" s="14">
        <f>+CV296*SUM($D$262:$D$263)*(CV13&lt;1)*(CV7&gt;=Inputs!$L$76)</f>
        <v>443.11500000000001</v>
      </c>
      <c r="CW303" s="14">
        <f>+CW296*SUM($D$262:$D$263)*(CW13&lt;1)*(CW7&gt;=Inputs!$L$76)</f>
        <v>443.11500000000001</v>
      </c>
      <c r="CX303" s="14">
        <f>+CX296*SUM($D$262:$D$263)*(CX13&lt;1)*(CX7&gt;=Inputs!$L$76)</f>
        <v>443.11500000000001</v>
      </c>
      <c r="CY303" s="14">
        <f>+CY296*SUM($D$262:$D$263)*(CY13&lt;1)*(CY7&gt;=Inputs!$L$76)</f>
        <v>443.11500000000001</v>
      </c>
      <c r="CZ303" s="14">
        <f>+CZ296*SUM($D$262:$D$263)*(CZ13&lt;1)*(CZ7&gt;=Inputs!$L$76)</f>
        <v>443.11500000000001</v>
      </c>
      <c r="DA303" s="14">
        <f>+DA296*SUM($D$262:$D$263)*(DA13&lt;1)*(DA7&gt;=Inputs!$L$76)</f>
        <v>443.11500000000001</v>
      </c>
      <c r="DB303" s="14">
        <f>+DB296*SUM($D$262:$D$263)*(DB13&lt;1)*(DB7&gt;=Inputs!$L$76)</f>
        <v>443.11500000000001</v>
      </c>
      <c r="DC303" s="14">
        <f>+DC296*SUM($D$262:$D$263)*(DC13&lt;1)*(DC7&gt;=Inputs!$L$76)</f>
        <v>443.11500000000001</v>
      </c>
      <c r="DD303" s="14">
        <f>+DD296*SUM($D$262:$D$263)*(DD13&lt;1)*(DD7&gt;=Inputs!$L$76)</f>
        <v>443.11500000000001</v>
      </c>
      <c r="DE303" s="14">
        <f>+DE296*SUM($D$262:$D$263)*(DE13&lt;1)*(DE7&gt;=Inputs!$L$76)</f>
        <v>443.11500000000001</v>
      </c>
      <c r="DF303" s="14">
        <f>+DF296*SUM($D$262:$D$263)*(DF13&lt;1)*(DF7&gt;=Inputs!$L$76)</f>
        <v>443.11500000000001</v>
      </c>
      <c r="DG303" s="14">
        <f>+DG296*SUM($D$262:$D$263)*(DG13&lt;1)*(DG7&gt;=Inputs!$L$76)</f>
        <v>443.11500000000001</v>
      </c>
      <c r="DH303" s="14">
        <f>+DH296*SUM($D$262:$D$263)*(DH13&lt;1)*(DH7&gt;=Inputs!$L$76)</f>
        <v>443.11500000000001</v>
      </c>
      <c r="DI303" s="14">
        <f>+DI296*SUM($D$262:$D$263)*(DI13&lt;1)*(DI7&gt;=Inputs!$L$76)</f>
        <v>443.11500000000001</v>
      </c>
      <c r="DJ303" s="14">
        <f>+DJ296*SUM($D$262:$D$263)*(DJ13&lt;1)*(DJ7&gt;=Inputs!$L$76)</f>
        <v>443.11500000000001</v>
      </c>
      <c r="DK303" s="14">
        <f>+DK296*SUM($D$262:$D$263)*(DK13&lt;1)*(DK7&gt;=Inputs!$L$76)</f>
        <v>443.11500000000001</v>
      </c>
      <c r="DL303" s="14">
        <f>+DL296*SUM($D$262:$D$263)*(DL13&lt;1)*(DL7&gt;=Inputs!$L$76)</f>
        <v>443.11500000000001</v>
      </c>
      <c r="DM303" s="14">
        <f>+DM296*SUM($D$262:$D$263)*(DM13&lt;1)*(DM7&gt;=Inputs!$L$76)</f>
        <v>443.11500000000001</v>
      </c>
      <c r="DN303" s="14">
        <f>+DN296*SUM($D$262:$D$263)*(DN13&lt;1)*(DN7&gt;=Inputs!$L$76)</f>
        <v>443.11500000000001</v>
      </c>
      <c r="DO303" s="14">
        <f>+DO296*SUM($D$262:$D$263)*(DO13&lt;1)*(DO7&gt;=Inputs!$L$76)</f>
        <v>443.11500000000001</v>
      </c>
      <c r="DP303" s="14">
        <f>+DP296*SUM($D$262:$D$263)*(DP13&lt;1)*(DP7&gt;=Inputs!$L$76)</f>
        <v>443.11500000000001</v>
      </c>
      <c r="DQ303" s="14">
        <f>+DQ296*SUM($D$262:$D$263)*(DQ13&lt;1)*(DQ7&gt;=Inputs!$L$76)</f>
        <v>443.11500000000001</v>
      </c>
      <c r="DR303" s="14">
        <f>+DR296*SUM($D$262:$D$263)*(DR13&lt;1)*(DR7&gt;=Inputs!$L$76)</f>
        <v>443.11500000000001</v>
      </c>
      <c r="DS303" s="14">
        <f>+DS296*SUM($D$262:$D$263)*(DS13&lt;1)*(DS7&gt;=Inputs!$L$76)</f>
        <v>443.11500000000001</v>
      </c>
      <c r="DT303" s="14">
        <f>+DT296*SUM($D$262:$D$263)*(DT13&lt;1)*(DT7&gt;=Inputs!$L$76)</f>
        <v>443.11500000000001</v>
      </c>
      <c r="DU303" s="14">
        <f>+DU296*SUM($D$262:$D$263)*(DU13&lt;1)*(DU7&gt;=Inputs!$L$76)</f>
        <v>443.11500000000001</v>
      </c>
      <c r="DV303" s="14">
        <f>+DV296*SUM($D$262:$D$263)*(DV13&lt;1)*(DV7&gt;=Inputs!$L$76)</f>
        <v>443.11500000000001</v>
      </c>
      <c r="DW303" s="14">
        <f>+DW296*SUM($D$262:$D$263)*(DW13&lt;1)*(DW7&gt;=Inputs!$L$76)</f>
        <v>443.11500000000001</v>
      </c>
      <c r="DX303" s="14">
        <f>+DX296*SUM($D$262:$D$263)*(DX13&lt;1)*(DX7&gt;=Inputs!$L$76)</f>
        <v>443.11500000000001</v>
      </c>
      <c r="DY303" s="14">
        <f>+DY296*SUM($D$262:$D$263)*(DY13&lt;1)*(DY7&gt;=Inputs!$L$76)</f>
        <v>443.11500000000001</v>
      </c>
    </row>
    <row r="304" spans="1:129" s="3" customFormat="1" ht="11.7" customHeight="1" outlineLevel="1" x14ac:dyDescent="0.3">
      <c r="A304" s="85"/>
      <c r="B304" s="113" t="s">
        <v>527</v>
      </c>
      <c r="C304" s="113"/>
      <c r="D304" s="158"/>
      <c r="E304" s="159"/>
      <c r="F304" s="159"/>
      <c r="G304" s="127"/>
      <c r="H304" s="290">
        <f t="shared" si="373"/>
        <v>0</v>
      </c>
      <c r="I304" s="1019">
        <v>0</v>
      </c>
      <c r="J304" s="1019">
        <v>0</v>
      </c>
      <c r="K304" s="1019">
        <v>0</v>
      </c>
      <c r="L304" s="1019">
        <v>0</v>
      </c>
      <c r="M304" s="1019">
        <v>0</v>
      </c>
      <c r="N304" s="1019">
        <v>0</v>
      </c>
      <c r="O304" s="1019">
        <v>0</v>
      </c>
      <c r="P304" s="1019">
        <v>0</v>
      </c>
      <c r="Q304" s="1019">
        <v>0</v>
      </c>
      <c r="R304" s="1019">
        <v>0</v>
      </c>
      <c r="S304" s="1019">
        <v>0</v>
      </c>
      <c r="T304" s="1019">
        <v>0</v>
      </c>
      <c r="U304" s="1019">
        <v>0</v>
      </c>
      <c r="V304" s="1019">
        <v>0</v>
      </c>
      <c r="W304" s="1019">
        <v>0</v>
      </c>
      <c r="X304" s="1019">
        <v>0</v>
      </c>
      <c r="Y304" s="1019">
        <v>0</v>
      </c>
      <c r="Z304" s="1019">
        <v>0</v>
      </c>
      <c r="AA304" s="1019">
        <v>0</v>
      </c>
      <c r="AB304" s="1019">
        <v>0</v>
      </c>
      <c r="AC304" s="1019">
        <v>0</v>
      </c>
      <c r="AD304" s="1019">
        <v>0</v>
      </c>
      <c r="AE304" s="1019">
        <v>0</v>
      </c>
      <c r="AF304" s="1019">
        <v>0</v>
      </c>
      <c r="AG304" s="1019">
        <v>0</v>
      </c>
      <c r="AH304" s="1019">
        <v>0</v>
      </c>
      <c r="AI304" s="1019">
        <v>0</v>
      </c>
      <c r="AJ304" s="1019">
        <v>0</v>
      </c>
      <c r="AK304" s="1019">
        <v>0</v>
      </c>
      <c r="AL304" s="1019">
        <v>0</v>
      </c>
      <c r="AM304" s="1019">
        <v>0</v>
      </c>
      <c r="AN304" s="1019">
        <v>0</v>
      </c>
      <c r="AO304" s="1019">
        <v>0</v>
      </c>
      <c r="AP304" s="1019">
        <v>0</v>
      </c>
      <c r="AQ304" s="1019">
        <v>0</v>
      </c>
      <c r="AR304" s="1019">
        <v>0</v>
      </c>
      <c r="AS304" s="1019">
        <v>0</v>
      </c>
      <c r="AT304" s="1019">
        <v>0</v>
      </c>
      <c r="AU304" s="1019">
        <v>0</v>
      </c>
      <c r="AV304" s="1019">
        <v>0</v>
      </c>
      <c r="AW304" s="1019">
        <v>0</v>
      </c>
      <c r="AX304" s="1019">
        <v>0</v>
      </c>
      <c r="AY304" s="1019">
        <v>0</v>
      </c>
      <c r="AZ304" s="1019">
        <v>0</v>
      </c>
      <c r="BA304" s="1019">
        <v>0</v>
      </c>
      <c r="BB304" s="1019">
        <v>0</v>
      </c>
      <c r="BC304" s="1019">
        <v>0</v>
      </c>
      <c r="BD304" s="1019">
        <v>0</v>
      </c>
      <c r="BE304" s="1019">
        <v>0</v>
      </c>
      <c r="BF304" s="1019">
        <v>0</v>
      </c>
      <c r="BG304" s="1019">
        <v>0</v>
      </c>
      <c r="BH304" s="1019">
        <v>0</v>
      </c>
      <c r="BI304" s="1019">
        <v>0</v>
      </c>
      <c r="BJ304" s="1019">
        <v>0</v>
      </c>
      <c r="BK304" s="1019">
        <v>0</v>
      </c>
      <c r="BL304" s="1019">
        <v>0</v>
      </c>
      <c r="BM304" s="1019">
        <v>0</v>
      </c>
      <c r="BN304" s="1019">
        <v>0</v>
      </c>
      <c r="BO304" s="1019">
        <v>0</v>
      </c>
      <c r="BP304" s="1019">
        <v>0</v>
      </c>
      <c r="BQ304" s="1019">
        <v>0</v>
      </c>
      <c r="BR304" s="1019">
        <v>0</v>
      </c>
      <c r="BS304" s="1019">
        <v>0</v>
      </c>
      <c r="BT304" s="1019">
        <v>0</v>
      </c>
      <c r="BU304" s="1019">
        <v>0</v>
      </c>
      <c r="BV304" s="1019">
        <v>0</v>
      </c>
      <c r="BW304" s="1019">
        <v>0</v>
      </c>
      <c r="BX304" s="1019">
        <v>0</v>
      </c>
      <c r="BY304" s="1019">
        <v>0</v>
      </c>
      <c r="BZ304" s="1019">
        <v>0</v>
      </c>
      <c r="CA304" s="14">
        <f>+CA297*SUM($D$264:$D$265)*(CA13&lt;1)*(CA7&gt;=Inputs!$L$76)</f>
        <v>0</v>
      </c>
      <c r="CB304" s="14">
        <f>+CB297*SUM($D$264:$D$265)*(CB13&lt;1)*(CB7&gt;=Inputs!$L$76)</f>
        <v>0</v>
      </c>
      <c r="CC304" s="14">
        <f>+CC297*SUM($D$264:$D$265)*(CC13&lt;1)*(CC7&gt;=Inputs!$L$76)</f>
        <v>0</v>
      </c>
      <c r="CD304" s="14">
        <f>+CD297*SUM($D$264:$D$265)*(CD13&lt;1)*(CD7&gt;=Inputs!$L$76)</f>
        <v>0</v>
      </c>
      <c r="CE304" s="14">
        <f>+CE297*SUM($D$264:$D$265)*(CE13&lt;1)*(CE7&gt;=Inputs!$L$76)</f>
        <v>0</v>
      </c>
      <c r="CF304" s="14">
        <f>+CF297*SUM($D$264:$D$265)*(CF13&lt;1)*(CF7&gt;=Inputs!$L$76)</f>
        <v>0</v>
      </c>
      <c r="CG304" s="14">
        <f>+CG297*SUM($D$264:$D$265)*(CG13&lt;1)*(CG7&gt;=Inputs!$L$76)</f>
        <v>0</v>
      </c>
      <c r="CH304" s="14">
        <f>+CH297*SUM($D$264:$D$265)*(CH13&lt;1)*(CH7&gt;=Inputs!$L$76)</f>
        <v>0</v>
      </c>
      <c r="CI304" s="14">
        <f>+CI297*SUM($D$264:$D$265)*(CI13&lt;1)*(CI7&gt;=Inputs!$L$76)</f>
        <v>0</v>
      </c>
      <c r="CJ304" s="14">
        <f>+CJ297*SUM($D$264:$D$265)*(CJ13&lt;1)*(CJ7&gt;=Inputs!$L$76)</f>
        <v>0</v>
      </c>
      <c r="CK304" s="14">
        <f>+CK297*SUM($D$264:$D$265)*(CK13&lt;1)*(CK7&gt;=Inputs!$L$76)</f>
        <v>0</v>
      </c>
      <c r="CL304" s="14">
        <f>+CL297*SUM($D$264:$D$265)*(CL13&lt;1)*(CL7&gt;=Inputs!$L$76)</f>
        <v>0</v>
      </c>
      <c r="CM304" s="14">
        <f>+CM297*SUM($D$264:$D$265)*(CM13&lt;1)*(CM7&gt;=Inputs!$L$76)</f>
        <v>0</v>
      </c>
      <c r="CN304" s="14">
        <f>+CN297*SUM($D$264:$D$265)*(CN13&lt;1)*(CN7&gt;=Inputs!$L$76)</f>
        <v>0</v>
      </c>
      <c r="CO304" s="14">
        <f>+CO297*SUM($D$264:$D$265)*(CO13&lt;1)*(CO7&gt;=Inputs!$L$76)</f>
        <v>0</v>
      </c>
      <c r="CP304" s="14">
        <f>+CP297*SUM($D$264:$D$265)*(CP13&lt;1)*(CP7&gt;=Inputs!$L$76)</f>
        <v>0</v>
      </c>
      <c r="CQ304" s="14">
        <f>+CQ297*SUM($D$264:$D$265)*(CQ13&lt;1)*(CQ7&gt;=Inputs!$L$76)</f>
        <v>0</v>
      </c>
      <c r="CR304" s="14">
        <f>+CR297*SUM($D$264:$D$265)*(CR13&lt;1)*(CR7&gt;=Inputs!$L$76)</f>
        <v>0</v>
      </c>
      <c r="CS304" s="14">
        <f>+CS297*SUM($D$264:$D$265)*(CS13&lt;1)*(CS7&gt;=Inputs!$L$76)</f>
        <v>0</v>
      </c>
      <c r="CT304" s="14">
        <f>+CT297*SUM($D$264:$D$265)*(CT13&lt;1)*(CT7&gt;=Inputs!$L$76)</f>
        <v>0</v>
      </c>
      <c r="CU304" s="14">
        <f>+CU297*SUM($D$264:$D$265)*(CU13&lt;1)*(CU7&gt;=Inputs!$L$76)</f>
        <v>0</v>
      </c>
      <c r="CV304" s="14">
        <f>+CV297*SUM($D$264:$D$265)*(CV13&lt;1)*(CV7&gt;=Inputs!$L$76)</f>
        <v>0</v>
      </c>
      <c r="CW304" s="14">
        <f>+CW297*SUM($D$264:$D$265)*(CW13&lt;1)*(CW7&gt;=Inputs!$L$76)</f>
        <v>0</v>
      </c>
      <c r="CX304" s="14">
        <f>+CX297*SUM($D$264:$D$265)*(CX13&lt;1)*(CX7&gt;=Inputs!$L$76)</f>
        <v>0</v>
      </c>
      <c r="CY304" s="14">
        <f>+CY297*SUM($D$264:$D$265)*(CY13&lt;1)*(CY7&gt;=Inputs!$L$76)</f>
        <v>0</v>
      </c>
      <c r="CZ304" s="14">
        <f>+CZ297*SUM($D$264:$D$265)*(CZ13&lt;1)*(CZ7&gt;=Inputs!$L$76)</f>
        <v>0</v>
      </c>
      <c r="DA304" s="14">
        <f>+DA297*SUM($D$264:$D$265)*(DA13&lt;1)*(DA7&gt;=Inputs!$L$76)</f>
        <v>0</v>
      </c>
      <c r="DB304" s="14">
        <f>+DB297*SUM($D$264:$D$265)*(DB13&lt;1)*(DB7&gt;=Inputs!$L$76)</f>
        <v>0</v>
      </c>
      <c r="DC304" s="14">
        <f>+DC297*SUM($D$264:$D$265)*(DC13&lt;1)*(DC7&gt;=Inputs!$L$76)</f>
        <v>0</v>
      </c>
      <c r="DD304" s="14">
        <f>+DD297*SUM($D$264:$D$265)*(DD13&lt;1)*(DD7&gt;=Inputs!$L$76)</f>
        <v>0</v>
      </c>
      <c r="DE304" s="14">
        <f>+DE297*SUM($D$264:$D$265)*(DE13&lt;1)*(DE7&gt;=Inputs!$L$76)</f>
        <v>0</v>
      </c>
      <c r="DF304" s="14">
        <f>+DF297*SUM($D$264:$D$265)*(DF13&lt;1)*(DF7&gt;=Inputs!$L$76)</f>
        <v>0</v>
      </c>
      <c r="DG304" s="14">
        <f>+DG297*SUM($D$264:$D$265)*(DG13&lt;1)*(DG7&gt;=Inputs!$L$76)</f>
        <v>0</v>
      </c>
      <c r="DH304" s="14">
        <f>+DH297*SUM($D$264:$D$265)*(DH13&lt;1)*(DH7&gt;=Inputs!$L$76)</f>
        <v>0</v>
      </c>
      <c r="DI304" s="14">
        <f>+DI297*SUM($D$264:$D$265)*(DI13&lt;1)*(DI7&gt;=Inputs!$L$76)</f>
        <v>0</v>
      </c>
      <c r="DJ304" s="14">
        <f>+DJ297*SUM($D$264:$D$265)*(DJ13&lt;1)*(DJ7&gt;=Inputs!$L$76)</f>
        <v>0</v>
      </c>
      <c r="DK304" s="14">
        <f>+DK297*SUM($D$264:$D$265)*(DK13&lt;1)*(DK7&gt;=Inputs!$L$76)</f>
        <v>0</v>
      </c>
      <c r="DL304" s="14">
        <f>+DL297*SUM($D$264:$D$265)*(DL13&lt;1)*(DL7&gt;=Inputs!$L$76)</f>
        <v>0</v>
      </c>
      <c r="DM304" s="14">
        <f>+DM297*SUM($D$264:$D$265)*(DM13&lt;1)*(DM7&gt;=Inputs!$L$76)</f>
        <v>0</v>
      </c>
      <c r="DN304" s="14">
        <f>+DN297*SUM($D$264:$D$265)*(DN13&lt;1)*(DN7&gt;=Inputs!$L$76)</f>
        <v>0</v>
      </c>
      <c r="DO304" s="14">
        <f>+DO297*SUM($D$264:$D$265)*(DO13&lt;1)*(DO7&gt;=Inputs!$L$76)</f>
        <v>0</v>
      </c>
      <c r="DP304" s="14">
        <f>+DP297*SUM($D$264:$D$265)*(DP13&lt;1)*(DP7&gt;=Inputs!$L$76)</f>
        <v>0</v>
      </c>
      <c r="DQ304" s="14">
        <f>+DQ297*SUM($D$264:$D$265)*(DQ13&lt;1)*(DQ7&gt;=Inputs!$L$76)</f>
        <v>0</v>
      </c>
      <c r="DR304" s="14">
        <f>+DR297*SUM($D$264:$D$265)*(DR13&lt;1)*(DR7&gt;=Inputs!$L$76)</f>
        <v>0</v>
      </c>
      <c r="DS304" s="14">
        <f>+DS297*SUM($D$264:$D$265)*(DS13&lt;1)*(DS7&gt;=Inputs!$L$76)</f>
        <v>0</v>
      </c>
      <c r="DT304" s="14">
        <f>+DT297*SUM($D$264:$D$265)*(DT13&lt;1)*(DT7&gt;=Inputs!$L$76)</f>
        <v>0</v>
      </c>
      <c r="DU304" s="14">
        <f>+DU297*SUM($D$264:$D$265)*(DU13&lt;1)*(DU7&gt;=Inputs!$L$76)</f>
        <v>0</v>
      </c>
      <c r="DV304" s="14">
        <f>+DV297*SUM($D$264:$D$265)*(DV13&lt;1)*(DV7&gt;=Inputs!$L$76)</f>
        <v>0</v>
      </c>
      <c r="DW304" s="14">
        <f>+DW297*SUM($D$264:$D$265)*(DW13&lt;1)*(DW7&gt;=Inputs!$L$76)</f>
        <v>0</v>
      </c>
      <c r="DX304" s="14">
        <f>+DX297*SUM($D$264:$D$265)*(DX13&lt;1)*(DX7&gt;=Inputs!$L$76)</f>
        <v>0</v>
      </c>
      <c r="DY304" s="14">
        <f>+DY297*SUM($D$264:$D$265)*(DY13&lt;1)*(DY7&gt;=Inputs!$L$76)</f>
        <v>0</v>
      </c>
    </row>
    <row r="305" spans="1:129" s="3" customFormat="1" ht="11.7" customHeight="1" outlineLevel="1" x14ac:dyDescent="0.3">
      <c r="A305" s="85"/>
      <c r="B305" s="113" t="s">
        <v>528</v>
      </c>
      <c r="C305" s="113"/>
      <c r="E305" s="161"/>
      <c r="F305" s="127"/>
      <c r="G305" s="127"/>
      <c r="H305" s="290">
        <f t="shared" si="373"/>
        <v>0</v>
      </c>
      <c r="I305" s="1019">
        <v>0</v>
      </c>
      <c r="J305" s="1019">
        <v>0</v>
      </c>
      <c r="K305" s="1019">
        <v>0</v>
      </c>
      <c r="L305" s="1019">
        <v>0</v>
      </c>
      <c r="M305" s="1019">
        <v>0</v>
      </c>
      <c r="N305" s="1019">
        <v>0</v>
      </c>
      <c r="O305" s="1019">
        <v>0</v>
      </c>
      <c r="P305" s="1019">
        <v>0</v>
      </c>
      <c r="Q305" s="1019">
        <v>0</v>
      </c>
      <c r="R305" s="1019">
        <v>0</v>
      </c>
      <c r="S305" s="1019">
        <v>0</v>
      </c>
      <c r="T305" s="1019">
        <v>0</v>
      </c>
      <c r="U305" s="1019">
        <v>0</v>
      </c>
      <c r="V305" s="1019">
        <v>0</v>
      </c>
      <c r="W305" s="1019">
        <v>0</v>
      </c>
      <c r="X305" s="1019">
        <v>0</v>
      </c>
      <c r="Y305" s="1019">
        <v>0</v>
      </c>
      <c r="Z305" s="1019">
        <v>0</v>
      </c>
      <c r="AA305" s="1019">
        <v>0</v>
      </c>
      <c r="AB305" s="1019">
        <v>0</v>
      </c>
      <c r="AC305" s="1019">
        <v>0</v>
      </c>
      <c r="AD305" s="1019">
        <v>0</v>
      </c>
      <c r="AE305" s="1019">
        <v>0</v>
      </c>
      <c r="AF305" s="1019">
        <v>0</v>
      </c>
      <c r="AG305" s="1019">
        <v>0</v>
      </c>
      <c r="AH305" s="1019">
        <v>0</v>
      </c>
      <c r="AI305" s="1019">
        <v>0</v>
      </c>
      <c r="AJ305" s="1019">
        <v>0</v>
      </c>
      <c r="AK305" s="1019">
        <v>0</v>
      </c>
      <c r="AL305" s="1019">
        <v>0</v>
      </c>
      <c r="AM305" s="1019">
        <v>0</v>
      </c>
      <c r="AN305" s="1019">
        <v>0</v>
      </c>
      <c r="AO305" s="1019">
        <v>0</v>
      </c>
      <c r="AP305" s="1019">
        <v>0</v>
      </c>
      <c r="AQ305" s="1019">
        <v>0</v>
      </c>
      <c r="AR305" s="1019">
        <v>0</v>
      </c>
      <c r="AS305" s="1019">
        <v>0</v>
      </c>
      <c r="AT305" s="1019">
        <v>0</v>
      </c>
      <c r="AU305" s="1019">
        <v>0</v>
      </c>
      <c r="AV305" s="1019">
        <v>0</v>
      </c>
      <c r="AW305" s="1019">
        <v>0</v>
      </c>
      <c r="AX305" s="1019">
        <v>0</v>
      </c>
      <c r="AY305" s="1019">
        <v>0</v>
      </c>
      <c r="AZ305" s="1019">
        <v>0</v>
      </c>
      <c r="BA305" s="1019">
        <v>0</v>
      </c>
      <c r="BB305" s="1019">
        <v>0</v>
      </c>
      <c r="BC305" s="1019">
        <v>0</v>
      </c>
      <c r="BD305" s="1019">
        <v>0</v>
      </c>
      <c r="BE305" s="1019">
        <v>0</v>
      </c>
      <c r="BF305" s="1019">
        <v>0</v>
      </c>
      <c r="BG305" s="1019">
        <v>0</v>
      </c>
      <c r="BH305" s="1019">
        <v>0</v>
      </c>
      <c r="BI305" s="1019">
        <v>0</v>
      </c>
      <c r="BJ305" s="1019">
        <v>0</v>
      </c>
      <c r="BK305" s="1019">
        <v>0</v>
      </c>
      <c r="BL305" s="1019">
        <v>0</v>
      </c>
      <c r="BM305" s="1019">
        <v>0</v>
      </c>
      <c r="BN305" s="1019">
        <v>0</v>
      </c>
      <c r="BO305" s="1019">
        <v>0</v>
      </c>
      <c r="BP305" s="1019">
        <v>0</v>
      </c>
      <c r="BQ305" s="1019">
        <v>0</v>
      </c>
      <c r="BR305" s="1019">
        <v>0</v>
      </c>
      <c r="BS305" s="1019">
        <v>0</v>
      </c>
      <c r="BT305" s="1019">
        <v>0</v>
      </c>
      <c r="BU305" s="1019">
        <v>0</v>
      </c>
      <c r="BV305" s="1019">
        <v>0</v>
      </c>
      <c r="BW305" s="1019">
        <v>0</v>
      </c>
      <c r="BX305" s="1019">
        <v>0</v>
      </c>
      <c r="BY305" s="1019">
        <v>0</v>
      </c>
      <c r="BZ305" s="1019">
        <v>0</v>
      </c>
      <c r="CA305" s="14">
        <f>+CA298*SUM($D$266:$D$267)*(CA13&lt;1)*(CA7&gt;=Inputs!$L$76)</f>
        <v>0</v>
      </c>
      <c r="CB305" s="14">
        <f>+CB298*SUM($D$266:$D$267)*(CB13&lt;1)*(CB7&gt;=Inputs!$L$76)</f>
        <v>0</v>
      </c>
      <c r="CC305" s="14">
        <f>+CC298*SUM($D$266:$D$267)*(CC13&lt;1)*(CC7&gt;=Inputs!$L$76)</f>
        <v>0</v>
      </c>
      <c r="CD305" s="14">
        <f>+CD298*SUM($D$266:$D$267)*(CD13&lt;1)*(CD7&gt;=Inputs!$L$76)</f>
        <v>0</v>
      </c>
      <c r="CE305" s="14">
        <f>+CE298*SUM($D$266:$D$267)*(CE13&lt;1)*(CE7&gt;=Inputs!$L$76)</f>
        <v>0</v>
      </c>
      <c r="CF305" s="14">
        <f>+CF298*SUM($D$266:$D$267)*(CF13&lt;1)*(CF7&gt;=Inputs!$L$76)</f>
        <v>0</v>
      </c>
      <c r="CG305" s="14">
        <f>+CG298*SUM($D$266:$D$267)*(CG13&lt;1)*(CG7&gt;=Inputs!$L$76)</f>
        <v>0</v>
      </c>
      <c r="CH305" s="14">
        <f>+CH298*SUM($D$266:$D$267)*(CH13&lt;1)*(CH7&gt;=Inputs!$L$76)</f>
        <v>0</v>
      </c>
      <c r="CI305" s="14">
        <f>+CI298*SUM($D$266:$D$267)*(CI13&lt;1)*(CI7&gt;=Inputs!$L$76)</f>
        <v>0</v>
      </c>
      <c r="CJ305" s="14">
        <f>+CJ298*SUM($D$266:$D$267)*(CJ13&lt;1)*(CJ7&gt;=Inputs!$L$76)</f>
        <v>0</v>
      </c>
      <c r="CK305" s="14">
        <f>+CK298*SUM($D$266:$D$267)*(CK13&lt;1)*(CK7&gt;=Inputs!$L$76)</f>
        <v>0</v>
      </c>
      <c r="CL305" s="14">
        <f>+CL298*SUM($D$266:$D$267)*(CL13&lt;1)*(CL7&gt;=Inputs!$L$76)</f>
        <v>0</v>
      </c>
      <c r="CM305" s="14">
        <f>+CM298*SUM($D$266:$D$267)*(CM13&lt;1)*(CM7&gt;=Inputs!$L$76)</f>
        <v>0</v>
      </c>
      <c r="CN305" s="14">
        <f>+CN298*SUM($D$266:$D$267)*(CN13&lt;1)*(CN7&gt;=Inputs!$L$76)</f>
        <v>0</v>
      </c>
      <c r="CO305" s="14">
        <f>+CO298*SUM($D$266:$D$267)*(CO13&lt;1)*(CO7&gt;=Inputs!$L$76)</f>
        <v>0</v>
      </c>
      <c r="CP305" s="14">
        <f>+CP298*SUM($D$266:$D$267)*(CP13&lt;1)*(CP7&gt;=Inputs!$L$76)</f>
        <v>0</v>
      </c>
      <c r="CQ305" s="14">
        <f>+CQ298*SUM($D$266:$D$267)*(CQ13&lt;1)*(CQ7&gt;=Inputs!$L$76)</f>
        <v>0</v>
      </c>
      <c r="CR305" s="14">
        <f>+CR298*SUM($D$266:$D$267)*(CR13&lt;1)*(CR7&gt;=Inputs!$L$76)</f>
        <v>0</v>
      </c>
      <c r="CS305" s="14">
        <f>+CS298*SUM($D$266:$D$267)*(CS13&lt;1)*(CS7&gt;=Inputs!$L$76)</f>
        <v>0</v>
      </c>
      <c r="CT305" s="14">
        <f>+CT298*SUM($D$266:$D$267)*(CT13&lt;1)*(CT7&gt;=Inputs!$L$76)</f>
        <v>0</v>
      </c>
      <c r="CU305" s="14">
        <f>+CU298*SUM($D$266:$D$267)*(CU13&lt;1)*(CU7&gt;=Inputs!$L$76)</f>
        <v>0</v>
      </c>
      <c r="CV305" s="14">
        <f>+CV298*SUM($D$266:$D$267)*(CV13&lt;1)*(CV7&gt;=Inputs!$L$76)</f>
        <v>0</v>
      </c>
      <c r="CW305" s="14">
        <f>+CW298*SUM($D$266:$D$267)*(CW13&lt;1)*(CW7&gt;=Inputs!$L$76)</f>
        <v>0</v>
      </c>
      <c r="CX305" s="14">
        <f>+CX298*SUM($D$266:$D$267)*(CX13&lt;1)*(CX7&gt;=Inputs!$L$76)</f>
        <v>0</v>
      </c>
      <c r="CY305" s="14">
        <f>+CY298*SUM($D$266:$D$267)*(CY13&lt;1)*(CY7&gt;=Inputs!$L$76)</f>
        <v>0</v>
      </c>
      <c r="CZ305" s="14">
        <f>+CZ298*SUM($D$266:$D$267)*(CZ13&lt;1)*(CZ7&gt;=Inputs!$L$76)</f>
        <v>0</v>
      </c>
      <c r="DA305" s="14">
        <f>+DA298*SUM($D$266:$D$267)*(DA13&lt;1)*(DA7&gt;=Inputs!$L$76)</f>
        <v>0</v>
      </c>
      <c r="DB305" s="14">
        <f>+DB298*SUM($D$266:$D$267)*(DB13&lt;1)*(DB7&gt;=Inputs!$L$76)</f>
        <v>0</v>
      </c>
      <c r="DC305" s="14">
        <f>+DC298*SUM($D$266:$D$267)*(DC13&lt;1)*(DC7&gt;=Inputs!$L$76)</f>
        <v>0</v>
      </c>
      <c r="DD305" s="14">
        <f>+DD298*SUM($D$266:$D$267)*(DD13&lt;1)*(DD7&gt;=Inputs!$L$76)</f>
        <v>0</v>
      </c>
      <c r="DE305" s="14">
        <f>+DE298*SUM($D$266:$D$267)*(DE13&lt;1)*(DE7&gt;=Inputs!$L$76)</f>
        <v>0</v>
      </c>
      <c r="DF305" s="14">
        <f>+DF298*SUM($D$266:$D$267)*(DF13&lt;1)*(DF7&gt;=Inputs!$L$76)</f>
        <v>0</v>
      </c>
      <c r="DG305" s="14">
        <f>+DG298*SUM($D$266:$D$267)*(DG13&lt;1)*(DG7&gt;=Inputs!$L$76)</f>
        <v>0</v>
      </c>
      <c r="DH305" s="14">
        <f>+DH298*SUM($D$266:$D$267)*(DH13&lt;1)*(DH7&gt;=Inputs!$L$76)</f>
        <v>0</v>
      </c>
      <c r="DI305" s="14">
        <f>+DI298*SUM($D$266:$D$267)*(DI13&lt;1)*(DI7&gt;=Inputs!$L$76)</f>
        <v>0</v>
      </c>
      <c r="DJ305" s="14">
        <f>+DJ298*SUM($D$266:$D$267)*(DJ13&lt;1)*(DJ7&gt;=Inputs!$L$76)</f>
        <v>0</v>
      </c>
      <c r="DK305" s="14">
        <f>+DK298*SUM($D$266:$D$267)*(DK13&lt;1)*(DK7&gt;=Inputs!$L$76)</f>
        <v>0</v>
      </c>
      <c r="DL305" s="14">
        <f>+DL298*SUM($D$266:$D$267)*(DL13&lt;1)*(DL7&gt;=Inputs!$L$76)</f>
        <v>0</v>
      </c>
      <c r="DM305" s="14">
        <f>+DM298*SUM($D$266:$D$267)*(DM13&lt;1)*(DM7&gt;=Inputs!$L$76)</f>
        <v>0</v>
      </c>
      <c r="DN305" s="14">
        <f>+DN298*SUM($D$266:$D$267)*(DN13&lt;1)*(DN7&gt;=Inputs!$L$76)</f>
        <v>0</v>
      </c>
      <c r="DO305" s="14">
        <f>+DO298*SUM($D$266:$D$267)*(DO13&lt;1)*(DO7&gt;=Inputs!$L$76)</f>
        <v>0</v>
      </c>
      <c r="DP305" s="14">
        <f>+DP298*SUM($D$266:$D$267)*(DP13&lt;1)*(DP7&gt;=Inputs!$L$76)</f>
        <v>0</v>
      </c>
      <c r="DQ305" s="14">
        <f>+DQ298*SUM($D$266:$D$267)*(DQ13&lt;1)*(DQ7&gt;=Inputs!$L$76)</f>
        <v>0</v>
      </c>
      <c r="DR305" s="14">
        <f>+DR298*SUM($D$266:$D$267)*(DR13&lt;1)*(DR7&gt;=Inputs!$L$76)</f>
        <v>0</v>
      </c>
      <c r="DS305" s="14">
        <f>+DS298*SUM($D$266:$D$267)*(DS13&lt;1)*(DS7&gt;=Inputs!$L$76)</f>
        <v>0</v>
      </c>
      <c r="DT305" s="14">
        <f>+DT298*SUM($D$266:$D$267)*(DT13&lt;1)*(DT7&gt;=Inputs!$L$76)</f>
        <v>0</v>
      </c>
      <c r="DU305" s="14">
        <f>+DU298*SUM($D$266:$D$267)*(DU13&lt;1)*(DU7&gt;=Inputs!$L$76)</f>
        <v>0</v>
      </c>
      <c r="DV305" s="14">
        <f>+DV298*SUM($D$266:$D$267)*(DV13&lt;1)*(DV7&gt;=Inputs!$L$76)</f>
        <v>0</v>
      </c>
      <c r="DW305" s="14">
        <f>+DW298*SUM($D$266:$D$267)*(DW13&lt;1)*(DW7&gt;=Inputs!$L$76)</f>
        <v>0</v>
      </c>
      <c r="DX305" s="14">
        <f>+DX298*SUM($D$266:$D$267)*(DX13&lt;1)*(DX7&gt;=Inputs!$L$76)</f>
        <v>0</v>
      </c>
      <c r="DY305" s="14">
        <f>+DY298*SUM($D$266:$D$267)*(DY13&lt;1)*(DY7&gt;=Inputs!$L$76)</f>
        <v>0</v>
      </c>
    </row>
    <row r="306" spans="1:129" s="3" customFormat="1" ht="11.7" customHeight="1" outlineLevel="1" x14ac:dyDescent="0.25">
      <c r="A306" s="85"/>
      <c r="B306" s="113" t="s">
        <v>394</v>
      </c>
      <c r="C306" s="113"/>
      <c r="D306" s="324">
        <f>+Inputs!$F$189</f>
        <v>63</v>
      </c>
      <c r="F306" s="127"/>
      <c r="G306" s="127"/>
      <c r="H306" s="290">
        <f>+SUM(I306:DY306)</f>
        <v>3213</v>
      </c>
      <c r="I306" s="1019">
        <v>0</v>
      </c>
      <c r="J306" s="1019">
        <v>0</v>
      </c>
      <c r="K306" s="1019">
        <v>0</v>
      </c>
      <c r="L306" s="1019">
        <v>0</v>
      </c>
      <c r="M306" s="1019">
        <v>0</v>
      </c>
      <c r="N306" s="1019">
        <v>0</v>
      </c>
      <c r="O306" s="1019">
        <v>0</v>
      </c>
      <c r="P306" s="1019">
        <v>0</v>
      </c>
      <c r="Q306" s="1019">
        <v>0</v>
      </c>
      <c r="R306" s="1019">
        <v>0</v>
      </c>
      <c r="S306" s="1019">
        <v>0</v>
      </c>
      <c r="T306" s="1019">
        <v>0</v>
      </c>
      <c r="U306" s="1019">
        <v>0</v>
      </c>
      <c r="V306" s="1019">
        <v>0</v>
      </c>
      <c r="W306" s="1019">
        <v>0</v>
      </c>
      <c r="X306" s="1019">
        <v>0</v>
      </c>
      <c r="Y306" s="1019">
        <v>0</v>
      </c>
      <c r="Z306" s="1019">
        <v>0</v>
      </c>
      <c r="AA306" s="1019">
        <v>0</v>
      </c>
      <c r="AB306" s="1019">
        <v>0</v>
      </c>
      <c r="AC306" s="1019">
        <v>0</v>
      </c>
      <c r="AD306" s="1019">
        <v>0</v>
      </c>
      <c r="AE306" s="1019">
        <v>0</v>
      </c>
      <c r="AF306" s="1019">
        <v>0</v>
      </c>
      <c r="AG306" s="1019">
        <v>0</v>
      </c>
      <c r="AH306" s="1019">
        <v>0</v>
      </c>
      <c r="AI306" s="1019">
        <v>0</v>
      </c>
      <c r="AJ306" s="1019">
        <v>0</v>
      </c>
      <c r="AK306" s="1019">
        <v>0</v>
      </c>
      <c r="AL306" s="1019">
        <v>0</v>
      </c>
      <c r="AM306" s="1019">
        <v>0</v>
      </c>
      <c r="AN306" s="1019">
        <v>0</v>
      </c>
      <c r="AO306" s="1019">
        <v>0</v>
      </c>
      <c r="AP306" s="1019">
        <v>0</v>
      </c>
      <c r="AQ306" s="1019">
        <v>0</v>
      </c>
      <c r="AR306" s="1019">
        <v>0</v>
      </c>
      <c r="AS306" s="1019">
        <v>0</v>
      </c>
      <c r="AT306" s="1019">
        <v>0</v>
      </c>
      <c r="AU306" s="1019">
        <v>0</v>
      </c>
      <c r="AV306" s="1019">
        <v>0</v>
      </c>
      <c r="AW306" s="1019">
        <v>0</v>
      </c>
      <c r="AX306" s="1019">
        <v>0</v>
      </c>
      <c r="AY306" s="1019">
        <v>0</v>
      </c>
      <c r="AZ306" s="1019">
        <v>0</v>
      </c>
      <c r="BA306" s="1019">
        <v>0</v>
      </c>
      <c r="BB306" s="1019">
        <v>0</v>
      </c>
      <c r="BC306" s="1019">
        <v>0</v>
      </c>
      <c r="BD306" s="1019">
        <v>0</v>
      </c>
      <c r="BE306" s="1019">
        <v>0</v>
      </c>
      <c r="BF306" s="1019">
        <v>0</v>
      </c>
      <c r="BG306" s="1019">
        <v>0</v>
      </c>
      <c r="BH306" s="1019">
        <v>0</v>
      </c>
      <c r="BI306" s="1019">
        <v>0</v>
      </c>
      <c r="BJ306" s="1019">
        <v>0</v>
      </c>
      <c r="BK306" s="1019">
        <v>0</v>
      </c>
      <c r="BL306" s="1019">
        <v>0</v>
      </c>
      <c r="BM306" s="1019">
        <v>0</v>
      </c>
      <c r="BN306" s="1019">
        <v>0</v>
      </c>
      <c r="BO306" s="1019">
        <v>0</v>
      </c>
      <c r="BP306" s="1019">
        <v>0</v>
      </c>
      <c r="BQ306" s="1019">
        <v>0</v>
      </c>
      <c r="BR306" s="1019">
        <v>0</v>
      </c>
      <c r="BS306" s="1019">
        <v>0</v>
      </c>
      <c r="BT306" s="1019">
        <v>0</v>
      </c>
      <c r="BU306" s="1019">
        <v>0</v>
      </c>
      <c r="BV306" s="1019">
        <v>0</v>
      </c>
      <c r="BW306" s="1019">
        <v>0</v>
      </c>
      <c r="BX306" s="1019">
        <v>0</v>
      </c>
      <c r="BY306" s="1019">
        <v>0</v>
      </c>
      <c r="BZ306" s="1019">
        <v>0</v>
      </c>
      <c r="CA306" s="7">
        <f t="shared" ref="CA306:CZ306" si="374">+$D$306*CA291*(OR(CA301&gt;0,CA302&gt;0,CA303&gt;0,CA304&gt;0,CA305&gt;0))</f>
        <v>63</v>
      </c>
      <c r="CB306" s="7">
        <f t="shared" si="374"/>
        <v>63</v>
      </c>
      <c r="CC306" s="7">
        <f t="shared" si="374"/>
        <v>63</v>
      </c>
      <c r="CD306" s="7">
        <f t="shared" si="374"/>
        <v>63</v>
      </c>
      <c r="CE306" s="7">
        <f t="shared" si="374"/>
        <v>63</v>
      </c>
      <c r="CF306" s="7">
        <f t="shared" si="374"/>
        <v>63</v>
      </c>
      <c r="CG306" s="7">
        <f t="shared" si="374"/>
        <v>63</v>
      </c>
      <c r="CH306" s="7">
        <f t="shared" si="374"/>
        <v>63</v>
      </c>
      <c r="CI306" s="7">
        <f t="shared" si="374"/>
        <v>63</v>
      </c>
      <c r="CJ306" s="7">
        <f t="shared" si="374"/>
        <v>63</v>
      </c>
      <c r="CK306" s="7">
        <f t="shared" si="374"/>
        <v>63</v>
      </c>
      <c r="CL306" s="7">
        <f t="shared" si="374"/>
        <v>63</v>
      </c>
      <c r="CM306" s="7">
        <f t="shared" si="374"/>
        <v>63</v>
      </c>
      <c r="CN306" s="7">
        <f t="shared" si="374"/>
        <v>63</v>
      </c>
      <c r="CO306" s="7">
        <f t="shared" si="374"/>
        <v>63</v>
      </c>
      <c r="CP306" s="7">
        <f t="shared" si="374"/>
        <v>63</v>
      </c>
      <c r="CQ306" s="7">
        <f t="shared" si="374"/>
        <v>63</v>
      </c>
      <c r="CR306" s="7">
        <f t="shared" si="374"/>
        <v>63</v>
      </c>
      <c r="CS306" s="7">
        <f t="shared" si="374"/>
        <v>63</v>
      </c>
      <c r="CT306" s="7">
        <f t="shared" si="374"/>
        <v>63</v>
      </c>
      <c r="CU306" s="7">
        <f t="shared" si="374"/>
        <v>63</v>
      </c>
      <c r="CV306" s="7">
        <f t="shared" si="374"/>
        <v>63</v>
      </c>
      <c r="CW306" s="7">
        <f t="shared" si="374"/>
        <v>63</v>
      </c>
      <c r="CX306" s="7">
        <f t="shared" si="374"/>
        <v>63</v>
      </c>
      <c r="CY306" s="7">
        <f t="shared" si="374"/>
        <v>63</v>
      </c>
      <c r="CZ306" s="7">
        <f t="shared" si="374"/>
        <v>63</v>
      </c>
      <c r="DA306" s="7">
        <f t="shared" ref="DA306:DY306" si="375">+$D$306*DA291*(OR(DA301&gt;0,DA302&gt;0,DA303&gt;0,DA304&gt;0,DA305&gt;0))</f>
        <v>63</v>
      </c>
      <c r="DB306" s="7">
        <f t="shared" si="375"/>
        <v>63</v>
      </c>
      <c r="DC306" s="7">
        <f t="shared" si="375"/>
        <v>63</v>
      </c>
      <c r="DD306" s="7">
        <f t="shared" si="375"/>
        <v>63</v>
      </c>
      <c r="DE306" s="7">
        <f t="shared" si="375"/>
        <v>63</v>
      </c>
      <c r="DF306" s="7">
        <f t="shared" si="375"/>
        <v>63</v>
      </c>
      <c r="DG306" s="7">
        <f t="shared" si="375"/>
        <v>63</v>
      </c>
      <c r="DH306" s="7">
        <f t="shared" si="375"/>
        <v>63</v>
      </c>
      <c r="DI306" s="7">
        <f t="shared" si="375"/>
        <v>63</v>
      </c>
      <c r="DJ306" s="7">
        <f t="shared" si="375"/>
        <v>63</v>
      </c>
      <c r="DK306" s="7">
        <f t="shared" si="375"/>
        <v>63</v>
      </c>
      <c r="DL306" s="7">
        <f t="shared" si="375"/>
        <v>63</v>
      </c>
      <c r="DM306" s="7">
        <f t="shared" si="375"/>
        <v>63</v>
      </c>
      <c r="DN306" s="7">
        <f t="shared" si="375"/>
        <v>63</v>
      </c>
      <c r="DO306" s="7">
        <f t="shared" si="375"/>
        <v>63</v>
      </c>
      <c r="DP306" s="7">
        <f t="shared" si="375"/>
        <v>63</v>
      </c>
      <c r="DQ306" s="7">
        <f t="shared" si="375"/>
        <v>63</v>
      </c>
      <c r="DR306" s="7">
        <f t="shared" si="375"/>
        <v>63</v>
      </c>
      <c r="DS306" s="7">
        <f t="shared" si="375"/>
        <v>63</v>
      </c>
      <c r="DT306" s="7">
        <f t="shared" si="375"/>
        <v>63</v>
      </c>
      <c r="DU306" s="7">
        <f t="shared" si="375"/>
        <v>63</v>
      </c>
      <c r="DV306" s="7">
        <f t="shared" si="375"/>
        <v>63</v>
      </c>
      <c r="DW306" s="7">
        <f t="shared" si="375"/>
        <v>63</v>
      </c>
      <c r="DX306" s="7">
        <f t="shared" si="375"/>
        <v>63</v>
      </c>
      <c r="DY306" s="7">
        <f t="shared" si="375"/>
        <v>63</v>
      </c>
    </row>
    <row r="307" spans="1:129" s="3" customFormat="1" ht="11.7" customHeight="1" outlineLevel="1" x14ac:dyDescent="0.3">
      <c r="A307" s="85"/>
      <c r="B307" s="113" t="s">
        <v>402</v>
      </c>
      <c r="C307" s="113"/>
      <c r="D307" s="63"/>
      <c r="F307" s="127"/>
      <c r="G307" s="127"/>
      <c r="H307" s="290">
        <f t="shared" si="373"/>
        <v>2608.1683602410421</v>
      </c>
      <c r="I307" s="1019">
        <v>0</v>
      </c>
      <c r="J307" s="1019">
        <v>0</v>
      </c>
      <c r="K307" s="1019">
        <v>0</v>
      </c>
      <c r="L307" s="1019">
        <v>0</v>
      </c>
      <c r="M307" s="1019">
        <v>0</v>
      </c>
      <c r="N307" s="1019">
        <v>0</v>
      </c>
      <c r="O307" s="1019">
        <v>0</v>
      </c>
      <c r="P307" s="1019">
        <v>0</v>
      </c>
      <c r="Q307" s="1019">
        <v>0</v>
      </c>
      <c r="R307" s="1019">
        <v>0</v>
      </c>
      <c r="S307" s="1019">
        <v>0</v>
      </c>
      <c r="T307" s="1019">
        <v>0</v>
      </c>
      <c r="U307" s="1019">
        <v>0</v>
      </c>
      <c r="V307" s="1019">
        <v>0</v>
      </c>
      <c r="W307" s="1019">
        <v>0</v>
      </c>
      <c r="X307" s="1019">
        <v>0</v>
      </c>
      <c r="Y307" s="1019">
        <v>0</v>
      </c>
      <c r="Z307" s="1019">
        <v>0</v>
      </c>
      <c r="AA307" s="1019">
        <v>0</v>
      </c>
      <c r="AB307" s="1019">
        <v>0</v>
      </c>
      <c r="AC307" s="1019">
        <v>0</v>
      </c>
      <c r="AD307" s="1019">
        <v>0</v>
      </c>
      <c r="AE307" s="1019">
        <v>0</v>
      </c>
      <c r="AF307" s="1019">
        <v>0</v>
      </c>
      <c r="AG307" s="1019">
        <v>0</v>
      </c>
      <c r="AH307" s="1019">
        <v>0</v>
      </c>
      <c r="AI307" s="1019">
        <v>0</v>
      </c>
      <c r="AJ307" s="1019">
        <v>0</v>
      </c>
      <c r="AK307" s="1019">
        <v>0</v>
      </c>
      <c r="AL307" s="1019">
        <v>0</v>
      </c>
      <c r="AM307" s="1019">
        <v>0</v>
      </c>
      <c r="AN307" s="1019">
        <v>0</v>
      </c>
      <c r="AO307" s="1019">
        <v>0</v>
      </c>
      <c r="AP307" s="1019">
        <v>0</v>
      </c>
      <c r="AQ307" s="1019">
        <v>0</v>
      </c>
      <c r="AR307" s="1019">
        <v>0</v>
      </c>
      <c r="AS307" s="1019">
        <v>0</v>
      </c>
      <c r="AT307" s="1019">
        <v>0</v>
      </c>
      <c r="AU307" s="1019">
        <v>0</v>
      </c>
      <c r="AV307" s="1019">
        <v>0</v>
      </c>
      <c r="AW307" s="1019">
        <v>0</v>
      </c>
      <c r="AX307" s="1019">
        <v>0</v>
      </c>
      <c r="AY307" s="1019">
        <v>0</v>
      </c>
      <c r="AZ307" s="1019">
        <v>0</v>
      </c>
      <c r="BA307" s="1019">
        <v>0</v>
      </c>
      <c r="BB307" s="1019">
        <v>0</v>
      </c>
      <c r="BC307" s="1019">
        <v>0</v>
      </c>
      <c r="BD307" s="1019">
        <v>0</v>
      </c>
      <c r="BE307" s="1019">
        <v>0</v>
      </c>
      <c r="BF307" s="1019">
        <v>0</v>
      </c>
      <c r="BG307" s="1019">
        <v>0</v>
      </c>
      <c r="BH307" s="1019">
        <v>0</v>
      </c>
      <c r="BI307" s="1019">
        <v>0</v>
      </c>
      <c r="BJ307" s="1019">
        <v>0</v>
      </c>
      <c r="BK307" s="1019">
        <v>0</v>
      </c>
      <c r="BL307" s="1019">
        <v>0</v>
      </c>
      <c r="BM307" s="1019">
        <v>0</v>
      </c>
      <c r="BN307" s="1019">
        <v>0</v>
      </c>
      <c r="BO307" s="1019">
        <v>0</v>
      </c>
      <c r="BP307" s="1019">
        <v>0</v>
      </c>
      <c r="BQ307" s="1019">
        <v>0</v>
      </c>
      <c r="BR307" s="1019">
        <v>0</v>
      </c>
      <c r="BS307" s="1019">
        <v>0</v>
      </c>
      <c r="BT307" s="1019">
        <v>0</v>
      </c>
      <c r="BU307" s="1019">
        <v>0</v>
      </c>
      <c r="BV307" s="1019">
        <v>0</v>
      </c>
      <c r="BW307" s="1019">
        <v>0</v>
      </c>
      <c r="BX307" s="1019">
        <v>0</v>
      </c>
      <c r="BY307" s="1019">
        <v>0</v>
      </c>
      <c r="BZ307" s="1019">
        <v>0</v>
      </c>
      <c r="CA307" s="7">
        <f t="shared" ref="CA307:CZ307" si="376">-CA314*CA270</f>
        <v>11.79833979881368</v>
      </c>
      <c r="CB307" s="7">
        <f t="shared" si="376"/>
        <v>20.711544908068831</v>
      </c>
      <c r="CC307" s="7">
        <f t="shared" si="376"/>
        <v>29.624750017323979</v>
      </c>
      <c r="CD307" s="7">
        <f t="shared" si="376"/>
        <v>38.537955126579135</v>
      </c>
      <c r="CE307" s="7">
        <f t="shared" si="376"/>
        <v>47.45116023583428</v>
      </c>
      <c r="CF307" s="7">
        <f t="shared" si="376"/>
        <v>53.479230655530891</v>
      </c>
      <c r="CG307" s="7">
        <f t="shared" si="376"/>
        <v>53.479230655530891</v>
      </c>
      <c r="CH307" s="7">
        <f t="shared" si="376"/>
        <v>53.479230655530891</v>
      </c>
      <c r="CI307" s="7">
        <f t="shared" si="376"/>
        <v>53.479230655530891</v>
      </c>
      <c r="CJ307" s="7">
        <f t="shared" si="376"/>
        <v>53.479230655530891</v>
      </c>
      <c r="CK307" s="7">
        <f t="shared" si="376"/>
        <v>53.479230655530891</v>
      </c>
      <c r="CL307" s="7">
        <f t="shared" si="376"/>
        <v>53.479230655530891</v>
      </c>
      <c r="CM307" s="7">
        <f t="shared" si="376"/>
        <v>53.479230655530891</v>
      </c>
      <c r="CN307" s="7">
        <f t="shared" si="376"/>
        <v>53.479230655530891</v>
      </c>
      <c r="CO307" s="7">
        <f t="shared" si="376"/>
        <v>53.479230655530891</v>
      </c>
      <c r="CP307" s="7">
        <f t="shared" si="376"/>
        <v>53.479230655530891</v>
      </c>
      <c r="CQ307" s="7">
        <f t="shared" si="376"/>
        <v>53.479230655530891</v>
      </c>
      <c r="CR307" s="7">
        <f t="shared" si="376"/>
        <v>53.479230655530891</v>
      </c>
      <c r="CS307" s="7">
        <f t="shared" si="376"/>
        <v>53.479230655530891</v>
      </c>
      <c r="CT307" s="7">
        <f t="shared" si="376"/>
        <v>53.479230655530891</v>
      </c>
      <c r="CU307" s="7">
        <f t="shared" si="376"/>
        <v>53.479230655530891</v>
      </c>
      <c r="CV307" s="7">
        <f t="shared" si="376"/>
        <v>53.479230655530891</v>
      </c>
      <c r="CW307" s="7">
        <f t="shared" si="376"/>
        <v>53.479230655530891</v>
      </c>
      <c r="CX307" s="7">
        <f t="shared" si="376"/>
        <v>53.479230655530891</v>
      </c>
      <c r="CY307" s="7">
        <f t="shared" si="376"/>
        <v>53.479230655530891</v>
      </c>
      <c r="CZ307" s="7">
        <f t="shared" si="376"/>
        <v>53.479230655530891</v>
      </c>
      <c r="DA307" s="7">
        <f t="shared" ref="DA307:DY307" si="377">-DA314*DA270</f>
        <v>53.479230655530891</v>
      </c>
      <c r="DB307" s="7">
        <f t="shared" si="377"/>
        <v>53.479230655530891</v>
      </c>
      <c r="DC307" s="7">
        <f t="shared" si="377"/>
        <v>53.479230655530891</v>
      </c>
      <c r="DD307" s="7">
        <f t="shared" si="377"/>
        <v>53.479230655530891</v>
      </c>
      <c r="DE307" s="7">
        <f t="shared" si="377"/>
        <v>53.479230655530891</v>
      </c>
      <c r="DF307" s="7">
        <f t="shared" si="377"/>
        <v>53.479230655530891</v>
      </c>
      <c r="DG307" s="7">
        <f t="shared" si="377"/>
        <v>53.479230655530891</v>
      </c>
      <c r="DH307" s="7">
        <f t="shared" si="377"/>
        <v>53.479230655530891</v>
      </c>
      <c r="DI307" s="7">
        <f t="shared" si="377"/>
        <v>53.479230655530891</v>
      </c>
      <c r="DJ307" s="7">
        <f t="shared" si="377"/>
        <v>53.479230655530891</v>
      </c>
      <c r="DK307" s="7">
        <f t="shared" si="377"/>
        <v>53.479230655530891</v>
      </c>
      <c r="DL307" s="7">
        <f t="shared" si="377"/>
        <v>53.479230655530891</v>
      </c>
      <c r="DM307" s="7">
        <f t="shared" si="377"/>
        <v>53.479230655530891</v>
      </c>
      <c r="DN307" s="7">
        <f t="shared" si="377"/>
        <v>53.479230655530891</v>
      </c>
      <c r="DO307" s="7">
        <f t="shared" si="377"/>
        <v>53.479230655530891</v>
      </c>
      <c r="DP307" s="7">
        <f t="shared" si="377"/>
        <v>53.479230655530891</v>
      </c>
      <c r="DQ307" s="7">
        <f t="shared" si="377"/>
        <v>53.479230655530891</v>
      </c>
      <c r="DR307" s="7">
        <f t="shared" si="377"/>
        <v>53.479230655530891</v>
      </c>
      <c r="DS307" s="7">
        <f t="shared" si="377"/>
        <v>53.479230655530891</v>
      </c>
      <c r="DT307" s="7">
        <f t="shared" si="377"/>
        <v>53.479230655530891</v>
      </c>
      <c r="DU307" s="7">
        <f t="shared" si="377"/>
        <v>53.479230655530891</v>
      </c>
      <c r="DV307" s="7">
        <f t="shared" si="377"/>
        <v>53.479230655530891</v>
      </c>
      <c r="DW307" s="7">
        <f t="shared" si="377"/>
        <v>53.479230655530891</v>
      </c>
      <c r="DX307" s="7">
        <f t="shared" si="377"/>
        <v>53.479230655530891</v>
      </c>
      <c r="DY307" s="7">
        <f t="shared" si="377"/>
        <v>53.479230655530891</v>
      </c>
    </row>
    <row r="308" spans="1:129" s="3" customFormat="1" ht="11.7" customHeight="1" outlineLevel="1" x14ac:dyDescent="0.25">
      <c r="A308" s="85"/>
      <c r="B308" s="113" t="s">
        <v>174</v>
      </c>
      <c r="C308" s="113"/>
      <c r="D308" s="923">
        <f>+Inputs!$G$160</f>
        <v>0.05</v>
      </c>
      <c r="F308" s="127"/>
      <c r="G308" s="127"/>
      <c r="H308" s="290">
        <f t="shared" si="373"/>
        <v>-2355.4134513741751</v>
      </c>
      <c r="I308" s="1019">
        <v>0</v>
      </c>
      <c r="J308" s="1019">
        <v>0</v>
      </c>
      <c r="K308" s="1019">
        <v>0</v>
      </c>
      <c r="L308" s="1019">
        <v>0</v>
      </c>
      <c r="M308" s="1019">
        <v>0</v>
      </c>
      <c r="N308" s="1019">
        <v>0</v>
      </c>
      <c r="O308" s="1019">
        <v>0</v>
      </c>
      <c r="P308" s="1019">
        <v>0</v>
      </c>
      <c r="Q308" s="1019">
        <v>0</v>
      </c>
      <c r="R308" s="1019">
        <v>0</v>
      </c>
      <c r="S308" s="1019">
        <v>0</v>
      </c>
      <c r="T308" s="1019">
        <v>0</v>
      </c>
      <c r="U308" s="1019">
        <v>0</v>
      </c>
      <c r="V308" s="1019">
        <v>0</v>
      </c>
      <c r="W308" s="1019">
        <v>0</v>
      </c>
      <c r="X308" s="1019">
        <v>0</v>
      </c>
      <c r="Y308" s="1019">
        <v>0</v>
      </c>
      <c r="Z308" s="1019">
        <v>0</v>
      </c>
      <c r="AA308" s="1019">
        <v>0</v>
      </c>
      <c r="AB308" s="1019">
        <v>0</v>
      </c>
      <c r="AC308" s="1019">
        <v>0</v>
      </c>
      <c r="AD308" s="1019">
        <v>0</v>
      </c>
      <c r="AE308" s="1019">
        <v>0</v>
      </c>
      <c r="AF308" s="1019">
        <v>0</v>
      </c>
      <c r="AG308" s="1019">
        <v>0</v>
      </c>
      <c r="AH308" s="1019">
        <v>0</v>
      </c>
      <c r="AI308" s="1019">
        <v>0</v>
      </c>
      <c r="AJ308" s="1019">
        <v>0</v>
      </c>
      <c r="AK308" s="1019">
        <v>0</v>
      </c>
      <c r="AL308" s="1019">
        <v>0</v>
      </c>
      <c r="AM308" s="1019">
        <v>0</v>
      </c>
      <c r="AN308" s="1019">
        <v>0</v>
      </c>
      <c r="AO308" s="1019">
        <v>0</v>
      </c>
      <c r="AP308" s="1019">
        <v>0</v>
      </c>
      <c r="AQ308" s="1019">
        <v>0</v>
      </c>
      <c r="AR308" s="1019">
        <v>0</v>
      </c>
      <c r="AS308" s="1019">
        <v>0</v>
      </c>
      <c r="AT308" s="1019">
        <v>0</v>
      </c>
      <c r="AU308" s="1019">
        <v>0</v>
      </c>
      <c r="AV308" s="1019">
        <v>0</v>
      </c>
      <c r="AW308" s="1019">
        <v>0</v>
      </c>
      <c r="AX308" s="1019">
        <v>0</v>
      </c>
      <c r="AY308" s="1019">
        <v>0</v>
      </c>
      <c r="AZ308" s="1019">
        <v>0</v>
      </c>
      <c r="BA308" s="1019">
        <v>0</v>
      </c>
      <c r="BB308" s="1019">
        <v>0</v>
      </c>
      <c r="BC308" s="1019">
        <v>0</v>
      </c>
      <c r="BD308" s="1019">
        <v>0</v>
      </c>
      <c r="BE308" s="1019">
        <v>0</v>
      </c>
      <c r="BF308" s="1019">
        <v>0</v>
      </c>
      <c r="BG308" s="1019">
        <v>0</v>
      </c>
      <c r="BH308" s="1019">
        <v>0</v>
      </c>
      <c r="BI308" s="1019">
        <v>0</v>
      </c>
      <c r="BJ308" s="1019">
        <v>0</v>
      </c>
      <c r="BK308" s="1019">
        <v>0</v>
      </c>
      <c r="BL308" s="1019">
        <v>0</v>
      </c>
      <c r="BM308" s="1019">
        <v>0</v>
      </c>
      <c r="BN308" s="1019">
        <v>0</v>
      </c>
      <c r="BO308" s="1019">
        <v>0</v>
      </c>
      <c r="BP308" s="1019">
        <v>0</v>
      </c>
      <c r="BQ308" s="1019">
        <v>0</v>
      </c>
      <c r="BR308" s="1019">
        <v>0</v>
      </c>
      <c r="BS308" s="1019">
        <v>0</v>
      </c>
      <c r="BT308" s="1019">
        <v>0</v>
      </c>
      <c r="BU308" s="1019">
        <v>0</v>
      </c>
      <c r="BV308" s="1019">
        <v>0</v>
      </c>
      <c r="BW308" s="1019">
        <v>0</v>
      </c>
      <c r="BX308" s="1019">
        <v>0</v>
      </c>
      <c r="BY308" s="1019">
        <v>0</v>
      </c>
      <c r="BZ308" s="1019">
        <v>0</v>
      </c>
      <c r="CA308" s="7">
        <f t="shared" ref="CA308:CZ308" si="378">-SUM(CA301:CA305,CA306)*CA271</f>
        <v>-543.08690694150164</v>
      </c>
      <c r="CB308" s="7">
        <f t="shared" si="378"/>
        <v>-426.95107360816831</v>
      </c>
      <c r="CC308" s="7">
        <f t="shared" si="378"/>
        <v>-310.81524027483493</v>
      </c>
      <c r="CD308" s="7">
        <f t="shared" si="378"/>
        <v>-194.67940694150153</v>
      </c>
      <c r="CE308" s="7">
        <f t="shared" si="378"/>
        <v>-78.543573608168202</v>
      </c>
      <c r="CF308" s="7">
        <f t="shared" si="378"/>
        <v>-17.420375000000003</v>
      </c>
      <c r="CG308" s="7">
        <f t="shared" si="378"/>
        <v>-17.420375000000003</v>
      </c>
      <c r="CH308" s="7">
        <f t="shared" si="378"/>
        <v>-17.420375000000003</v>
      </c>
      <c r="CI308" s="7">
        <f t="shared" si="378"/>
        <v>-17.420375000000003</v>
      </c>
      <c r="CJ308" s="7">
        <f t="shared" si="378"/>
        <v>-17.420375000000003</v>
      </c>
      <c r="CK308" s="7">
        <f t="shared" si="378"/>
        <v>-17.420375000000003</v>
      </c>
      <c r="CL308" s="7">
        <f t="shared" si="378"/>
        <v>-17.420375000000003</v>
      </c>
      <c r="CM308" s="7">
        <f t="shared" si="378"/>
        <v>-17.420375000000003</v>
      </c>
      <c r="CN308" s="7">
        <f t="shared" si="378"/>
        <v>-17.420375000000003</v>
      </c>
      <c r="CO308" s="7">
        <f t="shared" si="378"/>
        <v>-17.420375000000003</v>
      </c>
      <c r="CP308" s="7">
        <f t="shared" si="378"/>
        <v>-17.420375000000003</v>
      </c>
      <c r="CQ308" s="7">
        <f t="shared" si="378"/>
        <v>-17.420375000000003</v>
      </c>
      <c r="CR308" s="7">
        <f t="shared" si="378"/>
        <v>-17.420375000000003</v>
      </c>
      <c r="CS308" s="7">
        <f t="shared" si="378"/>
        <v>-17.420375000000003</v>
      </c>
      <c r="CT308" s="7">
        <f t="shared" si="378"/>
        <v>-17.420375000000003</v>
      </c>
      <c r="CU308" s="7">
        <f t="shared" si="378"/>
        <v>-17.420375000000003</v>
      </c>
      <c r="CV308" s="7">
        <f t="shared" si="378"/>
        <v>-17.420375000000003</v>
      </c>
      <c r="CW308" s="7">
        <f t="shared" si="378"/>
        <v>-17.420375000000003</v>
      </c>
      <c r="CX308" s="7">
        <f t="shared" si="378"/>
        <v>-17.420375000000003</v>
      </c>
      <c r="CY308" s="7">
        <f t="shared" si="378"/>
        <v>-17.420375000000003</v>
      </c>
      <c r="CZ308" s="7">
        <f t="shared" si="378"/>
        <v>-17.420375000000003</v>
      </c>
      <c r="DA308" s="7">
        <f t="shared" ref="DA308:DY308" si="379">-SUM(DA301:DA305,DA306)*DA271</f>
        <v>-17.420375000000003</v>
      </c>
      <c r="DB308" s="7">
        <f t="shared" si="379"/>
        <v>-17.420375000000003</v>
      </c>
      <c r="DC308" s="7">
        <f t="shared" si="379"/>
        <v>-17.420375000000003</v>
      </c>
      <c r="DD308" s="7">
        <f t="shared" si="379"/>
        <v>-17.420375000000003</v>
      </c>
      <c r="DE308" s="7">
        <f t="shared" si="379"/>
        <v>-17.420375000000003</v>
      </c>
      <c r="DF308" s="7">
        <f t="shared" si="379"/>
        <v>-17.420375000000003</v>
      </c>
      <c r="DG308" s="7">
        <f t="shared" si="379"/>
        <v>-17.420375000000003</v>
      </c>
      <c r="DH308" s="7">
        <f t="shared" si="379"/>
        <v>-17.420375000000003</v>
      </c>
      <c r="DI308" s="7">
        <f t="shared" si="379"/>
        <v>-17.420375000000003</v>
      </c>
      <c r="DJ308" s="7">
        <f t="shared" si="379"/>
        <v>-17.420375000000003</v>
      </c>
      <c r="DK308" s="7">
        <f t="shared" si="379"/>
        <v>-17.420375000000003</v>
      </c>
      <c r="DL308" s="7">
        <f t="shared" si="379"/>
        <v>-17.420375000000003</v>
      </c>
      <c r="DM308" s="7">
        <f t="shared" si="379"/>
        <v>-17.420375000000003</v>
      </c>
      <c r="DN308" s="7">
        <f t="shared" si="379"/>
        <v>-17.420375000000003</v>
      </c>
      <c r="DO308" s="7">
        <f t="shared" si="379"/>
        <v>-17.420375000000003</v>
      </c>
      <c r="DP308" s="7">
        <f t="shared" si="379"/>
        <v>-17.420375000000003</v>
      </c>
      <c r="DQ308" s="7">
        <f t="shared" si="379"/>
        <v>-17.420375000000003</v>
      </c>
      <c r="DR308" s="7">
        <f t="shared" si="379"/>
        <v>-17.420375000000003</v>
      </c>
      <c r="DS308" s="7">
        <f t="shared" si="379"/>
        <v>-17.420375000000003</v>
      </c>
      <c r="DT308" s="7">
        <f t="shared" si="379"/>
        <v>-17.420375000000003</v>
      </c>
      <c r="DU308" s="7">
        <f t="shared" si="379"/>
        <v>-17.420375000000003</v>
      </c>
      <c r="DV308" s="7">
        <f t="shared" si="379"/>
        <v>-17.420375000000003</v>
      </c>
      <c r="DW308" s="7">
        <f t="shared" si="379"/>
        <v>-17.420375000000003</v>
      </c>
      <c r="DX308" s="7">
        <f t="shared" si="379"/>
        <v>-17.420375000000003</v>
      </c>
      <c r="DY308" s="7">
        <f t="shared" si="379"/>
        <v>-17.420375000000003</v>
      </c>
    </row>
    <row r="309" spans="1:129" s="3" customFormat="1" ht="11.7" customHeight="1" outlineLevel="1" x14ac:dyDescent="0.3">
      <c r="A309" s="85"/>
      <c r="B309" s="113" t="s">
        <v>560</v>
      </c>
      <c r="C309" s="113"/>
      <c r="F309" s="127"/>
      <c r="G309" s="127"/>
      <c r="H309" s="290">
        <f t="shared" si="373"/>
        <v>-112.71656547126375</v>
      </c>
      <c r="I309" s="1019">
        <v>0</v>
      </c>
      <c r="J309" s="1019">
        <v>0</v>
      </c>
      <c r="K309" s="1019">
        <v>0</v>
      </c>
      <c r="L309" s="1019">
        <v>0</v>
      </c>
      <c r="M309" s="1019">
        <v>0</v>
      </c>
      <c r="N309" s="1019">
        <v>0</v>
      </c>
      <c r="O309" s="1019">
        <v>0</v>
      </c>
      <c r="P309" s="1019">
        <v>0</v>
      </c>
      <c r="Q309" s="1019">
        <v>0</v>
      </c>
      <c r="R309" s="1019">
        <v>0</v>
      </c>
      <c r="S309" s="1019">
        <v>0</v>
      </c>
      <c r="T309" s="1019">
        <v>0</v>
      </c>
      <c r="U309" s="1019">
        <v>0</v>
      </c>
      <c r="V309" s="1019">
        <v>0</v>
      </c>
      <c r="W309" s="1019">
        <v>0</v>
      </c>
      <c r="X309" s="1019">
        <v>0</v>
      </c>
      <c r="Y309" s="1019">
        <v>0</v>
      </c>
      <c r="Z309" s="1019">
        <v>0</v>
      </c>
      <c r="AA309" s="1019">
        <v>0</v>
      </c>
      <c r="AB309" s="1019">
        <v>0</v>
      </c>
      <c r="AC309" s="1019">
        <v>0</v>
      </c>
      <c r="AD309" s="1019">
        <v>0</v>
      </c>
      <c r="AE309" s="1019">
        <v>0</v>
      </c>
      <c r="AF309" s="1019">
        <v>0</v>
      </c>
      <c r="AG309" s="1019">
        <v>0</v>
      </c>
      <c r="AH309" s="1019">
        <v>0</v>
      </c>
      <c r="AI309" s="1019">
        <v>0</v>
      </c>
      <c r="AJ309" s="1019">
        <v>0</v>
      </c>
      <c r="AK309" s="1019">
        <v>0</v>
      </c>
      <c r="AL309" s="1019">
        <v>0</v>
      </c>
      <c r="AM309" s="1019">
        <v>0</v>
      </c>
      <c r="AN309" s="1019">
        <v>0</v>
      </c>
      <c r="AO309" s="1019">
        <v>0</v>
      </c>
      <c r="AP309" s="1019">
        <v>0</v>
      </c>
      <c r="AQ309" s="1019">
        <v>0</v>
      </c>
      <c r="AR309" s="1019">
        <v>0</v>
      </c>
      <c r="AS309" s="1019">
        <v>0</v>
      </c>
      <c r="AT309" s="1019">
        <v>0</v>
      </c>
      <c r="AU309" s="1019">
        <v>0</v>
      </c>
      <c r="AV309" s="1019">
        <v>0</v>
      </c>
      <c r="AW309" s="1019">
        <v>0</v>
      </c>
      <c r="AX309" s="1019">
        <v>0</v>
      </c>
      <c r="AY309" s="1019">
        <v>0</v>
      </c>
      <c r="AZ309" s="1019">
        <v>0</v>
      </c>
      <c r="BA309" s="1019">
        <v>0</v>
      </c>
      <c r="BB309" s="1019">
        <v>0</v>
      </c>
      <c r="BC309" s="1019">
        <v>0</v>
      </c>
      <c r="BD309" s="1019">
        <v>0</v>
      </c>
      <c r="BE309" s="1019">
        <v>0</v>
      </c>
      <c r="BF309" s="1019">
        <v>0</v>
      </c>
      <c r="BG309" s="1019">
        <v>0</v>
      </c>
      <c r="BH309" s="1019">
        <v>0</v>
      </c>
      <c r="BI309" s="1019">
        <v>0</v>
      </c>
      <c r="BJ309" s="1019">
        <v>0</v>
      </c>
      <c r="BK309" s="1019">
        <v>0</v>
      </c>
      <c r="BL309" s="1019">
        <v>0</v>
      </c>
      <c r="BM309" s="1019">
        <v>0</v>
      </c>
      <c r="BN309" s="1019">
        <v>0</v>
      </c>
      <c r="BO309" s="1019">
        <v>0</v>
      </c>
      <c r="BP309" s="1019">
        <v>0</v>
      </c>
      <c r="BQ309" s="1019">
        <v>0</v>
      </c>
      <c r="BR309" s="1019">
        <v>0</v>
      </c>
      <c r="BS309" s="1019">
        <v>0</v>
      </c>
      <c r="BT309" s="1019">
        <v>0</v>
      </c>
      <c r="BU309" s="1019">
        <v>0</v>
      </c>
      <c r="BV309" s="1019">
        <v>0</v>
      </c>
      <c r="BW309" s="1019">
        <v>0</v>
      </c>
      <c r="BX309" s="1019">
        <v>0</v>
      </c>
      <c r="BY309" s="1019">
        <v>0</v>
      </c>
      <c r="BZ309" s="1019">
        <v>0</v>
      </c>
      <c r="CA309" s="7">
        <f t="shared" ref="CA309:CZ309" si="380">-CA307*CA271</f>
        <v>-9.1954448001012317</v>
      </c>
      <c r="CB309" s="7">
        <f t="shared" si="380"/>
        <v>-12.69033579154263</v>
      </c>
      <c r="CC309" s="7">
        <f t="shared" si="380"/>
        <v>-13.214158413232308</v>
      </c>
      <c r="CD309" s="7">
        <f t="shared" si="380"/>
        <v>-10.766912665170272</v>
      </c>
      <c r="CE309" s="7">
        <f t="shared" si="380"/>
        <v>-5.3485985473565192</v>
      </c>
      <c r="CF309" s="7">
        <f t="shared" si="380"/>
        <v>-1.3369807663882725</v>
      </c>
      <c r="CG309" s="7">
        <f t="shared" si="380"/>
        <v>-1.3369807663882725</v>
      </c>
      <c r="CH309" s="7">
        <f t="shared" si="380"/>
        <v>-1.3369807663882725</v>
      </c>
      <c r="CI309" s="7">
        <f t="shared" si="380"/>
        <v>-1.3369807663882725</v>
      </c>
      <c r="CJ309" s="7">
        <f t="shared" si="380"/>
        <v>-1.3369807663882725</v>
      </c>
      <c r="CK309" s="7">
        <f t="shared" si="380"/>
        <v>-1.3369807663882725</v>
      </c>
      <c r="CL309" s="7">
        <f t="shared" si="380"/>
        <v>-1.3369807663882725</v>
      </c>
      <c r="CM309" s="7">
        <f t="shared" si="380"/>
        <v>-1.3369807663882725</v>
      </c>
      <c r="CN309" s="7">
        <f t="shared" si="380"/>
        <v>-1.3369807663882725</v>
      </c>
      <c r="CO309" s="7">
        <f t="shared" si="380"/>
        <v>-1.3369807663882725</v>
      </c>
      <c r="CP309" s="7">
        <f t="shared" si="380"/>
        <v>-1.3369807663882725</v>
      </c>
      <c r="CQ309" s="7">
        <f t="shared" si="380"/>
        <v>-1.3369807663882725</v>
      </c>
      <c r="CR309" s="7">
        <f t="shared" si="380"/>
        <v>-1.3369807663882725</v>
      </c>
      <c r="CS309" s="7">
        <f t="shared" si="380"/>
        <v>-1.3369807663882725</v>
      </c>
      <c r="CT309" s="7">
        <f t="shared" si="380"/>
        <v>-1.3369807663882725</v>
      </c>
      <c r="CU309" s="7">
        <f t="shared" si="380"/>
        <v>-1.3369807663882725</v>
      </c>
      <c r="CV309" s="7">
        <f t="shared" si="380"/>
        <v>-1.3369807663882725</v>
      </c>
      <c r="CW309" s="7">
        <f t="shared" si="380"/>
        <v>-1.3369807663882725</v>
      </c>
      <c r="CX309" s="7">
        <f t="shared" si="380"/>
        <v>-1.3369807663882725</v>
      </c>
      <c r="CY309" s="7">
        <f t="shared" si="380"/>
        <v>-1.3369807663882725</v>
      </c>
      <c r="CZ309" s="7">
        <f t="shared" si="380"/>
        <v>-1.3369807663882725</v>
      </c>
      <c r="DA309" s="7">
        <f t="shared" ref="DA309:DY309" si="381">-DA307*DA271</f>
        <v>-1.3369807663882725</v>
      </c>
      <c r="DB309" s="7">
        <f t="shared" si="381"/>
        <v>-1.3369807663882725</v>
      </c>
      <c r="DC309" s="7">
        <f t="shared" si="381"/>
        <v>-1.3369807663882725</v>
      </c>
      <c r="DD309" s="7">
        <f t="shared" si="381"/>
        <v>-1.3369807663882725</v>
      </c>
      <c r="DE309" s="7">
        <f t="shared" si="381"/>
        <v>-1.3369807663882725</v>
      </c>
      <c r="DF309" s="7">
        <f t="shared" si="381"/>
        <v>-1.3369807663882725</v>
      </c>
      <c r="DG309" s="7">
        <f t="shared" si="381"/>
        <v>-1.3369807663882725</v>
      </c>
      <c r="DH309" s="7">
        <f t="shared" si="381"/>
        <v>-1.3369807663882725</v>
      </c>
      <c r="DI309" s="7">
        <f t="shared" si="381"/>
        <v>-1.3369807663882725</v>
      </c>
      <c r="DJ309" s="7">
        <f t="shared" si="381"/>
        <v>-1.3369807663882725</v>
      </c>
      <c r="DK309" s="7">
        <f t="shared" si="381"/>
        <v>-1.3369807663882725</v>
      </c>
      <c r="DL309" s="7">
        <f t="shared" si="381"/>
        <v>-1.3369807663882725</v>
      </c>
      <c r="DM309" s="7">
        <f t="shared" si="381"/>
        <v>-1.3369807663882725</v>
      </c>
      <c r="DN309" s="7">
        <f t="shared" si="381"/>
        <v>-1.3369807663882725</v>
      </c>
      <c r="DO309" s="7">
        <f t="shared" si="381"/>
        <v>-1.3369807663882725</v>
      </c>
      <c r="DP309" s="7">
        <f t="shared" si="381"/>
        <v>-1.3369807663882725</v>
      </c>
      <c r="DQ309" s="7">
        <f t="shared" si="381"/>
        <v>-1.3369807663882725</v>
      </c>
      <c r="DR309" s="7">
        <f t="shared" si="381"/>
        <v>-1.3369807663882725</v>
      </c>
      <c r="DS309" s="7">
        <f t="shared" si="381"/>
        <v>-1.3369807663882725</v>
      </c>
      <c r="DT309" s="7">
        <f t="shared" si="381"/>
        <v>-1.3369807663882725</v>
      </c>
      <c r="DU309" s="7">
        <f t="shared" si="381"/>
        <v>-1.3369807663882725</v>
      </c>
      <c r="DV309" s="7">
        <f t="shared" si="381"/>
        <v>-1.3369807663882725</v>
      </c>
      <c r="DW309" s="7">
        <f t="shared" si="381"/>
        <v>-1.3369807663882725</v>
      </c>
      <c r="DX309" s="7">
        <f t="shared" si="381"/>
        <v>-1.3369807663882725</v>
      </c>
      <c r="DY309" s="7">
        <f t="shared" si="381"/>
        <v>-1.3369807663882725</v>
      </c>
    </row>
    <row r="310" spans="1:129" s="3" customFormat="1" ht="11.7" customHeight="1" outlineLevel="1" x14ac:dyDescent="0.3">
      <c r="A310" s="85"/>
      <c r="B310" s="116" t="s">
        <v>173</v>
      </c>
      <c r="C310" s="116"/>
      <c r="D310" s="335">
        <f>+Inputs!$G$159</f>
        <v>5.0000000000000001E-3</v>
      </c>
      <c r="E310" s="63"/>
      <c r="F310" s="147"/>
      <c r="G310" s="147"/>
      <c r="H310" s="290">
        <f t="shared" si="373"/>
        <v>-178.38801671697806</v>
      </c>
      <c r="I310" s="1099">
        <v>0</v>
      </c>
      <c r="J310" s="1099">
        <v>0</v>
      </c>
      <c r="K310" s="1099">
        <v>0</v>
      </c>
      <c r="L310" s="1099">
        <v>0</v>
      </c>
      <c r="M310" s="1099">
        <v>0</v>
      </c>
      <c r="N310" s="1099">
        <v>0</v>
      </c>
      <c r="O310" s="1099">
        <v>0</v>
      </c>
      <c r="P310" s="1099">
        <v>0</v>
      </c>
      <c r="Q310" s="1099">
        <v>0</v>
      </c>
      <c r="R310" s="1099">
        <v>0</v>
      </c>
      <c r="S310" s="1099">
        <v>0</v>
      </c>
      <c r="T310" s="1099">
        <v>0</v>
      </c>
      <c r="U310" s="1099">
        <v>0</v>
      </c>
      <c r="V310" s="1099">
        <v>0</v>
      </c>
      <c r="W310" s="1099">
        <v>0</v>
      </c>
      <c r="X310" s="1099">
        <v>0</v>
      </c>
      <c r="Y310" s="1099">
        <v>0</v>
      </c>
      <c r="Z310" s="1099">
        <v>0</v>
      </c>
      <c r="AA310" s="1099">
        <v>0</v>
      </c>
      <c r="AB310" s="1099">
        <v>0</v>
      </c>
      <c r="AC310" s="1099">
        <v>0</v>
      </c>
      <c r="AD310" s="1099">
        <v>0</v>
      </c>
      <c r="AE310" s="1099">
        <v>0</v>
      </c>
      <c r="AF310" s="1099">
        <v>0</v>
      </c>
      <c r="AG310" s="1099">
        <v>0</v>
      </c>
      <c r="AH310" s="1099">
        <v>0</v>
      </c>
      <c r="AI310" s="1099">
        <v>0</v>
      </c>
      <c r="AJ310" s="1099">
        <v>0</v>
      </c>
      <c r="AK310" s="1099">
        <v>0</v>
      </c>
      <c r="AL310" s="1099">
        <v>0</v>
      </c>
      <c r="AM310" s="1099">
        <v>0</v>
      </c>
      <c r="AN310" s="1099">
        <v>0</v>
      </c>
      <c r="AO310" s="1099">
        <v>0</v>
      </c>
      <c r="AP310" s="1099">
        <v>0</v>
      </c>
      <c r="AQ310" s="1099">
        <v>0</v>
      </c>
      <c r="AR310" s="1099">
        <v>0</v>
      </c>
      <c r="AS310" s="1099">
        <v>0</v>
      </c>
      <c r="AT310" s="1099">
        <v>0</v>
      </c>
      <c r="AU310" s="1099">
        <v>0</v>
      </c>
      <c r="AV310" s="1099">
        <v>0</v>
      </c>
      <c r="AW310" s="1099">
        <v>0</v>
      </c>
      <c r="AX310" s="1099">
        <v>0</v>
      </c>
      <c r="AY310" s="1099">
        <v>0</v>
      </c>
      <c r="AZ310" s="1099">
        <v>0</v>
      </c>
      <c r="BA310" s="1099">
        <v>0</v>
      </c>
      <c r="BB310" s="1099">
        <v>0</v>
      </c>
      <c r="BC310" s="1099">
        <v>0</v>
      </c>
      <c r="BD310" s="1099">
        <v>0</v>
      </c>
      <c r="BE310" s="1099">
        <v>0</v>
      </c>
      <c r="BF310" s="1099">
        <v>0</v>
      </c>
      <c r="BG310" s="1099">
        <v>0</v>
      </c>
      <c r="BH310" s="1099">
        <v>0</v>
      </c>
      <c r="BI310" s="1099">
        <v>0</v>
      </c>
      <c r="BJ310" s="1099">
        <v>0</v>
      </c>
      <c r="BK310" s="1099">
        <v>0</v>
      </c>
      <c r="BL310" s="1099">
        <v>0</v>
      </c>
      <c r="BM310" s="1099">
        <v>0</v>
      </c>
      <c r="BN310" s="1099">
        <v>0</v>
      </c>
      <c r="BO310" s="1099">
        <v>0</v>
      </c>
      <c r="BP310" s="1099">
        <v>0</v>
      </c>
      <c r="BQ310" s="1099">
        <v>0</v>
      </c>
      <c r="BR310" s="1099">
        <v>0</v>
      </c>
      <c r="BS310" s="1099">
        <v>0</v>
      </c>
      <c r="BT310" s="1099">
        <v>0</v>
      </c>
      <c r="BU310" s="1099">
        <v>0</v>
      </c>
      <c r="BV310" s="1099">
        <v>0</v>
      </c>
      <c r="BW310" s="1099">
        <v>0</v>
      </c>
      <c r="BX310" s="1099">
        <v>0</v>
      </c>
      <c r="BY310" s="1099">
        <v>0</v>
      </c>
      <c r="BZ310" s="1099">
        <v>0</v>
      </c>
      <c r="CA310" s="168">
        <f t="shared" ref="CA310:CZ310" si="382">-SUM(CA301:CA309)*$D$310</f>
        <v>-0.78165494028605442</v>
      </c>
      <c r="CB310" s="168">
        <f t="shared" si="382"/>
        <v>-1.3894256775417899</v>
      </c>
      <c r="CC310" s="168">
        <f t="shared" si="382"/>
        <v>-2.0120517566462839</v>
      </c>
      <c r="CD310" s="168">
        <f t="shared" si="382"/>
        <v>-2.6495331775995372</v>
      </c>
      <c r="CE310" s="168">
        <f t="shared" si="382"/>
        <v>-3.3018699404015481</v>
      </c>
      <c r="CF310" s="168">
        <f t="shared" si="382"/>
        <v>-3.6576843744457133</v>
      </c>
      <c r="CG310" s="168">
        <f t="shared" si="382"/>
        <v>-3.6576843744457133</v>
      </c>
      <c r="CH310" s="168">
        <f t="shared" si="382"/>
        <v>-3.6576843744457133</v>
      </c>
      <c r="CI310" s="168">
        <f t="shared" si="382"/>
        <v>-3.6576843744457133</v>
      </c>
      <c r="CJ310" s="168">
        <f t="shared" si="382"/>
        <v>-3.6576843744457133</v>
      </c>
      <c r="CK310" s="168">
        <f t="shared" si="382"/>
        <v>-3.6576843744457133</v>
      </c>
      <c r="CL310" s="168">
        <f t="shared" si="382"/>
        <v>-3.6576843744457133</v>
      </c>
      <c r="CM310" s="168">
        <f t="shared" si="382"/>
        <v>-3.6576843744457133</v>
      </c>
      <c r="CN310" s="168">
        <f t="shared" si="382"/>
        <v>-3.6576843744457133</v>
      </c>
      <c r="CO310" s="168">
        <f t="shared" si="382"/>
        <v>-3.6576843744457133</v>
      </c>
      <c r="CP310" s="168">
        <f t="shared" si="382"/>
        <v>-3.6576843744457133</v>
      </c>
      <c r="CQ310" s="168">
        <f t="shared" si="382"/>
        <v>-3.6576843744457133</v>
      </c>
      <c r="CR310" s="168">
        <f t="shared" si="382"/>
        <v>-3.6576843744457133</v>
      </c>
      <c r="CS310" s="168">
        <f t="shared" si="382"/>
        <v>-3.6576843744457133</v>
      </c>
      <c r="CT310" s="168">
        <f t="shared" si="382"/>
        <v>-3.6576843744457133</v>
      </c>
      <c r="CU310" s="168">
        <f t="shared" si="382"/>
        <v>-3.6576843744457133</v>
      </c>
      <c r="CV310" s="168">
        <f t="shared" si="382"/>
        <v>-3.6576843744457133</v>
      </c>
      <c r="CW310" s="168">
        <f t="shared" si="382"/>
        <v>-3.6576843744457133</v>
      </c>
      <c r="CX310" s="168">
        <f t="shared" si="382"/>
        <v>-3.6576843744457133</v>
      </c>
      <c r="CY310" s="168">
        <f t="shared" si="382"/>
        <v>-3.6576843744457133</v>
      </c>
      <c r="CZ310" s="168">
        <f t="shared" si="382"/>
        <v>-3.6576843744457133</v>
      </c>
      <c r="DA310" s="168">
        <f t="shared" ref="DA310:DY310" si="383">-SUM(DA301:DA309)*$D$310</f>
        <v>-3.6576843744457133</v>
      </c>
      <c r="DB310" s="168">
        <f t="shared" si="383"/>
        <v>-3.6576843744457133</v>
      </c>
      <c r="DC310" s="168">
        <f t="shared" si="383"/>
        <v>-3.6576843744457133</v>
      </c>
      <c r="DD310" s="168">
        <f t="shared" si="383"/>
        <v>-3.6576843744457133</v>
      </c>
      <c r="DE310" s="168">
        <f t="shared" si="383"/>
        <v>-3.6576843744457133</v>
      </c>
      <c r="DF310" s="168">
        <f t="shared" si="383"/>
        <v>-3.6576843744457133</v>
      </c>
      <c r="DG310" s="168">
        <f t="shared" si="383"/>
        <v>-3.6576843744457133</v>
      </c>
      <c r="DH310" s="168">
        <f t="shared" si="383"/>
        <v>-3.6576843744457133</v>
      </c>
      <c r="DI310" s="168">
        <f t="shared" si="383"/>
        <v>-3.6576843744457133</v>
      </c>
      <c r="DJ310" s="168">
        <f t="shared" si="383"/>
        <v>-3.6576843744457133</v>
      </c>
      <c r="DK310" s="168">
        <f t="shared" si="383"/>
        <v>-3.6576843744457133</v>
      </c>
      <c r="DL310" s="168">
        <f t="shared" si="383"/>
        <v>-3.6576843744457133</v>
      </c>
      <c r="DM310" s="168">
        <f t="shared" si="383"/>
        <v>-3.6576843744457133</v>
      </c>
      <c r="DN310" s="168">
        <f t="shared" si="383"/>
        <v>-3.6576843744457133</v>
      </c>
      <c r="DO310" s="168">
        <f t="shared" si="383"/>
        <v>-3.6576843744457133</v>
      </c>
      <c r="DP310" s="168">
        <f t="shared" si="383"/>
        <v>-3.6576843744457133</v>
      </c>
      <c r="DQ310" s="168">
        <f t="shared" si="383"/>
        <v>-3.6576843744457133</v>
      </c>
      <c r="DR310" s="168">
        <f t="shared" si="383"/>
        <v>-3.6576843744457133</v>
      </c>
      <c r="DS310" s="168">
        <f t="shared" si="383"/>
        <v>-3.6576843744457133</v>
      </c>
      <c r="DT310" s="168">
        <f t="shared" si="383"/>
        <v>-3.6576843744457133</v>
      </c>
      <c r="DU310" s="168">
        <f t="shared" si="383"/>
        <v>-3.6576843744457133</v>
      </c>
      <c r="DV310" s="168">
        <f t="shared" si="383"/>
        <v>-3.6576843744457133</v>
      </c>
      <c r="DW310" s="168">
        <f t="shared" si="383"/>
        <v>-3.6576843744457133</v>
      </c>
      <c r="DX310" s="168">
        <f t="shared" si="383"/>
        <v>-3.6576843744457133</v>
      </c>
      <c r="DY310" s="168">
        <f t="shared" si="383"/>
        <v>-3.6576843744457133</v>
      </c>
    </row>
    <row r="311" spans="1:129" s="3" customFormat="1" ht="11.7" customHeight="1" outlineLevel="1" x14ac:dyDescent="0.3">
      <c r="A311" s="85"/>
      <c r="B311" s="200" t="s">
        <v>15</v>
      </c>
      <c r="C311" s="200"/>
      <c r="D311" s="169"/>
      <c r="E311" s="169"/>
      <c r="F311" s="170"/>
      <c r="G311" s="170"/>
      <c r="H311" s="290">
        <f t="shared" si="373"/>
        <v>35593.092323529461</v>
      </c>
      <c r="I311" s="171">
        <f t="shared" ref="I311:AN311" si="384">+SUM(I301:I310)</f>
        <v>0</v>
      </c>
      <c r="J311" s="171">
        <f t="shared" si="384"/>
        <v>0</v>
      </c>
      <c r="K311" s="171">
        <f t="shared" si="384"/>
        <v>0</v>
      </c>
      <c r="L311" s="171">
        <f t="shared" si="384"/>
        <v>0</v>
      </c>
      <c r="M311" s="171">
        <f t="shared" si="384"/>
        <v>0</v>
      </c>
      <c r="N311" s="171">
        <f t="shared" si="384"/>
        <v>0</v>
      </c>
      <c r="O311" s="171">
        <f t="shared" si="384"/>
        <v>0</v>
      </c>
      <c r="P311" s="171">
        <f t="shared" si="384"/>
        <v>0</v>
      </c>
      <c r="Q311" s="171">
        <f t="shared" si="384"/>
        <v>0</v>
      </c>
      <c r="R311" s="171">
        <f t="shared" si="384"/>
        <v>0</v>
      </c>
      <c r="S311" s="171">
        <f t="shared" si="384"/>
        <v>0</v>
      </c>
      <c r="T311" s="171">
        <f t="shared" si="384"/>
        <v>0</v>
      </c>
      <c r="U311" s="171">
        <f t="shared" si="384"/>
        <v>0</v>
      </c>
      <c r="V311" s="171">
        <f t="shared" si="384"/>
        <v>0</v>
      </c>
      <c r="W311" s="171">
        <f t="shared" si="384"/>
        <v>0</v>
      </c>
      <c r="X311" s="171">
        <f t="shared" si="384"/>
        <v>0</v>
      </c>
      <c r="Y311" s="171">
        <f t="shared" si="384"/>
        <v>0</v>
      </c>
      <c r="Z311" s="171">
        <f t="shared" si="384"/>
        <v>0</v>
      </c>
      <c r="AA311" s="171">
        <f t="shared" si="384"/>
        <v>0</v>
      </c>
      <c r="AB311" s="171">
        <f t="shared" si="384"/>
        <v>0</v>
      </c>
      <c r="AC311" s="171">
        <f t="shared" si="384"/>
        <v>0</v>
      </c>
      <c r="AD311" s="171">
        <f t="shared" si="384"/>
        <v>0</v>
      </c>
      <c r="AE311" s="171">
        <f t="shared" si="384"/>
        <v>0</v>
      </c>
      <c r="AF311" s="171">
        <f t="shared" si="384"/>
        <v>0</v>
      </c>
      <c r="AG311" s="171">
        <f t="shared" si="384"/>
        <v>0</v>
      </c>
      <c r="AH311" s="171">
        <f t="shared" si="384"/>
        <v>0</v>
      </c>
      <c r="AI311" s="171">
        <f t="shared" si="384"/>
        <v>0</v>
      </c>
      <c r="AJ311" s="171">
        <f t="shared" si="384"/>
        <v>0</v>
      </c>
      <c r="AK311" s="171">
        <f t="shared" si="384"/>
        <v>0</v>
      </c>
      <c r="AL311" s="171">
        <f t="shared" si="384"/>
        <v>0</v>
      </c>
      <c r="AM311" s="171">
        <f t="shared" si="384"/>
        <v>0</v>
      </c>
      <c r="AN311" s="171">
        <f t="shared" si="384"/>
        <v>0</v>
      </c>
      <c r="AO311" s="171">
        <f t="shared" ref="AO311:BN311" si="385">+SUM(AO301:AO310)</f>
        <v>0</v>
      </c>
      <c r="AP311" s="171">
        <f t="shared" si="385"/>
        <v>0</v>
      </c>
      <c r="AQ311" s="171">
        <f t="shared" si="385"/>
        <v>0</v>
      </c>
      <c r="AR311" s="171">
        <f t="shared" si="385"/>
        <v>0</v>
      </c>
      <c r="AS311" s="171">
        <f t="shared" si="385"/>
        <v>0</v>
      </c>
      <c r="AT311" s="171">
        <f t="shared" si="385"/>
        <v>0</v>
      </c>
      <c r="AU311" s="171">
        <f t="shared" si="385"/>
        <v>0</v>
      </c>
      <c r="AV311" s="171">
        <f t="shared" si="385"/>
        <v>0</v>
      </c>
      <c r="AW311" s="171">
        <f t="shared" si="385"/>
        <v>0</v>
      </c>
      <c r="AX311" s="171">
        <f t="shared" si="385"/>
        <v>0</v>
      </c>
      <c r="AY311" s="171">
        <f t="shared" si="385"/>
        <v>0</v>
      </c>
      <c r="AZ311" s="171">
        <f t="shared" si="385"/>
        <v>0</v>
      </c>
      <c r="BA311" s="171">
        <f t="shared" si="385"/>
        <v>0</v>
      </c>
      <c r="BB311" s="171">
        <f t="shared" si="385"/>
        <v>0</v>
      </c>
      <c r="BC311" s="171">
        <f t="shared" si="385"/>
        <v>0</v>
      </c>
      <c r="BD311" s="171">
        <f t="shared" si="385"/>
        <v>0</v>
      </c>
      <c r="BE311" s="171">
        <f t="shared" si="385"/>
        <v>0</v>
      </c>
      <c r="BF311" s="171">
        <f t="shared" si="385"/>
        <v>0</v>
      </c>
      <c r="BG311" s="171">
        <f t="shared" si="385"/>
        <v>0</v>
      </c>
      <c r="BH311" s="171">
        <f t="shared" si="385"/>
        <v>0</v>
      </c>
      <c r="BI311" s="171">
        <f t="shared" si="385"/>
        <v>0</v>
      </c>
      <c r="BJ311" s="171">
        <f t="shared" si="385"/>
        <v>0</v>
      </c>
      <c r="BK311" s="171">
        <f t="shared" si="385"/>
        <v>0</v>
      </c>
      <c r="BL311" s="171">
        <f t="shared" si="385"/>
        <v>0</v>
      </c>
      <c r="BM311" s="171">
        <f t="shared" si="385"/>
        <v>0</v>
      </c>
      <c r="BN311" s="171">
        <f t="shared" si="385"/>
        <v>0</v>
      </c>
      <c r="BO311" s="171">
        <f t="shared" ref="BO311:BT311" si="386">+SUM(BO301:BO310)</f>
        <v>0</v>
      </c>
      <c r="BP311" s="171">
        <f t="shared" si="386"/>
        <v>0</v>
      </c>
      <c r="BQ311" s="171">
        <f t="shared" si="386"/>
        <v>0</v>
      </c>
      <c r="BR311" s="171">
        <f t="shared" si="386"/>
        <v>0</v>
      </c>
      <c r="BS311" s="171">
        <f t="shared" si="386"/>
        <v>0</v>
      </c>
      <c r="BT311" s="171">
        <f t="shared" si="386"/>
        <v>0</v>
      </c>
      <c r="BU311" s="171">
        <f t="shared" ref="BU311:CZ311" si="387">+SUM(BU301:BU310)</f>
        <v>0</v>
      </c>
      <c r="BV311" s="171">
        <f t="shared" si="387"/>
        <v>0</v>
      </c>
      <c r="BW311" s="171">
        <f t="shared" si="387"/>
        <v>62.63901428736871</v>
      </c>
      <c r="BX311" s="171">
        <f t="shared" si="387"/>
        <v>31.237982563468666</v>
      </c>
      <c r="BY311" s="171">
        <f t="shared" si="387"/>
        <v>0</v>
      </c>
      <c r="BZ311" s="171">
        <f t="shared" si="387"/>
        <v>0</v>
      </c>
      <c r="CA311" s="171">
        <f t="shared" si="387"/>
        <v>155.54933311692483</v>
      </c>
      <c r="CB311" s="171">
        <f t="shared" si="387"/>
        <v>276.49570983081617</v>
      </c>
      <c r="CC311" s="171">
        <f t="shared" si="387"/>
        <v>400.39829957261054</v>
      </c>
      <c r="CD311" s="171">
        <f t="shared" si="387"/>
        <v>527.25710234230792</v>
      </c>
      <c r="CE311" s="171">
        <f t="shared" si="387"/>
        <v>657.07211813990807</v>
      </c>
      <c r="CF311" s="171">
        <f t="shared" si="387"/>
        <v>727.87919051469692</v>
      </c>
      <c r="CG311" s="171">
        <f t="shared" si="387"/>
        <v>727.87919051469692</v>
      </c>
      <c r="CH311" s="171">
        <f t="shared" si="387"/>
        <v>727.87919051469692</v>
      </c>
      <c r="CI311" s="171">
        <f t="shared" si="387"/>
        <v>727.87919051469692</v>
      </c>
      <c r="CJ311" s="171">
        <f t="shared" si="387"/>
        <v>727.87919051469692</v>
      </c>
      <c r="CK311" s="171">
        <f t="shared" si="387"/>
        <v>727.87919051469692</v>
      </c>
      <c r="CL311" s="171">
        <f t="shared" si="387"/>
        <v>727.87919051469692</v>
      </c>
      <c r="CM311" s="171">
        <f t="shared" si="387"/>
        <v>727.87919051469692</v>
      </c>
      <c r="CN311" s="171">
        <f t="shared" si="387"/>
        <v>727.87919051469692</v>
      </c>
      <c r="CO311" s="171">
        <f t="shared" si="387"/>
        <v>727.87919051469692</v>
      </c>
      <c r="CP311" s="171">
        <f t="shared" si="387"/>
        <v>727.87919051469692</v>
      </c>
      <c r="CQ311" s="171">
        <f t="shared" si="387"/>
        <v>727.87919051469692</v>
      </c>
      <c r="CR311" s="171">
        <f t="shared" si="387"/>
        <v>727.87919051469692</v>
      </c>
      <c r="CS311" s="171">
        <f t="shared" si="387"/>
        <v>727.87919051469692</v>
      </c>
      <c r="CT311" s="171">
        <f t="shared" si="387"/>
        <v>727.87919051469692</v>
      </c>
      <c r="CU311" s="171">
        <f t="shared" si="387"/>
        <v>727.87919051469692</v>
      </c>
      <c r="CV311" s="171">
        <f t="shared" si="387"/>
        <v>727.87919051469692</v>
      </c>
      <c r="CW311" s="171">
        <f t="shared" si="387"/>
        <v>727.87919051469692</v>
      </c>
      <c r="CX311" s="171">
        <f t="shared" si="387"/>
        <v>727.87919051469692</v>
      </c>
      <c r="CY311" s="171">
        <f t="shared" si="387"/>
        <v>727.87919051469692</v>
      </c>
      <c r="CZ311" s="171">
        <f t="shared" si="387"/>
        <v>727.87919051469692</v>
      </c>
      <c r="DA311" s="171">
        <f t="shared" ref="DA311:DY311" si="388">+SUM(DA301:DA310)</f>
        <v>727.87919051469692</v>
      </c>
      <c r="DB311" s="171">
        <f t="shared" si="388"/>
        <v>727.87919051469692</v>
      </c>
      <c r="DC311" s="171">
        <f t="shared" si="388"/>
        <v>727.87919051469692</v>
      </c>
      <c r="DD311" s="171">
        <f t="shared" si="388"/>
        <v>727.87919051469692</v>
      </c>
      <c r="DE311" s="171">
        <f t="shared" si="388"/>
        <v>727.87919051469692</v>
      </c>
      <c r="DF311" s="171">
        <f t="shared" si="388"/>
        <v>727.87919051469692</v>
      </c>
      <c r="DG311" s="171">
        <f t="shared" si="388"/>
        <v>727.87919051469692</v>
      </c>
      <c r="DH311" s="171">
        <f t="shared" si="388"/>
        <v>727.87919051469692</v>
      </c>
      <c r="DI311" s="171">
        <f t="shared" si="388"/>
        <v>727.87919051469692</v>
      </c>
      <c r="DJ311" s="171">
        <f t="shared" si="388"/>
        <v>727.87919051469692</v>
      </c>
      <c r="DK311" s="171">
        <f t="shared" si="388"/>
        <v>727.87919051469692</v>
      </c>
      <c r="DL311" s="171">
        <f t="shared" si="388"/>
        <v>727.87919051469692</v>
      </c>
      <c r="DM311" s="171">
        <f t="shared" si="388"/>
        <v>727.87919051469692</v>
      </c>
      <c r="DN311" s="171">
        <f t="shared" si="388"/>
        <v>727.87919051469692</v>
      </c>
      <c r="DO311" s="171">
        <f t="shared" si="388"/>
        <v>727.87919051469692</v>
      </c>
      <c r="DP311" s="171">
        <f t="shared" si="388"/>
        <v>727.87919051469692</v>
      </c>
      <c r="DQ311" s="171">
        <f t="shared" si="388"/>
        <v>727.87919051469692</v>
      </c>
      <c r="DR311" s="171">
        <f t="shared" si="388"/>
        <v>727.87919051469692</v>
      </c>
      <c r="DS311" s="171">
        <f t="shared" si="388"/>
        <v>727.87919051469692</v>
      </c>
      <c r="DT311" s="171">
        <f t="shared" si="388"/>
        <v>727.87919051469692</v>
      </c>
      <c r="DU311" s="171">
        <f t="shared" si="388"/>
        <v>727.87919051469692</v>
      </c>
      <c r="DV311" s="171">
        <f t="shared" si="388"/>
        <v>727.87919051469692</v>
      </c>
      <c r="DW311" s="171">
        <f t="shared" si="388"/>
        <v>727.87919051469692</v>
      </c>
      <c r="DX311" s="171">
        <f t="shared" si="388"/>
        <v>727.87919051469692</v>
      </c>
      <c r="DY311" s="171">
        <f t="shared" si="388"/>
        <v>727.87919051469692</v>
      </c>
    </row>
    <row r="312" spans="1:129" s="3" customFormat="1" ht="11.7" customHeight="1" outlineLevel="1" x14ac:dyDescent="0.3">
      <c r="A312" s="85"/>
      <c r="B312" s="149"/>
      <c r="C312" s="149"/>
      <c r="D312" s="162"/>
      <c r="F312" s="127"/>
      <c r="G312" s="127"/>
      <c r="H312" s="127"/>
      <c r="I312" s="111"/>
      <c r="J312" s="111"/>
      <c r="K312" s="111"/>
      <c r="L312" s="111"/>
      <c r="M312" s="111"/>
      <c r="N312" s="111"/>
      <c r="O312" s="111"/>
      <c r="P312" s="111"/>
      <c r="Q312" s="111"/>
      <c r="R312" s="111"/>
      <c r="S312" s="111"/>
      <c r="T312" s="111"/>
      <c r="U312" s="111"/>
      <c r="V312" s="111"/>
      <c r="W312" s="111"/>
      <c r="X312" s="111"/>
      <c r="Y312" s="111"/>
      <c r="Z312" s="111"/>
      <c r="AA312" s="111"/>
      <c r="AB312" s="111"/>
      <c r="AC312" s="111"/>
      <c r="AD312" s="111"/>
      <c r="AE312" s="111"/>
      <c r="AF312" s="111"/>
      <c r="AG312" s="111"/>
      <c r="AH312" s="111"/>
      <c r="AI312" s="111"/>
      <c r="AJ312" s="111"/>
      <c r="AK312" s="111"/>
      <c r="AL312" s="111"/>
      <c r="AM312" s="111"/>
      <c r="AN312" s="111"/>
      <c r="AO312" s="111"/>
      <c r="AP312" s="111"/>
      <c r="AQ312" s="111"/>
      <c r="AR312" s="111"/>
      <c r="AS312" s="111"/>
      <c r="AT312" s="111"/>
      <c r="AU312" s="111"/>
      <c r="AV312" s="111"/>
      <c r="AW312" s="111"/>
      <c r="AX312" s="111"/>
      <c r="AY312" s="111"/>
      <c r="AZ312" s="111"/>
      <c r="BA312" s="111"/>
      <c r="BB312" s="111"/>
      <c r="BC312" s="111"/>
      <c r="BD312" s="111"/>
      <c r="BE312" s="111"/>
      <c r="BF312" s="111"/>
      <c r="BG312" s="111"/>
      <c r="BH312" s="111"/>
      <c r="BI312" s="111"/>
      <c r="BJ312" s="111"/>
      <c r="BK312" s="111"/>
      <c r="BL312" s="111"/>
      <c r="BM312" s="111"/>
      <c r="BN312" s="111"/>
      <c r="BO312" s="111"/>
      <c r="BP312" s="111"/>
      <c r="BQ312" s="111"/>
      <c r="BR312" s="111"/>
      <c r="BS312" s="111"/>
      <c r="BT312" s="736"/>
      <c r="BU312" s="111"/>
      <c r="BV312" s="111"/>
      <c r="BW312" s="111"/>
      <c r="BX312" s="111"/>
      <c r="BY312" s="111"/>
      <c r="BZ312" s="111"/>
      <c r="CA312" s="111"/>
      <c r="CB312" s="111"/>
      <c r="CC312" s="111"/>
      <c r="CD312" s="111"/>
      <c r="CE312" s="111"/>
      <c r="CF312" s="111"/>
      <c r="CG312" s="111"/>
      <c r="CH312" s="111"/>
      <c r="CI312" s="111"/>
      <c r="CJ312" s="111"/>
      <c r="CK312" s="111"/>
      <c r="CL312" s="111"/>
      <c r="CM312" s="111"/>
      <c r="CN312" s="111"/>
      <c r="CO312" s="111"/>
      <c r="CP312" s="111"/>
      <c r="CQ312" s="111"/>
      <c r="CR312" s="111"/>
      <c r="CS312" s="111"/>
      <c r="CT312" s="111"/>
      <c r="CU312" s="111"/>
      <c r="CV312" s="111"/>
      <c r="CW312" s="111"/>
      <c r="CX312" s="111"/>
      <c r="CY312" s="111"/>
      <c r="CZ312" s="111"/>
      <c r="DA312" s="111"/>
      <c r="DB312" s="111"/>
      <c r="DC312" s="111"/>
      <c r="DD312" s="111"/>
      <c r="DE312" s="111"/>
      <c r="DF312" s="111"/>
      <c r="DG312" s="111"/>
      <c r="DH312" s="111"/>
      <c r="DI312" s="111"/>
      <c r="DJ312" s="111"/>
      <c r="DK312" s="111"/>
      <c r="DL312" s="111"/>
      <c r="DM312" s="111"/>
      <c r="DN312" s="111"/>
      <c r="DO312" s="111"/>
      <c r="DP312" s="111"/>
      <c r="DQ312" s="111"/>
      <c r="DR312" s="111"/>
      <c r="DS312" s="111"/>
      <c r="DT312" s="111"/>
      <c r="DU312" s="111"/>
      <c r="DV312" s="111"/>
      <c r="DW312" s="111"/>
      <c r="DX312" s="111"/>
      <c r="DY312" s="111"/>
    </row>
    <row r="313" spans="1:129" s="3" customFormat="1" ht="11.7" customHeight="1" outlineLevel="1" x14ac:dyDescent="0.3">
      <c r="A313" s="85"/>
      <c r="B313" s="195" t="s">
        <v>118</v>
      </c>
      <c r="C313" s="195"/>
      <c r="D313" s="162"/>
      <c r="F313" s="127"/>
      <c r="G313" s="127"/>
      <c r="H313" s="127"/>
      <c r="I313" s="111"/>
      <c r="J313" s="111"/>
      <c r="K313" s="111"/>
      <c r="L313" s="111"/>
      <c r="M313" s="111"/>
      <c r="N313" s="111"/>
      <c r="O313" s="111"/>
      <c r="P313" s="111"/>
      <c r="Q313" s="111"/>
      <c r="R313" s="111"/>
      <c r="S313" s="111"/>
      <c r="T313" s="111"/>
      <c r="U313" s="111"/>
      <c r="V313" s="111"/>
      <c r="W313" s="111"/>
      <c r="X313" s="111"/>
      <c r="Y313" s="111"/>
      <c r="Z313" s="111"/>
      <c r="AA313" s="111"/>
      <c r="AB313" s="111"/>
      <c r="AC313" s="111"/>
      <c r="AD313" s="111"/>
      <c r="AE313" s="111"/>
      <c r="AF313" s="111"/>
      <c r="AG313" s="111"/>
      <c r="AH313" s="111"/>
      <c r="AI313" s="111"/>
      <c r="AJ313" s="111"/>
      <c r="AK313" s="111"/>
      <c r="AL313" s="111"/>
      <c r="AM313" s="111"/>
      <c r="AN313" s="111"/>
      <c r="AO313" s="111"/>
      <c r="AP313" s="111"/>
      <c r="AQ313" s="111"/>
      <c r="AR313" s="111"/>
      <c r="AS313" s="111"/>
      <c r="AT313" s="111"/>
      <c r="AU313" s="111"/>
      <c r="AV313" s="111"/>
      <c r="AW313" s="111"/>
      <c r="AX313" s="111"/>
      <c r="AY313" s="111"/>
      <c r="AZ313" s="111"/>
      <c r="BA313" s="111"/>
      <c r="BB313" s="111"/>
      <c r="BC313" s="111"/>
      <c r="BD313" s="111"/>
      <c r="BE313" s="111"/>
      <c r="BF313" s="111"/>
      <c r="BG313" s="111"/>
      <c r="BH313" s="111"/>
      <c r="BI313" s="111"/>
      <c r="BJ313" s="111"/>
      <c r="BK313" s="111"/>
      <c r="BL313" s="111"/>
      <c r="BM313" s="111"/>
      <c r="BN313" s="111"/>
      <c r="BO313" s="111"/>
      <c r="BP313" s="111"/>
      <c r="BQ313" s="111"/>
      <c r="BR313" s="111"/>
      <c r="BS313" s="111"/>
      <c r="BT313" s="111"/>
      <c r="BU313" s="111"/>
      <c r="BV313" s="111"/>
      <c r="BW313" s="111"/>
      <c r="BX313" s="111"/>
      <c r="BY313" s="111"/>
      <c r="BZ313" s="111"/>
      <c r="CA313" s="111"/>
      <c r="CB313" s="111"/>
      <c r="CC313" s="111"/>
      <c r="CD313" s="111"/>
      <c r="CE313" s="111"/>
      <c r="CF313" s="111"/>
      <c r="CG313" s="111"/>
      <c r="CH313" s="111"/>
      <c r="CI313" s="111"/>
      <c r="CJ313" s="111"/>
      <c r="CK313" s="111"/>
      <c r="CL313" s="111"/>
      <c r="CM313" s="111"/>
      <c r="CN313" s="111"/>
      <c r="CO313" s="111"/>
      <c r="CP313" s="111"/>
      <c r="CQ313" s="111"/>
      <c r="CR313" s="111"/>
      <c r="CS313" s="111"/>
      <c r="CT313" s="111"/>
      <c r="CU313" s="111"/>
      <c r="CV313" s="111"/>
      <c r="CW313" s="111"/>
      <c r="CX313" s="111"/>
      <c r="CY313" s="111"/>
      <c r="CZ313" s="111"/>
      <c r="DA313" s="111"/>
      <c r="DB313" s="111"/>
      <c r="DC313" s="111"/>
      <c r="DD313" s="111"/>
      <c r="DE313" s="111"/>
      <c r="DF313" s="111"/>
      <c r="DG313" s="111"/>
      <c r="DH313" s="111"/>
      <c r="DI313" s="111"/>
      <c r="DJ313" s="111"/>
      <c r="DK313" s="111"/>
      <c r="DL313" s="111"/>
      <c r="DM313" s="111"/>
      <c r="DN313" s="111"/>
      <c r="DO313" s="111"/>
      <c r="DP313" s="111"/>
      <c r="DQ313" s="111"/>
      <c r="DR313" s="111"/>
      <c r="DS313" s="111"/>
      <c r="DT313" s="111"/>
      <c r="DU313" s="111"/>
      <c r="DV313" s="111"/>
      <c r="DW313" s="111"/>
      <c r="DX313" s="111"/>
      <c r="DY313" s="111"/>
    </row>
    <row r="314" spans="1:129" s="3" customFormat="1" ht="11.7" customHeight="1" outlineLevel="1" x14ac:dyDescent="0.25">
      <c r="A314" s="85"/>
      <c r="B314" s="113" t="s">
        <v>387</v>
      </c>
      <c r="C314" s="113"/>
      <c r="D314" s="324">
        <f>+'OpEx Budget'!$I$22</f>
        <v>641.75076786637067</v>
      </c>
      <c r="E314" s="142"/>
      <c r="F314" s="127"/>
      <c r="G314" s="127"/>
      <c r="H314" s="290">
        <f>+SUM(I314:DY314)</f>
        <v>-2727.4407634320769</v>
      </c>
      <c r="I314" s="1019">
        <v>0</v>
      </c>
      <c r="J314" s="1019">
        <v>0</v>
      </c>
      <c r="K314" s="1019">
        <v>0</v>
      </c>
      <c r="L314" s="1019">
        <v>0</v>
      </c>
      <c r="M314" s="1019">
        <v>0</v>
      </c>
      <c r="N314" s="1019">
        <v>0</v>
      </c>
      <c r="O314" s="1019">
        <v>0</v>
      </c>
      <c r="P314" s="1019">
        <v>0</v>
      </c>
      <c r="Q314" s="1019">
        <v>0</v>
      </c>
      <c r="R314" s="1019">
        <v>0</v>
      </c>
      <c r="S314" s="1019">
        <v>0</v>
      </c>
      <c r="T314" s="1019">
        <v>0</v>
      </c>
      <c r="U314" s="1019">
        <v>0</v>
      </c>
      <c r="V314" s="1019">
        <v>0</v>
      </c>
      <c r="W314" s="1019">
        <v>0</v>
      </c>
      <c r="X314" s="1019">
        <v>0</v>
      </c>
      <c r="Y314" s="1019">
        <v>0</v>
      </c>
      <c r="Z314" s="1019">
        <v>0</v>
      </c>
      <c r="AA314" s="1019">
        <v>0</v>
      </c>
      <c r="AB314" s="1019">
        <v>0</v>
      </c>
      <c r="AC314" s="1019">
        <v>0</v>
      </c>
      <c r="AD314" s="1019">
        <v>0</v>
      </c>
      <c r="AE314" s="1019">
        <v>0</v>
      </c>
      <c r="AF314" s="1019">
        <v>0</v>
      </c>
      <c r="AG314" s="1019">
        <v>0</v>
      </c>
      <c r="AH314" s="1019">
        <v>0</v>
      </c>
      <c r="AI314" s="1019">
        <v>0</v>
      </c>
      <c r="AJ314" s="1019">
        <v>0</v>
      </c>
      <c r="AK314" s="1019">
        <v>0</v>
      </c>
      <c r="AL314" s="1019">
        <v>0</v>
      </c>
      <c r="AM314" s="1019">
        <v>0</v>
      </c>
      <c r="AN314" s="1019">
        <v>0</v>
      </c>
      <c r="AO314" s="1019">
        <v>0</v>
      </c>
      <c r="AP314" s="1019">
        <v>0</v>
      </c>
      <c r="AQ314" s="1019">
        <v>0</v>
      </c>
      <c r="AR314" s="1019">
        <v>0</v>
      </c>
      <c r="AS314" s="1019">
        <v>0</v>
      </c>
      <c r="AT314" s="1019">
        <v>0</v>
      </c>
      <c r="AU314" s="1019">
        <v>0</v>
      </c>
      <c r="AV314" s="1019">
        <v>0</v>
      </c>
      <c r="AW314" s="1019">
        <v>0</v>
      </c>
      <c r="AX314" s="1019">
        <v>0</v>
      </c>
      <c r="AY314" s="1019">
        <v>0</v>
      </c>
      <c r="AZ314" s="1019">
        <v>0</v>
      </c>
      <c r="BA314" s="1019">
        <v>0</v>
      </c>
      <c r="BB314" s="1019">
        <v>0</v>
      </c>
      <c r="BC314" s="1019">
        <v>0</v>
      </c>
      <c r="BD314" s="1019">
        <v>0</v>
      </c>
      <c r="BE314" s="1019">
        <v>0</v>
      </c>
      <c r="BF314" s="1019">
        <v>0</v>
      </c>
      <c r="BG314" s="1019">
        <v>0</v>
      </c>
      <c r="BH314" s="1019">
        <v>0</v>
      </c>
      <c r="BI314" s="1019">
        <v>0</v>
      </c>
      <c r="BJ314" s="1019">
        <v>0</v>
      </c>
      <c r="BK314" s="1019">
        <v>0</v>
      </c>
      <c r="BL314" s="1019">
        <v>0</v>
      </c>
      <c r="BM314" s="1019">
        <v>0</v>
      </c>
      <c r="BN314" s="1019">
        <v>0</v>
      </c>
      <c r="BO314" s="1019">
        <v>0</v>
      </c>
      <c r="BP314" s="1019">
        <v>0</v>
      </c>
      <c r="BQ314" s="1019">
        <v>0</v>
      </c>
      <c r="BR314" s="1019">
        <v>0</v>
      </c>
      <c r="BS314" s="1019">
        <v>0</v>
      </c>
      <c r="BT314" s="1019">
        <v>0</v>
      </c>
      <c r="BU314" s="1019">
        <v>0</v>
      </c>
      <c r="BV314" s="1019">
        <v>0</v>
      </c>
      <c r="BW314" s="1019">
        <v>0</v>
      </c>
      <c r="BX314" s="1019">
        <v>0</v>
      </c>
      <c r="BY314" s="1019">
        <v>0</v>
      </c>
      <c r="BZ314" s="1019">
        <v>0</v>
      </c>
      <c r="CA314" s="14">
        <f t="shared" ref="CA314:CZ314" si="389">-$D$314/12*(OR(CA$301&gt;0,CA$302&gt;0,CA$303&gt;0,CA$304&gt;0,CA$305&gt;0))</f>
        <v>-53.479230655530891</v>
      </c>
      <c r="CB314" s="14">
        <f t="shared" si="389"/>
        <v>-53.479230655530891</v>
      </c>
      <c r="CC314" s="14">
        <f t="shared" si="389"/>
        <v>-53.479230655530891</v>
      </c>
      <c r="CD314" s="14">
        <f t="shared" si="389"/>
        <v>-53.479230655530891</v>
      </c>
      <c r="CE314" s="14">
        <f t="shared" si="389"/>
        <v>-53.479230655530891</v>
      </c>
      <c r="CF314" s="14">
        <f t="shared" si="389"/>
        <v>-53.479230655530891</v>
      </c>
      <c r="CG314" s="14">
        <f t="shared" si="389"/>
        <v>-53.479230655530891</v>
      </c>
      <c r="CH314" s="14">
        <f t="shared" si="389"/>
        <v>-53.479230655530891</v>
      </c>
      <c r="CI314" s="14">
        <f t="shared" si="389"/>
        <v>-53.479230655530891</v>
      </c>
      <c r="CJ314" s="14">
        <f t="shared" si="389"/>
        <v>-53.479230655530891</v>
      </c>
      <c r="CK314" s="14">
        <f t="shared" si="389"/>
        <v>-53.479230655530891</v>
      </c>
      <c r="CL314" s="14">
        <f t="shared" si="389"/>
        <v>-53.479230655530891</v>
      </c>
      <c r="CM314" s="14">
        <f t="shared" si="389"/>
        <v>-53.479230655530891</v>
      </c>
      <c r="CN314" s="14">
        <f t="shared" si="389"/>
        <v>-53.479230655530891</v>
      </c>
      <c r="CO314" s="14">
        <f t="shared" si="389"/>
        <v>-53.479230655530891</v>
      </c>
      <c r="CP314" s="14">
        <f t="shared" si="389"/>
        <v>-53.479230655530891</v>
      </c>
      <c r="CQ314" s="14">
        <f t="shared" si="389"/>
        <v>-53.479230655530891</v>
      </c>
      <c r="CR314" s="14">
        <f t="shared" si="389"/>
        <v>-53.479230655530891</v>
      </c>
      <c r="CS314" s="14">
        <f t="shared" si="389"/>
        <v>-53.479230655530891</v>
      </c>
      <c r="CT314" s="14">
        <f t="shared" si="389"/>
        <v>-53.479230655530891</v>
      </c>
      <c r="CU314" s="14">
        <f t="shared" si="389"/>
        <v>-53.479230655530891</v>
      </c>
      <c r="CV314" s="14">
        <f t="shared" si="389"/>
        <v>-53.479230655530891</v>
      </c>
      <c r="CW314" s="14">
        <f t="shared" si="389"/>
        <v>-53.479230655530891</v>
      </c>
      <c r="CX314" s="14">
        <f t="shared" si="389"/>
        <v>-53.479230655530891</v>
      </c>
      <c r="CY314" s="14">
        <f t="shared" si="389"/>
        <v>-53.479230655530891</v>
      </c>
      <c r="CZ314" s="14">
        <f t="shared" si="389"/>
        <v>-53.479230655530891</v>
      </c>
      <c r="DA314" s="14">
        <f t="shared" ref="DA314:DY314" si="390">-$D$314/12*(OR(DA$301&gt;0,DA$302&gt;0,DA$303&gt;0,DA$304&gt;0,DA$305&gt;0))</f>
        <v>-53.479230655530891</v>
      </c>
      <c r="DB314" s="14">
        <f t="shared" si="390"/>
        <v>-53.479230655530891</v>
      </c>
      <c r="DC314" s="14">
        <f t="shared" si="390"/>
        <v>-53.479230655530891</v>
      </c>
      <c r="DD314" s="14">
        <f t="shared" si="390"/>
        <v>-53.479230655530891</v>
      </c>
      <c r="DE314" s="14">
        <f t="shared" si="390"/>
        <v>-53.479230655530891</v>
      </c>
      <c r="DF314" s="14">
        <f t="shared" si="390"/>
        <v>-53.479230655530891</v>
      </c>
      <c r="DG314" s="14">
        <f t="shared" si="390"/>
        <v>-53.479230655530891</v>
      </c>
      <c r="DH314" s="14">
        <f t="shared" si="390"/>
        <v>-53.479230655530891</v>
      </c>
      <c r="DI314" s="14">
        <f t="shared" si="390"/>
        <v>-53.479230655530891</v>
      </c>
      <c r="DJ314" s="14">
        <f t="shared" si="390"/>
        <v>-53.479230655530891</v>
      </c>
      <c r="DK314" s="14">
        <f t="shared" si="390"/>
        <v>-53.479230655530891</v>
      </c>
      <c r="DL314" s="14">
        <f t="shared" si="390"/>
        <v>-53.479230655530891</v>
      </c>
      <c r="DM314" s="14">
        <f t="shared" si="390"/>
        <v>-53.479230655530891</v>
      </c>
      <c r="DN314" s="14">
        <f t="shared" si="390"/>
        <v>-53.479230655530891</v>
      </c>
      <c r="DO314" s="14">
        <f t="shared" si="390"/>
        <v>-53.479230655530891</v>
      </c>
      <c r="DP314" s="14">
        <f t="shared" si="390"/>
        <v>-53.479230655530891</v>
      </c>
      <c r="DQ314" s="14">
        <f t="shared" si="390"/>
        <v>-53.479230655530891</v>
      </c>
      <c r="DR314" s="14">
        <f t="shared" si="390"/>
        <v>-53.479230655530891</v>
      </c>
      <c r="DS314" s="14">
        <f t="shared" si="390"/>
        <v>-53.479230655530891</v>
      </c>
      <c r="DT314" s="14">
        <f t="shared" si="390"/>
        <v>-53.479230655530891</v>
      </c>
      <c r="DU314" s="14">
        <f t="shared" si="390"/>
        <v>-53.479230655530891</v>
      </c>
      <c r="DV314" s="14">
        <f t="shared" si="390"/>
        <v>-53.479230655530891</v>
      </c>
      <c r="DW314" s="14">
        <f t="shared" si="390"/>
        <v>-53.479230655530891</v>
      </c>
      <c r="DX314" s="14">
        <f t="shared" si="390"/>
        <v>-53.479230655530891</v>
      </c>
      <c r="DY314" s="14">
        <f t="shared" si="390"/>
        <v>-53.479230655530891</v>
      </c>
    </row>
    <row r="315" spans="1:129" s="3" customFormat="1" ht="11.7" customHeight="1" outlineLevel="1" x14ac:dyDescent="0.3">
      <c r="A315" s="85"/>
      <c r="B315" s="200" t="s">
        <v>429</v>
      </c>
      <c r="C315" s="200"/>
      <c r="D315" s="169"/>
      <c r="E315" s="108"/>
      <c r="F315" s="170"/>
      <c r="G315" s="170"/>
      <c r="H315" s="290">
        <f>+SUM(I315:DY315)</f>
        <v>-2727.4407634320769</v>
      </c>
      <c r="I315" s="171">
        <f>+SUM(I314:I314)</f>
        <v>0</v>
      </c>
      <c r="J315" s="171">
        <f t="shared" ref="J315:BU315" si="391">+SUM(J314:J314)</f>
        <v>0</v>
      </c>
      <c r="K315" s="171">
        <f t="shared" si="391"/>
        <v>0</v>
      </c>
      <c r="L315" s="171">
        <f t="shared" si="391"/>
        <v>0</v>
      </c>
      <c r="M315" s="171">
        <f t="shared" si="391"/>
        <v>0</v>
      </c>
      <c r="N315" s="171">
        <f t="shared" si="391"/>
        <v>0</v>
      </c>
      <c r="O315" s="171">
        <f t="shared" si="391"/>
        <v>0</v>
      </c>
      <c r="P315" s="171">
        <f t="shared" si="391"/>
        <v>0</v>
      </c>
      <c r="Q315" s="171">
        <f t="shared" si="391"/>
        <v>0</v>
      </c>
      <c r="R315" s="171">
        <f t="shared" si="391"/>
        <v>0</v>
      </c>
      <c r="S315" s="171">
        <f t="shared" si="391"/>
        <v>0</v>
      </c>
      <c r="T315" s="171">
        <f t="shared" si="391"/>
        <v>0</v>
      </c>
      <c r="U315" s="171">
        <f t="shared" si="391"/>
        <v>0</v>
      </c>
      <c r="V315" s="171">
        <f t="shared" si="391"/>
        <v>0</v>
      </c>
      <c r="W315" s="171">
        <f t="shared" si="391"/>
        <v>0</v>
      </c>
      <c r="X315" s="171">
        <f t="shared" si="391"/>
        <v>0</v>
      </c>
      <c r="Y315" s="171">
        <f t="shared" si="391"/>
        <v>0</v>
      </c>
      <c r="Z315" s="171">
        <f t="shared" si="391"/>
        <v>0</v>
      </c>
      <c r="AA315" s="171">
        <f t="shared" si="391"/>
        <v>0</v>
      </c>
      <c r="AB315" s="171">
        <f t="shared" si="391"/>
        <v>0</v>
      </c>
      <c r="AC315" s="171">
        <f t="shared" si="391"/>
        <v>0</v>
      </c>
      <c r="AD315" s="171">
        <f t="shared" si="391"/>
        <v>0</v>
      </c>
      <c r="AE315" s="171">
        <f t="shared" si="391"/>
        <v>0</v>
      </c>
      <c r="AF315" s="171">
        <f t="shared" si="391"/>
        <v>0</v>
      </c>
      <c r="AG315" s="171">
        <f t="shared" si="391"/>
        <v>0</v>
      </c>
      <c r="AH315" s="171">
        <f t="shared" si="391"/>
        <v>0</v>
      </c>
      <c r="AI315" s="171">
        <f t="shared" si="391"/>
        <v>0</v>
      </c>
      <c r="AJ315" s="171">
        <f t="shared" si="391"/>
        <v>0</v>
      </c>
      <c r="AK315" s="171">
        <f t="shared" si="391"/>
        <v>0</v>
      </c>
      <c r="AL315" s="171">
        <f t="shared" si="391"/>
        <v>0</v>
      </c>
      <c r="AM315" s="171">
        <f t="shared" si="391"/>
        <v>0</v>
      </c>
      <c r="AN315" s="171">
        <f t="shared" si="391"/>
        <v>0</v>
      </c>
      <c r="AO315" s="171">
        <f t="shared" si="391"/>
        <v>0</v>
      </c>
      <c r="AP315" s="171">
        <f t="shared" si="391"/>
        <v>0</v>
      </c>
      <c r="AQ315" s="171">
        <f t="shared" si="391"/>
        <v>0</v>
      </c>
      <c r="AR315" s="171">
        <f t="shared" si="391"/>
        <v>0</v>
      </c>
      <c r="AS315" s="171">
        <f t="shared" si="391"/>
        <v>0</v>
      </c>
      <c r="AT315" s="171">
        <f t="shared" si="391"/>
        <v>0</v>
      </c>
      <c r="AU315" s="171">
        <f t="shared" si="391"/>
        <v>0</v>
      </c>
      <c r="AV315" s="171">
        <f t="shared" si="391"/>
        <v>0</v>
      </c>
      <c r="AW315" s="171">
        <f t="shared" si="391"/>
        <v>0</v>
      </c>
      <c r="AX315" s="171">
        <f t="shared" si="391"/>
        <v>0</v>
      </c>
      <c r="AY315" s="171">
        <f>+SUM(AY314:AY314)</f>
        <v>0</v>
      </c>
      <c r="AZ315" s="171">
        <f t="shared" si="391"/>
        <v>0</v>
      </c>
      <c r="BA315" s="171">
        <f t="shared" si="391"/>
        <v>0</v>
      </c>
      <c r="BB315" s="171">
        <f t="shared" si="391"/>
        <v>0</v>
      </c>
      <c r="BC315" s="171">
        <f t="shared" si="391"/>
        <v>0</v>
      </c>
      <c r="BD315" s="171">
        <f t="shared" si="391"/>
        <v>0</v>
      </c>
      <c r="BE315" s="171">
        <f t="shared" si="391"/>
        <v>0</v>
      </c>
      <c r="BF315" s="171">
        <f t="shared" si="391"/>
        <v>0</v>
      </c>
      <c r="BG315" s="171">
        <f t="shared" si="391"/>
        <v>0</v>
      </c>
      <c r="BH315" s="171">
        <f t="shared" si="391"/>
        <v>0</v>
      </c>
      <c r="BI315" s="171">
        <f t="shared" si="391"/>
        <v>0</v>
      </c>
      <c r="BJ315" s="171">
        <f t="shared" si="391"/>
        <v>0</v>
      </c>
      <c r="BK315" s="171">
        <f t="shared" si="391"/>
        <v>0</v>
      </c>
      <c r="BL315" s="171">
        <f t="shared" si="391"/>
        <v>0</v>
      </c>
      <c r="BM315" s="171">
        <f t="shared" si="391"/>
        <v>0</v>
      </c>
      <c r="BN315" s="171">
        <f t="shared" si="391"/>
        <v>0</v>
      </c>
      <c r="BO315" s="171">
        <f t="shared" si="391"/>
        <v>0</v>
      </c>
      <c r="BP315" s="171">
        <f t="shared" si="391"/>
        <v>0</v>
      </c>
      <c r="BQ315" s="171">
        <f t="shared" si="391"/>
        <v>0</v>
      </c>
      <c r="BR315" s="171">
        <f t="shared" si="391"/>
        <v>0</v>
      </c>
      <c r="BS315" s="171">
        <f t="shared" si="391"/>
        <v>0</v>
      </c>
      <c r="BT315" s="171">
        <f t="shared" si="391"/>
        <v>0</v>
      </c>
      <c r="BU315" s="171">
        <f t="shared" si="391"/>
        <v>0</v>
      </c>
      <c r="BV315" s="171">
        <f t="shared" ref="BV315:DW315" si="392">+SUM(BV314:BV314)</f>
        <v>0</v>
      </c>
      <c r="BW315" s="171">
        <f t="shared" si="392"/>
        <v>0</v>
      </c>
      <c r="BX315" s="171">
        <f t="shared" si="392"/>
        <v>0</v>
      </c>
      <c r="BY315" s="171">
        <f t="shared" si="392"/>
        <v>0</v>
      </c>
      <c r="BZ315" s="171">
        <f t="shared" si="392"/>
        <v>0</v>
      </c>
      <c r="CA315" s="171">
        <f t="shared" si="392"/>
        <v>-53.479230655530891</v>
      </c>
      <c r="CB315" s="171">
        <f t="shared" si="392"/>
        <v>-53.479230655530891</v>
      </c>
      <c r="CC315" s="171">
        <f t="shared" si="392"/>
        <v>-53.479230655530891</v>
      </c>
      <c r="CD315" s="171">
        <f t="shared" si="392"/>
        <v>-53.479230655530891</v>
      </c>
      <c r="CE315" s="171">
        <f t="shared" si="392"/>
        <v>-53.479230655530891</v>
      </c>
      <c r="CF315" s="171">
        <f t="shared" si="392"/>
        <v>-53.479230655530891</v>
      </c>
      <c r="CG315" s="171">
        <f t="shared" si="392"/>
        <v>-53.479230655530891</v>
      </c>
      <c r="CH315" s="171">
        <f t="shared" si="392"/>
        <v>-53.479230655530891</v>
      </c>
      <c r="CI315" s="171">
        <f t="shared" si="392"/>
        <v>-53.479230655530891</v>
      </c>
      <c r="CJ315" s="171">
        <f t="shared" si="392"/>
        <v>-53.479230655530891</v>
      </c>
      <c r="CK315" s="171">
        <f t="shared" si="392"/>
        <v>-53.479230655530891</v>
      </c>
      <c r="CL315" s="171">
        <f t="shared" si="392"/>
        <v>-53.479230655530891</v>
      </c>
      <c r="CM315" s="171">
        <f t="shared" si="392"/>
        <v>-53.479230655530891</v>
      </c>
      <c r="CN315" s="171">
        <f t="shared" si="392"/>
        <v>-53.479230655530891</v>
      </c>
      <c r="CO315" s="171">
        <f t="shared" si="392"/>
        <v>-53.479230655530891</v>
      </c>
      <c r="CP315" s="171">
        <f t="shared" si="392"/>
        <v>-53.479230655530891</v>
      </c>
      <c r="CQ315" s="171">
        <f t="shared" si="392"/>
        <v>-53.479230655530891</v>
      </c>
      <c r="CR315" s="171">
        <f t="shared" si="392"/>
        <v>-53.479230655530891</v>
      </c>
      <c r="CS315" s="171">
        <f t="shared" si="392"/>
        <v>-53.479230655530891</v>
      </c>
      <c r="CT315" s="171">
        <f t="shared" si="392"/>
        <v>-53.479230655530891</v>
      </c>
      <c r="CU315" s="171">
        <f t="shared" si="392"/>
        <v>-53.479230655530891</v>
      </c>
      <c r="CV315" s="171">
        <f t="shared" si="392"/>
        <v>-53.479230655530891</v>
      </c>
      <c r="CW315" s="171">
        <f t="shared" si="392"/>
        <v>-53.479230655530891</v>
      </c>
      <c r="CX315" s="171">
        <f t="shared" si="392"/>
        <v>-53.479230655530891</v>
      </c>
      <c r="CY315" s="171">
        <f t="shared" si="392"/>
        <v>-53.479230655530891</v>
      </c>
      <c r="CZ315" s="171">
        <f t="shared" si="392"/>
        <v>-53.479230655530891</v>
      </c>
      <c r="DA315" s="171">
        <f t="shared" si="392"/>
        <v>-53.479230655530891</v>
      </c>
      <c r="DB315" s="171">
        <f t="shared" si="392"/>
        <v>-53.479230655530891</v>
      </c>
      <c r="DC315" s="171">
        <f t="shared" si="392"/>
        <v>-53.479230655530891</v>
      </c>
      <c r="DD315" s="171">
        <f t="shared" si="392"/>
        <v>-53.479230655530891</v>
      </c>
      <c r="DE315" s="171">
        <f t="shared" si="392"/>
        <v>-53.479230655530891</v>
      </c>
      <c r="DF315" s="171">
        <f t="shared" si="392"/>
        <v>-53.479230655530891</v>
      </c>
      <c r="DG315" s="171">
        <f t="shared" si="392"/>
        <v>-53.479230655530891</v>
      </c>
      <c r="DH315" s="171">
        <f t="shared" si="392"/>
        <v>-53.479230655530891</v>
      </c>
      <c r="DI315" s="171">
        <f t="shared" si="392"/>
        <v>-53.479230655530891</v>
      </c>
      <c r="DJ315" s="171">
        <f t="shared" si="392"/>
        <v>-53.479230655530891</v>
      </c>
      <c r="DK315" s="171">
        <f t="shared" si="392"/>
        <v>-53.479230655530891</v>
      </c>
      <c r="DL315" s="171">
        <f t="shared" si="392"/>
        <v>-53.479230655530891</v>
      </c>
      <c r="DM315" s="171">
        <f t="shared" si="392"/>
        <v>-53.479230655530891</v>
      </c>
      <c r="DN315" s="171">
        <f t="shared" si="392"/>
        <v>-53.479230655530891</v>
      </c>
      <c r="DO315" s="171">
        <f t="shared" si="392"/>
        <v>-53.479230655530891</v>
      </c>
      <c r="DP315" s="171">
        <f t="shared" si="392"/>
        <v>-53.479230655530891</v>
      </c>
      <c r="DQ315" s="171">
        <f t="shared" si="392"/>
        <v>-53.479230655530891</v>
      </c>
      <c r="DR315" s="171">
        <f t="shared" si="392"/>
        <v>-53.479230655530891</v>
      </c>
      <c r="DS315" s="171">
        <f t="shared" si="392"/>
        <v>-53.479230655530891</v>
      </c>
      <c r="DT315" s="171">
        <f t="shared" si="392"/>
        <v>-53.479230655530891</v>
      </c>
      <c r="DU315" s="171">
        <f t="shared" si="392"/>
        <v>-53.479230655530891</v>
      </c>
      <c r="DV315" s="171">
        <f t="shared" si="392"/>
        <v>-53.479230655530891</v>
      </c>
      <c r="DW315" s="171">
        <f t="shared" si="392"/>
        <v>-53.479230655530891</v>
      </c>
      <c r="DX315" s="171">
        <f t="shared" ref="DX315" si="393">+SUM(DX314:DX314)</f>
        <v>-53.479230655530891</v>
      </c>
      <c r="DY315" s="171">
        <f t="shared" ref="DY315" si="394">+SUM(DY314:DY314)</f>
        <v>-53.479230655530891</v>
      </c>
    </row>
    <row r="316" spans="1:129" s="3" customFormat="1" ht="11.7" customHeight="1" outlineLevel="1" x14ac:dyDescent="0.3">
      <c r="A316" s="85"/>
      <c r="B316" s="198"/>
      <c r="C316" s="198"/>
      <c r="D316" s="167"/>
      <c r="F316" s="74"/>
      <c r="G316" s="74"/>
      <c r="H316" s="74"/>
      <c r="I316" s="165"/>
      <c r="J316" s="165"/>
      <c r="K316" s="165"/>
      <c r="L316" s="165"/>
      <c r="M316" s="165"/>
      <c r="N316" s="165"/>
      <c r="O316" s="165"/>
      <c r="P316" s="165"/>
      <c r="Q316" s="165"/>
      <c r="R316" s="165"/>
      <c r="S316" s="165"/>
      <c r="T316" s="165"/>
      <c r="U316" s="165"/>
      <c r="V316" s="165"/>
      <c r="W316" s="165"/>
      <c r="X316" s="165"/>
      <c r="Y316" s="165"/>
      <c r="Z316" s="165"/>
      <c r="AA316" s="165"/>
      <c r="AB316" s="165"/>
      <c r="AC316" s="165"/>
      <c r="AD316" s="165"/>
      <c r="AE316" s="165"/>
      <c r="AF316" s="165"/>
      <c r="AG316" s="165"/>
      <c r="AH316" s="165"/>
      <c r="AI316" s="165"/>
      <c r="AJ316" s="165"/>
      <c r="AK316" s="165"/>
      <c r="AL316" s="165"/>
      <c r="AM316" s="165"/>
      <c r="AN316" s="165"/>
      <c r="AO316" s="165"/>
      <c r="AP316" s="165"/>
      <c r="AQ316" s="165"/>
      <c r="AR316" s="165"/>
      <c r="AS316" s="165"/>
      <c r="AT316" s="165"/>
      <c r="AU316" s="165"/>
      <c r="AV316" s="165"/>
      <c r="AW316" s="165"/>
      <c r="AX316" s="165"/>
      <c r="AY316" s="165"/>
      <c r="AZ316" s="165"/>
      <c r="BA316" s="165"/>
      <c r="BB316" s="165"/>
      <c r="BC316" s="165"/>
      <c r="BD316" s="165"/>
      <c r="BE316" s="165"/>
      <c r="BF316" s="165"/>
      <c r="BG316" s="165"/>
      <c r="BH316" s="165"/>
      <c r="BI316" s="165"/>
      <c r="BJ316" s="165"/>
      <c r="BK316" s="165"/>
      <c r="BL316" s="165"/>
      <c r="BM316" s="165"/>
      <c r="BN316" s="165"/>
      <c r="BO316" s="165"/>
      <c r="BP316" s="165"/>
      <c r="BQ316" s="165"/>
      <c r="BR316" s="165"/>
      <c r="BS316" s="165"/>
      <c r="BT316" s="165"/>
      <c r="BU316" s="165"/>
      <c r="BV316" s="165"/>
      <c r="BW316" s="165"/>
      <c r="BX316" s="165"/>
      <c r="BY316" s="165"/>
      <c r="BZ316" s="165"/>
      <c r="CA316" s="165"/>
      <c r="CB316" s="165"/>
      <c r="CC316" s="165"/>
      <c r="CD316" s="165"/>
      <c r="CE316" s="165"/>
      <c r="CF316" s="165"/>
      <c r="CG316" s="165"/>
      <c r="CH316" s="165"/>
      <c r="CI316" s="165"/>
      <c r="CJ316" s="165"/>
      <c r="CK316" s="165"/>
      <c r="CL316" s="165"/>
      <c r="CM316" s="165"/>
      <c r="CN316" s="165"/>
      <c r="CO316" s="165"/>
      <c r="CP316" s="165"/>
      <c r="CQ316" s="165"/>
      <c r="CR316" s="165"/>
      <c r="CS316" s="165"/>
      <c r="CT316" s="165"/>
      <c r="CU316" s="165"/>
      <c r="CV316" s="165"/>
      <c r="CW316" s="165"/>
      <c r="CX316" s="165"/>
      <c r="CY316" s="165"/>
      <c r="CZ316" s="165"/>
      <c r="DA316" s="165"/>
      <c r="DB316" s="165"/>
      <c r="DC316" s="165"/>
      <c r="DD316" s="165"/>
      <c r="DE316" s="165"/>
      <c r="DF316" s="165"/>
      <c r="DG316" s="165"/>
      <c r="DH316" s="165"/>
      <c r="DI316" s="165"/>
      <c r="DJ316" s="165"/>
      <c r="DK316" s="165"/>
      <c r="DL316" s="165"/>
      <c r="DM316" s="165"/>
      <c r="DN316" s="165"/>
      <c r="DO316" s="165"/>
      <c r="DP316" s="165"/>
      <c r="DQ316" s="165"/>
      <c r="DR316" s="165"/>
      <c r="DS316" s="165"/>
      <c r="DT316" s="165"/>
      <c r="DU316" s="165"/>
      <c r="DV316" s="165"/>
      <c r="DW316" s="165"/>
      <c r="DX316" s="165"/>
      <c r="DY316" s="165"/>
    </row>
    <row r="317" spans="1:129" s="3" customFormat="1" ht="11.7" customHeight="1" outlineLevel="1" x14ac:dyDescent="0.3">
      <c r="A317" s="85"/>
      <c r="B317" s="195" t="s">
        <v>409</v>
      </c>
      <c r="C317" s="195"/>
      <c r="F317" s="127"/>
      <c r="G317" s="127"/>
      <c r="H317" s="127"/>
      <c r="I317" s="111"/>
      <c r="J317" s="111"/>
      <c r="K317" s="111"/>
      <c r="L317" s="111"/>
      <c r="M317" s="111"/>
      <c r="N317" s="111"/>
      <c r="O317" s="111"/>
      <c r="P317" s="111"/>
      <c r="Q317" s="111"/>
      <c r="R317" s="111"/>
      <c r="S317" s="111"/>
      <c r="T317" s="111"/>
      <c r="U317" s="111"/>
      <c r="V317" s="111"/>
      <c r="W317" s="111"/>
      <c r="X317" s="111"/>
      <c r="Y317" s="111"/>
      <c r="Z317" s="111"/>
      <c r="AA317" s="111"/>
      <c r="AB317" s="111"/>
      <c r="AC317" s="111"/>
      <c r="AD317" s="111"/>
      <c r="AE317" s="111"/>
      <c r="AF317" s="111"/>
      <c r="AG317" s="111"/>
      <c r="AH317" s="111"/>
      <c r="AI317" s="111"/>
      <c r="AJ317" s="111"/>
      <c r="AK317" s="111"/>
      <c r="AL317" s="111"/>
      <c r="AM317" s="111"/>
      <c r="AN317" s="111"/>
      <c r="AO317" s="111"/>
      <c r="AP317" s="111"/>
      <c r="AQ317" s="111"/>
      <c r="AR317" s="111"/>
      <c r="AS317" s="737"/>
      <c r="AT317" s="111"/>
      <c r="AU317" s="111"/>
      <c r="AV317" s="111"/>
      <c r="AW317" s="111"/>
      <c r="AX317" s="111"/>
      <c r="AY317" s="111"/>
      <c r="AZ317" s="111"/>
      <c r="BA317" s="111"/>
      <c r="BB317" s="111"/>
      <c r="BC317" s="111"/>
      <c r="BD317" s="111"/>
      <c r="BE317" s="111"/>
      <c r="BF317" s="111"/>
      <c r="BG317" s="111"/>
      <c r="BH317" s="111"/>
      <c r="BI317" s="111"/>
      <c r="BJ317" s="111"/>
      <c r="BK317" s="111"/>
      <c r="BL317" s="111"/>
      <c r="BM317" s="111"/>
      <c r="BN317" s="111"/>
      <c r="BO317" s="111"/>
      <c r="BP317" s="111"/>
      <c r="BQ317" s="111"/>
      <c r="BR317" s="111"/>
      <c r="BS317" s="111"/>
      <c r="BT317" s="111"/>
      <c r="BU317" s="111"/>
      <c r="BV317" s="111"/>
      <c r="BW317" s="111"/>
      <c r="BX317" s="111"/>
      <c r="BY317" s="111"/>
      <c r="BZ317" s="111"/>
      <c r="CA317" s="111"/>
      <c r="CB317" s="111"/>
      <c r="CC317" s="111"/>
      <c r="CD317" s="111"/>
      <c r="CE317" s="111"/>
      <c r="CF317" s="111"/>
      <c r="CG317" s="111"/>
      <c r="CH317" s="111"/>
      <c r="CI317" s="111"/>
      <c r="CJ317" s="111"/>
      <c r="CK317" s="111"/>
      <c r="CL317" s="111"/>
      <c r="CM317" s="111"/>
      <c r="CN317" s="111"/>
      <c r="CO317" s="111"/>
      <c r="CP317" s="111"/>
      <c r="CQ317" s="111"/>
      <c r="CR317" s="111"/>
      <c r="CS317" s="111"/>
      <c r="CT317" s="111"/>
      <c r="CU317" s="111"/>
      <c r="CV317" s="111"/>
      <c r="CW317" s="111"/>
      <c r="CX317" s="111"/>
      <c r="CY317" s="111"/>
      <c r="CZ317" s="111"/>
      <c r="DA317" s="111"/>
      <c r="DB317" s="111"/>
      <c r="DC317" s="111"/>
      <c r="DD317" s="111"/>
      <c r="DE317" s="111"/>
      <c r="DF317" s="111"/>
      <c r="DG317" s="111"/>
      <c r="DH317" s="111"/>
      <c r="DI317" s="111"/>
      <c r="DJ317" s="111"/>
      <c r="DK317" s="111"/>
      <c r="DL317" s="111"/>
      <c r="DM317" s="111"/>
      <c r="DN317" s="111"/>
      <c r="DO317" s="111"/>
      <c r="DP317" s="111"/>
      <c r="DQ317" s="111"/>
      <c r="DR317" s="111"/>
      <c r="DS317" s="111"/>
      <c r="DT317" s="111"/>
      <c r="DU317" s="111"/>
      <c r="DV317" s="111"/>
      <c r="DW317" s="111"/>
      <c r="DX317" s="111"/>
      <c r="DY317" s="111"/>
    </row>
    <row r="318" spans="1:129" s="3" customFormat="1" ht="11.7" customHeight="1" outlineLevel="1" x14ac:dyDescent="0.25">
      <c r="A318" s="85"/>
      <c r="B318" s="113" t="s">
        <v>175</v>
      </c>
      <c r="C318" s="113"/>
      <c r="D318" s="324">
        <f>+'OpEx Budget'!$I$26</f>
        <v>450.91792679577929</v>
      </c>
      <c r="E318" s="163"/>
      <c r="F318" s="127"/>
      <c r="G318" s="127"/>
      <c r="H318" s="290">
        <f>+SUM(I318:DY318)</f>
        <v>-1916.4011888820633</v>
      </c>
      <c r="I318" s="1019">
        <v>0</v>
      </c>
      <c r="J318" s="1019">
        <v>0</v>
      </c>
      <c r="K318" s="1019">
        <v>0</v>
      </c>
      <c r="L318" s="1019">
        <v>0</v>
      </c>
      <c r="M318" s="1019">
        <v>0</v>
      </c>
      <c r="N318" s="1019">
        <v>0</v>
      </c>
      <c r="O318" s="1019">
        <v>0</v>
      </c>
      <c r="P318" s="1019">
        <v>0</v>
      </c>
      <c r="Q318" s="1019">
        <v>0</v>
      </c>
      <c r="R318" s="1019">
        <v>0</v>
      </c>
      <c r="S318" s="1019">
        <v>0</v>
      </c>
      <c r="T318" s="1019">
        <v>0</v>
      </c>
      <c r="U318" s="1019">
        <v>0</v>
      </c>
      <c r="V318" s="1019">
        <v>0</v>
      </c>
      <c r="W318" s="1019">
        <v>0</v>
      </c>
      <c r="X318" s="1019">
        <v>0</v>
      </c>
      <c r="Y318" s="1019">
        <v>0</v>
      </c>
      <c r="Z318" s="1019">
        <v>0</v>
      </c>
      <c r="AA318" s="1019">
        <v>0</v>
      </c>
      <c r="AB318" s="1019">
        <v>0</v>
      </c>
      <c r="AC318" s="1019">
        <v>0</v>
      </c>
      <c r="AD318" s="1019">
        <v>0</v>
      </c>
      <c r="AE318" s="1019">
        <v>0</v>
      </c>
      <c r="AF318" s="1019">
        <v>0</v>
      </c>
      <c r="AG318" s="1019">
        <v>0</v>
      </c>
      <c r="AH318" s="1019">
        <v>0</v>
      </c>
      <c r="AI318" s="1019">
        <v>0</v>
      </c>
      <c r="AJ318" s="1019">
        <v>0</v>
      </c>
      <c r="AK318" s="1019">
        <v>0</v>
      </c>
      <c r="AL318" s="1019">
        <v>0</v>
      </c>
      <c r="AM318" s="1019">
        <v>0</v>
      </c>
      <c r="AN318" s="1019">
        <v>0</v>
      </c>
      <c r="AO318" s="1019">
        <v>0</v>
      </c>
      <c r="AP318" s="1019">
        <v>0</v>
      </c>
      <c r="AQ318" s="1019">
        <v>0</v>
      </c>
      <c r="AR318" s="1019">
        <v>0</v>
      </c>
      <c r="AS318" s="1019">
        <v>0</v>
      </c>
      <c r="AT318" s="1019">
        <v>0</v>
      </c>
      <c r="AU318" s="1019">
        <v>0</v>
      </c>
      <c r="AV318" s="1019">
        <v>0</v>
      </c>
      <c r="AW318" s="1019">
        <v>0</v>
      </c>
      <c r="AX318" s="1019">
        <v>0</v>
      </c>
      <c r="AY318" s="1019">
        <v>0</v>
      </c>
      <c r="AZ318" s="1019">
        <v>0</v>
      </c>
      <c r="BA318" s="1019">
        <v>0</v>
      </c>
      <c r="BB318" s="1019">
        <v>0</v>
      </c>
      <c r="BC318" s="1019">
        <v>0</v>
      </c>
      <c r="BD318" s="1019">
        <v>0</v>
      </c>
      <c r="BE318" s="1019">
        <v>0</v>
      </c>
      <c r="BF318" s="1019">
        <v>0</v>
      </c>
      <c r="BG318" s="1019">
        <v>0</v>
      </c>
      <c r="BH318" s="1019">
        <v>0</v>
      </c>
      <c r="BI318" s="1019">
        <v>0</v>
      </c>
      <c r="BJ318" s="1019">
        <v>0</v>
      </c>
      <c r="BK318" s="1019">
        <v>0</v>
      </c>
      <c r="BL318" s="1019">
        <v>0</v>
      </c>
      <c r="BM318" s="1019">
        <v>0</v>
      </c>
      <c r="BN318" s="1019">
        <v>0</v>
      </c>
      <c r="BO318" s="1019">
        <v>0</v>
      </c>
      <c r="BP318" s="1019">
        <v>0</v>
      </c>
      <c r="BQ318" s="1019">
        <v>0</v>
      </c>
      <c r="BR318" s="1019">
        <v>0</v>
      </c>
      <c r="BS318" s="1019">
        <v>0</v>
      </c>
      <c r="BT318" s="1019">
        <v>0</v>
      </c>
      <c r="BU318" s="1019">
        <v>0</v>
      </c>
      <c r="BV318" s="1019">
        <v>0</v>
      </c>
      <c r="BW318" s="1019">
        <v>0</v>
      </c>
      <c r="BX318" s="1019">
        <v>0</v>
      </c>
      <c r="BY318" s="1019">
        <v>0</v>
      </c>
      <c r="BZ318" s="1019">
        <v>0</v>
      </c>
      <c r="CA318" s="14">
        <f t="shared" ref="CA318:CZ318" si="395">-$D$318/12*(OR(CA$301&gt;0,CA$302&gt;0,CA$303&gt;0,CA$304&gt;0,CA$305&gt;0))</f>
        <v>-37.576493899648277</v>
      </c>
      <c r="CB318" s="14">
        <f t="shared" si="395"/>
        <v>-37.576493899648277</v>
      </c>
      <c r="CC318" s="14">
        <f t="shared" si="395"/>
        <v>-37.576493899648277</v>
      </c>
      <c r="CD318" s="14">
        <f t="shared" si="395"/>
        <v>-37.576493899648277</v>
      </c>
      <c r="CE318" s="14">
        <f t="shared" si="395"/>
        <v>-37.576493899648277</v>
      </c>
      <c r="CF318" s="14">
        <f t="shared" si="395"/>
        <v>-37.576493899648277</v>
      </c>
      <c r="CG318" s="14">
        <f t="shared" si="395"/>
        <v>-37.576493899648277</v>
      </c>
      <c r="CH318" s="14">
        <f t="shared" si="395"/>
        <v>-37.576493899648277</v>
      </c>
      <c r="CI318" s="14">
        <f t="shared" si="395"/>
        <v>-37.576493899648277</v>
      </c>
      <c r="CJ318" s="14">
        <f t="shared" si="395"/>
        <v>-37.576493899648277</v>
      </c>
      <c r="CK318" s="14">
        <f t="shared" si="395"/>
        <v>-37.576493899648277</v>
      </c>
      <c r="CL318" s="14">
        <f t="shared" si="395"/>
        <v>-37.576493899648277</v>
      </c>
      <c r="CM318" s="14">
        <f t="shared" si="395"/>
        <v>-37.576493899648277</v>
      </c>
      <c r="CN318" s="14">
        <f t="shared" si="395"/>
        <v>-37.576493899648277</v>
      </c>
      <c r="CO318" s="14">
        <f t="shared" si="395"/>
        <v>-37.576493899648277</v>
      </c>
      <c r="CP318" s="14">
        <f t="shared" si="395"/>
        <v>-37.576493899648277</v>
      </c>
      <c r="CQ318" s="14">
        <f t="shared" si="395"/>
        <v>-37.576493899648277</v>
      </c>
      <c r="CR318" s="14">
        <f t="shared" si="395"/>
        <v>-37.576493899648277</v>
      </c>
      <c r="CS318" s="14">
        <f t="shared" si="395"/>
        <v>-37.576493899648277</v>
      </c>
      <c r="CT318" s="14">
        <f t="shared" si="395"/>
        <v>-37.576493899648277</v>
      </c>
      <c r="CU318" s="14">
        <f t="shared" si="395"/>
        <v>-37.576493899648277</v>
      </c>
      <c r="CV318" s="14">
        <f t="shared" si="395"/>
        <v>-37.576493899648277</v>
      </c>
      <c r="CW318" s="14">
        <f t="shared" si="395"/>
        <v>-37.576493899648277</v>
      </c>
      <c r="CX318" s="14">
        <f t="shared" si="395"/>
        <v>-37.576493899648277</v>
      </c>
      <c r="CY318" s="14">
        <f t="shared" si="395"/>
        <v>-37.576493899648277</v>
      </c>
      <c r="CZ318" s="14">
        <f t="shared" si="395"/>
        <v>-37.576493899648277</v>
      </c>
      <c r="DA318" s="14">
        <f t="shared" ref="DA318:DY318" si="396">-$D$318/12*(OR(DA$301&gt;0,DA$302&gt;0,DA$303&gt;0,DA$304&gt;0,DA$305&gt;0))</f>
        <v>-37.576493899648277</v>
      </c>
      <c r="DB318" s="14">
        <f t="shared" si="396"/>
        <v>-37.576493899648277</v>
      </c>
      <c r="DC318" s="14">
        <f t="shared" si="396"/>
        <v>-37.576493899648277</v>
      </c>
      <c r="DD318" s="14">
        <f t="shared" si="396"/>
        <v>-37.576493899648277</v>
      </c>
      <c r="DE318" s="14">
        <f t="shared" si="396"/>
        <v>-37.576493899648277</v>
      </c>
      <c r="DF318" s="14">
        <f t="shared" si="396"/>
        <v>-37.576493899648277</v>
      </c>
      <c r="DG318" s="14">
        <f t="shared" si="396"/>
        <v>-37.576493899648277</v>
      </c>
      <c r="DH318" s="14">
        <f t="shared" si="396"/>
        <v>-37.576493899648277</v>
      </c>
      <c r="DI318" s="14">
        <f t="shared" si="396"/>
        <v>-37.576493899648277</v>
      </c>
      <c r="DJ318" s="14">
        <f t="shared" si="396"/>
        <v>-37.576493899648277</v>
      </c>
      <c r="DK318" s="14">
        <f t="shared" si="396"/>
        <v>-37.576493899648277</v>
      </c>
      <c r="DL318" s="14">
        <f t="shared" si="396"/>
        <v>-37.576493899648277</v>
      </c>
      <c r="DM318" s="14">
        <f t="shared" si="396"/>
        <v>-37.576493899648277</v>
      </c>
      <c r="DN318" s="14">
        <f t="shared" si="396"/>
        <v>-37.576493899648277</v>
      </c>
      <c r="DO318" s="14">
        <f t="shared" si="396"/>
        <v>-37.576493899648277</v>
      </c>
      <c r="DP318" s="14">
        <f t="shared" si="396"/>
        <v>-37.576493899648277</v>
      </c>
      <c r="DQ318" s="14">
        <f t="shared" si="396"/>
        <v>-37.576493899648277</v>
      </c>
      <c r="DR318" s="14">
        <f t="shared" si="396"/>
        <v>-37.576493899648277</v>
      </c>
      <c r="DS318" s="14">
        <f t="shared" si="396"/>
        <v>-37.576493899648277</v>
      </c>
      <c r="DT318" s="14">
        <f t="shared" si="396"/>
        <v>-37.576493899648277</v>
      </c>
      <c r="DU318" s="14">
        <f t="shared" si="396"/>
        <v>-37.576493899648277</v>
      </c>
      <c r="DV318" s="14">
        <f t="shared" si="396"/>
        <v>-37.576493899648277</v>
      </c>
      <c r="DW318" s="14">
        <f t="shared" si="396"/>
        <v>-37.576493899648277</v>
      </c>
      <c r="DX318" s="14">
        <f t="shared" si="396"/>
        <v>-37.576493899648277</v>
      </c>
      <c r="DY318" s="14">
        <f t="shared" si="396"/>
        <v>-37.576493899648277</v>
      </c>
    </row>
    <row r="319" spans="1:129" s="3" customFormat="1" ht="11.7" customHeight="1" outlineLevel="1" x14ac:dyDescent="0.25">
      <c r="A319" s="85"/>
      <c r="B319" s="116" t="s">
        <v>176</v>
      </c>
      <c r="C319" s="116"/>
      <c r="D319" s="324">
        <f>+'OpEx Budget'!$I$27</f>
        <v>57.276475959213293</v>
      </c>
      <c r="E319" s="63"/>
      <c r="F319" s="147"/>
      <c r="G319" s="147"/>
      <c r="H319" s="290">
        <f>+SUM(I319:DY319)</f>
        <v>0</v>
      </c>
      <c r="I319" s="1099">
        <v>0</v>
      </c>
      <c r="J319" s="1099">
        <v>0</v>
      </c>
      <c r="K319" s="1099">
        <v>0</v>
      </c>
      <c r="L319" s="1099">
        <v>0</v>
      </c>
      <c r="M319" s="1099">
        <v>0</v>
      </c>
      <c r="N319" s="1099">
        <v>0</v>
      </c>
      <c r="O319" s="1099">
        <v>0</v>
      </c>
      <c r="P319" s="1099">
        <v>0</v>
      </c>
      <c r="Q319" s="1099">
        <v>0</v>
      </c>
      <c r="R319" s="1099">
        <v>0</v>
      </c>
      <c r="S319" s="1099">
        <v>0</v>
      </c>
      <c r="T319" s="1099">
        <v>0</v>
      </c>
      <c r="U319" s="1099">
        <v>0</v>
      </c>
      <c r="V319" s="1099">
        <v>0</v>
      </c>
      <c r="W319" s="1099">
        <v>0</v>
      </c>
      <c r="X319" s="1099">
        <v>0</v>
      </c>
      <c r="Y319" s="1099">
        <v>0</v>
      </c>
      <c r="Z319" s="1099">
        <v>0</v>
      </c>
      <c r="AA319" s="1099">
        <v>0</v>
      </c>
      <c r="AB319" s="1099">
        <v>0</v>
      </c>
      <c r="AC319" s="1099">
        <v>0</v>
      </c>
      <c r="AD319" s="1099">
        <v>0</v>
      </c>
      <c r="AE319" s="1099">
        <v>0</v>
      </c>
      <c r="AF319" s="1099">
        <v>0</v>
      </c>
      <c r="AG319" s="1099">
        <v>0</v>
      </c>
      <c r="AH319" s="1099">
        <v>0</v>
      </c>
      <c r="AI319" s="1099">
        <v>0</v>
      </c>
      <c r="AJ319" s="1099">
        <v>0</v>
      </c>
      <c r="AK319" s="1099">
        <v>0</v>
      </c>
      <c r="AL319" s="1099">
        <v>0</v>
      </c>
      <c r="AM319" s="1099">
        <v>0</v>
      </c>
      <c r="AN319" s="1099">
        <v>0</v>
      </c>
      <c r="AO319" s="1099">
        <v>0</v>
      </c>
      <c r="AP319" s="1099">
        <v>0</v>
      </c>
      <c r="AQ319" s="1099">
        <v>0</v>
      </c>
      <c r="AR319" s="1099">
        <v>0</v>
      </c>
      <c r="AS319" s="1099">
        <v>0</v>
      </c>
      <c r="AT319" s="1099">
        <v>0</v>
      </c>
      <c r="AU319" s="1099">
        <v>0</v>
      </c>
      <c r="AV319" s="1099">
        <v>0</v>
      </c>
      <c r="AW319" s="1099">
        <v>0</v>
      </c>
      <c r="AX319" s="1099">
        <v>0</v>
      </c>
      <c r="AY319" s="1099">
        <v>0</v>
      </c>
      <c r="AZ319" s="1099">
        <v>0</v>
      </c>
      <c r="BA319" s="1099">
        <v>0</v>
      </c>
      <c r="BB319" s="1099">
        <v>0</v>
      </c>
      <c r="BC319" s="1099">
        <v>0</v>
      </c>
      <c r="BD319" s="1099">
        <v>0</v>
      </c>
      <c r="BE319" s="1099">
        <v>0</v>
      </c>
      <c r="BF319" s="1099">
        <v>0</v>
      </c>
      <c r="BG319" s="1099">
        <v>0</v>
      </c>
      <c r="BH319" s="1099">
        <v>0</v>
      </c>
      <c r="BI319" s="1099">
        <v>0</v>
      </c>
      <c r="BJ319" s="1099">
        <v>0</v>
      </c>
      <c r="BK319" s="1099">
        <v>0</v>
      </c>
      <c r="BL319" s="1099">
        <v>0</v>
      </c>
      <c r="BM319" s="1099">
        <v>0</v>
      </c>
      <c r="BN319" s="1099">
        <v>0</v>
      </c>
      <c r="BO319" s="1099">
        <v>0</v>
      </c>
      <c r="BP319" s="1099">
        <v>0</v>
      </c>
      <c r="BQ319" s="1099">
        <v>0</v>
      </c>
      <c r="BR319" s="1099">
        <v>0</v>
      </c>
      <c r="BS319" s="1099">
        <v>0</v>
      </c>
      <c r="BT319" s="1099">
        <v>0</v>
      </c>
      <c r="BU319" s="1099">
        <v>0</v>
      </c>
      <c r="BV319" s="1099">
        <v>0</v>
      </c>
      <c r="BW319" s="1099">
        <v>0</v>
      </c>
      <c r="BX319" s="1099">
        <v>0</v>
      </c>
      <c r="BY319" s="1099">
        <v>0</v>
      </c>
      <c r="BZ319" s="1099">
        <v>0</v>
      </c>
      <c r="CA319" s="1099">
        <v>0</v>
      </c>
      <c r="CB319" s="1099">
        <v>0</v>
      </c>
      <c r="CC319" s="1099">
        <v>0</v>
      </c>
      <c r="CD319" s="1099">
        <v>0</v>
      </c>
      <c r="CE319" s="1099">
        <v>0</v>
      </c>
      <c r="CF319" s="1099">
        <v>0</v>
      </c>
      <c r="CG319" s="1099">
        <v>0</v>
      </c>
      <c r="CH319" s="1099">
        <v>0</v>
      </c>
      <c r="CI319" s="1099">
        <v>0</v>
      </c>
      <c r="CJ319" s="1099">
        <v>0</v>
      </c>
      <c r="CK319" s="1099">
        <v>0</v>
      </c>
      <c r="CL319" s="1099">
        <v>0</v>
      </c>
      <c r="CM319" s="1099">
        <v>0</v>
      </c>
      <c r="CN319" s="1099">
        <v>0</v>
      </c>
      <c r="CO319" s="1099">
        <v>0</v>
      </c>
      <c r="CP319" s="1099">
        <v>0</v>
      </c>
      <c r="CQ319" s="1099">
        <v>0</v>
      </c>
      <c r="CR319" s="1099">
        <v>0</v>
      </c>
      <c r="CS319" s="1099">
        <v>0</v>
      </c>
      <c r="CT319" s="1099">
        <v>0</v>
      </c>
      <c r="CU319" s="1099">
        <v>0</v>
      </c>
      <c r="CV319" s="1099">
        <v>0</v>
      </c>
      <c r="CW319" s="1099">
        <v>0</v>
      </c>
      <c r="CX319" s="1099">
        <v>0</v>
      </c>
      <c r="CY319" s="1099">
        <v>0</v>
      </c>
      <c r="CZ319" s="1099">
        <v>0</v>
      </c>
      <c r="DA319" s="1099">
        <v>0</v>
      </c>
      <c r="DB319" s="1099">
        <v>0</v>
      </c>
      <c r="DC319" s="1099">
        <v>0</v>
      </c>
      <c r="DD319" s="1099">
        <v>0</v>
      </c>
      <c r="DE319" s="1099">
        <v>0</v>
      </c>
      <c r="DF319" s="1099">
        <v>0</v>
      </c>
      <c r="DG319" s="1099">
        <v>0</v>
      </c>
      <c r="DH319" s="1099">
        <v>0</v>
      </c>
      <c r="DI319" s="1099">
        <v>0</v>
      </c>
      <c r="DJ319" s="1099">
        <v>0</v>
      </c>
      <c r="DK319" s="1099">
        <v>0</v>
      </c>
      <c r="DL319" s="1099">
        <v>0</v>
      </c>
      <c r="DM319" s="1099">
        <v>0</v>
      </c>
      <c r="DN319" s="1099">
        <v>0</v>
      </c>
      <c r="DO319" s="1099">
        <v>0</v>
      </c>
      <c r="DP319" s="1099">
        <v>0</v>
      </c>
      <c r="DQ319" s="1099">
        <v>0</v>
      </c>
      <c r="DR319" s="1099">
        <v>0</v>
      </c>
      <c r="DS319" s="1099">
        <v>0</v>
      </c>
      <c r="DT319" s="1099">
        <v>0</v>
      </c>
      <c r="DU319" s="1099">
        <v>0</v>
      </c>
      <c r="DV319" s="1099">
        <v>0</v>
      </c>
      <c r="DW319" s="1099">
        <v>0</v>
      </c>
      <c r="DX319" s="1099">
        <v>0</v>
      </c>
      <c r="DY319" s="1099">
        <v>0</v>
      </c>
    </row>
    <row r="320" spans="1:129" s="3" customFormat="1" ht="11.7" customHeight="1" outlineLevel="1" x14ac:dyDescent="0.3">
      <c r="A320" s="85"/>
      <c r="B320" s="200" t="s">
        <v>428</v>
      </c>
      <c r="C320" s="200"/>
      <c r="D320" s="108"/>
      <c r="E320" s="108"/>
      <c r="F320" s="179"/>
      <c r="G320" s="179"/>
      <c r="H320" s="290">
        <f>+SUM(I320:DY320)</f>
        <v>-1916.4011888820633</v>
      </c>
      <c r="I320" s="171">
        <f>+SUM(I318:I319)</f>
        <v>0</v>
      </c>
      <c r="J320" s="171">
        <f t="shared" ref="J320:BU320" si="397">+SUM(J318:J319)</f>
        <v>0</v>
      </c>
      <c r="K320" s="171">
        <f t="shared" si="397"/>
        <v>0</v>
      </c>
      <c r="L320" s="171">
        <f t="shared" si="397"/>
        <v>0</v>
      </c>
      <c r="M320" s="171">
        <f t="shared" si="397"/>
        <v>0</v>
      </c>
      <c r="N320" s="171">
        <f t="shared" si="397"/>
        <v>0</v>
      </c>
      <c r="O320" s="171">
        <f t="shared" si="397"/>
        <v>0</v>
      </c>
      <c r="P320" s="171">
        <f t="shared" si="397"/>
        <v>0</v>
      </c>
      <c r="Q320" s="171">
        <f t="shared" si="397"/>
        <v>0</v>
      </c>
      <c r="R320" s="171">
        <f t="shared" si="397"/>
        <v>0</v>
      </c>
      <c r="S320" s="171">
        <f t="shared" si="397"/>
        <v>0</v>
      </c>
      <c r="T320" s="171">
        <f t="shared" si="397"/>
        <v>0</v>
      </c>
      <c r="U320" s="171">
        <f t="shared" si="397"/>
        <v>0</v>
      </c>
      <c r="V320" s="171">
        <f t="shared" si="397"/>
        <v>0</v>
      </c>
      <c r="W320" s="171">
        <f t="shared" si="397"/>
        <v>0</v>
      </c>
      <c r="X320" s="171">
        <f t="shared" si="397"/>
        <v>0</v>
      </c>
      <c r="Y320" s="171">
        <f t="shared" si="397"/>
        <v>0</v>
      </c>
      <c r="Z320" s="171">
        <f t="shared" si="397"/>
        <v>0</v>
      </c>
      <c r="AA320" s="171">
        <f t="shared" si="397"/>
        <v>0</v>
      </c>
      <c r="AB320" s="171">
        <f t="shared" si="397"/>
        <v>0</v>
      </c>
      <c r="AC320" s="171">
        <f t="shared" si="397"/>
        <v>0</v>
      </c>
      <c r="AD320" s="171">
        <f t="shared" si="397"/>
        <v>0</v>
      </c>
      <c r="AE320" s="171">
        <f t="shared" si="397"/>
        <v>0</v>
      </c>
      <c r="AF320" s="171">
        <f t="shared" si="397"/>
        <v>0</v>
      </c>
      <c r="AG320" s="171">
        <f t="shared" si="397"/>
        <v>0</v>
      </c>
      <c r="AH320" s="171">
        <f t="shared" si="397"/>
        <v>0</v>
      </c>
      <c r="AI320" s="171">
        <f t="shared" si="397"/>
        <v>0</v>
      </c>
      <c r="AJ320" s="171">
        <f t="shared" si="397"/>
        <v>0</v>
      </c>
      <c r="AK320" s="171">
        <f t="shared" si="397"/>
        <v>0</v>
      </c>
      <c r="AL320" s="171">
        <f t="shared" si="397"/>
        <v>0</v>
      </c>
      <c r="AM320" s="171">
        <f t="shared" si="397"/>
        <v>0</v>
      </c>
      <c r="AN320" s="171">
        <f t="shared" si="397"/>
        <v>0</v>
      </c>
      <c r="AO320" s="171">
        <f t="shared" si="397"/>
        <v>0</v>
      </c>
      <c r="AP320" s="171">
        <f t="shared" si="397"/>
        <v>0</v>
      </c>
      <c r="AQ320" s="171">
        <f t="shared" si="397"/>
        <v>0</v>
      </c>
      <c r="AR320" s="171">
        <f t="shared" si="397"/>
        <v>0</v>
      </c>
      <c r="AS320" s="171">
        <f t="shared" si="397"/>
        <v>0</v>
      </c>
      <c r="AT320" s="171">
        <f t="shared" si="397"/>
        <v>0</v>
      </c>
      <c r="AU320" s="171">
        <f t="shared" si="397"/>
        <v>0</v>
      </c>
      <c r="AV320" s="171">
        <f t="shared" si="397"/>
        <v>0</v>
      </c>
      <c r="AW320" s="171">
        <f t="shared" si="397"/>
        <v>0</v>
      </c>
      <c r="AX320" s="171">
        <f t="shared" si="397"/>
        <v>0</v>
      </c>
      <c r="AY320" s="171">
        <f>+SUM(AY318:AY319)</f>
        <v>0</v>
      </c>
      <c r="AZ320" s="171">
        <f t="shared" si="397"/>
        <v>0</v>
      </c>
      <c r="BA320" s="171">
        <f t="shared" si="397"/>
        <v>0</v>
      </c>
      <c r="BB320" s="171">
        <f t="shared" si="397"/>
        <v>0</v>
      </c>
      <c r="BC320" s="171">
        <f t="shared" si="397"/>
        <v>0</v>
      </c>
      <c r="BD320" s="171">
        <f t="shared" si="397"/>
        <v>0</v>
      </c>
      <c r="BE320" s="171">
        <f t="shared" si="397"/>
        <v>0</v>
      </c>
      <c r="BF320" s="171">
        <f t="shared" si="397"/>
        <v>0</v>
      </c>
      <c r="BG320" s="171">
        <f t="shared" si="397"/>
        <v>0</v>
      </c>
      <c r="BH320" s="171">
        <f t="shared" si="397"/>
        <v>0</v>
      </c>
      <c r="BI320" s="171">
        <f t="shared" si="397"/>
        <v>0</v>
      </c>
      <c r="BJ320" s="171">
        <f t="shared" si="397"/>
        <v>0</v>
      </c>
      <c r="BK320" s="171">
        <f t="shared" si="397"/>
        <v>0</v>
      </c>
      <c r="BL320" s="171">
        <f t="shared" si="397"/>
        <v>0</v>
      </c>
      <c r="BM320" s="171">
        <f t="shared" si="397"/>
        <v>0</v>
      </c>
      <c r="BN320" s="171">
        <f t="shared" si="397"/>
        <v>0</v>
      </c>
      <c r="BO320" s="171">
        <f t="shared" si="397"/>
        <v>0</v>
      </c>
      <c r="BP320" s="171">
        <f t="shared" si="397"/>
        <v>0</v>
      </c>
      <c r="BQ320" s="171">
        <f t="shared" si="397"/>
        <v>0</v>
      </c>
      <c r="BR320" s="171">
        <f t="shared" si="397"/>
        <v>0</v>
      </c>
      <c r="BS320" s="171">
        <f t="shared" si="397"/>
        <v>0</v>
      </c>
      <c r="BT320" s="171">
        <f t="shared" si="397"/>
        <v>0</v>
      </c>
      <c r="BU320" s="171">
        <f t="shared" si="397"/>
        <v>0</v>
      </c>
      <c r="BV320" s="171">
        <f t="shared" ref="BV320:DW320" si="398">+SUM(BV318:BV319)</f>
        <v>0</v>
      </c>
      <c r="BW320" s="171">
        <f t="shared" si="398"/>
        <v>0</v>
      </c>
      <c r="BX320" s="171">
        <f t="shared" si="398"/>
        <v>0</v>
      </c>
      <c r="BY320" s="171">
        <f t="shared" si="398"/>
        <v>0</v>
      </c>
      <c r="BZ320" s="171">
        <f t="shared" si="398"/>
        <v>0</v>
      </c>
      <c r="CA320" s="171">
        <f t="shared" si="398"/>
        <v>-37.576493899648277</v>
      </c>
      <c r="CB320" s="171">
        <f t="shared" si="398"/>
        <v>-37.576493899648277</v>
      </c>
      <c r="CC320" s="171">
        <f t="shared" si="398"/>
        <v>-37.576493899648277</v>
      </c>
      <c r="CD320" s="171">
        <f t="shared" si="398"/>
        <v>-37.576493899648277</v>
      </c>
      <c r="CE320" s="171">
        <f t="shared" si="398"/>
        <v>-37.576493899648277</v>
      </c>
      <c r="CF320" s="171">
        <f t="shared" si="398"/>
        <v>-37.576493899648277</v>
      </c>
      <c r="CG320" s="171">
        <f t="shared" si="398"/>
        <v>-37.576493899648277</v>
      </c>
      <c r="CH320" s="171">
        <f t="shared" si="398"/>
        <v>-37.576493899648277</v>
      </c>
      <c r="CI320" s="171">
        <f t="shared" si="398"/>
        <v>-37.576493899648277</v>
      </c>
      <c r="CJ320" s="171">
        <f t="shared" si="398"/>
        <v>-37.576493899648277</v>
      </c>
      <c r="CK320" s="171">
        <f t="shared" si="398"/>
        <v>-37.576493899648277</v>
      </c>
      <c r="CL320" s="171">
        <f t="shared" si="398"/>
        <v>-37.576493899648277</v>
      </c>
      <c r="CM320" s="171">
        <f t="shared" si="398"/>
        <v>-37.576493899648277</v>
      </c>
      <c r="CN320" s="171">
        <f t="shared" si="398"/>
        <v>-37.576493899648277</v>
      </c>
      <c r="CO320" s="171">
        <f t="shared" si="398"/>
        <v>-37.576493899648277</v>
      </c>
      <c r="CP320" s="171">
        <f t="shared" si="398"/>
        <v>-37.576493899648277</v>
      </c>
      <c r="CQ320" s="171">
        <f t="shared" si="398"/>
        <v>-37.576493899648277</v>
      </c>
      <c r="CR320" s="171">
        <f t="shared" si="398"/>
        <v>-37.576493899648277</v>
      </c>
      <c r="CS320" s="171">
        <f t="shared" si="398"/>
        <v>-37.576493899648277</v>
      </c>
      <c r="CT320" s="171">
        <f t="shared" si="398"/>
        <v>-37.576493899648277</v>
      </c>
      <c r="CU320" s="171">
        <f t="shared" si="398"/>
        <v>-37.576493899648277</v>
      </c>
      <c r="CV320" s="171">
        <f t="shared" si="398"/>
        <v>-37.576493899648277</v>
      </c>
      <c r="CW320" s="171">
        <f t="shared" si="398"/>
        <v>-37.576493899648277</v>
      </c>
      <c r="CX320" s="171">
        <f t="shared" si="398"/>
        <v>-37.576493899648277</v>
      </c>
      <c r="CY320" s="171">
        <f t="shared" si="398"/>
        <v>-37.576493899648277</v>
      </c>
      <c r="CZ320" s="171">
        <f t="shared" si="398"/>
        <v>-37.576493899648277</v>
      </c>
      <c r="DA320" s="171">
        <f t="shared" si="398"/>
        <v>-37.576493899648277</v>
      </c>
      <c r="DB320" s="171">
        <f t="shared" si="398"/>
        <v>-37.576493899648277</v>
      </c>
      <c r="DC320" s="171">
        <f t="shared" si="398"/>
        <v>-37.576493899648277</v>
      </c>
      <c r="DD320" s="171">
        <f t="shared" si="398"/>
        <v>-37.576493899648277</v>
      </c>
      <c r="DE320" s="171">
        <f t="shared" si="398"/>
        <v>-37.576493899648277</v>
      </c>
      <c r="DF320" s="171">
        <f t="shared" si="398"/>
        <v>-37.576493899648277</v>
      </c>
      <c r="DG320" s="171">
        <f t="shared" si="398"/>
        <v>-37.576493899648277</v>
      </c>
      <c r="DH320" s="171">
        <f t="shared" si="398"/>
        <v>-37.576493899648277</v>
      </c>
      <c r="DI320" s="171">
        <f t="shared" si="398"/>
        <v>-37.576493899648277</v>
      </c>
      <c r="DJ320" s="171">
        <f t="shared" si="398"/>
        <v>-37.576493899648277</v>
      </c>
      <c r="DK320" s="171">
        <f t="shared" si="398"/>
        <v>-37.576493899648277</v>
      </c>
      <c r="DL320" s="171">
        <f t="shared" si="398"/>
        <v>-37.576493899648277</v>
      </c>
      <c r="DM320" s="171">
        <f t="shared" si="398"/>
        <v>-37.576493899648277</v>
      </c>
      <c r="DN320" s="171">
        <f t="shared" si="398"/>
        <v>-37.576493899648277</v>
      </c>
      <c r="DO320" s="171">
        <f t="shared" si="398"/>
        <v>-37.576493899648277</v>
      </c>
      <c r="DP320" s="171">
        <f t="shared" si="398"/>
        <v>-37.576493899648277</v>
      </c>
      <c r="DQ320" s="171">
        <f t="shared" si="398"/>
        <v>-37.576493899648277</v>
      </c>
      <c r="DR320" s="171">
        <f t="shared" si="398"/>
        <v>-37.576493899648277</v>
      </c>
      <c r="DS320" s="171">
        <f t="shared" si="398"/>
        <v>-37.576493899648277</v>
      </c>
      <c r="DT320" s="171">
        <f t="shared" si="398"/>
        <v>-37.576493899648277</v>
      </c>
      <c r="DU320" s="171">
        <f t="shared" si="398"/>
        <v>-37.576493899648277</v>
      </c>
      <c r="DV320" s="171">
        <f t="shared" si="398"/>
        <v>-37.576493899648277</v>
      </c>
      <c r="DW320" s="171">
        <f t="shared" si="398"/>
        <v>-37.576493899648277</v>
      </c>
      <c r="DX320" s="171">
        <f t="shared" ref="DX320" si="399">+SUM(DX318:DX319)</f>
        <v>-37.576493899648277</v>
      </c>
      <c r="DY320" s="171">
        <f t="shared" ref="DY320" si="400">+SUM(DY318:DY319)</f>
        <v>-37.576493899648277</v>
      </c>
    </row>
    <row r="321" spans="1:129" s="3" customFormat="1" ht="11.7" customHeight="1" outlineLevel="1" x14ac:dyDescent="0.3">
      <c r="A321" s="85"/>
      <c r="B321" s="329"/>
      <c r="C321" s="329"/>
      <c r="G321" s="127"/>
      <c r="H321" s="127"/>
      <c r="I321" s="111"/>
      <c r="J321" s="111"/>
      <c r="K321" s="111"/>
      <c r="L321" s="111"/>
      <c r="M321" s="111"/>
      <c r="N321" s="111"/>
      <c r="O321" s="111"/>
      <c r="P321" s="111"/>
      <c r="Q321" s="111"/>
      <c r="R321" s="111"/>
      <c r="S321" s="111"/>
      <c r="T321" s="111"/>
      <c r="U321" s="111"/>
      <c r="V321" s="111"/>
      <c r="W321" s="111"/>
      <c r="X321" s="111"/>
      <c r="Y321" s="111"/>
      <c r="Z321" s="111"/>
      <c r="AA321" s="111"/>
      <c r="AB321" s="111"/>
      <c r="AC321" s="111"/>
      <c r="AD321" s="111"/>
      <c r="AE321" s="111"/>
      <c r="AF321" s="111"/>
      <c r="AG321" s="111"/>
      <c r="AH321" s="111"/>
      <c r="AI321" s="111"/>
      <c r="AJ321" s="111"/>
      <c r="AK321" s="111"/>
      <c r="AL321" s="111"/>
      <c r="AM321" s="111"/>
      <c r="AN321" s="111"/>
      <c r="AO321" s="111"/>
      <c r="AP321" s="111"/>
      <c r="AQ321" s="111"/>
      <c r="AR321" s="111"/>
      <c r="AS321" s="111"/>
      <c r="AT321" s="111"/>
      <c r="AU321" s="111"/>
      <c r="AV321" s="111"/>
      <c r="AW321" s="111"/>
      <c r="AX321" s="111"/>
      <c r="AY321" s="111"/>
      <c r="AZ321" s="111"/>
      <c r="BA321" s="111"/>
      <c r="BB321" s="111"/>
      <c r="BC321" s="111"/>
      <c r="BD321" s="111"/>
      <c r="BE321" s="111"/>
      <c r="BF321" s="111"/>
      <c r="BG321" s="111"/>
      <c r="BH321" s="111"/>
      <c r="BI321" s="111"/>
      <c r="BJ321" s="111"/>
      <c r="BK321" s="111"/>
      <c r="BL321" s="111"/>
      <c r="BM321" s="111"/>
      <c r="BN321" s="111"/>
      <c r="BO321" s="111"/>
      <c r="BP321" s="111"/>
      <c r="BQ321" s="111"/>
      <c r="BR321" s="111"/>
      <c r="BS321" s="111"/>
      <c r="BT321" s="111"/>
      <c r="BU321" s="111"/>
      <c r="BV321" s="111"/>
      <c r="BW321" s="111"/>
      <c r="BX321" s="111"/>
      <c r="BY321" s="111"/>
      <c r="BZ321" s="111"/>
      <c r="CA321" s="111"/>
      <c r="CB321" s="111"/>
      <c r="CC321" s="111"/>
      <c r="CD321" s="111"/>
      <c r="CE321" s="111"/>
      <c r="CF321" s="111"/>
      <c r="CG321" s="111"/>
      <c r="CH321" s="111"/>
      <c r="CI321" s="111"/>
      <c r="CJ321" s="111"/>
      <c r="CK321" s="111"/>
      <c r="CL321" s="111"/>
      <c r="CM321" s="111"/>
      <c r="CN321" s="111"/>
      <c r="CO321" s="111"/>
      <c r="CP321" s="111"/>
      <c r="CQ321" s="111"/>
      <c r="CR321" s="111"/>
      <c r="CS321" s="111"/>
      <c r="CT321" s="111"/>
      <c r="CU321" s="111"/>
      <c r="CV321" s="111"/>
      <c r="CW321" s="111"/>
      <c r="CX321" s="111"/>
      <c r="CY321" s="111"/>
      <c r="CZ321" s="111"/>
      <c r="DA321" s="111"/>
      <c r="DB321" s="111"/>
      <c r="DC321" s="111"/>
      <c r="DD321" s="111"/>
      <c r="DE321" s="111"/>
      <c r="DF321" s="111"/>
      <c r="DG321" s="111"/>
      <c r="DH321" s="111"/>
      <c r="DI321" s="111"/>
      <c r="DJ321" s="111"/>
      <c r="DK321" s="111"/>
      <c r="DL321" s="111"/>
      <c r="DM321" s="111"/>
      <c r="DN321" s="111"/>
      <c r="DO321" s="111"/>
      <c r="DP321" s="111"/>
      <c r="DQ321" s="111"/>
      <c r="DR321" s="111"/>
      <c r="DS321" s="111"/>
      <c r="DT321" s="111"/>
      <c r="DU321" s="111"/>
      <c r="DV321" s="111"/>
      <c r="DW321" s="111"/>
      <c r="DX321" s="111"/>
      <c r="DY321" s="111"/>
    </row>
    <row r="322" spans="1:129" s="3" customFormat="1" ht="11.7" customHeight="1" outlineLevel="1" x14ac:dyDescent="0.3">
      <c r="B322" s="195" t="s">
        <v>97</v>
      </c>
      <c r="C322" s="195"/>
      <c r="G322" s="127"/>
      <c r="H322" s="127"/>
      <c r="I322" s="111"/>
      <c r="J322" s="111"/>
      <c r="K322" s="111"/>
      <c r="L322" s="111"/>
      <c r="M322" s="111"/>
      <c r="N322" s="111"/>
      <c r="O322" s="111"/>
      <c r="P322" s="111"/>
      <c r="Q322" s="111"/>
      <c r="R322" s="111"/>
      <c r="S322" s="111"/>
      <c r="T322" s="111"/>
      <c r="U322" s="111"/>
      <c r="V322" s="111"/>
      <c r="W322" s="111"/>
      <c r="X322" s="111"/>
      <c r="Y322" s="111"/>
      <c r="Z322" s="111"/>
      <c r="AA322" s="111"/>
      <c r="AB322" s="111"/>
      <c r="AC322" s="111"/>
      <c r="AD322" s="111"/>
      <c r="AE322" s="111"/>
      <c r="AF322" s="111"/>
      <c r="AG322" s="111"/>
      <c r="AH322" s="111"/>
      <c r="AI322" s="111"/>
      <c r="AJ322" s="111"/>
      <c r="AK322" s="111"/>
      <c r="AL322" s="111"/>
      <c r="AM322" s="111"/>
      <c r="AN322" s="111"/>
      <c r="AO322" s="111"/>
      <c r="AP322" s="111"/>
      <c r="AQ322" s="111"/>
      <c r="AR322" s="111"/>
      <c r="AS322" s="111"/>
      <c r="AT322" s="111"/>
      <c r="AU322" s="111"/>
      <c r="AV322" s="111"/>
      <c r="AW322" s="111"/>
      <c r="AX322" s="111"/>
      <c r="AY322" s="111"/>
      <c r="AZ322" s="111"/>
      <c r="BA322" s="111"/>
      <c r="BB322" s="111"/>
      <c r="BC322" s="111"/>
      <c r="BD322" s="111"/>
      <c r="BE322" s="111"/>
      <c r="BF322" s="111"/>
      <c r="BG322" s="111"/>
      <c r="BH322" s="111"/>
      <c r="BI322" s="111"/>
      <c r="BJ322" s="111"/>
      <c r="BK322" s="111"/>
      <c r="BL322" s="111"/>
      <c r="BM322" s="111"/>
      <c r="BN322" s="111"/>
      <c r="BO322" s="111"/>
      <c r="BP322" s="111"/>
      <c r="BQ322" s="111"/>
      <c r="BR322" s="111"/>
      <c r="BS322" s="111"/>
      <c r="BT322" s="111"/>
      <c r="BU322" s="111"/>
      <c r="BV322" s="111"/>
      <c r="BW322" s="111"/>
      <c r="BX322" s="111"/>
      <c r="BY322" s="111"/>
      <c r="BZ322" s="111"/>
      <c r="CA322" s="111"/>
      <c r="CB322" s="111"/>
      <c r="CC322" s="111"/>
      <c r="CD322" s="111"/>
      <c r="CE322" s="111"/>
      <c r="CF322" s="111"/>
      <c r="CG322" s="111"/>
      <c r="CH322" s="111"/>
      <c r="CI322" s="111"/>
      <c r="CJ322" s="111"/>
      <c r="CK322" s="111"/>
      <c r="CL322" s="111"/>
      <c r="CM322" s="111"/>
      <c r="CN322" s="111"/>
      <c r="CO322" s="111"/>
      <c r="CP322" s="111"/>
      <c r="CQ322" s="111"/>
      <c r="CR322" s="111"/>
      <c r="CS322" s="111"/>
      <c r="CT322" s="111"/>
      <c r="CU322" s="111"/>
      <c r="CV322" s="111"/>
      <c r="CW322" s="111"/>
      <c r="CX322" s="111"/>
      <c r="CY322" s="111"/>
      <c r="CZ322" s="111"/>
      <c r="DA322" s="111"/>
      <c r="DB322" s="111"/>
      <c r="DC322" s="111"/>
      <c r="DD322" s="111"/>
      <c r="DE322" s="111"/>
      <c r="DF322" s="111"/>
      <c r="DG322" s="111"/>
      <c r="DH322" s="111"/>
      <c r="DI322" s="111"/>
      <c r="DJ322" s="111"/>
      <c r="DK322" s="111"/>
      <c r="DL322" s="111"/>
      <c r="DM322" s="111"/>
      <c r="DN322" s="111"/>
      <c r="DO322" s="111"/>
      <c r="DP322" s="111"/>
      <c r="DQ322" s="111"/>
      <c r="DR322" s="111"/>
      <c r="DS322" s="111"/>
      <c r="DT322" s="111"/>
      <c r="DU322" s="111"/>
      <c r="DV322" s="111"/>
      <c r="DW322" s="111"/>
      <c r="DX322" s="111"/>
      <c r="DY322" s="111"/>
    </row>
    <row r="323" spans="1:129" s="3" customFormat="1" ht="11.7" customHeight="1" outlineLevel="1" x14ac:dyDescent="0.3">
      <c r="A323" s="85"/>
      <c r="B323" s="113" t="s">
        <v>388</v>
      </c>
      <c r="C323" s="113"/>
      <c r="D323" s="335">
        <f>+Inputs!$G$165</f>
        <v>0.05</v>
      </c>
      <c r="F323" s="127"/>
      <c r="G323" s="127"/>
      <c r="H323" s="290">
        <f t="shared" ref="H323:H325" si="401">+SUM(I323:DY323)</f>
        <v>-1659.1075774312912</v>
      </c>
      <c r="I323" s="1019">
        <v>0</v>
      </c>
      <c r="J323" s="1019">
        <v>0</v>
      </c>
      <c r="K323" s="1019">
        <v>0</v>
      </c>
      <c r="L323" s="1019">
        <v>0</v>
      </c>
      <c r="M323" s="1019">
        <v>0</v>
      </c>
      <c r="N323" s="1019">
        <v>0</v>
      </c>
      <c r="O323" s="1019">
        <v>0</v>
      </c>
      <c r="P323" s="1019">
        <v>0</v>
      </c>
      <c r="Q323" s="1019">
        <v>0</v>
      </c>
      <c r="R323" s="1019">
        <v>0</v>
      </c>
      <c r="S323" s="1019">
        <v>0</v>
      </c>
      <c r="T323" s="1019">
        <v>0</v>
      </c>
      <c r="U323" s="1019">
        <v>0</v>
      </c>
      <c r="V323" s="1019">
        <v>0</v>
      </c>
      <c r="W323" s="1019">
        <v>0</v>
      </c>
      <c r="X323" s="1019">
        <v>0</v>
      </c>
      <c r="Y323" s="1019">
        <v>0</v>
      </c>
      <c r="Z323" s="1019">
        <v>0</v>
      </c>
      <c r="AA323" s="1019">
        <v>0</v>
      </c>
      <c r="AB323" s="1019">
        <v>0</v>
      </c>
      <c r="AC323" s="1019">
        <v>0</v>
      </c>
      <c r="AD323" s="1019">
        <v>0</v>
      </c>
      <c r="AE323" s="1019">
        <v>0</v>
      </c>
      <c r="AF323" s="1019">
        <v>0</v>
      </c>
      <c r="AG323" s="1019">
        <v>0</v>
      </c>
      <c r="AH323" s="1019">
        <v>0</v>
      </c>
      <c r="AI323" s="1019">
        <v>0</v>
      </c>
      <c r="AJ323" s="1019">
        <v>0</v>
      </c>
      <c r="AK323" s="1019">
        <v>0</v>
      </c>
      <c r="AL323" s="1019">
        <v>0</v>
      </c>
      <c r="AM323" s="1019">
        <v>0</v>
      </c>
      <c r="AN323" s="1019">
        <v>0</v>
      </c>
      <c r="AO323" s="1019">
        <v>0</v>
      </c>
      <c r="AP323" s="1019">
        <v>0</v>
      </c>
      <c r="AQ323" s="1019">
        <v>0</v>
      </c>
      <c r="AR323" s="1019">
        <v>0</v>
      </c>
      <c r="AS323" s="1019">
        <v>0</v>
      </c>
      <c r="AT323" s="1019">
        <v>0</v>
      </c>
      <c r="AU323" s="1019">
        <v>0</v>
      </c>
      <c r="AV323" s="1019">
        <v>0</v>
      </c>
      <c r="AW323" s="1019">
        <v>0</v>
      </c>
      <c r="AX323" s="1019">
        <v>0</v>
      </c>
      <c r="AY323" s="1019">
        <v>0</v>
      </c>
      <c r="AZ323" s="1019">
        <v>0</v>
      </c>
      <c r="BA323" s="1019">
        <v>0</v>
      </c>
      <c r="BB323" s="1019">
        <v>0</v>
      </c>
      <c r="BC323" s="1019">
        <v>0</v>
      </c>
      <c r="BD323" s="1019">
        <v>0</v>
      </c>
      <c r="BE323" s="1019">
        <v>0</v>
      </c>
      <c r="BF323" s="1019">
        <v>0</v>
      </c>
      <c r="BG323" s="1019">
        <v>0</v>
      </c>
      <c r="BH323" s="1019">
        <v>0</v>
      </c>
      <c r="BI323" s="1019">
        <v>0</v>
      </c>
      <c r="BJ323" s="1019">
        <v>0</v>
      </c>
      <c r="BK323" s="1019">
        <v>0</v>
      </c>
      <c r="BL323" s="1019">
        <v>0</v>
      </c>
      <c r="BM323" s="1019">
        <v>0</v>
      </c>
      <c r="BN323" s="1019">
        <v>0</v>
      </c>
      <c r="BO323" s="1019">
        <v>0</v>
      </c>
      <c r="BP323" s="1019">
        <v>0</v>
      </c>
      <c r="BQ323" s="1019">
        <v>0</v>
      </c>
      <c r="BR323" s="1019">
        <v>0</v>
      </c>
      <c r="BS323" s="1019">
        <v>0</v>
      </c>
      <c r="BT323" s="1019">
        <v>0</v>
      </c>
      <c r="BU323" s="1019">
        <v>0</v>
      </c>
      <c r="BV323" s="1019">
        <v>0</v>
      </c>
      <c r="BW323" s="1019">
        <v>0</v>
      </c>
      <c r="BX323" s="1019">
        <v>0</v>
      </c>
      <c r="BY323" s="1019">
        <v>0</v>
      </c>
      <c r="BZ323" s="1019">
        <v>0</v>
      </c>
      <c r="CA323" s="14">
        <f t="shared" ref="CA323:CZ323" si="402">-SUM(CA311,-CA310,-CA307,-CA309)*$D$323</f>
        <v>-7.6864046529249208</v>
      </c>
      <c r="CB323" s="14">
        <f t="shared" si="402"/>
        <v>-13.493196319591588</v>
      </c>
      <c r="CC323" s="14">
        <f t="shared" si="402"/>
        <v>-19.299987986258259</v>
      </c>
      <c r="CD323" s="14">
        <f t="shared" si="402"/>
        <v>-25.106779652924928</v>
      </c>
      <c r="CE323" s="14">
        <f t="shared" si="402"/>
        <v>-30.913571319591593</v>
      </c>
      <c r="CF323" s="14">
        <f t="shared" si="402"/>
        <v>-33.969731250000002</v>
      </c>
      <c r="CG323" s="14">
        <f t="shared" si="402"/>
        <v>-33.969731250000002</v>
      </c>
      <c r="CH323" s="14">
        <f t="shared" si="402"/>
        <v>-33.969731250000002</v>
      </c>
      <c r="CI323" s="14">
        <f t="shared" si="402"/>
        <v>-33.969731250000002</v>
      </c>
      <c r="CJ323" s="14">
        <f t="shared" si="402"/>
        <v>-33.969731250000002</v>
      </c>
      <c r="CK323" s="14">
        <f t="shared" si="402"/>
        <v>-33.969731250000002</v>
      </c>
      <c r="CL323" s="14">
        <f t="shared" si="402"/>
        <v>-33.969731250000002</v>
      </c>
      <c r="CM323" s="14">
        <f t="shared" si="402"/>
        <v>-33.969731250000002</v>
      </c>
      <c r="CN323" s="14">
        <f t="shared" si="402"/>
        <v>-33.969731250000002</v>
      </c>
      <c r="CO323" s="14">
        <f t="shared" si="402"/>
        <v>-33.969731250000002</v>
      </c>
      <c r="CP323" s="14">
        <f t="shared" si="402"/>
        <v>-33.969731250000002</v>
      </c>
      <c r="CQ323" s="14">
        <f t="shared" si="402"/>
        <v>-33.969731250000002</v>
      </c>
      <c r="CR323" s="14">
        <f t="shared" si="402"/>
        <v>-33.969731250000002</v>
      </c>
      <c r="CS323" s="14">
        <f t="shared" si="402"/>
        <v>-33.969731250000002</v>
      </c>
      <c r="CT323" s="14">
        <f t="shared" si="402"/>
        <v>-33.969731250000002</v>
      </c>
      <c r="CU323" s="14">
        <f t="shared" si="402"/>
        <v>-33.969731250000002</v>
      </c>
      <c r="CV323" s="14">
        <f t="shared" si="402"/>
        <v>-33.969731250000002</v>
      </c>
      <c r="CW323" s="14">
        <f t="shared" si="402"/>
        <v>-33.969731250000002</v>
      </c>
      <c r="CX323" s="14">
        <f t="shared" si="402"/>
        <v>-33.969731250000002</v>
      </c>
      <c r="CY323" s="14">
        <f t="shared" si="402"/>
        <v>-33.969731250000002</v>
      </c>
      <c r="CZ323" s="14">
        <f t="shared" si="402"/>
        <v>-33.969731250000002</v>
      </c>
      <c r="DA323" s="14">
        <f t="shared" ref="DA323:DY323" si="403">-SUM(DA311,-DA310,-DA307,-DA309)*$D$323</f>
        <v>-33.969731250000002</v>
      </c>
      <c r="DB323" s="14">
        <f t="shared" si="403"/>
        <v>-33.969731250000002</v>
      </c>
      <c r="DC323" s="14">
        <f t="shared" si="403"/>
        <v>-33.969731250000002</v>
      </c>
      <c r="DD323" s="14">
        <f t="shared" si="403"/>
        <v>-33.969731250000002</v>
      </c>
      <c r="DE323" s="14">
        <f t="shared" si="403"/>
        <v>-33.969731250000002</v>
      </c>
      <c r="DF323" s="14">
        <f t="shared" si="403"/>
        <v>-33.969731250000002</v>
      </c>
      <c r="DG323" s="14">
        <f t="shared" si="403"/>
        <v>-33.969731250000002</v>
      </c>
      <c r="DH323" s="14">
        <f t="shared" si="403"/>
        <v>-33.969731250000002</v>
      </c>
      <c r="DI323" s="14">
        <f t="shared" si="403"/>
        <v>-33.969731250000002</v>
      </c>
      <c r="DJ323" s="14">
        <f t="shared" si="403"/>
        <v>-33.969731250000002</v>
      </c>
      <c r="DK323" s="14">
        <f t="shared" si="403"/>
        <v>-33.969731250000002</v>
      </c>
      <c r="DL323" s="14">
        <f t="shared" si="403"/>
        <v>-33.969731250000002</v>
      </c>
      <c r="DM323" s="14">
        <f t="shared" si="403"/>
        <v>-33.969731250000002</v>
      </c>
      <c r="DN323" s="14">
        <f t="shared" si="403"/>
        <v>-33.969731250000002</v>
      </c>
      <c r="DO323" s="14">
        <f t="shared" si="403"/>
        <v>-33.969731250000002</v>
      </c>
      <c r="DP323" s="14">
        <f t="shared" si="403"/>
        <v>-33.969731250000002</v>
      </c>
      <c r="DQ323" s="14">
        <f t="shared" si="403"/>
        <v>-33.969731250000002</v>
      </c>
      <c r="DR323" s="14">
        <f t="shared" si="403"/>
        <v>-33.969731250000002</v>
      </c>
      <c r="DS323" s="14">
        <f t="shared" si="403"/>
        <v>-33.969731250000002</v>
      </c>
      <c r="DT323" s="14">
        <f t="shared" si="403"/>
        <v>-33.969731250000002</v>
      </c>
      <c r="DU323" s="14">
        <f t="shared" si="403"/>
        <v>-33.969731250000002</v>
      </c>
      <c r="DV323" s="14">
        <f t="shared" si="403"/>
        <v>-33.969731250000002</v>
      </c>
      <c r="DW323" s="14">
        <f t="shared" si="403"/>
        <v>-33.969731250000002</v>
      </c>
      <c r="DX323" s="14">
        <f t="shared" si="403"/>
        <v>-33.969731250000002</v>
      </c>
      <c r="DY323" s="14">
        <f t="shared" si="403"/>
        <v>-33.969731250000002</v>
      </c>
    </row>
    <row r="324" spans="1:129" s="3" customFormat="1" ht="11.7" customHeight="1" outlineLevel="1" x14ac:dyDescent="0.3">
      <c r="A324" s="85"/>
      <c r="B324" s="113" t="s">
        <v>172</v>
      </c>
      <c r="C324" s="113"/>
      <c r="D324" s="457">
        <f>+Inputs!$G$166</f>
        <v>0.02</v>
      </c>
      <c r="F324" s="127"/>
      <c r="G324" s="127"/>
      <c r="H324" s="290">
        <f t="shared" si="401"/>
        <v>-663.64303097251616</v>
      </c>
      <c r="I324" s="1019">
        <v>0</v>
      </c>
      <c r="J324" s="1019">
        <v>0</v>
      </c>
      <c r="K324" s="1019">
        <v>0</v>
      </c>
      <c r="L324" s="1019">
        <v>0</v>
      </c>
      <c r="M324" s="1019">
        <v>0</v>
      </c>
      <c r="N324" s="1019">
        <v>0</v>
      </c>
      <c r="O324" s="1019">
        <v>0</v>
      </c>
      <c r="P324" s="1019">
        <v>0</v>
      </c>
      <c r="Q324" s="1019">
        <v>0</v>
      </c>
      <c r="R324" s="1019">
        <v>0</v>
      </c>
      <c r="S324" s="1019">
        <v>0</v>
      </c>
      <c r="T324" s="1019">
        <v>0</v>
      </c>
      <c r="U324" s="1019">
        <v>0</v>
      </c>
      <c r="V324" s="1019">
        <v>0</v>
      </c>
      <c r="W324" s="1019">
        <v>0</v>
      </c>
      <c r="X324" s="1019">
        <v>0</v>
      </c>
      <c r="Y324" s="1019">
        <v>0</v>
      </c>
      <c r="Z324" s="1019">
        <v>0</v>
      </c>
      <c r="AA324" s="1019">
        <v>0</v>
      </c>
      <c r="AB324" s="1019">
        <v>0</v>
      </c>
      <c r="AC324" s="1019">
        <v>0</v>
      </c>
      <c r="AD324" s="1019">
        <v>0</v>
      </c>
      <c r="AE324" s="1019">
        <v>0</v>
      </c>
      <c r="AF324" s="1019">
        <v>0</v>
      </c>
      <c r="AG324" s="1019">
        <v>0</v>
      </c>
      <c r="AH324" s="1019">
        <v>0</v>
      </c>
      <c r="AI324" s="1019">
        <v>0</v>
      </c>
      <c r="AJ324" s="1019">
        <v>0</v>
      </c>
      <c r="AK324" s="1019">
        <v>0</v>
      </c>
      <c r="AL324" s="1019">
        <v>0</v>
      </c>
      <c r="AM324" s="1019">
        <v>0</v>
      </c>
      <c r="AN324" s="1019">
        <v>0</v>
      </c>
      <c r="AO324" s="1019">
        <v>0</v>
      </c>
      <c r="AP324" s="1019">
        <v>0</v>
      </c>
      <c r="AQ324" s="1019">
        <v>0</v>
      </c>
      <c r="AR324" s="1019">
        <v>0</v>
      </c>
      <c r="AS324" s="1019">
        <v>0</v>
      </c>
      <c r="AT324" s="1019">
        <v>0</v>
      </c>
      <c r="AU324" s="1019">
        <v>0</v>
      </c>
      <c r="AV324" s="1019">
        <v>0</v>
      </c>
      <c r="AW324" s="1019">
        <v>0</v>
      </c>
      <c r="AX324" s="1019">
        <v>0</v>
      </c>
      <c r="AY324" s="1019">
        <v>0</v>
      </c>
      <c r="AZ324" s="1019">
        <v>0</v>
      </c>
      <c r="BA324" s="1019">
        <v>0</v>
      </c>
      <c r="BB324" s="1019">
        <v>0</v>
      </c>
      <c r="BC324" s="1019">
        <v>0</v>
      </c>
      <c r="BD324" s="1019">
        <v>0</v>
      </c>
      <c r="BE324" s="1019">
        <v>0</v>
      </c>
      <c r="BF324" s="1019">
        <v>0</v>
      </c>
      <c r="BG324" s="1019">
        <v>0</v>
      </c>
      <c r="BH324" s="1019">
        <v>0</v>
      </c>
      <c r="BI324" s="1019">
        <v>0</v>
      </c>
      <c r="BJ324" s="1019">
        <v>0</v>
      </c>
      <c r="BK324" s="1019">
        <v>0</v>
      </c>
      <c r="BL324" s="1019">
        <v>0</v>
      </c>
      <c r="BM324" s="1019">
        <v>0</v>
      </c>
      <c r="BN324" s="1019">
        <v>0</v>
      </c>
      <c r="BO324" s="1019">
        <v>0</v>
      </c>
      <c r="BP324" s="1019">
        <v>0</v>
      </c>
      <c r="BQ324" s="1019">
        <v>0</v>
      </c>
      <c r="BR324" s="1019">
        <v>0</v>
      </c>
      <c r="BS324" s="1019">
        <v>0</v>
      </c>
      <c r="BT324" s="1019">
        <v>0</v>
      </c>
      <c r="BU324" s="1019">
        <v>0</v>
      </c>
      <c r="BV324" s="1019">
        <v>0</v>
      </c>
      <c r="BW324" s="1019">
        <v>0</v>
      </c>
      <c r="BX324" s="1019">
        <v>0</v>
      </c>
      <c r="BY324" s="1019">
        <v>0</v>
      </c>
      <c r="BZ324" s="1019">
        <v>0</v>
      </c>
      <c r="CA324" s="14">
        <f t="shared" ref="CA324:CZ324" si="404">-$D$324*SUM(CA311,-CA307,-CA310,-CA309)</f>
        <v>-3.0745618611699683</v>
      </c>
      <c r="CB324" s="14">
        <f t="shared" si="404"/>
        <v>-5.3972785278366349</v>
      </c>
      <c r="CC324" s="14">
        <f t="shared" si="404"/>
        <v>-7.7199951945033023</v>
      </c>
      <c r="CD324" s="14">
        <f t="shared" si="404"/>
        <v>-10.042711861169971</v>
      </c>
      <c r="CE324" s="14">
        <f t="shared" si="404"/>
        <v>-12.365428527836636</v>
      </c>
      <c r="CF324" s="14">
        <f t="shared" si="404"/>
        <v>-13.587892500000001</v>
      </c>
      <c r="CG324" s="14">
        <f t="shared" si="404"/>
        <v>-13.587892500000001</v>
      </c>
      <c r="CH324" s="14">
        <f t="shared" si="404"/>
        <v>-13.587892500000001</v>
      </c>
      <c r="CI324" s="14">
        <f t="shared" si="404"/>
        <v>-13.587892500000001</v>
      </c>
      <c r="CJ324" s="14">
        <f t="shared" si="404"/>
        <v>-13.587892500000001</v>
      </c>
      <c r="CK324" s="14">
        <f t="shared" si="404"/>
        <v>-13.587892500000001</v>
      </c>
      <c r="CL324" s="14">
        <f t="shared" si="404"/>
        <v>-13.587892500000001</v>
      </c>
      <c r="CM324" s="14">
        <f t="shared" si="404"/>
        <v>-13.587892500000001</v>
      </c>
      <c r="CN324" s="14">
        <f t="shared" si="404"/>
        <v>-13.587892500000001</v>
      </c>
      <c r="CO324" s="14">
        <f t="shared" si="404"/>
        <v>-13.587892500000001</v>
      </c>
      <c r="CP324" s="14">
        <f t="shared" si="404"/>
        <v>-13.587892500000001</v>
      </c>
      <c r="CQ324" s="14">
        <f t="shared" si="404"/>
        <v>-13.587892500000001</v>
      </c>
      <c r="CR324" s="14">
        <f t="shared" si="404"/>
        <v>-13.587892500000001</v>
      </c>
      <c r="CS324" s="14">
        <f t="shared" si="404"/>
        <v>-13.587892500000001</v>
      </c>
      <c r="CT324" s="14">
        <f t="shared" si="404"/>
        <v>-13.587892500000001</v>
      </c>
      <c r="CU324" s="14">
        <f t="shared" si="404"/>
        <v>-13.587892500000001</v>
      </c>
      <c r="CV324" s="14">
        <f t="shared" si="404"/>
        <v>-13.587892500000001</v>
      </c>
      <c r="CW324" s="14">
        <f t="shared" si="404"/>
        <v>-13.587892500000001</v>
      </c>
      <c r="CX324" s="14">
        <f t="shared" si="404"/>
        <v>-13.587892500000001</v>
      </c>
      <c r="CY324" s="14">
        <f t="shared" si="404"/>
        <v>-13.587892500000001</v>
      </c>
      <c r="CZ324" s="14">
        <f t="shared" si="404"/>
        <v>-13.587892500000001</v>
      </c>
      <c r="DA324" s="14">
        <f t="shared" ref="DA324:DY324" si="405">-$D$324*SUM(DA311,-DA307,-DA310,-DA309)</f>
        <v>-13.587892500000001</v>
      </c>
      <c r="DB324" s="14">
        <f t="shared" si="405"/>
        <v>-13.587892500000001</v>
      </c>
      <c r="DC324" s="14">
        <f t="shared" si="405"/>
        <v>-13.587892500000001</v>
      </c>
      <c r="DD324" s="14">
        <f t="shared" si="405"/>
        <v>-13.587892500000001</v>
      </c>
      <c r="DE324" s="14">
        <f t="shared" si="405"/>
        <v>-13.587892500000001</v>
      </c>
      <c r="DF324" s="14">
        <f t="shared" si="405"/>
        <v>-13.587892500000001</v>
      </c>
      <c r="DG324" s="14">
        <f t="shared" si="405"/>
        <v>-13.587892500000001</v>
      </c>
      <c r="DH324" s="14">
        <f t="shared" si="405"/>
        <v>-13.587892500000001</v>
      </c>
      <c r="DI324" s="14">
        <f t="shared" si="405"/>
        <v>-13.587892500000001</v>
      </c>
      <c r="DJ324" s="14">
        <f t="shared" si="405"/>
        <v>-13.587892500000001</v>
      </c>
      <c r="DK324" s="14">
        <f t="shared" si="405"/>
        <v>-13.587892500000001</v>
      </c>
      <c r="DL324" s="14">
        <f t="shared" si="405"/>
        <v>-13.587892500000001</v>
      </c>
      <c r="DM324" s="14">
        <f t="shared" si="405"/>
        <v>-13.587892500000001</v>
      </c>
      <c r="DN324" s="14">
        <f t="shared" si="405"/>
        <v>-13.587892500000001</v>
      </c>
      <c r="DO324" s="14">
        <f t="shared" si="405"/>
        <v>-13.587892500000001</v>
      </c>
      <c r="DP324" s="14">
        <f t="shared" si="405"/>
        <v>-13.587892500000001</v>
      </c>
      <c r="DQ324" s="14">
        <f t="shared" si="405"/>
        <v>-13.587892500000001</v>
      </c>
      <c r="DR324" s="14">
        <f t="shared" si="405"/>
        <v>-13.587892500000001</v>
      </c>
      <c r="DS324" s="14">
        <f t="shared" si="405"/>
        <v>-13.587892500000001</v>
      </c>
      <c r="DT324" s="14">
        <f t="shared" si="405"/>
        <v>-13.587892500000001</v>
      </c>
      <c r="DU324" s="14">
        <f t="shared" si="405"/>
        <v>-13.587892500000001</v>
      </c>
      <c r="DV324" s="14">
        <f t="shared" si="405"/>
        <v>-13.587892500000001</v>
      </c>
      <c r="DW324" s="14">
        <f t="shared" si="405"/>
        <v>-13.587892500000001</v>
      </c>
      <c r="DX324" s="14">
        <f t="shared" si="405"/>
        <v>-13.587892500000001</v>
      </c>
      <c r="DY324" s="14">
        <f t="shared" si="405"/>
        <v>-13.587892500000001</v>
      </c>
    </row>
    <row r="325" spans="1:129" s="3" customFormat="1" ht="11.7" customHeight="1" outlineLevel="1" x14ac:dyDescent="0.25">
      <c r="A325" s="85"/>
      <c r="B325" s="200" t="s">
        <v>120</v>
      </c>
      <c r="C325" s="200"/>
      <c r="D325" s="917"/>
      <c r="E325" s="917"/>
      <c r="F325" s="179"/>
      <c r="G325" s="179"/>
      <c r="H325" s="290">
        <f t="shared" si="401"/>
        <v>-2322.7506084038059</v>
      </c>
      <c r="I325" s="918">
        <f t="shared" ref="I325:AN325" si="406">+SUM(I323:I324)</f>
        <v>0</v>
      </c>
      <c r="J325" s="918">
        <f t="shared" si="406"/>
        <v>0</v>
      </c>
      <c r="K325" s="918">
        <f t="shared" si="406"/>
        <v>0</v>
      </c>
      <c r="L325" s="918">
        <f t="shared" si="406"/>
        <v>0</v>
      </c>
      <c r="M325" s="918">
        <f t="shared" si="406"/>
        <v>0</v>
      </c>
      <c r="N325" s="918">
        <f t="shared" si="406"/>
        <v>0</v>
      </c>
      <c r="O325" s="918">
        <f t="shared" si="406"/>
        <v>0</v>
      </c>
      <c r="P325" s="918">
        <f t="shared" si="406"/>
        <v>0</v>
      </c>
      <c r="Q325" s="918">
        <f t="shared" si="406"/>
        <v>0</v>
      </c>
      <c r="R325" s="918">
        <f t="shared" si="406"/>
        <v>0</v>
      </c>
      <c r="S325" s="918">
        <f t="shared" si="406"/>
        <v>0</v>
      </c>
      <c r="T325" s="918">
        <f t="shared" si="406"/>
        <v>0</v>
      </c>
      <c r="U325" s="918">
        <f t="shared" si="406"/>
        <v>0</v>
      </c>
      <c r="V325" s="918">
        <f t="shared" si="406"/>
        <v>0</v>
      </c>
      <c r="W325" s="918">
        <f t="shared" si="406"/>
        <v>0</v>
      </c>
      <c r="X325" s="918">
        <f t="shared" si="406"/>
        <v>0</v>
      </c>
      <c r="Y325" s="918">
        <f t="shared" si="406"/>
        <v>0</v>
      </c>
      <c r="Z325" s="918">
        <f t="shared" si="406"/>
        <v>0</v>
      </c>
      <c r="AA325" s="918">
        <f t="shared" si="406"/>
        <v>0</v>
      </c>
      <c r="AB325" s="918">
        <f t="shared" si="406"/>
        <v>0</v>
      </c>
      <c r="AC325" s="918">
        <f t="shared" si="406"/>
        <v>0</v>
      </c>
      <c r="AD325" s="918">
        <f t="shared" si="406"/>
        <v>0</v>
      </c>
      <c r="AE325" s="918">
        <f t="shared" si="406"/>
        <v>0</v>
      </c>
      <c r="AF325" s="918">
        <f t="shared" si="406"/>
        <v>0</v>
      </c>
      <c r="AG325" s="918">
        <f t="shared" si="406"/>
        <v>0</v>
      </c>
      <c r="AH325" s="918">
        <f t="shared" si="406"/>
        <v>0</v>
      </c>
      <c r="AI325" s="918">
        <f t="shared" si="406"/>
        <v>0</v>
      </c>
      <c r="AJ325" s="918">
        <f t="shared" si="406"/>
        <v>0</v>
      </c>
      <c r="AK325" s="918">
        <f t="shared" si="406"/>
        <v>0</v>
      </c>
      <c r="AL325" s="918">
        <f t="shared" si="406"/>
        <v>0</v>
      </c>
      <c r="AM325" s="918">
        <f t="shared" si="406"/>
        <v>0</v>
      </c>
      <c r="AN325" s="918">
        <f t="shared" si="406"/>
        <v>0</v>
      </c>
      <c r="AO325" s="918">
        <f t="shared" ref="AO325:BT325" si="407">+SUM(AO323:AO324)</f>
        <v>0</v>
      </c>
      <c r="AP325" s="918">
        <f t="shared" si="407"/>
        <v>0</v>
      </c>
      <c r="AQ325" s="918">
        <f t="shared" si="407"/>
        <v>0</v>
      </c>
      <c r="AR325" s="918">
        <f t="shared" si="407"/>
        <v>0</v>
      </c>
      <c r="AS325" s="918">
        <f t="shared" si="407"/>
        <v>0</v>
      </c>
      <c r="AT325" s="918">
        <f t="shared" si="407"/>
        <v>0</v>
      </c>
      <c r="AU325" s="918">
        <f t="shared" si="407"/>
        <v>0</v>
      </c>
      <c r="AV325" s="918">
        <f t="shared" si="407"/>
        <v>0</v>
      </c>
      <c r="AW325" s="918">
        <f t="shared" si="407"/>
        <v>0</v>
      </c>
      <c r="AX325" s="918">
        <f t="shared" si="407"/>
        <v>0</v>
      </c>
      <c r="AY325" s="918">
        <f t="shared" si="407"/>
        <v>0</v>
      </c>
      <c r="AZ325" s="918">
        <f t="shared" si="407"/>
        <v>0</v>
      </c>
      <c r="BA325" s="918">
        <f t="shared" si="407"/>
        <v>0</v>
      </c>
      <c r="BB325" s="918">
        <f t="shared" si="407"/>
        <v>0</v>
      </c>
      <c r="BC325" s="918">
        <f t="shared" si="407"/>
        <v>0</v>
      </c>
      <c r="BD325" s="918">
        <f t="shared" si="407"/>
        <v>0</v>
      </c>
      <c r="BE325" s="918">
        <f t="shared" si="407"/>
        <v>0</v>
      </c>
      <c r="BF325" s="918">
        <f t="shared" si="407"/>
        <v>0</v>
      </c>
      <c r="BG325" s="918">
        <f t="shared" si="407"/>
        <v>0</v>
      </c>
      <c r="BH325" s="918">
        <f t="shared" si="407"/>
        <v>0</v>
      </c>
      <c r="BI325" s="918">
        <f t="shared" si="407"/>
        <v>0</v>
      </c>
      <c r="BJ325" s="918">
        <f t="shared" si="407"/>
        <v>0</v>
      </c>
      <c r="BK325" s="918">
        <f t="shared" si="407"/>
        <v>0</v>
      </c>
      <c r="BL325" s="918">
        <f t="shared" si="407"/>
        <v>0</v>
      </c>
      <c r="BM325" s="918">
        <f t="shared" si="407"/>
        <v>0</v>
      </c>
      <c r="BN325" s="918">
        <f t="shared" si="407"/>
        <v>0</v>
      </c>
      <c r="BO325" s="918">
        <f t="shared" si="407"/>
        <v>0</v>
      </c>
      <c r="BP325" s="918">
        <f t="shared" si="407"/>
        <v>0</v>
      </c>
      <c r="BQ325" s="918">
        <f t="shared" si="407"/>
        <v>0</v>
      </c>
      <c r="BR325" s="918">
        <f t="shared" si="407"/>
        <v>0</v>
      </c>
      <c r="BS325" s="918">
        <f t="shared" si="407"/>
        <v>0</v>
      </c>
      <c r="BT325" s="918">
        <f t="shared" si="407"/>
        <v>0</v>
      </c>
      <c r="BU325" s="918">
        <f t="shared" ref="BU325:CZ325" si="408">+SUM(BU323:BU324)</f>
        <v>0</v>
      </c>
      <c r="BV325" s="918">
        <f t="shared" si="408"/>
        <v>0</v>
      </c>
      <c r="BW325" s="918">
        <f t="shared" si="408"/>
        <v>0</v>
      </c>
      <c r="BX325" s="918">
        <f t="shared" si="408"/>
        <v>0</v>
      </c>
      <c r="BY325" s="918">
        <f t="shared" si="408"/>
        <v>0</v>
      </c>
      <c r="BZ325" s="918">
        <f t="shared" si="408"/>
        <v>0</v>
      </c>
      <c r="CA325" s="918">
        <f t="shared" si="408"/>
        <v>-10.760966514094889</v>
      </c>
      <c r="CB325" s="918">
        <f t="shared" si="408"/>
        <v>-18.890474847428223</v>
      </c>
      <c r="CC325" s="918">
        <f t="shared" si="408"/>
        <v>-27.01998318076156</v>
      </c>
      <c r="CD325" s="918">
        <f t="shared" si="408"/>
        <v>-35.149491514094898</v>
      </c>
      <c r="CE325" s="918">
        <f t="shared" si="408"/>
        <v>-43.278999847428231</v>
      </c>
      <c r="CF325" s="918">
        <f t="shared" si="408"/>
        <v>-47.557623750000005</v>
      </c>
      <c r="CG325" s="918">
        <f t="shared" si="408"/>
        <v>-47.557623750000005</v>
      </c>
      <c r="CH325" s="918">
        <f t="shared" si="408"/>
        <v>-47.557623750000005</v>
      </c>
      <c r="CI325" s="918">
        <f t="shared" si="408"/>
        <v>-47.557623750000005</v>
      </c>
      <c r="CJ325" s="918">
        <f t="shared" si="408"/>
        <v>-47.557623750000005</v>
      </c>
      <c r="CK325" s="918">
        <f t="shared" si="408"/>
        <v>-47.557623750000005</v>
      </c>
      <c r="CL325" s="918">
        <f t="shared" si="408"/>
        <v>-47.557623750000005</v>
      </c>
      <c r="CM325" s="918">
        <f t="shared" si="408"/>
        <v>-47.557623750000005</v>
      </c>
      <c r="CN325" s="918">
        <f t="shared" si="408"/>
        <v>-47.557623750000005</v>
      </c>
      <c r="CO325" s="918">
        <f t="shared" si="408"/>
        <v>-47.557623750000005</v>
      </c>
      <c r="CP325" s="918">
        <f t="shared" si="408"/>
        <v>-47.557623750000005</v>
      </c>
      <c r="CQ325" s="918">
        <f t="shared" si="408"/>
        <v>-47.557623750000005</v>
      </c>
      <c r="CR325" s="918">
        <f t="shared" si="408"/>
        <v>-47.557623750000005</v>
      </c>
      <c r="CS325" s="918">
        <f t="shared" si="408"/>
        <v>-47.557623750000005</v>
      </c>
      <c r="CT325" s="918">
        <f t="shared" si="408"/>
        <v>-47.557623750000005</v>
      </c>
      <c r="CU325" s="918">
        <f t="shared" si="408"/>
        <v>-47.557623750000005</v>
      </c>
      <c r="CV325" s="918">
        <f t="shared" si="408"/>
        <v>-47.557623750000005</v>
      </c>
      <c r="CW325" s="918">
        <f t="shared" si="408"/>
        <v>-47.557623750000005</v>
      </c>
      <c r="CX325" s="918">
        <f t="shared" si="408"/>
        <v>-47.557623750000005</v>
      </c>
      <c r="CY325" s="918">
        <f t="shared" si="408"/>
        <v>-47.557623750000005</v>
      </c>
      <c r="CZ325" s="918">
        <f t="shared" si="408"/>
        <v>-47.557623750000005</v>
      </c>
      <c r="DA325" s="918">
        <f t="shared" ref="DA325:DY325" si="409">+SUM(DA323:DA324)</f>
        <v>-47.557623750000005</v>
      </c>
      <c r="DB325" s="918">
        <f t="shared" si="409"/>
        <v>-47.557623750000005</v>
      </c>
      <c r="DC325" s="918">
        <f t="shared" si="409"/>
        <v>-47.557623750000005</v>
      </c>
      <c r="DD325" s="918">
        <f t="shared" si="409"/>
        <v>-47.557623750000005</v>
      </c>
      <c r="DE325" s="918">
        <f t="shared" si="409"/>
        <v>-47.557623750000005</v>
      </c>
      <c r="DF325" s="918">
        <f t="shared" si="409"/>
        <v>-47.557623750000005</v>
      </c>
      <c r="DG325" s="918">
        <f t="shared" si="409"/>
        <v>-47.557623750000005</v>
      </c>
      <c r="DH325" s="918">
        <f t="shared" si="409"/>
        <v>-47.557623750000005</v>
      </c>
      <c r="DI325" s="918">
        <f t="shared" si="409"/>
        <v>-47.557623750000005</v>
      </c>
      <c r="DJ325" s="918">
        <f t="shared" si="409"/>
        <v>-47.557623750000005</v>
      </c>
      <c r="DK325" s="918">
        <f t="shared" si="409"/>
        <v>-47.557623750000005</v>
      </c>
      <c r="DL325" s="918">
        <f t="shared" si="409"/>
        <v>-47.557623750000005</v>
      </c>
      <c r="DM325" s="918">
        <f t="shared" si="409"/>
        <v>-47.557623750000005</v>
      </c>
      <c r="DN325" s="918">
        <f t="shared" si="409"/>
        <v>-47.557623750000005</v>
      </c>
      <c r="DO325" s="918">
        <f t="shared" si="409"/>
        <v>-47.557623750000005</v>
      </c>
      <c r="DP325" s="918">
        <f t="shared" si="409"/>
        <v>-47.557623750000005</v>
      </c>
      <c r="DQ325" s="918">
        <f t="shared" si="409"/>
        <v>-47.557623750000005</v>
      </c>
      <c r="DR325" s="918">
        <f t="shared" si="409"/>
        <v>-47.557623750000005</v>
      </c>
      <c r="DS325" s="918">
        <f t="shared" si="409"/>
        <v>-47.557623750000005</v>
      </c>
      <c r="DT325" s="918">
        <f t="shared" si="409"/>
        <v>-47.557623750000005</v>
      </c>
      <c r="DU325" s="918">
        <f t="shared" si="409"/>
        <v>-47.557623750000005</v>
      </c>
      <c r="DV325" s="918">
        <f t="shared" si="409"/>
        <v>-47.557623750000005</v>
      </c>
      <c r="DW325" s="918">
        <f t="shared" si="409"/>
        <v>-47.557623750000005</v>
      </c>
      <c r="DX325" s="918">
        <f t="shared" si="409"/>
        <v>-47.557623750000005</v>
      </c>
      <c r="DY325" s="918">
        <f t="shared" si="409"/>
        <v>-47.557623750000005</v>
      </c>
    </row>
    <row r="326" spans="1:129" s="3" customFormat="1" ht="11.7" customHeight="1" outlineLevel="1" x14ac:dyDescent="0.25">
      <c r="A326" s="85"/>
      <c r="B326" s="113"/>
      <c r="C326" s="113"/>
      <c r="D326" s="622"/>
      <c r="E326" s="622"/>
      <c r="F326" s="127"/>
      <c r="G326" s="127"/>
      <c r="H326" s="896"/>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c r="AQ326" s="14"/>
      <c r="AR326" s="14"/>
      <c r="AS326" s="14"/>
      <c r="AT326" s="14"/>
      <c r="AU326" s="14"/>
      <c r="AV326" s="14"/>
      <c r="AW326" s="14"/>
      <c r="AX326" s="14"/>
      <c r="AY326" s="14"/>
      <c r="AZ326" s="14"/>
      <c r="BA326" s="14"/>
      <c r="BB326" s="14"/>
      <c r="BC326" s="14"/>
      <c r="BD326" s="14"/>
      <c r="BE326" s="14"/>
      <c r="BF326" s="14"/>
      <c r="BG326" s="14"/>
      <c r="BH326" s="14"/>
      <c r="BI326" s="14"/>
      <c r="BJ326" s="14"/>
      <c r="BK326" s="14"/>
      <c r="BL326" s="14"/>
      <c r="BM326" s="14"/>
      <c r="BN326" s="14"/>
      <c r="BO326" s="14"/>
      <c r="BP326" s="14"/>
      <c r="BQ326" s="14"/>
      <c r="BR326" s="14"/>
      <c r="BS326" s="14"/>
      <c r="BT326" s="14"/>
      <c r="BU326" s="14"/>
      <c r="BV326" s="14"/>
      <c r="BW326" s="14"/>
      <c r="BX326" s="14"/>
      <c r="BY326" s="14"/>
      <c r="BZ326" s="14"/>
      <c r="CA326" s="14"/>
      <c r="CB326" s="14"/>
      <c r="CC326" s="14"/>
      <c r="CD326" s="14"/>
      <c r="CE326" s="14"/>
      <c r="CF326" s="14"/>
      <c r="CG326" s="14"/>
      <c r="CH326" s="14"/>
      <c r="CI326" s="14"/>
      <c r="CJ326" s="14"/>
      <c r="CK326" s="14"/>
      <c r="CL326" s="14"/>
      <c r="CM326" s="14"/>
      <c r="CN326" s="14"/>
      <c r="CO326" s="14"/>
      <c r="CP326" s="14"/>
      <c r="CQ326" s="14"/>
      <c r="CR326" s="14"/>
      <c r="CS326" s="14"/>
      <c r="CT326" s="14"/>
      <c r="CU326" s="14"/>
      <c r="CV326" s="14"/>
      <c r="CW326" s="14"/>
      <c r="CX326" s="14"/>
      <c r="CY326" s="14"/>
      <c r="CZ326" s="14"/>
      <c r="DA326" s="14"/>
      <c r="DB326" s="14"/>
      <c r="DC326" s="14"/>
      <c r="DD326" s="14"/>
      <c r="DE326" s="14"/>
      <c r="DF326" s="14"/>
      <c r="DG326" s="14"/>
      <c r="DH326" s="14"/>
      <c r="DI326" s="14"/>
      <c r="DJ326" s="14"/>
      <c r="DK326" s="14"/>
      <c r="DL326" s="14"/>
      <c r="DM326" s="14"/>
      <c r="DN326" s="14"/>
      <c r="DO326" s="14"/>
      <c r="DP326" s="14"/>
      <c r="DQ326" s="14"/>
      <c r="DR326" s="14"/>
      <c r="DS326" s="14"/>
      <c r="DT326" s="14"/>
      <c r="DU326" s="14"/>
      <c r="DV326" s="14"/>
      <c r="DW326" s="14"/>
      <c r="DX326" s="14"/>
      <c r="DY326" s="14"/>
    </row>
    <row r="327" spans="1:129" s="3" customFormat="1" ht="11.7" customHeight="1" outlineLevel="1" thickBot="1" x14ac:dyDescent="0.35">
      <c r="B327" s="204"/>
      <c r="C327" s="204"/>
      <c r="D327" s="80"/>
      <c r="E327" s="80"/>
      <c r="F327" s="80"/>
      <c r="G327" s="154"/>
      <c r="H327" s="154"/>
      <c r="I327" s="155"/>
      <c r="J327" s="155"/>
      <c r="K327" s="155"/>
      <c r="L327" s="155"/>
      <c r="M327" s="155"/>
      <c r="N327" s="155"/>
      <c r="O327" s="155"/>
      <c r="P327" s="155"/>
      <c r="Q327" s="155"/>
      <c r="R327" s="155"/>
      <c r="S327" s="155"/>
      <c r="T327" s="155"/>
      <c r="U327" s="155"/>
      <c r="V327" s="155"/>
      <c r="W327" s="155"/>
      <c r="X327" s="155"/>
      <c r="Y327" s="155"/>
      <c r="Z327" s="155"/>
      <c r="AA327" s="155"/>
      <c r="AB327" s="155"/>
      <c r="AC327" s="155"/>
      <c r="AD327" s="155"/>
      <c r="AE327" s="155"/>
      <c r="AF327" s="155"/>
      <c r="AG327" s="155"/>
      <c r="AH327" s="155"/>
      <c r="AI327" s="155"/>
      <c r="AJ327" s="155"/>
      <c r="AK327" s="155"/>
      <c r="AL327" s="155"/>
      <c r="AM327" s="155"/>
      <c r="AN327" s="155"/>
      <c r="AO327" s="155"/>
      <c r="AP327" s="155"/>
      <c r="AQ327" s="155"/>
      <c r="AR327" s="155"/>
      <c r="AS327" s="155"/>
      <c r="AT327" s="155"/>
      <c r="AU327" s="155"/>
      <c r="AV327" s="155"/>
      <c r="AW327" s="155"/>
      <c r="AX327" s="155"/>
      <c r="AY327" s="155"/>
      <c r="AZ327" s="155"/>
      <c r="BA327" s="155"/>
      <c r="BB327" s="155"/>
      <c r="BC327" s="155"/>
      <c r="BD327" s="155"/>
      <c r="BE327" s="155"/>
      <c r="BF327" s="155"/>
      <c r="BG327" s="155"/>
      <c r="BH327" s="155"/>
      <c r="BI327" s="155"/>
      <c r="BJ327" s="155"/>
      <c r="BK327" s="155"/>
      <c r="BL327" s="155"/>
      <c r="BM327" s="155"/>
      <c r="BN327" s="155"/>
      <c r="BO327" s="155"/>
      <c r="BP327" s="155"/>
      <c r="BQ327" s="155"/>
      <c r="BR327" s="155"/>
      <c r="BS327" s="155"/>
      <c r="BT327" s="155"/>
      <c r="BU327" s="155"/>
      <c r="BV327" s="155"/>
      <c r="BW327" s="155"/>
      <c r="BX327" s="155"/>
      <c r="BY327" s="155"/>
      <c r="BZ327" s="155"/>
      <c r="CA327" s="155"/>
      <c r="CB327" s="155"/>
      <c r="CC327" s="155"/>
      <c r="CD327" s="155"/>
      <c r="CE327" s="155"/>
      <c r="CF327" s="155"/>
      <c r="CG327" s="155"/>
      <c r="CH327" s="155"/>
      <c r="CI327" s="155"/>
      <c r="CJ327" s="155"/>
      <c r="CK327" s="155"/>
      <c r="CL327" s="155"/>
      <c r="CM327" s="155"/>
      <c r="CN327" s="155"/>
      <c r="CO327" s="155"/>
      <c r="CP327" s="155"/>
      <c r="CQ327" s="155"/>
      <c r="CR327" s="155"/>
      <c r="CS327" s="155"/>
      <c r="CT327" s="155"/>
      <c r="CU327" s="155"/>
      <c r="CV327" s="155"/>
      <c r="CW327" s="155"/>
      <c r="CX327" s="155"/>
      <c r="CY327" s="155"/>
      <c r="CZ327" s="155"/>
      <c r="DA327" s="155"/>
      <c r="DB327" s="155"/>
      <c r="DC327" s="155"/>
      <c r="DD327" s="155"/>
      <c r="DE327" s="155"/>
      <c r="DF327" s="155"/>
      <c r="DG327" s="155"/>
      <c r="DH327" s="155"/>
      <c r="DI327" s="155"/>
      <c r="DJ327" s="155"/>
      <c r="DK327" s="155"/>
      <c r="DL327" s="155"/>
      <c r="DM327" s="155"/>
      <c r="DN327" s="155"/>
      <c r="DO327" s="155"/>
      <c r="DP327" s="155"/>
      <c r="DQ327" s="155"/>
      <c r="DR327" s="155"/>
      <c r="DS327" s="155"/>
      <c r="DT327" s="155"/>
      <c r="DU327" s="155"/>
      <c r="DV327" s="155"/>
      <c r="DW327" s="155"/>
      <c r="DX327" s="155"/>
      <c r="DY327" s="155"/>
    </row>
    <row r="328" spans="1:129" s="3" customFormat="1" ht="11.7" customHeight="1" outlineLevel="1" thickTop="1" thickBot="1" x14ac:dyDescent="0.35">
      <c r="A328" s="85"/>
      <c r="B328" s="201" t="s">
        <v>12</v>
      </c>
      <c r="C328" s="201"/>
      <c r="D328" s="172"/>
      <c r="E328" s="172"/>
      <c r="F328" s="173"/>
      <c r="G328" s="173"/>
      <c r="H328" s="646">
        <f>+SUM(I328:DY328)</f>
        <v>30949.250371215345</v>
      </c>
      <c r="I328" s="174">
        <f t="shared" ref="I328:AN328" si="410">+SUM(I311,I315,I320)</f>
        <v>0</v>
      </c>
      <c r="J328" s="174">
        <f t="shared" si="410"/>
        <v>0</v>
      </c>
      <c r="K328" s="174">
        <f t="shared" si="410"/>
        <v>0</v>
      </c>
      <c r="L328" s="174">
        <f t="shared" si="410"/>
        <v>0</v>
      </c>
      <c r="M328" s="174">
        <f t="shared" si="410"/>
        <v>0</v>
      </c>
      <c r="N328" s="174">
        <f t="shared" si="410"/>
        <v>0</v>
      </c>
      <c r="O328" s="174">
        <f t="shared" si="410"/>
        <v>0</v>
      </c>
      <c r="P328" s="174">
        <f t="shared" si="410"/>
        <v>0</v>
      </c>
      <c r="Q328" s="174">
        <f t="shared" si="410"/>
        <v>0</v>
      </c>
      <c r="R328" s="174">
        <f t="shared" si="410"/>
        <v>0</v>
      </c>
      <c r="S328" s="174">
        <f t="shared" si="410"/>
        <v>0</v>
      </c>
      <c r="T328" s="174">
        <f t="shared" si="410"/>
        <v>0</v>
      </c>
      <c r="U328" s="174">
        <f t="shared" si="410"/>
        <v>0</v>
      </c>
      <c r="V328" s="174">
        <f t="shared" si="410"/>
        <v>0</v>
      </c>
      <c r="W328" s="174">
        <f t="shared" si="410"/>
        <v>0</v>
      </c>
      <c r="X328" s="174">
        <f t="shared" si="410"/>
        <v>0</v>
      </c>
      <c r="Y328" s="174">
        <f t="shared" si="410"/>
        <v>0</v>
      </c>
      <c r="Z328" s="174">
        <f t="shared" si="410"/>
        <v>0</v>
      </c>
      <c r="AA328" s="174">
        <f t="shared" si="410"/>
        <v>0</v>
      </c>
      <c r="AB328" s="174">
        <f t="shared" si="410"/>
        <v>0</v>
      </c>
      <c r="AC328" s="174">
        <f t="shared" si="410"/>
        <v>0</v>
      </c>
      <c r="AD328" s="174">
        <f t="shared" si="410"/>
        <v>0</v>
      </c>
      <c r="AE328" s="174">
        <f t="shared" si="410"/>
        <v>0</v>
      </c>
      <c r="AF328" s="174">
        <f t="shared" si="410"/>
        <v>0</v>
      </c>
      <c r="AG328" s="174">
        <f t="shared" si="410"/>
        <v>0</v>
      </c>
      <c r="AH328" s="174">
        <f t="shared" si="410"/>
        <v>0</v>
      </c>
      <c r="AI328" s="174">
        <f t="shared" si="410"/>
        <v>0</v>
      </c>
      <c r="AJ328" s="174">
        <f t="shared" si="410"/>
        <v>0</v>
      </c>
      <c r="AK328" s="174">
        <f t="shared" si="410"/>
        <v>0</v>
      </c>
      <c r="AL328" s="174">
        <f t="shared" si="410"/>
        <v>0</v>
      </c>
      <c r="AM328" s="174">
        <f t="shared" si="410"/>
        <v>0</v>
      </c>
      <c r="AN328" s="174">
        <f t="shared" si="410"/>
        <v>0</v>
      </c>
      <c r="AO328" s="174">
        <f t="shared" ref="AO328:BT328" si="411">+SUM(AO311,AO315,AO320)</f>
        <v>0</v>
      </c>
      <c r="AP328" s="174">
        <f t="shared" si="411"/>
        <v>0</v>
      </c>
      <c r="AQ328" s="174">
        <f t="shared" si="411"/>
        <v>0</v>
      </c>
      <c r="AR328" s="174">
        <f t="shared" si="411"/>
        <v>0</v>
      </c>
      <c r="AS328" s="174">
        <f t="shared" si="411"/>
        <v>0</v>
      </c>
      <c r="AT328" s="174">
        <f t="shared" si="411"/>
        <v>0</v>
      </c>
      <c r="AU328" s="174">
        <f t="shared" si="411"/>
        <v>0</v>
      </c>
      <c r="AV328" s="174">
        <f t="shared" si="411"/>
        <v>0</v>
      </c>
      <c r="AW328" s="174">
        <f t="shared" si="411"/>
        <v>0</v>
      </c>
      <c r="AX328" s="174">
        <f t="shared" si="411"/>
        <v>0</v>
      </c>
      <c r="AY328" s="174">
        <f t="shared" si="411"/>
        <v>0</v>
      </c>
      <c r="AZ328" s="174">
        <f t="shared" si="411"/>
        <v>0</v>
      </c>
      <c r="BA328" s="174">
        <f t="shared" si="411"/>
        <v>0</v>
      </c>
      <c r="BB328" s="174">
        <f t="shared" si="411"/>
        <v>0</v>
      </c>
      <c r="BC328" s="174">
        <f t="shared" si="411"/>
        <v>0</v>
      </c>
      <c r="BD328" s="174">
        <f t="shared" si="411"/>
        <v>0</v>
      </c>
      <c r="BE328" s="174">
        <f t="shared" si="411"/>
        <v>0</v>
      </c>
      <c r="BF328" s="174">
        <f t="shared" si="411"/>
        <v>0</v>
      </c>
      <c r="BG328" s="174">
        <f t="shared" si="411"/>
        <v>0</v>
      </c>
      <c r="BH328" s="174">
        <f t="shared" si="411"/>
        <v>0</v>
      </c>
      <c r="BI328" s="174">
        <f t="shared" si="411"/>
        <v>0</v>
      </c>
      <c r="BJ328" s="174">
        <f t="shared" si="411"/>
        <v>0</v>
      </c>
      <c r="BK328" s="174">
        <f t="shared" si="411"/>
        <v>0</v>
      </c>
      <c r="BL328" s="174">
        <f t="shared" si="411"/>
        <v>0</v>
      </c>
      <c r="BM328" s="174">
        <f t="shared" si="411"/>
        <v>0</v>
      </c>
      <c r="BN328" s="174">
        <f t="shared" si="411"/>
        <v>0</v>
      </c>
      <c r="BO328" s="174">
        <f>+SUM(BO311,BO315,BO320)</f>
        <v>0</v>
      </c>
      <c r="BP328" s="174">
        <f t="shared" si="411"/>
        <v>0</v>
      </c>
      <c r="BQ328" s="174">
        <f t="shared" si="411"/>
        <v>0</v>
      </c>
      <c r="BR328" s="174">
        <f t="shared" si="411"/>
        <v>0</v>
      </c>
      <c r="BS328" s="174">
        <f t="shared" si="411"/>
        <v>0</v>
      </c>
      <c r="BT328" s="174">
        <f t="shared" si="411"/>
        <v>0</v>
      </c>
      <c r="BU328" s="174">
        <f t="shared" ref="BU328:CZ328" si="412">+SUM(BU311,BU315,BU320)</f>
        <v>0</v>
      </c>
      <c r="BV328" s="174">
        <f t="shared" si="412"/>
        <v>0</v>
      </c>
      <c r="BW328" s="174">
        <f t="shared" si="412"/>
        <v>62.63901428736871</v>
      </c>
      <c r="BX328" s="174">
        <f t="shared" si="412"/>
        <v>31.237982563468666</v>
      </c>
      <c r="BY328" s="174">
        <f t="shared" si="412"/>
        <v>0</v>
      </c>
      <c r="BZ328" s="174">
        <f t="shared" si="412"/>
        <v>0</v>
      </c>
      <c r="CA328" s="174">
        <f t="shared" si="412"/>
        <v>64.493608561745646</v>
      </c>
      <c r="CB328" s="174">
        <f t="shared" si="412"/>
        <v>185.43998527563699</v>
      </c>
      <c r="CC328" s="174">
        <f t="shared" si="412"/>
        <v>309.34257501743139</v>
      </c>
      <c r="CD328" s="174">
        <f t="shared" si="412"/>
        <v>436.20137778712876</v>
      </c>
      <c r="CE328" s="174">
        <f t="shared" si="412"/>
        <v>566.01639358472892</v>
      </c>
      <c r="CF328" s="174">
        <f t="shared" si="412"/>
        <v>636.82346595951776</v>
      </c>
      <c r="CG328" s="174">
        <f t="shared" si="412"/>
        <v>636.82346595951776</v>
      </c>
      <c r="CH328" s="174">
        <f t="shared" si="412"/>
        <v>636.82346595951776</v>
      </c>
      <c r="CI328" s="174">
        <f t="shared" si="412"/>
        <v>636.82346595951776</v>
      </c>
      <c r="CJ328" s="174">
        <f t="shared" si="412"/>
        <v>636.82346595951776</v>
      </c>
      <c r="CK328" s="174">
        <f t="shared" si="412"/>
        <v>636.82346595951776</v>
      </c>
      <c r="CL328" s="174">
        <f t="shared" si="412"/>
        <v>636.82346595951776</v>
      </c>
      <c r="CM328" s="174">
        <f t="shared" si="412"/>
        <v>636.82346595951776</v>
      </c>
      <c r="CN328" s="174">
        <f t="shared" si="412"/>
        <v>636.82346595951776</v>
      </c>
      <c r="CO328" s="174">
        <f t="shared" si="412"/>
        <v>636.82346595951776</v>
      </c>
      <c r="CP328" s="174">
        <f t="shared" si="412"/>
        <v>636.82346595951776</v>
      </c>
      <c r="CQ328" s="174">
        <f t="shared" si="412"/>
        <v>636.82346595951776</v>
      </c>
      <c r="CR328" s="174">
        <f t="shared" si="412"/>
        <v>636.82346595951776</v>
      </c>
      <c r="CS328" s="174">
        <f t="shared" si="412"/>
        <v>636.82346595951776</v>
      </c>
      <c r="CT328" s="174">
        <f t="shared" si="412"/>
        <v>636.82346595951776</v>
      </c>
      <c r="CU328" s="174">
        <f t="shared" si="412"/>
        <v>636.82346595951776</v>
      </c>
      <c r="CV328" s="174">
        <f t="shared" si="412"/>
        <v>636.82346595951776</v>
      </c>
      <c r="CW328" s="174">
        <f t="shared" si="412"/>
        <v>636.82346595951776</v>
      </c>
      <c r="CX328" s="174">
        <f t="shared" si="412"/>
        <v>636.82346595951776</v>
      </c>
      <c r="CY328" s="174">
        <f t="shared" si="412"/>
        <v>636.82346595951776</v>
      </c>
      <c r="CZ328" s="174">
        <f t="shared" si="412"/>
        <v>636.82346595951776</v>
      </c>
      <c r="DA328" s="174">
        <f t="shared" ref="DA328:DY328" si="413">+SUM(DA311,DA315,DA320)</f>
        <v>636.82346595951776</v>
      </c>
      <c r="DB328" s="174">
        <f t="shared" si="413"/>
        <v>636.82346595951776</v>
      </c>
      <c r="DC328" s="174">
        <f t="shared" si="413"/>
        <v>636.82346595951776</v>
      </c>
      <c r="DD328" s="174">
        <f t="shared" si="413"/>
        <v>636.82346595951776</v>
      </c>
      <c r="DE328" s="174">
        <f t="shared" si="413"/>
        <v>636.82346595951776</v>
      </c>
      <c r="DF328" s="174">
        <f t="shared" si="413"/>
        <v>636.82346595951776</v>
      </c>
      <c r="DG328" s="174">
        <f t="shared" si="413"/>
        <v>636.82346595951776</v>
      </c>
      <c r="DH328" s="174">
        <f t="shared" si="413"/>
        <v>636.82346595951776</v>
      </c>
      <c r="DI328" s="174">
        <f t="shared" si="413"/>
        <v>636.82346595951776</v>
      </c>
      <c r="DJ328" s="174">
        <f t="shared" si="413"/>
        <v>636.82346595951776</v>
      </c>
      <c r="DK328" s="174">
        <f t="shared" si="413"/>
        <v>636.82346595951776</v>
      </c>
      <c r="DL328" s="174">
        <f t="shared" si="413"/>
        <v>636.82346595951776</v>
      </c>
      <c r="DM328" s="174">
        <f t="shared" si="413"/>
        <v>636.82346595951776</v>
      </c>
      <c r="DN328" s="174">
        <f t="shared" si="413"/>
        <v>636.82346595951776</v>
      </c>
      <c r="DO328" s="174">
        <f t="shared" si="413"/>
        <v>636.82346595951776</v>
      </c>
      <c r="DP328" s="174">
        <f t="shared" si="413"/>
        <v>636.82346595951776</v>
      </c>
      <c r="DQ328" s="174">
        <f t="shared" si="413"/>
        <v>636.82346595951776</v>
      </c>
      <c r="DR328" s="174">
        <f t="shared" si="413"/>
        <v>636.82346595951776</v>
      </c>
      <c r="DS328" s="174">
        <f t="shared" si="413"/>
        <v>636.82346595951776</v>
      </c>
      <c r="DT328" s="174">
        <f t="shared" si="413"/>
        <v>636.82346595951776</v>
      </c>
      <c r="DU328" s="174">
        <f t="shared" si="413"/>
        <v>636.82346595951776</v>
      </c>
      <c r="DV328" s="174">
        <f t="shared" si="413"/>
        <v>636.82346595951776</v>
      </c>
      <c r="DW328" s="174">
        <f t="shared" si="413"/>
        <v>636.82346595951776</v>
      </c>
      <c r="DX328" s="174">
        <f t="shared" si="413"/>
        <v>636.82346595951776</v>
      </c>
      <c r="DY328" s="174">
        <f t="shared" si="413"/>
        <v>636.82346595951776</v>
      </c>
    </row>
    <row r="329" spans="1:129" s="3" customFormat="1" ht="11.7" customHeight="1" outlineLevel="1" thickTop="1" x14ac:dyDescent="0.3">
      <c r="A329" s="85"/>
      <c r="B329" s="198" t="s">
        <v>595</v>
      </c>
      <c r="C329" s="198"/>
      <c r="D329" s="167"/>
      <c r="E329" s="167"/>
      <c r="F329" s="74"/>
      <c r="G329" s="74"/>
      <c r="H329" s="896"/>
      <c r="I329" s="713">
        <f t="shared" ref="I329:BG329" si="414">+I328+I324+I323</f>
        <v>0</v>
      </c>
      <c r="J329" s="713">
        <f t="shared" si="414"/>
        <v>0</v>
      </c>
      <c r="K329" s="713">
        <f t="shared" si="414"/>
        <v>0</v>
      </c>
      <c r="L329" s="713">
        <f t="shared" si="414"/>
        <v>0</v>
      </c>
      <c r="M329" s="713">
        <f t="shared" si="414"/>
        <v>0</v>
      </c>
      <c r="N329" s="713">
        <f t="shared" si="414"/>
        <v>0</v>
      </c>
      <c r="O329" s="713">
        <f t="shared" si="414"/>
        <v>0</v>
      </c>
      <c r="P329" s="713">
        <f t="shared" si="414"/>
        <v>0</v>
      </c>
      <c r="Q329" s="713">
        <f t="shared" si="414"/>
        <v>0</v>
      </c>
      <c r="R329" s="713">
        <f t="shared" si="414"/>
        <v>0</v>
      </c>
      <c r="S329" s="713">
        <f t="shared" si="414"/>
        <v>0</v>
      </c>
      <c r="T329" s="713">
        <f t="shared" si="414"/>
        <v>0</v>
      </c>
      <c r="U329" s="713">
        <f t="shared" si="414"/>
        <v>0</v>
      </c>
      <c r="V329" s="713">
        <f t="shared" si="414"/>
        <v>0</v>
      </c>
      <c r="W329" s="713">
        <f t="shared" si="414"/>
        <v>0</v>
      </c>
      <c r="X329" s="713">
        <f t="shared" si="414"/>
        <v>0</v>
      </c>
      <c r="Y329" s="713">
        <f t="shared" si="414"/>
        <v>0</v>
      </c>
      <c r="Z329" s="713">
        <f t="shared" si="414"/>
        <v>0</v>
      </c>
      <c r="AA329" s="713">
        <f t="shared" si="414"/>
        <v>0</v>
      </c>
      <c r="AB329" s="713">
        <f t="shared" si="414"/>
        <v>0</v>
      </c>
      <c r="AC329" s="713">
        <f t="shared" si="414"/>
        <v>0</v>
      </c>
      <c r="AD329" s="713">
        <f t="shared" si="414"/>
        <v>0</v>
      </c>
      <c r="AE329" s="713">
        <f t="shared" si="414"/>
        <v>0</v>
      </c>
      <c r="AF329" s="713">
        <f t="shared" si="414"/>
        <v>0</v>
      </c>
      <c r="AG329" s="713">
        <f t="shared" si="414"/>
        <v>0</v>
      </c>
      <c r="AH329" s="713">
        <f t="shared" si="414"/>
        <v>0</v>
      </c>
      <c r="AI329" s="713">
        <f t="shared" si="414"/>
        <v>0</v>
      </c>
      <c r="AJ329" s="713">
        <f t="shared" si="414"/>
        <v>0</v>
      </c>
      <c r="AK329" s="713">
        <f t="shared" si="414"/>
        <v>0</v>
      </c>
      <c r="AL329" s="713">
        <f t="shared" si="414"/>
        <v>0</v>
      </c>
      <c r="AM329" s="713">
        <f t="shared" si="414"/>
        <v>0</v>
      </c>
      <c r="AN329" s="713">
        <f t="shared" si="414"/>
        <v>0</v>
      </c>
      <c r="AO329" s="713">
        <f t="shared" si="414"/>
        <v>0</v>
      </c>
      <c r="AP329" s="713">
        <f t="shared" si="414"/>
        <v>0</v>
      </c>
      <c r="AQ329" s="713">
        <f t="shared" si="414"/>
        <v>0</v>
      </c>
      <c r="AR329" s="713">
        <f t="shared" si="414"/>
        <v>0</v>
      </c>
      <c r="AS329" s="713">
        <f t="shared" si="414"/>
        <v>0</v>
      </c>
      <c r="AT329" s="713">
        <f t="shared" si="414"/>
        <v>0</v>
      </c>
      <c r="AU329" s="713">
        <f t="shared" si="414"/>
        <v>0</v>
      </c>
      <c r="AV329" s="713">
        <f t="shared" si="414"/>
        <v>0</v>
      </c>
      <c r="AW329" s="713">
        <f t="shared" si="414"/>
        <v>0</v>
      </c>
      <c r="AX329" s="713">
        <f t="shared" si="414"/>
        <v>0</v>
      </c>
      <c r="AY329" s="713">
        <f t="shared" si="414"/>
        <v>0</v>
      </c>
      <c r="AZ329" s="713">
        <f t="shared" si="414"/>
        <v>0</v>
      </c>
      <c r="BA329" s="713">
        <f t="shared" si="414"/>
        <v>0</v>
      </c>
      <c r="BB329" s="713">
        <f t="shared" si="414"/>
        <v>0</v>
      </c>
      <c r="BC329" s="713">
        <f t="shared" si="414"/>
        <v>0</v>
      </c>
      <c r="BD329" s="713">
        <f t="shared" si="414"/>
        <v>0</v>
      </c>
      <c r="BE329" s="713">
        <f t="shared" si="414"/>
        <v>0</v>
      </c>
      <c r="BF329" s="713">
        <f t="shared" si="414"/>
        <v>0</v>
      </c>
      <c r="BG329" s="713">
        <f t="shared" si="414"/>
        <v>0</v>
      </c>
      <c r="BH329" s="713">
        <f>+BH328+BH324+BH323</f>
        <v>0</v>
      </c>
      <c r="BI329" s="713">
        <f t="shared" ref="BI329:DT329" si="415">+BI328+BI324+BI323</f>
        <v>0</v>
      </c>
      <c r="BJ329" s="713">
        <f t="shared" si="415"/>
        <v>0</v>
      </c>
      <c r="BK329" s="713">
        <f t="shared" si="415"/>
        <v>0</v>
      </c>
      <c r="BL329" s="713">
        <f t="shared" si="415"/>
        <v>0</v>
      </c>
      <c r="BM329" s="713">
        <f t="shared" si="415"/>
        <v>0</v>
      </c>
      <c r="BN329" s="713">
        <f t="shared" si="415"/>
        <v>0</v>
      </c>
      <c r="BO329" s="713">
        <f t="shared" si="415"/>
        <v>0</v>
      </c>
      <c r="BP329" s="713">
        <f t="shared" si="415"/>
        <v>0</v>
      </c>
      <c r="BQ329" s="713">
        <f t="shared" si="415"/>
        <v>0</v>
      </c>
      <c r="BR329" s="713">
        <f t="shared" si="415"/>
        <v>0</v>
      </c>
      <c r="BS329" s="713">
        <f t="shared" si="415"/>
        <v>0</v>
      </c>
      <c r="BT329" s="713">
        <f t="shared" si="415"/>
        <v>0</v>
      </c>
      <c r="BU329" s="713">
        <f t="shared" si="415"/>
        <v>0</v>
      </c>
      <c r="BV329" s="713">
        <f t="shared" si="415"/>
        <v>0</v>
      </c>
      <c r="BW329" s="713">
        <f t="shared" si="415"/>
        <v>62.63901428736871</v>
      </c>
      <c r="BX329" s="713">
        <f t="shared" si="415"/>
        <v>31.237982563468666</v>
      </c>
      <c r="BY329" s="713">
        <f t="shared" si="415"/>
        <v>0</v>
      </c>
      <c r="BZ329" s="713">
        <f t="shared" si="415"/>
        <v>0</v>
      </c>
      <c r="CA329" s="713">
        <f t="shared" si="415"/>
        <v>53.732642047650756</v>
      </c>
      <c r="CB329" s="713">
        <f t="shared" si="415"/>
        <v>166.54951042820875</v>
      </c>
      <c r="CC329" s="713">
        <f t="shared" si="415"/>
        <v>282.3225918366698</v>
      </c>
      <c r="CD329" s="713">
        <f t="shared" si="415"/>
        <v>401.05188627303392</v>
      </c>
      <c r="CE329" s="713">
        <f t="shared" si="415"/>
        <v>522.73739373730064</v>
      </c>
      <c r="CF329" s="713">
        <f t="shared" si="415"/>
        <v>589.26584220951781</v>
      </c>
      <c r="CG329" s="713">
        <f t="shared" si="415"/>
        <v>589.26584220951781</v>
      </c>
      <c r="CH329" s="713">
        <f t="shared" si="415"/>
        <v>589.26584220951781</v>
      </c>
      <c r="CI329" s="713">
        <f t="shared" si="415"/>
        <v>589.26584220951781</v>
      </c>
      <c r="CJ329" s="713">
        <f t="shared" si="415"/>
        <v>589.26584220951781</v>
      </c>
      <c r="CK329" s="713">
        <f t="shared" si="415"/>
        <v>589.26584220951781</v>
      </c>
      <c r="CL329" s="713">
        <f t="shared" si="415"/>
        <v>589.26584220951781</v>
      </c>
      <c r="CM329" s="713">
        <f t="shared" si="415"/>
        <v>589.26584220951781</v>
      </c>
      <c r="CN329" s="713">
        <f t="shared" si="415"/>
        <v>589.26584220951781</v>
      </c>
      <c r="CO329" s="713">
        <f t="shared" si="415"/>
        <v>589.26584220951781</v>
      </c>
      <c r="CP329" s="713">
        <f t="shared" si="415"/>
        <v>589.26584220951781</v>
      </c>
      <c r="CQ329" s="713">
        <f t="shared" si="415"/>
        <v>589.26584220951781</v>
      </c>
      <c r="CR329" s="713">
        <f t="shared" si="415"/>
        <v>589.26584220951781</v>
      </c>
      <c r="CS329" s="713">
        <f t="shared" si="415"/>
        <v>589.26584220951781</v>
      </c>
      <c r="CT329" s="713">
        <f t="shared" si="415"/>
        <v>589.26584220951781</v>
      </c>
      <c r="CU329" s="713">
        <f t="shared" si="415"/>
        <v>589.26584220951781</v>
      </c>
      <c r="CV329" s="713">
        <f t="shared" si="415"/>
        <v>589.26584220951781</v>
      </c>
      <c r="CW329" s="713">
        <f t="shared" si="415"/>
        <v>589.26584220951781</v>
      </c>
      <c r="CX329" s="713">
        <f t="shared" si="415"/>
        <v>589.26584220951781</v>
      </c>
      <c r="CY329" s="713">
        <f t="shared" si="415"/>
        <v>589.26584220951781</v>
      </c>
      <c r="CZ329" s="713">
        <f t="shared" si="415"/>
        <v>589.26584220951781</v>
      </c>
      <c r="DA329" s="713">
        <f t="shared" si="415"/>
        <v>589.26584220951781</v>
      </c>
      <c r="DB329" s="713">
        <f t="shared" si="415"/>
        <v>589.26584220951781</v>
      </c>
      <c r="DC329" s="713">
        <f t="shared" si="415"/>
        <v>589.26584220951781</v>
      </c>
      <c r="DD329" s="713">
        <f t="shared" si="415"/>
        <v>589.26584220951781</v>
      </c>
      <c r="DE329" s="713">
        <f t="shared" si="415"/>
        <v>589.26584220951781</v>
      </c>
      <c r="DF329" s="713">
        <f t="shared" si="415"/>
        <v>589.26584220951781</v>
      </c>
      <c r="DG329" s="713">
        <f t="shared" si="415"/>
        <v>589.26584220951781</v>
      </c>
      <c r="DH329" s="713">
        <f t="shared" si="415"/>
        <v>589.26584220951781</v>
      </c>
      <c r="DI329" s="713">
        <f t="shared" si="415"/>
        <v>589.26584220951781</v>
      </c>
      <c r="DJ329" s="713">
        <f t="shared" si="415"/>
        <v>589.26584220951781</v>
      </c>
      <c r="DK329" s="713">
        <f t="shared" si="415"/>
        <v>589.26584220951781</v>
      </c>
      <c r="DL329" s="713">
        <f t="shared" si="415"/>
        <v>589.26584220951781</v>
      </c>
      <c r="DM329" s="713">
        <f t="shared" si="415"/>
        <v>589.26584220951781</v>
      </c>
      <c r="DN329" s="713">
        <f t="shared" si="415"/>
        <v>589.26584220951781</v>
      </c>
      <c r="DO329" s="713">
        <f t="shared" si="415"/>
        <v>589.26584220951781</v>
      </c>
      <c r="DP329" s="713">
        <f t="shared" si="415"/>
        <v>589.26584220951781</v>
      </c>
      <c r="DQ329" s="713">
        <f t="shared" si="415"/>
        <v>589.26584220951781</v>
      </c>
      <c r="DR329" s="713">
        <f t="shared" si="415"/>
        <v>589.26584220951781</v>
      </c>
      <c r="DS329" s="713">
        <f t="shared" si="415"/>
        <v>589.26584220951781</v>
      </c>
      <c r="DT329" s="713">
        <f t="shared" si="415"/>
        <v>589.26584220951781</v>
      </c>
      <c r="DU329" s="713">
        <f t="shared" ref="DU329:DY329" si="416">+DU328+DU324+DU323</f>
        <v>589.26584220951781</v>
      </c>
      <c r="DV329" s="713">
        <f t="shared" si="416"/>
        <v>589.26584220951781</v>
      </c>
      <c r="DW329" s="713">
        <f t="shared" si="416"/>
        <v>589.26584220951781</v>
      </c>
      <c r="DX329" s="713">
        <f t="shared" si="416"/>
        <v>589.26584220951781</v>
      </c>
      <c r="DY329" s="713">
        <f t="shared" si="416"/>
        <v>589.26584220951781</v>
      </c>
    </row>
    <row r="330" spans="1:129" s="3" customFormat="1" ht="11.7" customHeight="1" outlineLevel="1" x14ac:dyDescent="0.3">
      <c r="A330" s="85"/>
      <c r="B330" s="198" t="s">
        <v>119</v>
      </c>
      <c r="C330" s="198"/>
      <c r="D330" s="162"/>
      <c r="E330" s="162"/>
      <c r="F330" s="162"/>
      <c r="G330" s="74"/>
      <c r="H330" s="74"/>
      <c r="I330" s="327">
        <f t="shared" ref="I330:AN330" si="417">+IFERROR(I328/I311,0)</f>
        <v>0</v>
      </c>
      <c r="J330" s="327">
        <f t="shared" si="417"/>
        <v>0</v>
      </c>
      <c r="K330" s="327">
        <f t="shared" si="417"/>
        <v>0</v>
      </c>
      <c r="L330" s="327">
        <f t="shared" si="417"/>
        <v>0</v>
      </c>
      <c r="M330" s="327">
        <f t="shared" si="417"/>
        <v>0</v>
      </c>
      <c r="N330" s="327">
        <f t="shared" si="417"/>
        <v>0</v>
      </c>
      <c r="O330" s="327">
        <f t="shared" si="417"/>
        <v>0</v>
      </c>
      <c r="P330" s="327">
        <f t="shared" si="417"/>
        <v>0</v>
      </c>
      <c r="Q330" s="327">
        <f t="shared" si="417"/>
        <v>0</v>
      </c>
      <c r="R330" s="327">
        <f t="shared" si="417"/>
        <v>0</v>
      </c>
      <c r="S330" s="327">
        <f t="shared" si="417"/>
        <v>0</v>
      </c>
      <c r="T330" s="327">
        <f t="shared" si="417"/>
        <v>0</v>
      </c>
      <c r="U330" s="327">
        <f t="shared" si="417"/>
        <v>0</v>
      </c>
      <c r="V330" s="327">
        <f t="shared" si="417"/>
        <v>0</v>
      </c>
      <c r="W330" s="327">
        <f t="shared" si="417"/>
        <v>0</v>
      </c>
      <c r="X330" s="327">
        <f t="shared" si="417"/>
        <v>0</v>
      </c>
      <c r="Y330" s="327">
        <f t="shared" si="417"/>
        <v>0</v>
      </c>
      <c r="Z330" s="327">
        <f t="shared" si="417"/>
        <v>0</v>
      </c>
      <c r="AA330" s="327">
        <f t="shared" si="417"/>
        <v>0</v>
      </c>
      <c r="AB330" s="327">
        <f t="shared" si="417"/>
        <v>0</v>
      </c>
      <c r="AC330" s="327">
        <f t="shared" si="417"/>
        <v>0</v>
      </c>
      <c r="AD330" s="327">
        <f t="shared" si="417"/>
        <v>0</v>
      </c>
      <c r="AE330" s="327">
        <f t="shared" si="417"/>
        <v>0</v>
      </c>
      <c r="AF330" s="327">
        <f t="shared" si="417"/>
        <v>0</v>
      </c>
      <c r="AG330" s="327">
        <f t="shared" si="417"/>
        <v>0</v>
      </c>
      <c r="AH330" s="327">
        <f t="shared" si="417"/>
        <v>0</v>
      </c>
      <c r="AI330" s="327">
        <f t="shared" si="417"/>
        <v>0</v>
      </c>
      <c r="AJ330" s="327">
        <f t="shared" si="417"/>
        <v>0</v>
      </c>
      <c r="AK330" s="327">
        <f t="shared" si="417"/>
        <v>0</v>
      </c>
      <c r="AL330" s="327">
        <f t="shared" si="417"/>
        <v>0</v>
      </c>
      <c r="AM330" s="327">
        <f t="shared" si="417"/>
        <v>0</v>
      </c>
      <c r="AN330" s="327">
        <f t="shared" si="417"/>
        <v>0</v>
      </c>
      <c r="AO330" s="327">
        <f t="shared" ref="AO330:BT330" si="418">+IFERROR(AO328/AO311,0)</f>
        <v>0</v>
      </c>
      <c r="AP330" s="327">
        <f t="shared" si="418"/>
        <v>0</v>
      </c>
      <c r="AQ330" s="327">
        <f t="shared" si="418"/>
        <v>0</v>
      </c>
      <c r="AR330" s="327">
        <f t="shared" si="418"/>
        <v>0</v>
      </c>
      <c r="AS330" s="327">
        <f t="shared" si="418"/>
        <v>0</v>
      </c>
      <c r="AT330" s="327">
        <f t="shared" si="418"/>
        <v>0</v>
      </c>
      <c r="AU330" s="327">
        <f t="shared" si="418"/>
        <v>0</v>
      </c>
      <c r="AV330" s="327">
        <f t="shared" si="418"/>
        <v>0</v>
      </c>
      <c r="AW330" s="327">
        <f t="shared" si="418"/>
        <v>0</v>
      </c>
      <c r="AX330" s="327">
        <f t="shared" si="418"/>
        <v>0</v>
      </c>
      <c r="AY330" s="327">
        <f t="shared" si="418"/>
        <v>0</v>
      </c>
      <c r="AZ330" s="327">
        <f t="shared" si="418"/>
        <v>0</v>
      </c>
      <c r="BA330" s="327">
        <f t="shared" si="418"/>
        <v>0</v>
      </c>
      <c r="BB330" s="327">
        <f t="shared" si="418"/>
        <v>0</v>
      </c>
      <c r="BC330" s="327">
        <f t="shared" si="418"/>
        <v>0</v>
      </c>
      <c r="BD330" s="327">
        <f t="shared" si="418"/>
        <v>0</v>
      </c>
      <c r="BE330" s="327">
        <f t="shared" si="418"/>
        <v>0</v>
      </c>
      <c r="BF330" s="327">
        <f t="shared" si="418"/>
        <v>0</v>
      </c>
      <c r="BG330" s="327">
        <f t="shared" si="418"/>
        <v>0</v>
      </c>
      <c r="BH330" s="327">
        <f t="shared" si="418"/>
        <v>0</v>
      </c>
      <c r="BI330" s="327">
        <f t="shared" si="418"/>
        <v>0</v>
      </c>
      <c r="BJ330" s="327">
        <f t="shared" si="418"/>
        <v>0</v>
      </c>
      <c r="BK330" s="327">
        <f t="shared" si="418"/>
        <v>0</v>
      </c>
      <c r="BL330" s="327">
        <f t="shared" si="418"/>
        <v>0</v>
      </c>
      <c r="BM330" s="327">
        <f t="shared" si="418"/>
        <v>0</v>
      </c>
      <c r="BN330" s="327">
        <f t="shared" si="418"/>
        <v>0</v>
      </c>
      <c r="BO330" s="327">
        <f t="shared" si="418"/>
        <v>0</v>
      </c>
      <c r="BP330" s="327">
        <f t="shared" si="418"/>
        <v>0</v>
      </c>
      <c r="BQ330" s="327">
        <f t="shared" si="418"/>
        <v>0</v>
      </c>
      <c r="BR330" s="327">
        <f t="shared" si="418"/>
        <v>0</v>
      </c>
      <c r="BS330" s="327">
        <f t="shared" si="418"/>
        <v>0</v>
      </c>
      <c r="BT330" s="327">
        <f t="shared" si="418"/>
        <v>0</v>
      </c>
      <c r="BU330" s="327">
        <f t="shared" ref="BU330:CZ330" si="419">+IFERROR(BU328/BU311,0)</f>
        <v>0</v>
      </c>
      <c r="BV330" s="327">
        <f t="shared" si="419"/>
        <v>0</v>
      </c>
      <c r="BW330" s="327">
        <f t="shared" si="419"/>
        <v>1</v>
      </c>
      <c r="BX330" s="327">
        <f t="shared" si="419"/>
        <v>1</v>
      </c>
      <c r="BY330" s="327">
        <f t="shared" si="419"/>
        <v>0</v>
      </c>
      <c r="BZ330" s="327">
        <f t="shared" si="419"/>
        <v>0</v>
      </c>
      <c r="CA330" s="327">
        <f t="shared" si="419"/>
        <v>0.4146183546365092</v>
      </c>
      <c r="CB330" s="327">
        <f t="shared" si="419"/>
        <v>0.67067943075538172</v>
      </c>
      <c r="CC330" s="327">
        <f t="shared" si="419"/>
        <v>0.77258713472966045</v>
      </c>
      <c r="CD330" s="327">
        <f t="shared" si="419"/>
        <v>0.82730299098737681</v>
      </c>
      <c r="CE330" s="327">
        <f t="shared" si="419"/>
        <v>0.86142202348663499</v>
      </c>
      <c r="CF330" s="327">
        <f t="shared" si="419"/>
        <v>0.87490269574708968</v>
      </c>
      <c r="CG330" s="327">
        <f t="shared" si="419"/>
        <v>0.87490269574708968</v>
      </c>
      <c r="CH330" s="327">
        <f t="shared" si="419"/>
        <v>0.87490269574708968</v>
      </c>
      <c r="CI330" s="327">
        <f t="shared" si="419"/>
        <v>0.87490269574708968</v>
      </c>
      <c r="CJ330" s="327">
        <f t="shared" si="419"/>
        <v>0.87490269574708968</v>
      </c>
      <c r="CK330" s="327">
        <f t="shared" si="419"/>
        <v>0.87490269574708968</v>
      </c>
      <c r="CL330" s="327">
        <f t="shared" si="419"/>
        <v>0.87490269574708968</v>
      </c>
      <c r="CM330" s="327">
        <f t="shared" si="419"/>
        <v>0.87490269574708968</v>
      </c>
      <c r="CN330" s="327">
        <f t="shared" si="419"/>
        <v>0.87490269574708968</v>
      </c>
      <c r="CO330" s="327">
        <f t="shared" si="419"/>
        <v>0.87490269574708968</v>
      </c>
      <c r="CP330" s="327">
        <f t="shared" si="419"/>
        <v>0.87490269574708968</v>
      </c>
      <c r="CQ330" s="327">
        <f t="shared" si="419"/>
        <v>0.87490269574708968</v>
      </c>
      <c r="CR330" s="327">
        <f t="shared" si="419"/>
        <v>0.87490269574708968</v>
      </c>
      <c r="CS330" s="327">
        <f t="shared" si="419"/>
        <v>0.87490269574708968</v>
      </c>
      <c r="CT330" s="327">
        <f t="shared" si="419"/>
        <v>0.87490269574708968</v>
      </c>
      <c r="CU330" s="327">
        <f t="shared" si="419"/>
        <v>0.87490269574708968</v>
      </c>
      <c r="CV330" s="327">
        <f t="shared" si="419"/>
        <v>0.87490269574708968</v>
      </c>
      <c r="CW330" s="327">
        <f t="shared" si="419"/>
        <v>0.87490269574708968</v>
      </c>
      <c r="CX330" s="327">
        <f t="shared" si="419"/>
        <v>0.87490269574708968</v>
      </c>
      <c r="CY330" s="327">
        <f t="shared" si="419"/>
        <v>0.87490269574708968</v>
      </c>
      <c r="CZ330" s="327">
        <f t="shared" si="419"/>
        <v>0.87490269574708968</v>
      </c>
      <c r="DA330" s="327">
        <f t="shared" ref="DA330:DY330" si="420">+IFERROR(DA328/DA311,0)</f>
        <v>0.87490269574708968</v>
      </c>
      <c r="DB330" s="327">
        <f t="shared" si="420"/>
        <v>0.87490269574708968</v>
      </c>
      <c r="DC330" s="327">
        <f t="shared" si="420"/>
        <v>0.87490269574708968</v>
      </c>
      <c r="DD330" s="327">
        <f t="shared" si="420"/>
        <v>0.87490269574708968</v>
      </c>
      <c r="DE330" s="327">
        <f t="shared" si="420"/>
        <v>0.87490269574708968</v>
      </c>
      <c r="DF330" s="327">
        <f t="shared" si="420"/>
        <v>0.87490269574708968</v>
      </c>
      <c r="DG330" s="327">
        <f t="shared" si="420"/>
        <v>0.87490269574708968</v>
      </c>
      <c r="DH330" s="327">
        <f t="shared" si="420"/>
        <v>0.87490269574708968</v>
      </c>
      <c r="DI330" s="327">
        <f t="shared" si="420"/>
        <v>0.87490269574708968</v>
      </c>
      <c r="DJ330" s="327">
        <f t="shared" si="420"/>
        <v>0.87490269574708968</v>
      </c>
      <c r="DK330" s="327">
        <f t="shared" si="420"/>
        <v>0.87490269574708968</v>
      </c>
      <c r="DL330" s="327">
        <f t="shared" si="420"/>
        <v>0.87490269574708968</v>
      </c>
      <c r="DM330" s="327">
        <f t="shared" si="420"/>
        <v>0.87490269574708968</v>
      </c>
      <c r="DN330" s="327">
        <f t="shared" si="420"/>
        <v>0.87490269574708968</v>
      </c>
      <c r="DO330" s="327">
        <f t="shared" si="420"/>
        <v>0.87490269574708968</v>
      </c>
      <c r="DP330" s="327">
        <f t="shared" si="420"/>
        <v>0.87490269574708968</v>
      </c>
      <c r="DQ330" s="327">
        <f t="shared" si="420"/>
        <v>0.87490269574708968</v>
      </c>
      <c r="DR330" s="327">
        <f t="shared" si="420"/>
        <v>0.87490269574708968</v>
      </c>
      <c r="DS330" s="327">
        <f t="shared" si="420"/>
        <v>0.87490269574708968</v>
      </c>
      <c r="DT330" s="327">
        <f t="shared" si="420"/>
        <v>0.87490269574708968</v>
      </c>
      <c r="DU330" s="327">
        <f t="shared" si="420"/>
        <v>0.87490269574708968</v>
      </c>
      <c r="DV330" s="327">
        <f t="shared" si="420"/>
        <v>0.87490269574708968</v>
      </c>
      <c r="DW330" s="327">
        <f t="shared" si="420"/>
        <v>0.87490269574708968</v>
      </c>
      <c r="DX330" s="327">
        <f t="shared" si="420"/>
        <v>0.87490269574708968</v>
      </c>
      <c r="DY330" s="327">
        <f t="shared" si="420"/>
        <v>0.87490269574708968</v>
      </c>
    </row>
    <row r="331" spans="1:129" s="3" customFormat="1" ht="11.7" customHeight="1" outlineLevel="1" x14ac:dyDescent="0.3">
      <c r="A331" s="85"/>
      <c r="B331" s="198" t="s">
        <v>171</v>
      </c>
      <c r="C331" s="198"/>
      <c r="G331" s="127"/>
      <c r="H331" s="127"/>
      <c r="I331" s="713">
        <f t="shared" ref="I331" si="421">+SUM(J328:U328)</f>
        <v>0</v>
      </c>
      <c r="J331" s="713">
        <f>+SUM(K328:V328)</f>
        <v>0</v>
      </c>
      <c r="K331" s="713">
        <f t="shared" ref="K331:BV331" si="422">+SUM(L328:W328)</f>
        <v>0</v>
      </c>
      <c r="L331" s="713">
        <f t="shared" si="422"/>
        <v>0</v>
      </c>
      <c r="M331" s="713">
        <f t="shared" si="422"/>
        <v>0</v>
      </c>
      <c r="N331" s="713">
        <f t="shared" si="422"/>
        <v>0</v>
      </c>
      <c r="O331" s="713">
        <f t="shared" si="422"/>
        <v>0</v>
      </c>
      <c r="P331" s="713">
        <f t="shared" si="422"/>
        <v>0</v>
      </c>
      <c r="Q331" s="713">
        <f t="shared" si="422"/>
        <v>0</v>
      </c>
      <c r="R331" s="713">
        <f t="shared" si="422"/>
        <v>0</v>
      </c>
      <c r="S331" s="713">
        <f t="shared" si="422"/>
        <v>0</v>
      </c>
      <c r="T331" s="713">
        <f t="shared" si="422"/>
        <v>0</v>
      </c>
      <c r="U331" s="713">
        <f t="shared" si="422"/>
        <v>0</v>
      </c>
      <c r="V331" s="713">
        <f t="shared" si="422"/>
        <v>0</v>
      </c>
      <c r="W331" s="713">
        <f t="shared" si="422"/>
        <v>0</v>
      </c>
      <c r="X331" s="713">
        <f t="shared" si="422"/>
        <v>0</v>
      </c>
      <c r="Y331" s="713">
        <f t="shared" si="422"/>
        <v>0</v>
      </c>
      <c r="Z331" s="713">
        <f t="shared" si="422"/>
        <v>0</v>
      </c>
      <c r="AA331" s="713">
        <f t="shared" si="422"/>
        <v>0</v>
      </c>
      <c r="AB331" s="713">
        <f t="shared" si="422"/>
        <v>0</v>
      </c>
      <c r="AC331" s="713">
        <f t="shared" si="422"/>
        <v>0</v>
      </c>
      <c r="AD331" s="713">
        <f t="shared" si="422"/>
        <v>0</v>
      </c>
      <c r="AE331" s="713">
        <f t="shared" si="422"/>
        <v>0</v>
      </c>
      <c r="AF331" s="713">
        <f t="shared" si="422"/>
        <v>0</v>
      </c>
      <c r="AG331" s="713">
        <f t="shared" si="422"/>
        <v>0</v>
      </c>
      <c r="AH331" s="713">
        <f t="shared" si="422"/>
        <v>0</v>
      </c>
      <c r="AI331" s="713">
        <f t="shared" si="422"/>
        <v>0</v>
      </c>
      <c r="AJ331" s="713">
        <f t="shared" si="422"/>
        <v>0</v>
      </c>
      <c r="AK331" s="713">
        <f t="shared" si="422"/>
        <v>0</v>
      </c>
      <c r="AL331" s="713">
        <f t="shared" si="422"/>
        <v>0</v>
      </c>
      <c r="AM331" s="713">
        <f t="shared" si="422"/>
        <v>0</v>
      </c>
      <c r="AN331" s="713">
        <f t="shared" si="422"/>
        <v>0</v>
      </c>
      <c r="AO331" s="713">
        <f t="shared" si="422"/>
        <v>0</v>
      </c>
      <c r="AP331" s="713">
        <f t="shared" si="422"/>
        <v>0</v>
      </c>
      <c r="AQ331" s="713">
        <f t="shared" si="422"/>
        <v>0</v>
      </c>
      <c r="AR331" s="713">
        <f t="shared" si="422"/>
        <v>0</v>
      </c>
      <c r="AS331" s="713">
        <f t="shared" si="422"/>
        <v>0</v>
      </c>
      <c r="AT331" s="713">
        <f t="shared" si="422"/>
        <v>0</v>
      </c>
      <c r="AU331" s="713">
        <f t="shared" si="422"/>
        <v>0</v>
      </c>
      <c r="AV331" s="713">
        <f t="shared" si="422"/>
        <v>0</v>
      </c>
      <c r="AW331" s="713">
        <f t="shared" si="422"/>
        <v>0</v>
      </c>
      <c r="AX331" s="713">
        <f t="shared" si="422"/>
        <v>0</v>
      </c>
      <c r="AY331" s="713">
        <f t="shared" si="422"/>
        <v>0</v>
      </c>
      <c r="AZ331" s="713">
        <f t="shared" si="422"/>
        <v>0</v>
      </c>
      <c r="BA331" s="713">
        <f t="shared" si="422"/>
        <v>0</v>
      </c>
      <c r="BB331" s="713">
        <f t="shared" si="422"/>
        <v>0</v>
      </c>
      <c r="BC331" s="713">
        <f t="shared" si="422"/>
        <v>0</v>
      </c>
      <c r="BD331" s="713">
        <f t="shared" si="422"/>
        <v>0</v>
      </c>
      <c r="BE331" s="713">
        <f t="shared" si="422"/>
        <v>0</v>
      </c>
      <c r="BF331" s="713">
        <f t="shared" si="422"/>
        <v>0</v>
      </c>
      <c r="BG331" s="713">
        <f t="shared" si="422"/>
        <v>0</v>
      </c>
      <c r="BH331" s="713">
        <f t="shared" si="422"/>
        <v>0</v>
      </c>
      <c r="BI331" s="713">
        <f t="shared" si="422"/>
        <v>0</v>
      </c>
      <c r="BJ331" s="713">
        <f t="shared" si="422"/>
        <v>0</v>
      </c>
      <c r="BK331" s="713">
        <f t="shared" si="422"/>
        <v>62.63901428736871</v>
      </c>
      <c r="BL331" s="713">
        <f t="shared" si="422"/>
        <v>93.876996850837372</v>
      </c>
      <c r="BM331" s="713">
        <f t="shared" si="422"/>
        <v>93.876996850837372</v>
      </c>
      <c r="BN331" s="713">
        <f t="shared" si="422"/>
        <v>93.876996850837372</v>
      </c>
      <c r="BO331" s="713">
        <f t="shared" si="422"/>
        <v>158.37060541258302</v>
      </c>
      <c r="BP331" s="713">
        <f t="shared" si="422"/>
        <v>343.81059068822003</v>
      </c>
      <c r="BQ331" s="713">
        <f t="shared" si="422"/>
        <v>653.15316570565142</v>
      </c>
      <c r="BR331" s="713">
        <f t="shared" si="422"/>
        <v>1089.3545434927801</v>
      </c>
      <c r="BS331" s="713">
        <f t="shared" si="422"/>
        <v>1655.3709370775091</v>
      </c>
      <c r="BT331" s="713">
        <f t="shared" si="422"/>
        <v>2292.1944030370269</v>
      </c>
      <c r="BU331" s="713">
        <f t="shared" si="422"/>
        <v>2929.0178689965446</v>
      </c>
      <c r="BV331" s="713">
        <f t="shared" si="422"/>
        <v>3565.8413349560624</v>
      </c>
      <c r="BW331" s="713">
        <f t="shared" ref="BW331:DK331" si="423">+SUM(BX328:CI328)</f>
        <v>4140.0257866282118</v>
      </c>
      <c r="BX331" s="713">
        <f t="shared" si="423"/>
        <v>4745.6112700242611</v>
      </c>
      <c r="BY331" s="713">
        <f t="shared" si="423"/>
        <v>5382.4347359837793</v>
      </c>
      <c r="BZ331" s="713">
        <f t="shared" si="423"/>
        <v>6019.2582019432975</v>
      </c>
      <c r="CA331" s="713">
        <f t="shared" si="423"/>
        <v>6591.5880593410693</v>
      </c>
      <c r="CB331" s="713">
        <f t="shared" si="423"/>
        <v>7042.9715400249497</v>
      </c>
      <c r="CC331" s="713">
        <f t="shared" si="423"/>
        <v>7370.4524309670378</v>
      </c>
      <c r="CD331" s="713">
        <f t="shared" si="423"/>
        <v>7571.0745191394271</v>
      </c>
      <c r="CE331" s="713">
        <f t="shared" si="423"/>
        <v>7641.881591514215</v>
      </c>
      <c r="CF331" s="713">
        <f t="shared" si="423"/>
        <v>7641.881591514215</v>
      </c>
      <c r="CG331" s="713">
        <f t="shared" si="423"/>
        <v>7641.881591514215</v>
      </c>
      <c r="CH331" s="713">
        <f t="shared" si="423"/>
        <v>7641.881591514215</v>
      </c>
      <c r="CI331" s="713">
        <f t="shared" si="423"/>
        <v>7641.881591514215</v>
      </c>
      <c r="CJ331" s="713">
        <f t="shared" si="423"/>
        <v>7641.881591514215</v>
      </c>
      <c r="CK331" s="713">
        <f t="shared" si="423"/>
        <v>7641.881591514215</v>
      </c>
      <c r="CL331" s="713">
        <f t="shared" si="423"/>
        <v>7641.881591514215</v>
      </c>
      <c r="CM331" s="713">
        <f t="shared" si="423"/>
        <v>7641.881591514215</v>
      </c>
      <c r="CN331" s="713">
        <f t="shared" si="423"/>
        <v>7641.881591514215</v>
      </c>
      <c r="CO331" s="713">
        <f t="shared" si="423"/>
        <v>7641.881591514215</v>
      </c>
      <c r="CP331" s="713">
        <f t="shared" si="423"/>
        <v>7641.881591514215</v>
      </c>
      <c r="CQ331" s="713">
        <f t="shared" si="423"/>
        <v>7641.881591514215</v>
      </c>
      <c r="CR331" s="713">
        <f t="shared" si="423"/>
        <v>7641.881591514215</v>
      </c>
      <c r="CS331" s="713">
        <f t="shared" si="423"/>
        <v>7641.881591514215</v>
      </c>
      <c r="CT331" s="713">
        <f t="shared" si="423"/>
        <v>7641.881591514215</v>
      </c>
      <c r="CU331" s="713">
        <f t="shared" si="423"/>
        <v>7641.881591514215</v>
      </c>
      <c r="CV331" s="713">
        <f t="shared" si="423"/>
        <v>7641.881591514215</v>
      </c>
      <c r="CW331" s="713">
        <f t="shared" si="423"/>
        <v>7641.881591514215</v>
      </c>
      <c r="CX331" s="713">
        <f t="shared" si="423"/>
        <v>7641.881591514215</v>
      </c>
      <c r="CY331" s="713">
        <f t="shared" si="423"/>
        <v>7641.881591514215</v>
      </c>
      <c r="CZ331" s="713">
        <f t="shared" si="423"/>
        <v>7641.881591514215</v>
      </c>
      <c r="DA331" s="713">
        <f t="shared" si="423"/>
        <v>7641.881591514215</v>
      </c>
      <c r="DB331" s="713">
        <f t="shared" si="423"/>
        <v>7641.881591514215</v>
      </c>
      <c r="DC331" s="713">
        <f t="shared" si="423"/>
        <v>7641.881591514215</v>
      </c>
      <c r="DD331" s="713">
        <f t="shared" si="423"/>
        <v>7641.881591514215</v>
      </c>
      <c r="DE331" s="713">
        <f t="shared" si="423"/>
        <v>7641.881591514215</v>
      </c>
      <c r="DF331" s="713">
        <f t="shared" si="423"/>
        <v>7641.881591514215</v>
      </c>
      <c r="DG331" s="713">
        <f t="shared" si="423"/>
        <v>7641.881591514215</v>
      </c>
      <c r="DH331" s="713">
        <f t="shared" si="423"/>
        <v>7641.881591514215</v>
      </c>
      <c r="DI331" s="713">
        <f t="shared" si="423"/>
        <v>7641.881591514215</v>
      </c>
      <c r="DJ331" s="713">
        <f t="shared" si="423"/>
        <v>7641.881591514215</v>
      </c>
      <c r="DK331" s="713">
        <f t="shared" si="423"/>
        <v>7641.881591514215</v>
      </c>
      <c r="DL331" s="713">
        <f t="shared" ref="DL331" si="424">+SUM(DM328:DY328)</f>
        <v>8278.7050574737332</v>
      </c>
      <c r="DM331" s="713">
        <f>+DL331</f>
        <v>8278.7050574737332</v>
      </c>
      <c r="DN331" s="713">
        <f t="shared" ref="DN331:DY331" si="425">+DM331</f>
        <v>8278.7050574737332</v>
      </c>
      <c r="DO331" s="713">
        <f t="shared" si="425"/>
        <v>8278.7050574737332</v>
      </c>
      <c r="DP331" s="713">
        <f t="shared" si="425"/>
        <v>8278.7050574737332</v>
      </c>
      <c r="DQ331" s="713">
        <f t="shared" si="425"/>
        <v>8278.7050574737332</v>
      </c>
      <c r="DR331" s="713">
        <f t="shared" si="425"/>
        <v>8278.7050574737332</v>
      </c>
      <c r="DS331" s="713">
        <f t="shared" si="425"/>
        <v>8278.7050574737332</v>
      </c>
      <c r="DT331" s="713">
        <f t="shared" si="425"/>
        <v>8278.7050574737332</v>
      </c>
      <c r="DU331" s="713">
        <f t="shared" si="425"/>
        <v>8278.7050574737332</v>
      </c>
      <c r="DV331" s="713">
        <f t="shared" si="425"/>
        <v>8278.7050574737332</v>
      </c>
      <c r="DW331" s="713">
        <f t="shared" si="425"/>
        <v>8278.7050574737332</v>
      </c>
      <c r="DX331" s="713">
        <f t="shared" si="425"/>
        <v>8278.7050574737332</v>
      </c>
      <c r="DY331" s="713">
        <f t="shared" si="425"/>
        <v>8278.7050574737332</v>
      </c>
    </row>
    <row r="332" spans="1:129" s="3" customFormat="1" ht="11.7" customHeight="1" outlineLevel="1" thickBot="1" x14ac:dyDescent="0.35">
      <c r="A332" s="85"/>
      <c r="B332" s="645"/>
      <c r="C332" s="645"/>
      <c r="D332" s="80"/>
      <c r="E332" s="80"/>
      <c r="F332" s="80"/>
      <c r="G332" s="154"/>
      <c r="H332" s="154"/>
      <c r="I332" s="155"/>
      <c r="J332" s="155"/>
      <c r="K332" s="155"/>
      <c r="L332" s="155"/>
      <c r="M332" s="155"/>
      <c r="N332" s="155"/>
      <c r="O332" s="155"/>
      <c r="P332" s="155"/>
      <c r="Q332" s="155"/>
      <c r="R332" s="155"/>
      <c r="S332" s="155"/>
      <c r="T332" s="155"/>
      <c r="U332" s="155"/>
      <c r="V332" s="155"/>
      <c r="W332" s="155"/>
      <c r="X332" s="155"/>
      <c r="Y332" s="155"/>
      <c r="Z332" s="155"/>
      <c r="AA332" s="155"/>
      <c r="AB332" s="155"/>
      <c r="AC332" s="155"/>
      <c r="AD332" s="155"/>
      <c r="AE332" s="155"/>
      <c r="AF332" s="155"/>
      <c r="AG332" s="155"/>
      <c r="AH332" s="155"/>
      <c r="AI332" s="155"/>
      <c r="AJ332" s="155"/>
      <c r="AK332" s="155"/>
      <c r="AL332" s="155"/>
      <c r="AM332" s="155"/>
      <c r="AN332" s="155"/>
      <c r="AO332" s="155"/>
      <c r="AP332" s="155"/>
      <c r="AQ332" s="155"/>
      <c r="AR332" s="155"/>
      <c r="AS332" s="155"/>
      <c r="AT332" s="155"/>
      <c r="AU332" s="155"/>
      <c r="AV332" s="155"/>
      <c r="AW332" s="155"/>
      <c r="AX332" s="155"/>
      <c r="AY332" s="155"/>
      <c r="AZ332" s="155"/>
      <c r="BA332" s="155"/>
      <c r="BB332" s="155"/>
      <c r="BC332" s="155"/>
      <c r="BD332" s="155"/>
      <c r="BE332" s="155"/>
      <c r="BF332" s="155"/>
      <c r="BG332" s="155"/>
      <c r="BH332" s="155"/>
      <c r="BI332" s="155"/>
      <c r="BJ332" s="155"/>
      <c r="BK332" s="155"/>
      <c r="BL332" s="155"/>
      <c r="BM332" s="155"/>
      <c r="BN332" s="155"/>
      <c r="BO332" s="155"/>
      <c r="BP332" s="155"/>
      <c r="BQ332" s="155"/>
      <c r="BR332" s="155"/>
      <c r="BS332" s="155"/>
      <c r="BT332" s="155"/>
      <c r="BU332" s="155"/>
      <c r="BV332" s="155"/>
      <c r="BW332" s="155"/>
      <c r="BX332" s="155"/>
      <c r="BY332" s="155"/>
      <c r="BZ332" s="155"/>
      <c r="CA332" s="155"/>
      <c r="CB332" s="155"/>
      <c r="CC332" s="155"/>
      <c r="CD332" s="155"/>
      <c r="CE332" s="155"/>
      <c r="CF332" s="155"/>
      <c r="CG332" s="155"/>
      <c r="CH332" s="155"/>
      <c r="CI332" s="155"/>
      <c r="CJ332" s="155"/>
      <c r="CK332" s="155"/>
      <c r="CL332" s="155"/>
      <c r="CM332" s="155"/>
      <c r="CN332" s="155"/>
      <c r="CO332" s="155"/>
      <c r="CP332" s="155"/>
      <c r="CQ332" s="155"/>
      <c r="CR332" s="155"/>
      <c r="CS332" s="155"/>
      <c r="CT332" s="155"/>
      <c r="CU332" s="155"/>
      <c r="CV332" s="155"/>
      <c r="CW332" s="155"/>
      <c r="CX332" s="155"/>
      <c r="CY332" s="155"/>
      <c r="CZ332" s="155"/>
      <c r="DA332" s="155"/>
      <c r="DB332" s="155"/>
      <c r="DC332" s="155"/>
      <c r="DD332" s="155"/>
      <c r="DE332" s="155"/>
      <c r="DF332" s="155"/>
      <c r="DG332" s="155"/>
      <c r="DH332" s="155"/>
      <c r="DI332" s="155"/>
      <c r="DJ332" s="155"/>
      <c r="DK332" s="155"/>
      <c r="DL332" s="155"/>
      <c r="DM332" s="155"/>
      <c r="DN332" s="155"/>
      <c r="DO332" s="155"/>
      <c r="DP332" s="155"/>
      <c r="DQ332" s="155"/>
      <c r="DR332" s="155"/>
      <c r="DS332" s="155"/>
      <c r="DT332" s="155"/>
      <c r="DU332" s="155"/>
      <c r="DV332" s="155"/>
      <c r="DW332" s="155"/>
      <c r="DX332" s="155"/>
      <c r="DY332" s="155"/>
    </row>
    <row r="333" spans="1:129" s="3" customFormat="1" ht="11.7" customHeight="1" outlineLevel="1" thickTop="1" thickBot="1" x14ac:dyDescent="0.35">
      <c r="B333" s="204" t="s">
        <v>19</v>
      </c>
      <c r="C333" s="204"/>
      <c r="D333" s="80"/>
      <c r="E333" s="80"/>
      <c r="F333" s="80"/>
      <c r="G333" s="154"/>
      <c r="H333" s="646">
        <f>+SUM(I333:DY333)</f>
        <v>28626.499762811538</v>
      </c>
      <c r="I333" s="336">
        <f t="shared" ref="I333:AN333" si="426">+SUM(I311,I315,I320,I325)</f>
        <v>0</v>
      </c>
      <c r="J333" s="336">
        <f t="shared" si="426"/>
        <v>0</v>
      </c>
      <c r="K333" s="336">
        <f t="shared" si="426"/>
        <v>0</v>
      </c>
      <c r="L333" s="336">
        <f t="shared" si="426"/>
        <v>0</v>
      </c>
      <c r="M333" s="336">
        <f t="shared" si="426"/>
        <v>0</v>
      </c>
      <c r="N333" s="336">
        <f t="shared" si="426"/>
        <v>0</v>
      </c>
      <c r="O333" s="336">
        <f t="shared" si="426"/>
        <v>0</v>
      </c>
      <c r="P333" s="336">
        <f t="shared" si="426"/>
        <v>0</v>
      </c>
      <c r="Q333" s="336">
        <f t="shared" si="426"/>
        <v>0</v>
      </c>
      <c r="R333" s="336">
        <f t="shared" si="426"/>
        <v>0</v>
      </c>
      <c r="S333" s="336">
        <f t="shared" si="426"/>
        <v>0</v>
      </c>
      <c r="T333" s="336">
        <f t="shared" si="426"/>
        <v>0</v>
      </c>
      <c r="U333" s="336">
        <f t="shared" si="426"/>
        <v>0</v>
      </c>
      <c r="V333" s="336">
        <f t="shared" si="426"/>
        <v>0</v>
      </c>
      <c r="W333" s="336">
        <f t="shared" si="426"/>
        <v>0</v>
      </c>
      <c r="X333" s="336">
        <f t="shared" si="426"/>
        <v>0</v>
      </c>
      <c r="Y333" s="336">
        <f t="shared" si="426"/>
        <v>0</v>
      </c>
      <c r="Z333" s="336">
        <f t="shared" si="426"/>
        <v>0</v>
      </c>
      <c r="AA333" s="336">
        <f t="shared" si="426"/>
        <v>0</v>
      </c>
      <c r="AB333" s="336">
        <f t="shared" si="426"/>
        <v>0</v>
      </c>
      <c r="AC333" s="336">
        <f t="shared" si="426"/>
        <v>0</v>
      </c>
      <c r="AD333" s="336">
        <f t="shared" si="426"/>
        <v>0</v>
      </c>
      <c r="AE333" s="336">
        <f t="shared" si="426"/>
        <v>0</v>
      </c>
      <c r="AF333" s="336">
        <f t="shared" si="426"/>
        <v>0</v>
      </c>
      <c r="AG333" s="336">
        <f t="shared" si="426"/>
        <v>0</v>
      </c>
      <c r="AH333" s="336">
        <f t="shared" si="426"/>
        <v>0</v>
      </c>
      <c r="AI333" s="336">
        <f t="shared" si="426"/>
        <v>0</v>
      </c>
      <c r="AJ333" s="336">
        <f t="shared" si="426"/>
        <v>0</v>
      </c>
      <c r="AK333" s="336">
        <f t="shared" si="426"/>
        <v>0</v>
      </c>
      <c r="AL333" s="336">
        <f t="shared" si="426"/>
        <v>0</v>
      </c>
      <c r="AM333" s="336">
        <f t="shared" si="426"/>
        <v>0</v>
      </c>
      <c r="AN333" s="336">
        <f t="shared" si="426"/>
        <v>0</v>
      </c>
      <c r="AO333" s="336">
        <f t="shared" ref="AO333:BT333" si="427">+SUM(AO311,AO315,AO320,AO325)</f>
        <v>0</v>
      </c>
      <c r="AP333" s="336">
        <f t="shared" si="427"/>
        <v>0</v>
      </c>
      <c r="AQ333" s="336">
        <f t="shared" si="427"/>
        <v>0</v>
      </c>
      <c r="AR333" s="336">
        <f t="shared" si="427"/>
        <v>0</v>
      </c>
      <c r="AS333" s="336">
        <f t="shared" si="427"/>
        <v>0</v>
      </c>
      <c r="AT333" s="336">
        <f t="shared" si="427"/>
        <v>0</v>
      </c>
      <c r="AU333" s="336">
        <f t="shared" si="427"/>
        <v>0</v>
      </c>
      <c r="AV333" s="336">
        <f t="shared" si="427"/>
        <v>0</v>
      </c>
      <c r="AW333" s="336">
        <f t="shared" si="427"/>
        <v>0</v>
      </c>
      <c r="AX333" s="336">
        <f t="shared" si="427"/>
        <v>0</v>
      </c>
      <c r="AY333" s="336">
        <f t="shared" si="427"/>
        <v>0</v>
      </c>
      <c r="AZ333" s="336">
        <f t="shared" si="427"/>
        <v>0</v>
      </c>
      <c r="BA333" s="336">
        <f t="shared" si="427"/>
        <v>0</v>
      </c>
      <c r="BB333" s="336">
        <f t="shared" si="427"/>
        <v>0</v>
      </c>
      <c r="BC333" s="336">
        <f t="shared" si="427"/>
        <v>0</v>
      </c>
      <c r="BD333" s="336">
        <f t="shared" si="427"/>
        <v>0</v>
      </c>
      <c r="BE333" s="336">
        <f t="shared" si="427"/>
        <v>0</v>
      </c>
      <c r="BF333" s="336">
        <f t="shared" si="427"/>
        <v>0</v>
      </c>
      <c r="BG333" s="336">
        <f t="shared" si="427"/>
        <v>0</v>
      </c>
      <c r="BH333" s="336">
        <f t="shared" si="427"/>
        <v>0</v>
      </c>
      <c r="BI333" s="336">
        <f t="shared" si="427"/>
        <v>0</v>
      </c>
      <c r="BJ333" s="336">
        <f t="shared" si="427"/>
        <v>0</v>
      </c>
      <c r="BK333" s="336">
        <f t="shared" si="427"/>
        <v>0</v>
      </c>
      <c r="BL333" s="336">
        <f t="shared" si="427"/>
        <v>0</v>
      </c>
      <c r="BM333" s="336">
        <f t="shared" si="427"/>
        <v>0</v>
      </c>
      <c r="BN333" s="336">
        <f t="shared" si="427"/>
        <v>0</v>
      </c>
      <c r="BO333" s="336">
        <f t="shared" si="427"/>
        <v>0</v>
      </c>
      <c r="BP333" s="336">
        <f t="shared" si="427"/>
        <v>0</v>
      </c>
      <c r="BQ333" s="336">
        <f t="shared" si="427"/>
        <v>0</v>
      </c>
      <c r="BR333" s="336">
        <f t="shared" si="427"/>
        <v>0</v>
      </c>
      <c r="BS333" s="336">
        <f t="shared" si="427"/>
        <v>0</v>
      </c>
      <c r="BT333" s="336">
        <f t="shared" si="427"/>
        <v>0</v>
      </c>
      <c r="BU333" s="336">
        <f t="shared" ref="BU333:CZ333" si="428">+SUM(BU311,BU315,BU320,BU325)</f>
        <v>0</v>
      </c>
      <c r="BV333" s="336">
        <f t="shared" si="428"/>
        <v>0</v>
      </c>
      <c r="BW333" s="336">
        <f t="shared" si="428"/>
        <v>62.63901428736871</v>
      </c>
      <c r="BX333" s="336">
        <f t="shared" si="428"/>
        <v>31.237982563468666</v>
      </c>
      <c r="BY333" s="336">
        <f t="shared" si="428"/>
        <v>0</v>
      </c>
      <c r="BZ333" s="336">
        <f t="shared" si="428"/>
        <v>0</v>
      </c>
      <c r="CA333" s="336">
        <f t="shared" si="428"/>
        <v>53.732642047650756</v>
      </c>
      <c r="CB333" s="336">
        <f t="shared" si="428"/>
        <v>166.54951042820875</v>
      </c>
      <c r="CC333" s="336">
        <f t="shared" si="428"/>
        <v>282.3225918366698</v>
      </c>
      <c r="CD333" s="336">
        <f t="shared" si="428"/>
        <v>401.05188627303386</v>
      </c>
      <c r="CE333" s="336">
        <f t="shared" si="428"/>
        <v>522.73739373730064</v>
      </c>
      <c r="CF333" s="336">
        <f t="shared" si="428"/>
        <v>589.26584220951781</v>
      </c>
      <c r="CG333" s="336">
        <f t="shared" si="428"/>
        <v>589.26584220951781</v>
      </c>
      <c r="CH333" s="336">
        <f t="shared" si="428"/>
        <v>589.26584220951781</v>
      </c>
      <c r="CI333" s="336">
        <f t="shared" si="428"/>
        <v>589.26584220951781</v>
      </c>
      <c r="CJ333" s="336">
        <f t="shared" si="428"/>
        <v>589.26584220951781</v>
      </c>
      <c r="CK333" s="336">
        <f t="shared" si="428"/>
        <v>589.26584220951781</v>
      </c>
      <c r="CL333" s="336">
        <f t="shared" si="428"/>
        <v>589.26584220951781</v>
      </c>
      <c r="CM333" s="336">
        <f t="shared" si="428"/>
        <v>589.26584220951781</v>
      </c>
      <c r="CN333" s="336">
        <f t="shared" si="428"/>
        <v>589.26584220951781</v>
      </c>
      <c r="CO333" s="336">
        <f t="shared" si="428"/>
        <v>589.26584220951781</v>
      </c>
      <c r="CP333" s="336">
        <f t="shared" si="428"/>
        <v>589.26584220951781</v>
      </c>
      <c r="CQ333" s="336">
        <f t="shared" si="428"/>
        <v>589.26584220951781</v>
      </c>
      <c r="CR333" s="336">
        <f t="shared" si="428"/>
        <v>589.26584220951781</v>
      </c>
      <c r="CS333" s="336">
        <f t="shared" si="428"/>
        <v>589.26584220951781</v>
      </c>
      <c r="CT333" s="336">
        <f t="shared" si="428"/>
        <v>589.26584220951781</v>
      </c>
      <c r="CU333" s="336">
        <f t="shared" si="428"/>
        <v>589.26584220951781</v>
      </c>
      <c r="CV333" s="336">
        <f t="shared" si="428"/>
        <v>589.26584220951781</v>
      </c>
      <c r="CW333" s="336">
        <f t="shared" si="428"/>
        <v>589.26584220951781</v>
      </c>
      <c r="CX333" s="336">
        <f t="shared" si="428"/>
        <v>589.26584220951781</v>
      </c>
      <c r="CY333" s="336">
        <f t="shared" si="428"/>
        <v>589.26584220951781</v>
      </c>
      <c r="CZ333" s="336">
        <f t="shared" si="428"/>
        <v>589.26584220951781</v>
      </c>
      <c r="DA333" s="336">
        <f t="shared" ref="DA333:DY333" si="429">+SUM(DA311,DA315,DA320,DA325)</f>
        <v>589.26584220951781</v>
      </c>
      <c r="DB333" s="336">
        <f t="shared" si="429"/>
        <v>589.26584220951781</v>
      </c>
      <c r="DC333" s="336">
        <f t="shared" si="429"/>
        <v>589.26584220951781</v>
      </c>
      <c r="DD333" s="336">
        <f t="shared" si="429"/>
        <v>589.26584220951781</v>
      </c>
      <c r="DE333" s="336">
        <f t="shared" si="429"/>
        <v>589.26584220951781</v>
      </c>
      <c r="DF333" s="336">
        <f t="shared" si="429"/>
        <v>589.26584220951781</v>
      </c>
      <c r="DG333" s="336">
        <f t="shared" si="429"/>
        <v>589.26584220951781</v>
      </c>
      <c r="DH333" s="336">
        <f t="shared" si="429"/>
        <v>589.26584220951781</v>
      </c>
      <c r="DI333" s="336">
        <f t="shared" si="429"/>
        <v>589.26584220951781</v>
      </c>
      <c r="DJ333" s="336">
        <f t="shared" si="429"/>
        <v>589.26584220951781</v>
      </c>
      <c r="DK333" s="336">
        <f t="shared" si="429"/>
        <v>589.26584220951781</v>
      </c>
      <c r="DL333" s="336">
        <f t="shared" si="429"/>
        <v>589.26584220951781</v>
      </c>
      <c r="DM333" s="336">
        <f t="shared" si="429"/>
        <v>589.26584220951781</v>
      </c>
      <c r="DN333" s="336">
        <f t="shared" si="429"/>
        <v>589.26584220951781</v>
      </c>
      <c r="DO333" s="336">
        <f t="shared" si="429"/>
        <v>589.26584220951781</v>
      </c>
      <c r="DP333" s="336">
        <f t="shared" si="429"/>
        <v>589.26584220951781</v>
      </c>
      <c r="DQ333" s="336">
        <f t="shared" si="429"/>
        <v>589.26584220951781</v>
      </c>
      <c r="DR333" s="336">
        <f t="shared" si="429"/>
        <v>589.26584220951781</v>
      </c>
      <c r="DS333" s="336">
        <f t="shared" si="429"/>
        <v>589.26584220951781</v>
      </c>
      <c r="DT333" s="336">
        <f t="shared" si="429"/>
        <v>589.26584220951781</v>
      </c>
      <c r="DU333" s="336">
        <f t="shared" si="429"/>
        <v>589.26584220951781</v>
      </c>
      <c r="DV333" s="336">
        <f t="shared" si="429"/>
        <v>589.26584220951781</v>
      </c>
      <c r="DW333" s="336">
        <f t="shared" si="429"/>
        <v>589.26584220951781</v>
      </c>
      <c r="DX333" s="336">
        <f t="shared" si="429"/>
        <v>589.26584220951781</v>
      </c>
      <c r="DY333" s="336">
        <f t="shared" si="429"/>
        <v>589.26584220951781</v>
      </c>
    </row>
    <row r="334" spans="1:129" s="3" customFormat="1" ht="11.7" customHeight="1" outlineLevel="1" thickTop="1" x14ac:dyDescent="0.3">
      <c r="B334" s="198" t="s">
        <v>119</v>
      </c>
      <c r="C334" s="198"/>
      <c r="D334" s="162"/>
      <c r="E334" s="162"/>
      <c r="F334" s="162"/>
      <c r="G334" s="74"/>
      <c r="H334" s="74"/>
      <c r="I334" s="327">
        <f t="shared" ref="I334:AN334" si="430">+IFERROR(I$250/I$129,0)</f>
        <v>0</v>
      </c>
      <c r="J334" s="327">
        <f t="shared" si="430"/>
        <v>0</v>
      </c>
      <c r="K334" s="327">
        <f t="shared" si="430"/>
        <v>0</v>
      </c>
      <c r="L334" s="327">
        <f t="shared" si="430"/>
        <v>0</v>
      </c>
      <c r="M334" s="327">
        <f t="shared" si="430"/>
        <v>0</v>
      </c>
      <c r="N334" s="327">
        <f t="shared" si="430"/>
        <v>0</v>
      </c>
      <c r="O334" s="327">
        <f t="shared" si="430"/>
        <v>0</v>
      </c>
      <c r="P334" s="327">
        <f t="shared" si="430"/>
        <v>0</v>
      </c>
      <c r="Q334" s="327">
        <f t="shared" si="430"/>
        <v>0</v>
      </c>
      <c r="R334" s="327">
        <f t="shared" si="430"/>
        <v>0</v>
      </c>
      <c r="S334" s="327">
        <f t="shared" si="430"/>
        <v>0</v>
      </c>
      <c r="T334" s="327">
        <f t="shared" si="430"/>
        <v>0</v>
      </c>
      <c r="U334" s="327">
        <f t="shared" si="430"/>
        <v>0</v>
      </c>
      <c r="V334" s="327">
        <f t="shared" si="430"/>
        <v>0</v>
      </c>
      <c r="W334" s="327">
        <f t="shared" si="430"/>
        <v>0</v>
      </c>
      <c r="X334" s="327">
        <f t="shared" si="430"/>
        <v>0</v>
      </c>
      <c r="Y334" s="327">
        <f t="shared" si="430"/>
        <v>0</v>
      </c>
      <c r="Z334" s="327">
        <f t="shared" si="430"/>
        <v>0</v>
      </c>
      <c r="AA334" s="327">
        <f t="shared" si="430"/>
        <v>0</v>
      </c>
      <c r="AB334" s="327">
        <f t="shared" si="430"/>
        <v>0</v>
      </c>
      <c r="AC334" s="327">
        <f t="shared" si="430"/>
        <v>0</v>
      </c>
      <c r="AD334" s="327">
        <f t="shared" si="430"/>
        <v>0</v>
      </c>
      <c r="AE334" s="327">
        <f t="shared" si="430"/>
        <v>0</v>
      </c>
      <c r="AF334" s="327">
        <f t="shared" si="430"/>
        <v>0</v>
      </c>
      <c r="AG334" s="327">
        <f t="shared" si="430"/>
        <v>0</v>
      </c>
      <c r="AH334" s="327">
        <f t="shared" si="430"/>
        <v>0</v>
      </c>
      <c r="AI334" s="327">
        <f t="shared" si="430"/>
        <v>0</v>
      </c>
      <c r="AJ334" s="327">
        <f t="shared" si="430"/>
        <v>0</v>
      </c>
      <c r="AK334" s="327">
        <f t="shared" si="430"/>
        <v>0</v>
      </c>
      <c r="AL334" s="327">
        <f t="shared" si="430"/>
        <v>0</v>
      </c>
      <c r="AM334" s="327">
        <f t="shared" si="430"/>
        <v>0</v>
      </c>
      <c r="AN334" s="327">
        <f t="shared" si="430"/>
        <v>0</v>
      </c>
      <c r="AO334" s="327">
        <f t="shared" ref="AO334:BT334" si="431">+IFERROR(AO$250/AO$129,0)</f>
        <v>0</v>
      </c>
      <c r="AP334" s="327">
        <f t="shared" si="431"/>
        <v>0</v>
      </c>
      <c r="AQ334" s="327">
        <f t="shared" si="431"/>
        <v>0</v>
      </c>
      <c r="AR334" s="327">
        <f t="shared" si="431"/>
        <v>0</v>
      </c>
      <c r="AS334" s="327">
        <f t="shared" si="431"/>
        <v>0</v>
      </c>
      <c r="AT334" s="327">
        <f t="shared" si="431"/>
        <v>0</v>
      </c>
      <c r="AU334" s="327">
        <f t="shared" si="431"/>
        <v>0</v>
      </c>
      <c r="AV334" s="327">
        <f t="shared" si="431"/>
        <v>0</v>
      </c>
      <c r="AW334" s="327">
        <f t="shared" si="431"/>
        <v>0</v>
      </c>
      <c r="AX334" s="327">
        <f t="shared" si="431"/>
        <v>0</v>
      </c>
      <c r="AY334" s="327">
        <f t="shared" si="431"/>
        <v>0</v>
      </c>
      <c r="AZ334" s="327">
        <f t="shared" si="431"/>
        <v>0</v>
      </c>
      <c r="BA334" s="327">
        <f t="shared" si="431"/>
        <v>0</v>
      </c>
      <c r="BB334" s="327">
        <f t="shared" si="431"/>
        <v>0</v>
      </c>
      <c r="BC334" s="327">
        <f t="shared" si="431"/>
        <v>0</v>
      </c>
      <c r="BD334" s="327">
        <f t="shared" si="431"/>
        <v>0</v>
      </c>
      <c r="BE334" s="327">
        <f t="shared" si="431"/>
        <v>0</v>
      </c>
      <c r="BF334" s="327">
        <f t="shared" si="431"/>
        <v>0</v>
      </c>
      <c r="BG334" s="327">
        <f t="shared" si="431"/>
        <v>0</v>
      </c>
      <c r="BH334" s="327">
        <f t="shared" si="431"/>
        <v>0</v>
      </c>
      <c r="BI334" s="327">
        <f t="shared" si="431"/>
        <v>-7.0654407909936285</v>
      </c>
      <c r="BJ334" s="327">
        <f t="shared" si="431"/>
        <v>-5.3381693797195338</v>
      </c>
      <c r="BK334" s="327">
        <f t="shared" si="431"/>
        <v>-0.99620253711871676</v>
      </c>
      <c r="BL334" s="327">
        <f t="shared" si="431"/>
        <v>0.19712060371898679</v>
      </c>
      <c r="BM334" s="327">
        <f t="shared" si="431"/>
        <v>-0.79235881400396546</v>
      </c>
      <c r="BN334" s="327">
        <f t="shared" si="431"/>
        <v>-4.5962224018668302E-3</v>
      </c>
      <c r="BO334" s="327">
        <f t="shared" si="431"/>
        <v>-6.7582164174193687E-2</v>
      </c>
      <c r="BP334" s="327">
        <f t="shared" si="431"/>
        <v>0.42711846263159858</v>
      </c>
      <c r="BQ334" s="327">
        <f t="shared" si="431"/>
        <v>0.35648431256207075</v>
      </c>
      <c r="BR334" s="327">
        <f t="shared" si="431"/>
        <v>0.2473974605088847</v>
      </c>
      <c r="BS334" s="327">
        <f t="shared" si="431"/>
        <v>0.35680748079930608</v>
      </c>
      <c r="BT334" s="327">
        <f t="shared" si="431"/>
        <v>0.16962961406805016</v>
      </c>
      <c r="BU334" s="327">
        <f t="shared" ref="BU334:CZ334" si="432">+IFERROR(BU$250/BU$129,0)</f>
        <v>0.35804013899984127</v>
      </c>
      <c r="BV334" s="327">
        <f t="shared" si="432"/>
        <v>0.4613177611116614</v>
      </c>
      <c r="BW334" s="327">
        <f t="shared" si="432"/>
        <v>0.23222221789397623</v>
      </c>
      <c r="BX334" s="327">
        <f t="shared" si="432"/>
        <v>0.10328569941102007</v>
      </c>
      <c r="BY334" s="327">
        <f t="shared" si="432"/>
        <v>0.47245366486011464</v>
      </c>
      <c r="BZ334" s="327">
        <f t="shared" ca="1" si="432"/>
        <v>0.69308623331087837</v>
      </c>
      <c r="CA334" s="327">
        <f t="shared" ca="1" si="432"/>
        <v>0.67489167875407585</v>
      </c>
      <c r="CB334" s="327">
        <f t="shared" ca="1" si="432"/>
        <v>0.67489167875407585</v>
      </c>
      <c r="CC334" s="327">
        <f t="shared" ca="1" si="432"/>
        <v>0.67489167875407585</v>
      </c>
      <c r="CD334" s="327">
        <f t="shared" ca="1" si="432"/>
        <v>0.67489167875407585</v>
      </c>
      <c r="CE334" s="327">
        <f t="shared" ca="1" si="432"/>
        <v>0.67489167875407585</v>
      </c>
      <c r="CF334" s="327">
        <f t="shared" ca="1" si="432"/>
        <v>0.6999752295919518</v>
      </c>
      <c r="CG334" s="327">
        <f t="shared" ca="1" si="432"/>
        <v>0.70382785642217949</v>
      </c>
      <c r="CH334" s="327">
        <f t="shared" ca="1" si="432"/>
        <v>0.70382785642217949</v>
      </c>
      <c r="CI334" s="327">
        <f t="shared" ca="1" si="432"/>
        <v>0.70382785642217949</v>
      </c>
      <c r="CJ334" s="327">
        <f t="shared" ca="1" si="432"/>
        <v>0.70382785642217949</v>
      </c>
      <c r="CK334" s="327">
        <f t="shared" ca="1" si="432"/>
        <v>0.70382785642217949</v>
      </c>
      <c r="CL334" s="327">
        <f t="shared" ca="1" si="432"/>
        <v>0.70382785642217949</v>
      </c>
      <c r="CM334" s="327">
        <f t="shared" ca="1" si="432"/>
        <v>0.70382785642217949</v>
      </c>
      <c r="CN334" s="327">
        <f t="shared" ca="1" si="432"/>
        <v>0.70382785642217949</v>
      </c>
      <c r="CO334" s="327">
        <f t="shared" ca="1" si="432"/>
        <v>0.70382785642217949</v>
      </c>
      <c r="CP334" s="327">
        <f t="shared" ca="1" si="432"/>
        <v>0.70382785642217949</v>
      </c>
      <c r="CQ334" s="327">
        <f t="shared" ca="1" si="432"/>
        <v>0.70382785642217949</v>
      </c>
      <c r="CR334" s="327">
        <f t="shared" ca="1" si="432"/>
        <v>0.70382785642217949</v>
      </c>
      <c r="CS334" s="327">
        <f t="shared" ca="1" si="432"/>
        <v>0.70382785642217949</v>
      </c>
      <c r="CT334" s="327">
        <f t="shared" ca="1" si="432"/>
        <v>0.70382785642217949</v>
      </c>
      <c r="CU334" s="327">
        <f t="shared" ca="1" si="432"/>
        <v>0.70382785642217949</v>
      </c>
      <c r="CV334" s="327">
        <f t="shared" ca="1" si="432"/>
        <v>0.70382785642217949</v>
      </c>
      <c r="CW334" s="327">
        <f t="shared" ca="1" si="432"/>
        <v>0.70382785642217949</v>
      </c>
      <c r="CX334" s="327">
        <f t="shared" ca="1" si="432"/>
        <v>0.70382785642217949</v>
      </c>
      <c r="CY334" s="327">
        <f t="shared" ca="1" si="432"/>
        <v>0.70382785642217949</v>
      </c>
      <c r="CZ334" s="327">
        <f t="shared" ca="1" si="432"/>
        <v>0.70382785642217949</v>
      </c>
      <c r="DA334" s="327">
        <f t="shared" ref="DA334:DY334" ca="1" si="433">+IFERROR(DA$250/DA$129,0)</f>
        <v>0.70382785642217949</v>
      </c>
      <c r="DB334" s="327">
        <f t="shared" ca="1" si="433"/>
        <v>0.70382785642217949</v>
      </c>
      <c r="DC334" s="327">
        <f t="shared" ca="1" si="433"/>
        <v>0.70382785642217949</v>
      </c>
      <c r="DD334" s="327">
        <f t="shared" ca="1" si="433"/>
        <v>0.70382785642217949</v>
      </c>
      <c r="DE334" s="327">
        <f t="shared" ca="1" si="433"/>
        <v>0.70382785642217949</v>
      </c>
      <c r="DF334" s="327">
        <f t="shared" ca="1" si="433"/>
        <v>0.70382785642217949</v>
      </c>
      <c r="DG334" s="327">
        <f t="shared" ca="1" si="433"/>
        <v>0.70382785642217949</v>
      </c>
      <c r="DH334" s="327">
        <f t="shared" ca="1" si="433"/>
        <v>0.70382785642217949</v>
      </c>
      <c r="DI334" s="327">
        <f t="shared" ca="1" si="433"/>
        <v>0.70382785642217949</v>
      </c>
      <c r="DJ334" s="327">
        <f t="shared" ca="1" si="433"/>
        <v>0.70382785642217949</v>
      </c>
      <c r="DK334" s="327">
        <f t="shared" ca="1" si="433"/>
        <v>0.70382785642217949</v>
      </c>
      <c r="DL334" s="327">
        <f t="shared" ca="1" si="433"/>
        <v>0.70382785642217949</v>
      </c>
      <c r="DM334" s="327">
        <f t="shared" ca="1" si="433"/>
        <v>0.70382785642217949</v>
      </c>
      <c r="DN334" s="327">
        <f t="shared" ca="1" si="433"/>
        <v>0.70382785642217949</v>
      </c>
      <c r="DO334" s="327">
        <f t="shared" ca="1" si="433"/>
        <v>0.70382785642217949</v>
      </c>
      <c r="DP334" s="327">
        <f t="shared" ca="1" si="433"/>
        <v>0.70382785642217949</v>
      </c>
      <c r="DQ334" s="327">
        <f t="shared" ca="1" si="433"/>
        <v>0.70382785642217949</v>
      </c>
      <c r="DR334" s="327">
        <f t="shared" ca="1" si="433"/>
        <v>0.70382785642217949</v>
      </c>
      <c r="DS334" s="327">
        <f t="shared" ca="1" si="433"/>
        <v>0.70382785642217949</v>
      </c>
      <c r="DT334" s="327">
        <f t="shared" ca="1" si="433"/>
        <v>0.70382785642217949</v>
      </c>
      <c r="DU334" s="327">
        <f t="shared" ca="1" si="433"/>
        <v>0.70382785642217949</v>
      </c>
      <c r="DV334" s="327">
        <f t="shared" ca="1" si="433"/>
        <v>0.70382785642217949</v>
      </c>
      <c r="DW334" s="327">
        <f t="shared" ca="1" si="433"/>
        <v>0.70382785642217949</v>
      </c>
      <c r="DX334" s="327">
        <f t="shared" ca="1" si="433"/>
        <v>0.70382785642217949</v>
      </c>
      <c r="DY334" s="327">
        <f t="shared" ca="1" si="433"/>
        <v>0.70382785642217949</v>
      </c>
    </row>
    <row r="335" spans="1:129" s="3" customFormat="1" ht="11.7" customHeight="1" outlineLevel="1" x14ac:dyDescent="0.3">
      <c r="G335" s="127"/>
      <c r="H335" s="127"/>
      <c r="I335" s="111"/>
      <c r="J335" s="111"/>
      <c r="K335" s="111"/>
      <c r="L335" s="111"/>
      <c r="M335" s="111"/>
      <c r="N335" s="111"/>
      <c r="O335" s="111"/>
      <c r="P335" s="111"/>
      <c r="Q335" s="111"/>
      <c r="R335" s="111"/>
      <c r="S335" s="111"/>
      <c r="T335" s="111"/>
      <c r="U335" s="111"/>
      <c r="V335" s="111"/>
      <c r="W335" s="111"/>
      <c r="X335" s="111"/>
      <c r="Y335" s="111"/>
      <c r="Z335" s="111"/>
      <c r="AA335" s="111"/>
      <c r="AB335" s="111"/>
      <c r="AC335" s="111"/>
      <c r="AD335" s="111"/>
      <c r="AE335" s="111"/>
      <c r="AF335" s="111"/>
      <c r="AG335" s="111"/>
      <c r="AH335" s="111"/>
      <c r="AI335" s="111"/>
      <c r="AJ335" s="111"/>
      <c r="AK335" s="111"/>
      <c r="AL335" s="111"/>
      <c r="AM335" s="111"/>
      <c r="AN335" s="111"/>
      <c r="AO335" s="111"/>
      <c r="AP335" s="111"/>
      <c r="AQ335" s="111"/>
      <c r="AR335" s="111"/>
      <c r="AS335" s="111"/>
      <c r="AT335" s="111"/>
      <c r="AU335" s="111"/>
      <c r="AV335" s="111"/>
      <c r="AW335" s="111"/>
      <c r="AX335" s="111"/>
      <c r="AY335" s="111"/>
      <c r="AZ335" s="111"/>
      <c r="BA335" s="111"/>
      <c r="BB335" s="111"/>
      <c r="BC335" s="111"/>
      <c r="BD335" s="111"/>
      <c r="BE335" s="111"/>
      <c r="BF335" s="111"/>
      <c r="BG335" s="111"/>
      <c r="BH335" s="111"/>
      <c r="BI335" s="111"/>
      <c r="BJ335" s="111"/>
      <c r="BK335" s="111"/>
      <c r="BL335" s="111"/>
      <c r="BM335" s="111"/>
      <c r="BN335" s="111"/>
      <c r="BO335" s="111"/>
      <c r="BP335" s="111"/>
      <c r="BQ335" s="111"/>
      <c r="BR335" s="111"/>
      <c r="BS335" s="111"/>
      <c r="BT335" s="111"/>
      <c r="BU335" s="111"/>
      <c r="BV335" s="111"/>
      <c r="BW335" s="111"/>
      <c r="BX335" s="111"/>
      <c r="BY335" s="111"/>
      <c r="BZ335" s="111"/>
      <c r="CA335" s="111"/>
      <c r="CB335" s="111"/>
      <c r="CC335" s="111"/>
      <c r="CD335" s="111"/>
      <c r="CE335" s="111"/>
      <c r="CF335" s="111"/>
      <c r="CG335" s="111"/>
      <c r="CH335" s="111"/>
      <c r="CI335" s="111"/>
      <c r="CJ335" s="111"/>
      <c r="CK335" s="111"/>
      <c r="CL335" s="111"/>
      <c r="CM335" s="111"/>
      <c r="CN335" s="111"/>
      <c r="CO335" s="111"/>
      <c r="CP335" s="111"/>
      <c r="CQ335" s="111"/>
      <c r="CR335" s="111"/>
      <c r="CS335" s="111"/>
      <c r="CT335" s="111"/>
      <c r="CU335" s="111"/>
      <c r="CV335" s="111"/>
      <c r="CW335" s="111"/>
      <c r="CX335" s="111"/>
      <c r="CY335" s="111"/>
      <c r="CZ335" s="111"/>
      <c r="DA335" s="111"/>
      <c r="DB335" s="111"/>
      <c r="DC335" s="111"/>
      <c r="DD335" s="111"/>
      <c r="DE335" s="111"/>
      <c r="DF335" s="111"/>
      <c r="DG335" s="111"/>
      <c r="DH335" s="111"/>
      <c r="DI335" s="111"/>
      <c r="DJ335" s="111"/>
      <c r="DK335" s="111"/>
      <c r="DL335" s="111"/>
      <c r="DM335" s="111"/>
      <c r="DN335" s="111"/>
      <c r="DO335" s="111"/>
      <c r="DP335" s="111"/>
      <c r="DQ335" s="111"/>
      <c r="DR335" s="111"/>
      <c r="DS335" s="111"/>
      <c r="DT335" s="111"/>
      <c r="DU335" s="111"/>
      <c r="DV335" s="111"/>
      <c r="DW335" s="111"/>
      <c r="DX335" s="111"/>
      <c r="DY335" s="111"/>
    </row>
    <row r="336" spans="1:129" s="3" customFormat="1" ht="11.7" customHeight="1" x14ac:dyDescent="0.3">
      <c r="G336" s="127"/>
      <c r="H336" s="127"/>
      <c r="I336" s="111"/>
      <c r="J336" s="111"/>
      <c r="K336" s="111"/>
      <c r="L336" s="111"/>
      <c r="M336" s="111"/>
      <c r="N336" s="111"/>
      <c r="O336" s="111"/>
      <c r="P336" s="111"/>
      <c r="Q336" s="111"/>
      <c r="R336" s="111"/>
      <c r="S336" s="111"/>
      <c r="T336" s="111"/>
      <c r="U336" s="111"/>
      <c r="V336" s="111"/>
      <c r="W336" s="111"/>
      <c r="X336" s="111"/>
      <c r="Y336" s="111"/>
      <c r="Z336" s="111"/>
      <c r="AA336" s="111"/>
      <c r="AB336" s="111"/>
      <c r="AC336" s="111"/>
      <c r="AD336" s="111"/>
      <c r="AE336" s="111"/>
      <c r="AF336" s="111"/>
      <c r="AG336" s="111"/>
      <c r="AH336" s="111"/>
      <c r="AI336" s="111"/>
      <c r="AJ336" s="111"/>
      <c r="AK336" s="111"/>
      <c r="AL336" s="111"/>
      <c r="AM336" s="111"/>
      <c r="AN336" s="111"/>
      <c r="AO336" s="111"/>
      <c r="AP336" s="111"/>
      <c r="AQ336" s="111"/>
      <c r="AR336" s="111"/>
      <c r="AS336" s="111"/>
      <c r="AT336" s="111"/>
      <c r="AU336" s="111"/>
      <c r="AV336" s="111"/>
      <c r="AW336" s="111"/>
      <c r="AX336" s="111"/>
      <c r="AY336" s="111"/>
      <c r="AZ336" s="111"/>
      <c r="BA336" s="111"/>
      <c r="BB336" s="111"/>
      <c r="BC336" s="111"/>
      <c r="BD336" s="111"/>
      <c r="BE336" s="111"/>
      <c r="BF336" s="111"/>
      <c r="BG336" s="111"/>
      <c r="BH336" s="111"/>
      <c r="BI336" s="111"/>
      <c r="BJ336" s="111"/>
      <c r="BK336" s="111"/>
      <c r="BL336" s="111"/>
      <c r="BM336" s="111"/>
      <c r="BN336" s="111"/>
      <c r="BO336" s="111"/>
      <c r="BP336" s="111"/>
      <c r="BQ336" s="111"/>
      <c r="BR336" s="111"/>
      <c r="BS336" s="111"/>
      <c r="BT336" s="111"/>
      <c r="BU336" s="111"/>
      <c r="BV336" s="111"/>
      <c r="BW336" s="111"/>
      <c r="BX336" s="111"/>
      <c r="BY336" s="111"/>
      <c r="BZ336" s="111"/>
      <c r="CA336" s="111"/>
      <c r="CB336" s="111"/>
      <c r="CC336" s="111"/>
      <c r="CD336" s="111"/>
      <c r="CE336" s="111"/>
      <c r="CF336" s="111"/>
      <c r="CG336" s="111"/>
      <c r="CH336" s="111"/>
      <c r="CI336" s="111"/>
      <c r="CJ336" s="111"/>
      <c r="CK336" s="111"/>
      <c r="CL336" s="111"/>
      <c r="CM336" s="111"/>
      <c r="CN336" s="111"/>
      <c r="CO336" s="111"/>
      <c r="CP336" s="111"/>
      <c r="CQ336" s="111"/>
      <c r="CR336" s="111"/>
      <c r="CS336" s="111"/>
      <c r="CT336" s="111"/>
      <c r="CU336" s="111"/>
      <c r="CV336" s="111"/>
      <c r="CW336" s="111"/>
      <c r="CX336" s="111"/>
      <c r="CY336" s="111"/>
      <c r="CZ336" s="111"/>
      <c r="DA336" s="111"/>
      <c r="DB336" s="111"/>
      <c r="DC336" s="111"/>
      <c r="DD336" s="111"/>
      <c r="DE336" s="111"/>
      <c r="DF336" s="111"/>
      <c r="DG336" s="111"/>
      <c r="DH336" s="111"/>
      <c r="DI336" s="111"/>
      <c r="DJ336" s="111"/>
      <c r="DK336" s="111"/>
      <c r="DL336" s="111"/>
      <c r="DM336" s="111"/>
      <c r="DN336" s="111"/>
      <c r="DO336" s="111"/>
      <c r="DP336" s="111"/>
      <c r="DQ336" s="111"/>
      <c r="DR336" s="111"/>
      <c r="DS336" s="111"/>
      <c r="DT336" s="111"/>
      <c r="DU336" s="111"/>
      <c r="DV336" s="111"/>
      <c r="DW336" s="111"/>
      <c r="DX336" s="111"/>
      <c r="DY336" s="111"/>
    </row>
    <row r="337" spans="2:129" s="3" customFormat="1" ht="11.7" customHeight="1" x14ac:dyDescent="0.3">
      <c r="B337" s="313" t="s">
        <v>90</v>
      </c>
      <c r="C337" s="313"/>
      <c r="D337" s="313"/>
      <c r="E337" s="313"/>
      <c r="F337" s="313"/>
      <c r="G337" s="313"/>
      <c r="H337" s="313"/>
      <c r="I337" s="313"/>
      <c r="J337" s="313"/>
      <c r="K337" s="313"/>
      <c r="L337" s="313"/>
      <c r="M337" s="313"/>
      <c r="N337" s="313"/>
      <c r="O337" s="313"/>
      <c r="P337" s="313"/>
      <c r="Q337" s="313"/>
      <c r="R337" s="313"/>
      <c r="S337" s="313"/>
      <c r="T337" s="313"/>
      <c r="U337" s="313"/>
      <c r="V337" s="313"/>
      <c r="W337" s="313"/>
      <c r="X337" s="313"/>
      <c r="Y337" s="313"/>
      <c r="Z337" s="313"/>
      <c r="AA337" s="313"/>
      <c r="AB337" s="313"/>
      <c r="AC337" s="313"/>
      <c r="AD337" s="313"/>
      <c r="AE337" s="313"/>
      <c r="AF337" s="313"/>
      <c r="AG337" s="313"/>
      <c r="AH337" s="313"/>
      <c r="AI337" s="313"/>
      <c r="AJ337" s="313"/>
      <c r="AK337" s="313"/>
      <c r="AL337" s="313"/>
      <c r="AM337" s="313"/>
      <c r="AN337" s="313"/>
      <c r="AO337" s="313"/>
      <c r="AP337" s="313"/>
      <c r="AQ337" s="313"/>
      <c r="AR337" s="313"/>
      <c r="AS337" s="313"/>
      <c r="AT337" s="313"/>
      <c r="AU337" s="313"/>
      <c r="AV337" s="313"/>
      <c r="AW337" s="313"/>
      <c r="AX337" s="313"/>
      <c r="AY337" s="313"/>
      <c r="AZ337" s="313"/>
      <c r="BA337" s="313"/>
      <c r="BB337" s="313"/>
      <c r="BC337" s="313"/>
      <c r="BD337" s="313"/>
      <c r="BE337" s="313"/>
      <c r="BF337" s="313"/>
      <c r="BG337" s="313"/>
      <c r="BH337" s="313"/>
      <c r="BI337" s="313"/>
      <c r="BJ337" s="313"/>
      <c r="BK337" s="313"/>
      <c r="BL337" s="313"/>
      <c r="BM337" s="313"/>
      <c r="BN337" s="313"/>
      <c r="BO337" s="313"/>
      <c r="BP337" s="313"/>
      <c r="BQ337" s="313"/>
      <c r="BR337" s="313"/>
      <c r="BS337" s="313"/>
      <c r="BT337" s="313"/>
      <c r="BU337" s="313"/>
      <c r="BV337" s="313"/>
      <c r="BW337" s="313"/>
      <c r="BX337" s="313"/>
      <c r="BY337" s="313"/>
      <c r="BZ337" s="313"/>
      <c r="CA337" s="313"/>
      <c r="CB337" s="313"/>
      <c r="CC337" s="313"/>
      <c r="CD337" s="313"/>
      <c r="CE337" s="313"/>
      <c r="CF337" s="313"/>
      <c r="CG337" s="313"/>
      <c r="CH337" s="313"/>
      <c r="CI337" s="313"/>
      <c r="CJ337" s="313"/>
      <c r="CK337" s="313"/>
      <c r="CL337" s="313"/>
      <c r="CM337" s="313"/>
      <c r="CN337" s="313"/>
      <c r="CO337" s="313"/>
      <c r="CP337" s="313"/>
      <c r="CQ337" s="313"/>
      <c r="CR337" s="313"/>
      <c r="CS337" s="313"/>
      <c r="CT337" s="313"/>
      <c r="CU337" s="313"/>
      <c r="CV337" s="313"/>
      <c r="CW337" s="313"/>
      <c r="CX337" s="313"/>
      <c r="CY337" s="313"/>
      <c r="CZ337" s="313"/>
      <c r="DA337" s="313"/>
      <c r="DB337" s="313"/>
      <c r="DC337" s="313"/>
      <c r="DD337" s="313"/>
      <c r="DE337" s="313"/>
      <c r="DF337" s="313"/>
      <c r="DG337" s="313"/>
      <c r="DH337" s="313"/>
      <c r="DI337" s="313"/>
      <c r="DJ337" s="313"/>
      <c r="DK337" s="313"/>
      <c r="DL337" s="313"/>
      <c r="DM337" s="313"/>
      <c r="DN337" s="313"/>
      <c r="DO337" s="313"/>
      <c r="DP337" s="313"/>
      <c r="DQ337" s="313"/>
      <c r="DR337" s="313"/>
      <c r="DS337" s="313"/>
      <c r="DT337" s="313"/>
      <c r="DU337" s="313"/>
      <c r="DV337" s="313"/>
      <c r="DW337" s="313"/>
      <c r="DX337" s="313"/>
      <c r="DY337" s="313"/>
    </row>
    <row r="338" spans="2:129" s="3" customFormat="1" ht="11.7" customHeight="1" outlineLevel="1" x14ac:dyDescent="0.3">
      <c r="G338" s="127"/>
      <c r="H338" s="127"/>
      <c r="I338" s="111"/>
      <c r="J338" s="111"/>
      <c r="K338" s="111"/>
      <c r="L338" s="111"/>
      <c r="M338" s="111"/>
      <c r="N338" s="111"/>
      <c r="O338" s="111"/>
      <c r="P338" s="111"/>
      <c r="Q338" s="111"/>
      <c r="R338" s="111"/>
      <c r="S338" s="111"/>
      <c r="T338" s="111"/>
      <c r="U338" s="111"/>
      <c r="V338" s="111"/>
      <c r="W338" s="111"/>
      <c r="X338" s="111"/>
      <c r="Y338" s="111"/>
      <c r="Z338" s="111"/>
      <c r="AA338" s="111"/>
      <c r="AB338" s="111"/>
      <c r="AC338" s="111"/>
      <c r="AD338" s="111"/>
      <c r="AE338" s="111"/>
      <c r="AF338" s="111"/>
      <c r="AG338" s="111"/>
      <c r="AH338" s="111"/>
      <c r="AI338" s="111"/>
      <c r="AJ338" s="111"/>
      <c r="AK338" s="111"/>
      <c r="AL338" s="111"/>
      <c r="AM338" s="111"/>
      <c r="AN338" s="111"/>
      <c r="AO338" s="111"/>
      <c r="AP338" s="111"/>
      <c r="AQ338" s="111"/>
      <c r="AR338" s="111"/>
      <c r="AS338" s="111"/>
      <c r="AT338" s="111"/>
      <c r="AU338" s="111"/>
      <c r="AV338" s="111"/>
      <c r="AW338" s="111"/>
      <c r="AX338" s="111"/>
      <c r="AY338" s="111"/>
      <c r="AZ338" s="111"/>
      <c r="BA338" s="111"/>
      <c r="BB338" s="111"/>
      <c r="BC338" s="111"/>
      <c r="BD338" s="111"/>
      <c r="BE338" s="111"/>
      <c r="BF338" s="111"/>
      <c r="BG338" s="111"/>
      <c r="BH338" s="111"/>
      <c r="BI338" s="111"/>
      <c r="BJ338" s="111"/>
      <c r="BK338" s="111"/>
      <c r="BL338" s="111"/>
      <c r="BM338" s="111"/>
      <c r="BN338" s="111"/>
      <c r="BO338" s="111"/>
      <c r="BP338" s="111"/>
      <c r="BQ338" s="111"/>
      <c r="BR338" s="111"/>
      <c r="BS338" s="111"/>
      <c r="BT338" s="111"/>
      <c r="BU338" s="111"/>
      <c r="BV338" s="111"/>
      <c r="BW338" s="111"/>
      <c r="BX338" s="111"/>
      <c r="BY338" s="111"/>
      <c r="BZ338" s="111"/>
      <c r="CA338" s="111"/>
      <c r="CB338" s="111"/>
      <c r="CC338" s="111"/>
      <c r="CD338" s="111"/>
      <c r="CE338" s="111"/>
      <c r="CF338" s="111"/>
      <c r="CG338" s="111"/>
      <c r="CH338" s="111"/>
      <c r="CI338" s="111"/>
      <c r="CJ338" s="111"/>
      <c r="CK338" s="111"/>
      <c r="CL338" s="111"/>
      <c r="CM338" s="111"/>
      <c r="CN338" s="111"/>
      <c r="CO338" s="111"/>
      <c r="CP338" s="111"/>
      <c r="CQ338" s="111"/>
      <c r="CR338" s="111"/>
      <c r="CS338" s="111"/>
      <c r="CT338" s="111"/>
      <c r="CU338" s="111"/>
      <c r="CV338" s="111"/>
      <c r="CW338" s="111"/>
      <c r="CX338" s="111"/>
      <c r="CY338" s="111"/>
      <c r="CZ338" s="111"/>
      <c r="DA338" s="111"/>
      <c r="DB338" s="111"/>
      <c r="DC338" s="111"/>
      <c r="DD338" s="111"/>
      <c r="DE338" s="111"/>
      <c r="DF338" s="111"/>
      <c r="DG338" s="111"/>
      <c r="DH338" s="111"/>
      <c r="DI338" s="111"/>
      <c r="DJ338" s="111"/>
      <c r="DK338" s="111"/>
      <c r="DL338" s="111"/>
      <c r="DM338" s="111"/>
      <c r="DN338" s="111"/>
      <c r="DO338" s="111"/>
      <c r="DP338" s="111"/>
      <c r="DQ338" s="111"/>
      <c r="DR338" s="111"/>
      <c r="DS338" s="111"/>
      <c r="DT338" s="111"/>
      <c r="DU338" s="111"/>
      <c r="DV338" s="111"/>
      <c r="DW338" s="111"/>
      <c r="DX338" s="111"/>
      <c r="DY338" s="111"/>
    </row>
    <row r="339" spans="2:129" s="3" customFormat="1" ht="11.7" customHeight="1" outlineLevel="1" x14ac:dyDescent="0.25">
      <c r="B339" s="143" t="s">
        <v>123</v>
      </c>
      <c r="C339" s="143"/>
      <c r="D339" s="63"/>
      <c r="E339" s="63"/>
      <c r="F339" s="63"/>
      <c r="G339" s="147"/>
      <c r="H339" s="147"/>
      <c r="I339" s="294">
        <f>+H346</f>
        <v>0</v>
      </c>
      <c r="J339" s="294">
        <f t="shared" ref="J339:BU339" si="434">+I346</f>
        <v>0</v>
      </c>
      <c r="K339" s="294">
        <f t="shared" si="434"/>
        <v>1390.0045312721768</v>
      </c>
      <c r="L339" s="294">
        <f t="shared" si="434"/>
        <v>1537.0045312721768</v>
      </c>
      <c r="M339" s="294">
        <f t="shared" si="434"/>
        <v>2100.0045312721768</v>
      </c>
      <c r="N339" s="294">
        <f t="shared" si="434"/>
        <v>2101.9045312721769</v>
      </c>
      <c r="O339" s="294">
        <f t="shared" si="434"/>
        <v>2101.9045312721769</v>
      </c>
      <c r="P339" s="294">
        <f t="shared" si="434"/>
        <v>2101.9045312721769</v>
      </c>
      <c r="Q339" s="294">
        <f t="shared" si="434"/>
        <v>2101.9045312721769</v>
      </c>
      <c r="R339" s="294">
        <f t="shared" si="434"/>
        <v>2157.9045312721769</v>
      </c>
      <c r="S339" s="294">
        <f t="shared" si="434"/>
        <v>2157.9045312721769</v>
      </c>
      <c r="T339" s="294">
        <f t="shared" si="434"/>
        <v>2352.9045312721769</v>
      </c>
      <c r="U339" s="294">
        <f t="shared" si="434"/>
        <v>2408.9045312721769</v>
      </c>
      <c r="V339" s="294">
        <f t="shared" si="434"/>
        <v>2408.9045312721769</v>
      </c>
      <c r="W339" s="294">
        <f t="shared" si="434"/>
        <v>2408.9045312721769</v>
      </c>
      <c r="X339" s="294">
        <f t="shared" si="434"/>
        <v>3358.1484016452405</v>
      </c>
      <c r="Y339" s="294">
        <f t="shared" si="434"/>
        <v>3358.1484016452405</v>
      </c>
      <c r="Z339" s="294">
        <f t="shared" si="434"/>
        <v>4451.1136465385971</v>
      </c>
      <c r="AA339" s="294">
        <f t="shared" si="434"/>
        <v>5107.2136465385975</v>
      </c>
      <c r="AB339" s="294">
        <f t="shared" si="434"/>
        <v>5768.9011610410344</v>
      </c>
      <c r="AC339" s="294">
        <f t="shared" si="434"/>
        <v>5778.9011610410344</v>
      </c>
      <c r="AD339" s="294">
        <f t="shared" si="434"/>
        <v>5778.9011610410344</v>
      </c>
      <c r="AE339" s="294">
        <f t="shared" si="434"/>
        <v>6200.9011610410344</v>
      </c>
      <c r="AF339" s="294">
        <f t="shared" si="434"/>
        <v>16575.386673852328</v>
      </c>
      <c r="AG339" s="294">
        <f t="shared" si="434"/>
        <v>18969.290336202972</v>
      </c>
      <c r="AH339" s="294">
        <f t="shared" si="434"/>
        <v>20691.419725545311</v>
      </c>
      <c r="AI339" s="294">
        <f t="shared" si="434"/>
        <v>22231.01243633332</v>
      </c>
      <c r="AJ339" s="294">
        <f t="shared" si="434"/>
        <v>24007.812436333319</v>
      </c>
      <c r="AK339" s="294">
        <f t="shared" si="434"/>
        <v>25309.648919357627</v>
      </c>
      <c r="AL339" s="294">
        <f t="shared" si="434"/>
        <v>26559.013626247128</v>
      </c>
      <c r="AM339" s="294">
        <f t="shared" si="434"/>
        <v>27935.358305201185</v>
      </c>
      <c r="AN339" s="294">
        <f t="shared" si="434"/>
        <v>29568.206718994152</v>
      </c>
      <c r="AO339" s="294">
        <f t="shared" si="434"/>
        <v>30982.606718994153</v>
      </c>
      <c r="AP339" s="294">
        <f t="shared" si="434"/>
        <v>32165.343724693943</v>
      </c>
      <c r="AQ339" s="294">
        <f t="shared" si="434"/>
        <v>16446.343724693943</v>
      </c>
      <c r="AR339" s="294">
        <f t="shared" si="434"/>
        <v>16610.343724693943</v>
      </c>
      <c r="AS339" s="294">
        <f t="shared" si="434"/>
        <v>16618.133724693944</v>
      </c>
      <c r="AT339" s="294">
        <f t="shared" si="434"/>
        <v>18104.433724693943</v>
      </c>
      <c r="AU339" s="294">
        <f t="shared" si="434"/>
        <v>19500.433724693943</v>
      </c>
      <c r="AV339" s="294">
        <f t="shared" si="434"/>
        <v>19800.433724693943</v>
      </c>
      <c r="AW339" s="294">
        <f t="shared" si="434"/>
        <v>21999.433724693943</v>
      </c>
      <c r="AX339" s="294">
        <f t="shared" si="434"/>
        <v>27098.433724693943</v>
      </c>
      <c r="AY339" s="294">
        <f t="shared" si="434"/>
        <v>27125.433724693943</v>
      </c>
      <c r="AZ339" s="294">
        <f t="shared" si="434"/>
        <v>29875.333724693945</v>
      </c>
      <c r="BA339" s="294">
        <f t="shared" si="434"/>
        <v>32354.583724693945</v>
      </c>
      <c r="BB339" s="294">
        <f t="shared" si="434"/>
        <v>37376.583724693948</v>
      </c>
      <c r="BC339" s="294">
        <f t="shared" si="434"/>
        <v>40141.583724693948</v>
      </c>
      <c r="BD339" s="294">
        <f t="shared" si="434"/>
        <v>40234.583724693948</v>
      </c>
      <c r="BE339" s="294">
        <f t="shared" si="434"/>
        <v>8541.5837246939482</v>
      </c>
      <c r="BF339" s="294">
        <f t="shared" si="434"/>
        <v>10623.583724693948</v>
      </c>
      <c r="BG339" s="294">
        <f t="shared" si="434"/>
        <v>11022.583724693948</v>
      </c>
      <c r="BH339" s="294">
        <f t="shared" si="434"/>
        <v>11372.583724693948</v>
      </c>
      <c r="BI339" s="294">
        <f>+BH346</f>
        <v>14808.583724693948</v>
      </c>
      <c r="BJ339" s="294">
        <f t="shared" si="434"/>
        <v>15482.509367195671</v>
      </c>
      <c r="BK339" s="294">
        <f t="shared" si="434"/>
        <v>15443.338607193587</v>
      </c>
      <c r="BL339" s="294">
        <f t="shared" si="434"/>
        <v>15488.415279499894</v>
      </c>
      <c r="BM339" s="294">
        <f t="shared" si="434"/>
        <v>15445.85035662673</v>
      </c>
      <c r="BN339" s="294">
        <f t="shared" si="434"/>
        <v>15201.125352437641</v>
      </c>
      <c r="BO339" s="294">
        <f t="shared" si="434"/>
        <v>15021.677960687077</v>
      </c>
      <c r="BP339" s="294">
        <f t="shared" si="434"/>
        <v>14840.560446906777</v>
      </c>
      <c r="BQ339" s="294">
        <f t="shared" si="434"/>
        <v>14566.351642057647</v>
      </c>
      <c r="BR339" s="294">
        <f t="shared" si="434"/>
        <v>14612.273342785076</v>
      </c>
      <c r="BS339" s="294">
        <f t="shared" si="434"/>
        <v>14440.568924880818</v>
      </c>
      <c r="BT339" s="294">
        <f t="shared" si="434"/>
        <v>14191.432445320264</v>
      </c>
      <c r="BU339" s="294">
        <f t="shared" si="434"/>
        <v>13917.166310937489</v>
      </c>
      <c r="BV339" s="294">
        <f t="shared" ref="BV339:DW339" si="435">+BU346</f>
        <v>13812.305182025679</v>
      </c>
      <c r="BW339" s="294">
        <f t="shared" si="435"/>
        <v>13507.959604254389</v>
      </c>
      <c r="BX339" s="294">
        <f t="shared" si="435"/>
        <v>13216.447255244342</v>
      </c>
      <c r="BY339" s="294">
        <f t="shared" si="435"/>
        <v>13221.517388398805</v>
      </c>
      <c r="BZ339" s="294">
        <f t="shared" si="435"/>
        <v>13247.17412341891</v>
      </c>
      <c r="CA339" s="294">
        <f t="shared" ca="1" si="435"/>
        <v>12827.056947035933</v>
      </c>
      <c r="CB339" s="294">
        <f t="shared" ca="1" si="435"/>
        <v>12425.756988940777</v>
      </c>
      <c r="CC339" s="294">
        <f t="shared" ca="1" si="435"/>
        <v>12003.935829095621</v>
      </c>
      <c r="CD339" s="294">
        <f t="shared" ca="1" si="435"/>
        <v>11561.593467500465</v>
      </c>
      <c r="CE339" s="294">
        <f t="shared" ca="1" si="435"/>
        <v>11098.729904155307</v>
      </c>
      <c r="CF339" s="294">
        <f t="shared" ca="1" si="435"/>
        <v>10615.345139060149</v>
      </c>
      <c r="CG339" s="294">
        <f t="shared" ca="1" si="435"/>
        <v>10057.991639623726</v>
      </c>
      <c r="CH339" s="294">
        <f t="shared" ca="1" si="435"/>
        <v>0</v>
      </c>
      <c r="CI339" s="294">
        <f t="shared" ca="1" si="435"/>
        <v>0</v>
      </c>
      <c r="CJ339" s="294">
        <f t="shared" ca="1" si="435"/>
        <v>0</v>
      </c>
      <c r="CK339" s="294">
        <f t="shared" ca="1" si="435"/>
        <v>0</v>
      </c>
      <c r="CL339" s="294">
        <f t="shared" ca="1" si="435"/>
        <v>0</v>
      </c>
      <c r="CM339" s="294">
        <f t="shared" ca="1" si="435"/>
        <v>0</v>
      </c>
      <c r="CN339" s="294">
        <f t="shared" ca="1" si="435"/>
        <v>0</v>
      </c>
      <c r="CO339" s="294">
        <f t="shared" ca="1" si="435"/>
        <v>0</v>
      </c>
      <c r="CP339" s="294">
        <f t="shared" ca="1" si="435"/>
        <v>0</v>
      </c>
      <c r="CQ339" s="294">
        <f t="shared" ca="1" si="435"/>
        <v>0</v>
      </c>
      <c r="CR339" s="294">
        <f t="shared" ca="1" si="435"/>
        <v>0</v>
      </c>
      <c r="CS339" s="294">
        <f t="shared" ca="1" si="435"/>
        <v>0</v>
      </c>
      <c r="CT339" s="294">
        <f t="shared" ca="1" si="435"/>
        <v>0</v>
      </c>
      <c r="CU339" s="294">
        <f t="shared" ca="1" si="435"/>
        <v>0</v>
      </c>
      <c r="CV339" s="294">
        <f t="shared" ca="1" si="435"/>
        <v>0</v>
      </c>
      <c r="CW339" s="294">
        <f t="shared" ca="1" si="435"/>
        <v>0</v>
      </c>
      <c r="CX339" s="294">
        <f t="shared" ca="1" si="435"/>
        <v>0</v>
      </c>
      <c r="CY339" s="294">
        <f t="shared" ca="1" si="435"/>
        <v>0</v>
      </c>
      <c r="CZ339" s="294">
        <f t="shared" ca="1" si="435"/>
        <v>0</v>
      </c>
      <c r="DA339" s="294">
        <f t="shared" ca="1" si="435"/>
        <v>0</v>
      </c>
      <c r="DB339" s="294">
        <f t="shared" ca="1" si="435"/>
        <v>0</v>
      </c>
      <c r="DC339" s="294">
        <f t="shared" ca="1" si="435"/>
        <v>0</v>
      </c>
      <c r="DD339" s="294">
        <f t="shared" ca="1" si="435"/>
        <v>0</v>
      </c>
      <c r="DE339" s="294">
        <f t="shared" ca="1" si="435"/>
        <v>0</v>
      </c>
      <c r="DF339" s="294">
        <f t="shared" ca="1" si="435"/>
        <v>0</v>
      </c>
      <c r="DG339" s="294">
        <f t="shared" ca="1" si="435"/>
        <v>0</v>
      </c>
      <c r="DH339" s="294">
        <f t="shared" ca="1" si="435"/>
        <v>0</v>
      </c>
      <c r="DI339" s="294">
        <f t="shared" ca="1" si="435"/>
        <v>0</v>
      </c>
      <c r="DJ339" s="294">
        <f t="shared" ca="1" si="435"/>
        <v>0</v>
      </c>
      <c r="DK339" s="294">
        <f t="shared" ca="1" si="435"/>
        <v>0</v>
      </c>
      <c r="DL339" s="294">
        <f t="shared" ca="1" si="435"/>
        <v>0</v>
      </c>
      <c r="DM339" s="294">
        <f t="shared" ca="1" si="435"/>
        <v>0</v>
      </c>
      <c r="DN339" s="294">
        <f t="shared" ca="1" si="435"/>
        <v>0</v>
      </c>
      <c r="DO339" s="294">
        <f t="shared" ca="1" si="435"/>
        <v>0</v>
      </c>
      <c r="DP339" s="294">
        <f t="shared" ca="1" si="435"/>
        <v>0</v>
      </c>
      <c r="DQ339" s="294">
        <f t="shared" ca="1" si="435"/>
        <v>0</v>
      </c>
      <c r="DR339" s="294">
        <f t="shared" ca="1" si="435"/>
        <v>0</v>
      </c>
      <c r="DS339" s="294">
        <f t="shared" ca="1" si="435"/>
        <v>0</v>
      </c>
      <c r="DT339" s="294">
        <f t="shared" ca="1" si="435"/>
        <v>0</v>
      </c>
      <c r="DU339" s="294">
        <f t="shared" ca="1" si="435"/>
        <v>0</v>
      </c>
      <c r="DV339" s="294">
        <f t="shared" ca="1" si="435"/>
        <v>0</v>
      </c>
      <c r="DW339" s="294">
        <f t="shared" ca="1" si="435"/>
        <v>0</v>
      </c>
      <c r="DX339" s="294">
        <f t="shared" ref="DX339" ca="1" si="436">+DW346</f>
        <v>0</v>
      </c>
      <c r="DY339" s="294">
        <f t="shared" ref="DY339" ca="1" si="437">+DX346</f>
        <v>0</v>
      </c>
    </row>
    <row r="340" spans="2:129" s="3" customFormat="1" ht="11.7" customHeight="1" outlineLevel="1" x14ac:dyDescent="0.25">
      <c r="B340" s="149" t="s">
        <v>554</v>
      </c>
      <c r="C340" s="149"/>
      <c r="D340" s="289">
        <f>+'CapEx Budget'!G69</f>
        <v>66231</v>
      </c>
      <c r="E340" s="292">
        <f>EOMONTH(Inputs!$K$91,2)</f>
        <v>44592</v>
      </c>
      <c r="F340" s="897"/>
      <c r="G340" s="290">
        <f t="shared" ref="G340:G345" si="438">+SUM(I340:DY340)</f>
        <v>65267.183724693947</v>
      </c>
      <c r="I340" s="300">
        <v>0</v>
      </c>
      <c r="J340" s="300">
        <v>1390.0045312721768</v>
      </c>
      <c r="K340" s="300">
        <v>147</v>
      </c>
      <c r="L340" s="300">
        <v>563</v>
      </c>
      <c r="M340" s="300">
        <v>1.9</v>
      </c>
      <c r="N340" s="300">
        <v>0</v>
      </c>
      <c r="O340" s="300">
        <v>0</v>
      </c>
      <c r="P340" s="300">
        <v>0</v>
      </c>
      <c r="Q340" s="300">
        <v>56</v>
      </c>
      <c r="R340" s="300">
        <v>0</v>
      </c>
      <c r="S340" s="300">
        <v>195</v>
      </c>
      <c r="T340" s="300">
        <v>56</v>
      </c>
      <c r="U340" s="300">
        <v>0</v>
      </c>
      <c r="V340" s="300">
        <v>0</v>
      </c>
      <c r="W340" s="300">
        <v>949.24387037306383</v>
      </c>
      <c r="X340" s="300">
        <v>0</v>
      </c>
      <c r="Y340" s="300">
        <v>1092.9652448933571</v>
      </c>
      <c r="Z340" s="300">
        <v>656.1</v>
      </c>
      <c r="AA340" s="300">
        <v>661.68751450243667</v>
      </c>
      <c r="AB340" s="300">
        <v>10</v>
      </c>
      <c r="AC340" s="300">
        <v>0</v>
      </c>
      <c r="AD340" s="300">
        <v>422</v>
      </c>
      <c r="AE340" s="300">
        <v>10374.485512811292</v>
      </c>
      <c r="AF340" s="300">
        <v>2393.9036623506449</v>
      </c>
      <c r="AG340" s="300">
        <v>1722.1293893423399</v>
      </c>
      <c r="AH340" s="300">
        <v>1539.5927107880104</v>
      </c>
      <c r="AI340" s="300">
        <v>1776.8</v>
      </c>
      <c r="AJ340" s="300">
        <v>1301.8364830243079</v>
      </c>
      <c r="AK340" s="300">
        <v>1249.3647068895025</v>
      </c>
      <c r="AL340" s="300">
        <v>1376.3446789540567</v>
      </c>
      <c r="AM340" s="300">
        <v>1632.8484137929654</v>
      </c>
      <c r="AN340" s="300">
        <v>1414.4</v>
      </c>
      <c r="AO340" s="300">
        <v>1182.73700569979</v>
      </c>
      <c r="AP340" s="300">
        <v>1343.6</v>
      </c>
      <c r="AQ340" s="300">
        <v>164</v>
      </c>
      <c r="AR340" s="300">
        <v>7.79</v>
      </c>
      <c r="AS340" s="300">
        <v>1486.3</v>
      </c>
      <c r="AT340" s="300">
        <v>1396</v>
      </c>
      <c r="AU340" s="300">
        <v>300</v>
      </c>
      <c r="AV340" s="300">
        <v>2199</v>
      </c>
      <c r="AW340" s="300">
        <v>5099</v>
      </c>
      <c r="AX340" s="300">
        <v>27</v>
      </c>
      <c r="AY340" s="300">
        <v>2749.9</v>
      </c>
      <c r="AZ340" s="300">
        <v>2479.25</v>
      </c>
      <c r="BA340" s="300">
        <v>5022</v>
      </c>
      <c r="BB340" s="300">
        <v>2765</v>
      </c>
      <c r="BC340" s="300">
        <v>93</v>
      </c>
      <c r="BD340" s="300">
        <v>1703</v>
      </c>
      <c r="BE340" s="300">
        <v>2082</v>
      </c>
      <c r="BF340" s="300">
        <v>399</v>
      </c>
      <c r="BG340" s="300">
        <v>350</v>
      </c>
      <c r="BH340" s="300">
        <v>3436</v>
      </c>
      <c r="BI340" s="300">
        <v>0</v>
      </c>
      <c r="BJ340" s="300">
        <v>0</v>
      </c>
      <c r="BK340" s="300">
        <v>0</v>
      </c>
      <c r="BL340" s="300">
        <v>0</v>
      </c>
      <c r="BM340" s="300">
        <v>0</v>
      </c>
      <c r="BN340" s="300">
        <v>0</v>
      </c>
      <c r="BO340" s="300">
        <v>0</v>
      </c>
      <c r="BP340" s="300">
        <v>0</v>
      </c>
      <c r="BQ340" s="300">
        <v>0</v>
      </c>
      <c r="BR340" s="300">
        <v>0</v>
      </c>
      <c r="BS340" s="300">
        <v>0</v>
      </c>
      <c r="BT340" s="300">
        <v>0</v>
      </c>
      <c r="BU340" s="300">
        <v>0</v>
      </c>
      <c r="BV340" s="300">
        <v>0</v>
      </c>
      <c r="BW340" s="300">
        <v>0</v>
      </c>
      <c r="BX340" s="300">
        <v>0</v>
      </c>
      <c r="BY340" s="300">
        <v>0</v>
      </c>
      <c r="BZ340" s="293">
        <f>IFERROR(($D340-SUM($H340:BY340))/(DATEDIF(BZ$6,$E340,"m")+1),0)</f>
        <v>0</v>
      </c>
      <c r="CA340" s="293">
        <f>IFERROR(($D340-SUM($H340:BZ340))/(DATEDIF(CA$6,$E340,"m")+1),0)</f>
        <v>0</v>
      </c>
      <c r="CB340" s="293">
        <f>IFERROR(($D340-SUM($H340:CA340))/(DATEDIF(CB$6,$E340,"m")+1),0)</f>
        <v>0</v>
      </c>
      <c r="CC340" s="293">
        <f>IFERROR(($D340-SUM($H340:CB340))/(DATEDIF(CC$6,$E340,"m")+1),0)</f>
        <v>0</v>
      </c>
      <c r="CD340" s="293">
        <f>IFERROR(($D340-SUM($H340:CC340))/(DATEDIF(CD$6,$E340,"m")+1),0)</f>
        <v>0</v>
      </c>
      <c r="CE340" s="293">
        <f>IFERROR(($D340-SUM($H340:CD340))/(DATEDIF(CE$6,$E340,"m")+1),0)</f>
        <v>0</v>
      </c>
      <c r="CF340" s="293">
        <f>IFERROR(($D340-SUM($H340:CE340))/(DATEDIF(CF$6,$E340,"m")+1),0)</f>
        <v>0</v>
      </c>
      <c r="CG340" s="293">
        <f>IFERROR(($D340-SUM($H340:CF340))/(DATEDIF(CG$6,$E340,"m")+1),0)</f>
        <v>0</v>
      </c>
      <c r="CH340" s="293">
        <f>IFERROR(($D340-SUM($H340:CG340))/(DATEDIF(CH$6,$E340,"m")+1),0)</f>
        <v>0</v>
      </c>
      <c r="CI340" s="293">
        <f>IFERROR(($D340-SUM($H340:CH340))/(DATEDIF(CI$6,$E340,"m")+1),0)</f>
        <v>0</v>
      </c>
      <c r="CJ340" s="293">
        <f>IFERROR(($D340-SUM($H340:CI340))/(DATEDIF(CJ$6,$E340,"m")+1),0)</f>
        <v>0</v>
      </c>
      <c r="CK340" s="293">
        <f>IFERROR(($D340-SUM($H340:CJ340))/(DATEDIF(CK$6,$E340,"m")+1),0)</f>
        <v>0</v>
      </c>
      <c r="CL340" s="293">
        <f>IFERROR(($D340-SUM($H340:CK340))/(DATEDIF(CL$6,$E340,"m")+1),0)</f>
        <v>0</v>
      </c>
      <c r="CM340" s="293">
        <f>IFERROR(($D340-SUM($H340:CL340))/(DATEDIF(CM$6,$E340,"m")+1),0)</f>
        <v>0</v>
      </c>
      <c r="CN340" s="293">
        <f>IFERROR(($D340-SUM($H340:CM340))/(DATEDIF(CN$6,$E340,"m")+1),0)</f>
        <v>0</v>
      </c>
      <c r="CO340" s="293">
        <f>IFERROR(($D340-SUM($H340:CN340))/(DATEDIF(CO$6,$E340,"m")+1),0)</f>
        <v>0</v>
      </c>
      <c r="CP340" s="293">
        <f>IFERROR(($D340-SUM($H340:CO340))/(DATEDIF(CP$6,$E340,"m")+1),0)</f>
        <v>0</v>
      </c>
      <c r="CQ340" s="293">
        <f>IFERROR(($D340-SUM($H340:CP340))/(DATEDIF(CQ$6,$E340,"m")+1),0)</f>
        <v>0</v>
      </c>
      <c r="CR340" s="293">
        <f>IFERROR(($D340-SUM($H340:CQ340))/(DATEDIF(CR$6,$E340,"m")+1),0)</f>
        <v>0</v>
      </c>
      <c r="CS340" s="293">
        <f>IFERROR(($D340-SUM($H340:CR340))/(DATEDIF(CS$6,$E340,"m")+1),0)</f>
        <v>0</v>
      </c>
      <c r="CT340" s="293">
        <f>IFERROR(($D340-SUM($H340:CS340))/(DATEDIF(CT$6,$E340,"m")+1),0)</f>
        <v>0</v>
      </c>
      <c r="CU340" s="293">
        <f>IFERROR(($D340-SUM($H340:CT340))/(DATEDIF(CU$6,$E340,"m")+1),0)</f>
        <v>0</v>
      </c>
      <c r="CV340" s="293">
        <f>IFERROR(($D340-SUM($H340:CU340))/(DATEDIF(CV$6,$E340,"m")+1),0)</f>
        <v>0</v>
      </c>
      <c r="CW340" s="293">
        <f>IFERROR(($D340-SUM($H340:CV340))/(DATEDIF(CW$6,$E340,"m")+1),0)</f>
        <v>0</v>
      </c>
      <c r="CX340" s="293">
        <f>IFERROR(($D340-SUM($H340:CW340))/(DATEDIF(CX$6,$E340,"m")+1),0)</f>
        <v>0</v>
      </c>
      <c r="CY340" s="293">
        <f>IFERROR(($D340-SUM($H340:CX340))/(DATEDIF(CY$6,$E340,"m")+1),0)</f>
        <v>0</v>
      </c>
      <c r="CZ340" s="293">
        <f>IFERROR(($D340-SUM($H340:CY340))/(DATEDIF(CZ$6,$E340,"m")+1),0)</f>
        <v>0</v>
      </c>
      <c r="DA340" s="293">
        <f>IFERROR(($D340-SUM($H340:CZ340))/(DATEDIF(DA$6,$E340,"m")+1),0)</f>
        <v>0</v>
      </c>
      <c r="DB340" s="293">
        <f>IFERROR(($D340-SUM($H340:DA340))/(DATEDIF(DB$6,$E340,"m")+1),0)</f>
        <v>0</v>
      </c>
      <c r="DC340" s="293">
        <f>IFERROR(($D340-SUM($H340:DB340))/(DATEDIF(DC$6,$E340,"m")+1),0)</f>
        <v>0</v>
      </c>
      <c r="DD340" s="293">
        <f>IFERROR(($D340-SUM($H340:DC340))/(DATEDIF(DD$6,$E340,"m")+1),0)</f>
        <v>0</v>
      </c>
      <c r="DE340" s="293">
        <f>IFERROR(($D340-SUM($H340:DD340))/(DATEDIF(DE$6,$E340,"m")+1),0)</f>
        <v>0</v>
      </c>
      <c r="DF340" s="293">
        <f>IFERROR(($D340-SUM($H340:DE340))/(DATEDIF(DF$6,$E340,"m")+1),0)</f>
        <v>0</v>
      </c>
      <c r="DG340" s="293">
        <f>IFERROR(($D340-SUM($H340:DF340))/(DATEDIF(DG$6,$E340,"m")+1),0)</f>
        <v>0</v>
      </c>
      <c r="DH340" s="293">
        <f>IFERROR(($D340-SUM($H340:DG340))/(DATEDIF(DH$6,$E340,"m")+1),0)</f>
        <v>0</v>
      </c>
      <c r="DI340" s="293">
        <f>IFERROR(($D340-SUM($H340:DH340))/(DATEDIF(DI$6,$E340,"m")+1),0)</f>
        <v>0</v>
      </c>
      <c r="DJ340" s="293">
        <f>IFERROR(($D340-SUM($H340:DI340))/(DATEDIF(DJ$6,$E340,"m")+1),0)</f>
        <v>0</v>
      </c>
      <c r="DK340" s="293">
        <f>IFERROR(($D340-SUM($H340:DJ340))/(DATEDIF(DK$6,$E340,"m")+1),0)</f>
        <v>0</v>
      </c>
      <c r="DL340" s="293">
        <f>IFERROR(($D340-SUM($H340:DK340))/(DATEDIF(DL$6,$E340,"m")+1),0)</f>
        <v>0</v>
      </c>
      <c r="DM340" s="293">
        <f>IFERROR(($D340-SUM($H340:DL340))/(DATEDIF(DM$6,$E340,"m")+1),0)</f>
        <v>0</v>
      </c>
      <c r="DN340" s="293">
        <f>IFERROR(($D340-SUM($H340:DM340))/(DATEDIF(DN$6,$E340,"m")+1),0)</f>
        <v>0</v>
      </c>
      <c r="DO340" s="293">
        <f>IFERROR(($D340-SUM($H340:DN340))/(DATEDIF(DO$6,$E340,"m")+1),0)</f>
        <v>0</v>
      </c>
      <c r="DP340" s="293">
        <f>IFERROR(($D340-SUM($H340:DO340))/(DATEDIF(DP$6,$E340,"m")+1),0)</f>
        <v>0</v>
      </c>
      <c r="DQ340" s="293">
        <f>IFERROR(($D340-SUM($H340:DP340))/(DATEDIF(DQ$6,$E340,"m")+1),0)</f>
        <v>0</v>
      </c>
      <c r="DR340" s="293">
        <f>IFERROR(($D340-SUM($H340:DQ340))/(DATEDIF(DR$6,$E340,"m")+1),0)</f>
        <v>0</v>
      </c>
      <c r="DS340" s="293">
        <f>IFERROR(($D340-SUM($H340:DR340))/(DATEDIF(DS$6,$E340,"m")+1),0)</f>
        <v>0</v>
      </c>
      <c r="DT340" s="293">
        <f>IFERROR(($D340-SUM($H340:DS340))/(DATEDIF(DT$6,$E340,"m")+1),0)</f>
        <v>0</v>
      </c>
      <c r="DU340" s="293">
        <f>IFERROR(($D340-SUM($H340:DT340))/(DATEDIF(DU$6,$E340,"m")+1),0)</f>
        <v>0</v>
      </c>
      <c r="DV340" s="293">
        <f>IFERROR(($D340-SUM($H340:DU340))/(DATEDIF(DV$6,$E340,"m")+1),0)</f>
        <v>0</v>
      </c>
      <c r="DW340" s="293">
        <f>IFERROR(($D340-SUM($H340:DV340))/(DATEDIF(DW$6,$E340,"m")+1),0)</f>
        <v>0</v>
      </c>
      <c r="DX340" s="293">
        <f>IFERROR(($D340-SUM($H340:DW340))/(DATEDIF(DX$6,$E340,"m")+1),0)</f>
        <v>0</v>
      </c>
      <c r="DY340" s="293">
        <f>IFERROR(($D340-SUM($H340:DX340))/(DATEDIF(DY$6,$E340,"m")+1),0)</f>
        <v>0</v>
      </c>
    </row>
    <row r="341" spans="2:129" s="3" customFormat="1" ht="11.7" customHeight="1" outlineLevel="1" x14ac:dyDescent="0.25">
      <c r="B341" s="149" t="s">
        <v>555</v>
      </c>
      <c r="C341" s="149"/>
      <c r="G341" s="290">
        <f t="shared" ca="1" si="438"/>
        <v>2649.0715614154728</v>
      </c>
      <c r="I341" s="300">
        <v>0</v>
      </c>
      <c r="J341" s="300">
        <v>0</v>
      </c>
      <c r="K341" s="300">
        <v>0</v>
      </c>
      <c r="L341" s="300">
        <v>0</v>
      </c>
      <c r="M341" s="300">
        <v>0</v>
      </c>
      <c r="N341" s="300">
        <v>0</v>
      </c>
      <c r="O341" s="300">
        <v>0</v>
      </c>
      <c r="P341" s="300">
        <v>0</v>
      </c>
      <c r="Q341" s="300">
        <v>0</v>
      </c>
      <c r="R341" s="300">
        <v>0</v>
      </c>
      <c r="S341" s="300">
        <v>0</v>
      </c>
      <c r="T341" s="300">
        <v>0</v>
      </c>
      <c r="U341" s="300">
        <v>0</v>
      </c>
      <c r="V341" s="300">
        <v>0</v>
      </c>
      <c r="W341" s="300">
        <v>0</v>
      </c>
      <c r="X341" s="300">
        <v>0</v>
      </c>
      <c r="Y341" s="300">
        <v>0</v>
      </c>
      <c r="Z341" s="300">
        <v>0</v>
      </c>
      <c r="AA341" s="300">
        <v>0</v>
      </c>
      <c r="AB341" s="300">
        <v>0</v>
      </c>
      <c r="AC341" s="300">
        <v>0</v>
      </c>
      <c r="AD341" s="300">
        <v>0</v>
      </c>
      <c r="AE341" s="300">
        <v>0</v>
      </c>
      <c r="AF341" s="300">
        <v>0</v>
      </c>
      <c r="AG341" s="300">
        <v>0</v>
      </c>
      <c r="AH341" s="300">
        <v>0</v>
      </c>
      <c r="AI341" s="300">
        <v>0</v>
      </c>
      <c r="AJ341" s="300">
        <v>0</v>
      </c>
      <c r="AK341" s="300">
        <v>0</v>
      </c>
      <c r="AL341" s="300">
        <v>0</v>
      </c>
      <c r="AM341" s="300">
        <v>0</v>
      </c>
      <c r="AN341" s="300">
        <v>0</v>
      </c>
      <c r="AO341" s="300">
        <v>0</v>
      </c>
      <c r="AP341" s="300">
        <v>0</v>
      </c>
      <c r="AQ341" s="300">
        <v>0</v>
      </c>
      <c r="AR341" s="300">
        <v>0</v>
      </c>
      <c r="AS341" s="300">
        <v>0</v>
      </c>
      <c r="AT341" s="300">
        <v>0</v>
      </c>
      <c r="AU341" s="300">
        <v>0</v>
      </c>
      <c r="AV341" s="300">
        <v>0</v>
      </c>
      <c r="AW341" s="300">
        <v>0</v>
      </c>
      <c r="AX341" s="300">
        <v>0</v>
      </c>
      <c r="AY341" s="300">
        <v>0</v>
      </c>
      <c r="AZ341" s="300">
        <v>0</v>
      </c>
      <c r="BA341" s="300">
        <v>0</v>
      </c>
      <c r="BB341" s="300">
        <v>0</v>
      </c>
      <c r="BC341" s="300">
        <v>0</v>
      </c>
      <c r="BD341" s="300">
        <v>0</v>
      </c>
      <c r="BE341" s="300">
        <v>0</v>
      </c>
      <c r="BF341" s="300">
        <v>0</v>
      </c>
      <c r="BG341" s="300">
        <v>0</v>
      </c>
      <c r="BH341" s="300">
        <v>0</v>
      </c>
      <c r="BI341" s="300">
        <v>0</v>
      </c>
      <c r="BJ341" s="300">
        <v>0</v>
      </c>
      <c r="BK341" s="300">
        <v>0</v>
      </c>
      <c r="BL341" s="300">
        <v>0</v>
      </c>
      <c r="BM341" s="300">
        <v>0</v>
      </c>
      <c r="BN341" s="300">
        <v>0</v>
      </c>
      <c r="BO341" s="300">
        <v>0</v>
      </c>
      <c r="BP341" s="300">
        <v>0</v>
      </c>
      <c r="BQ341" s="300">
        <v>0</v>
      </c>
      <c r="BR341" s="300">
        <v>0</v>
      </c>
      <c r="BS341" s="300">
        <v>0</v>
      </c>
      <c r="BT341" s="300">
        <v>0</v>
      </c>
      <c r="BU341" s="300">
        <v>0</v>
      </c>
      <c r="BV341" s="300">
        <v>0</v>
      </c>
      <c r="BW341" s="300">
        <v>0</v>
      </c>
      <c r="BX341" s="300">
        <v>0</v>
      </c>
      <c r="BY341" s="300">
        <v>0</v>
      </c>
      <c r="BZ341" s="293">
        <f ca="1">-SUM(BZ139,BZ145,BZ146)*Inputs!$L$126</f>
        <v>49.178500801950612</v>
      </c>
      <c r="CA341" s="293">
        <f ca="1">-SUM(CA139,CA145,CA146)*Inputs!$L$126</f>
        <v>45.573754624305316</v>
      </c>
      <c r="CB341" s="293">
        <f ca="1">-SUM(CB139,CB145,CB146)*Inputs!$L$126</f>
        <v>45.573754624305316</v>
      </c>
      <c r="CC341" s="293">
        <f ca="1">-SUM(CC139,CC145,CC146)*Inputs!$L$126</f>
        <v>45.573754624305316</v>
      </c>
      <c r="CD341" s="293">
        <f ca="1">-SUM(CD139,CD145,CD146)*Inputs!$L$126</f>
        <v>45.573754624305316</v>
      </c>
      <c r="CE341" s="293">
        <f ca="1">-SUM(CE139,CE145,CE146)*Inputs!$L$126</f>
        <v>45.573754624305316</v>
      </c>
      <c r="CF341" s="293">
        <f ca="1">-SUM(CF139,CF145,CF146)*Inputs!$L$126</f>
        <v>50.695505852457138</v>
      </c>
      <c r="CG341" s="293">
        <f ca="1">-SUM(CG139,CG145,CG146)*Inputs!$L$126</f>
        <v>51.585084036434203</v>
      </c>
      <c r="CH341" s="293">
        <f ca="1">-SUM(CH139,CH145,CH146)*Inputs!$L$126</f>
        <v>51.585084036434203</v>
      </c>
      <c r="CI341" s="293">
        <f ca="1">-SUM(CI139,CI145,CI146)*Inputs!$L$126</f>
        <v>51.585084036434203</v>
      </c>
      <c r="CJ341" s="293">
        <f ca="1">-SUM(CJ139,CJ145,CJ146)*Inputs!$L$126</f>
        <v>51.585084036434203</v>
      </c>
      <c r="CK341" s="293">
        <f ca="1">-SUM(CK139,CK145,CK146)*Inputs!$L$126</f>
        <v>51.585084036434203</v>
      </c>
      <c r="CL341" s="293">
        <f ca="1">-SUM(CL139,CL145,CL146)*Inputs!$L$126</f>
        <v>51.585084036434203</v>
      </c>
      <c r="CM341" s="293">
        <f ca="1">-SUM(CM139,CM145,CM146)*Inputs!$L$126</f>
        <v>51.585084036434203</v>
      </c>
      <c r="CN341" s="293">
        <f ca="1">-SUM(CN139,CN145,CN146)*Inputs!$L$126</f>
        <v>51.585084036434203</v>
      </c>
      <c r="CO341" s="293">
        <f ca="1">-SUM(CO139,CO145,CO146)*Inputs!$L$126</f>
        <v>51.585084036434203</v>
      </c>
      <c r="CP341" s="293">
        <f ca="1">-SUM(CP139,CP145,CP146)*Inputs!$L$126</f>
        <v>51.585084036434203</v>
      </c>
      <c r="CQ341" s="293">
        <f ca="1">-SUM(CQ139,CQ145,CQ146)*Inputs!$L$126</f>
        <v>51.585084036434203</v>
      </c>
      <c r="CR341" s="293">
        <f ca="1">-SUM(CR139,CR145,CR146)*Inputs!$L$126</f>
        <v>51.585084036434203</v>
      </c>
      <c r="CS341" s="293">
        <f ca="1">-SUM(CS139,CS145,CS146)*Inputs!$L$126</f>
        <v>51.585084036434203</v>
      </c>
      <c r="CT341" s="293">
        <f ca="1">-SUM(CT139,CT145,CT146)*Inputs!$L$126</f>
        <v>51.585084036434203</v>
      </c>
      <c r="CU341" s="293">
        <f ca="1">-SUM(CU139,CU145,CU146)*Inputs!$L$126</f>
        <v>51.585084036434203</v>
      </c>
      <c r="CV341" s="293">
        <f ca="1">-SUM(CV139,CV145,CV146)*Inputs!$L$126</f>
        <v>51.585084036434203</v>
      </c>
      <c r="CW341" s="293">
        <f ca="1">-SUM(CW139,CW145,CW146)*Inputs!$L$126</f>
        <v>51.585084036434203</v>
      </c>
      <c r="CX341" s="293">
        <f ca="1">-SUM(CX139,CX145,CX146)*Inputs!$L$126</f>
        <v>51.585084036434203</v>
      </c>
      <c r="CY341" s="293">
        <f ca="1">-SUM(CY139,CY145,CY146)*Inputs!$L$126</f>
        <v>51.585084036434203</v>
      </c>
      <c r="CZ341" s="293">
        <f ca="1">-SUM(CZ139,CZ145,CZ146)*Inputs!$L$126</f>
        <v>51.585084036434203</v>
      </c>
      <c r="DA341" s="293">
        <f ca="1">-SUM(DA139,DA145,DA146)*Inputs!$L$126</f>
        <v>51.585084036434203</v>
      </c>
      <c r="DB341" s="293">
        <f ca="1">-SUM(DB139,DB145,DB146)*Inputs!$L$126</f>
        <v>51.585084036434203</v>
      </c>
      <c r="DC341" s="293">
        <f ca="1">-SUM(DC139,DC145,DC146)*Inputs!$L$126</f>
        <v>51.585084036434203</v>
      </c>
      <c r="DD341" s="293">
        <f ca="1">-SUM(DD139,DD145,DD146)*Inputs!$L$126</f>
        <v>51.585084036434203</v>
      </c>
      <c r="DE341" s="293">
        <f ca="1">-SUM(DE139,DE145,DE146)*Inputs!$L$126</f>
        <v>51.585084036434203</v>
      </c>
      <c r="DF341" s="293">
        <f ca="1">-SUM(DF139,DF145,DF146)*Inputs!$L$126</f>
        <v>51.585084036434203</v>
      </c>
      <c r="DG341" s="293">
        <f ca="1">-SUM(DG139,DG145,DG146)*Inputs!$L$126</f>
        <v>51.585084036434203</v>
      </c>
      <c r="DH341" s="293">
        <f ca="1">-SUM(DH139,DH145,DH146)*Inputs!$L$126</f>
        <v>51.585084036434203</v>
      </c>
      <c r="DI341" s="293">
        <f ca="1">-SUM(DI139,DI145,DI146)*Inputs!$L$126</f>
        <v>51.585084036434203</v>
      </c>
      <c r="DJ341" s="293">
        <f ca="1">-SUM(DJ139,DJ145,DJ146)*Inputs!$L$126</f>
        <v>51.585084036434203</v>
      </c>
      <c r="DK341" s="293">
        <f ca="1">-SUM(DK139,DK145,DK146)*Inputs!$L$126</f>
        <v>51.585084036434203</v>
      </c>
      <c r="DL341" s="293">
        <f ca="1">-SUM(DL139,DL145,DL146)*Inputs!$L$126</f>
        <v>51.585084036434203</v>
      </c>
      <c r="DM341" s="293">
        <f ca="1">-SUM(DM139,DM145,DM146)*Inputs!$L$126</f>
        <v>51.585084036434203</v>
      </c>
      <c r="DN341" s="293">
        <f ca="1">-SUM(DN139,DN145,DN146)*Inputs!$L$126</f>
        <v>51.585084036434203</v>
      </c>
      <c r="DO341" s="293">
        <f ca="1">-SUM(DO139,DO145,DO146)*Inputs!$L$126</f>
        <v>51.585084036434203</v>
      </c>
      <c r="DP341" s="293">
        <f ca="1">-SUM(DP139,DP145,DP146)*Inputs!$L$126</f>
        <v>51.585084036434203</v>
      </c>
      <c r="DQ341" s="293">
        <f ca="1">-SUM(DQ139,DQ145,DQ146)*Inputs!$L$126</f>
        <v>51.585084036434203</v>
      </c>
      <c r="DR341" s="293">
        <f ca="1">-SUM(DR139,DR145,DR146)*Inputs!$L$126</f>
        <v>51.585084036434203</v>
      </c>
      <c r="DS341" s="293">
        <f ca="1">-SUM(DS139,DS145,DS146)*Inputs!$L$126</f>
        <v>51.585084036434203</v>
      </c>
      <c r="DT341" s="293">
        <f ca="1">-SUM(DT139,DT145,DT146)*Inputs!$L$126</f>
        <v>51.585084036434203</v>
      </c>
      <c r="DU341" s="293">
        <f ca="1">-SUM(DU139,DU145,DU146)*Inputs!$L$126</f>
        <v>51.585084036434203</v>
      </c>
      <c r="DV341" s="293">
        <f ca="1">-SUM(DV139,DV145,DV146)*Inputs!$L$126</f>
        <v>51.585084036434203</v>
      </c>
      <c r="DW341" s="293">
        <f ca="1">-SUM(DW139,DW145,DW146)*Inputs!$L$126</f>
        <v>51.585084036434203</v>
      </c>
      <c r="DX341" s="293">
        <f ca="1">-SUM(DX139,DX145,DX146)*Inputs!$L$126</f>
        <v>51.585084036434203</v>
      </c>
      <c r="DY341" s="293">
        <f ca="1">-SUM(DY139,DY145,DY146)*Inputs!$L$126</f>
        <v>51.585084036434203</v>
      </c>
    </row>
    <row r="342" spans="2:129" s="3" customFormat="1" ht="11.7" customHeight="1" outlineLevel="1" x14ac:dyDescent="0.25">
      <c r="B342" s="149" t="s">
        <v>556</v>
      </c>
      <c r="C342" s="149"/>
      <c r="G342" s="290">
        <f t="shared" si="438"/>
        <v>441.32261559672349</v>
      </c>
      <c r="I342" s="300">
        <v>0</v>
      </c>
      <c r="J342" s="300">
        <v>0</v>
      </c>
      <c r="K342" s="300">
        <v>0</v>
      </c>
      <c r="L342" s="300">
        <v>0</v>
      </c>
      <c r="M342" s="300">
        <v>0</v>
      </c>
      <c r="N342" s="300">
        <v>0</v>
      </c>
      <c r="O342" s="300">
        <v>0</v>
      </c>
      <c r="P342" s="300">
        <v>0</v>
      </c>
      <c r="Q342" s="300">
        <v>0</v>
      </c>
      <c r="R342" s="300">
        <v>0</v>
      </c>
      <c r="S342" s="300">
        <v>0</v>
      </c>
      <c r="T342" s="300">
        <v>0</v>
      </c>
      <c r="U342" s="300">
        <v>0</v>
      </c>
      <c r="V342" s="300">
        <v>0</v>
      </c>
      <c r="W342" s="300">
        <v>0</v>
      </c>
      <c r="X342" s="300">
        <v>0</v>
      </c>
      <c r="Y342" s="300">
        <v>0</v>
      </c>
      <c r="Z342" s="300">
        <v>0</v>
      </c>
      <c r="AA342" s="300">
        <v>0</v>
      </c>
      <c r="AB342" s="300">
        <v>0</v>
      </c>
      <c r="AC342" s="300">
        <v>0</v>
      </c>
      <c r="AD342" s="300">
        <v>0</v>
      </c>
      <c r="AE342" s="300">
        <v>0</v>
      </c>
      <c r="AF342" s="300">
        <v>0</v>
      </c>
      <c r="AG342" s="300">
        <v>0</v>
      </c>
      <c r="AH342" s="300">
        <v>0</v>
      </c>
      <c r="AI342" s="300">
        <v>0</v>
      </c>
      <c r="AJ342" s="300">
        <v>0</v>
      </c>
      <c r="AK342" s="300">
        <v>0</v>
      </c>
      <c r="AL342" s="300">
        <v>0</v>
      </c>
      <c r="AM342" s="300">
        <v>0</v>
      </c>
      <c r="AN342" s="300">
        <v>0</v>
      </c>
      <c r="AO342" s="300">
        <v>0</v>
      </c>
      <c r="AP342" s="300">
        <v>0</v>
      </c>
      <c r="AQ342" s="300">
        <v>0</v>
      </c>
      <c r="AR342" s="300">
        <v>0</v>
      </c>
      <c r="AS342" s="300">
        <v>0</v>
      </c>
      <c r="AT342" s="300">
        <v>0</v>
      </c>
      <c r="AU342" s="300">
        <v>0</v>
      </c>
      <c r="AV342" s="300">
        <v>0</v>
      </c>
      <c r="AW342" s="300">
        <v>0</v>
      </c>
      <c r="AX342" s="300">
        <v>0</v>
      </c>
      <c r="AY342" s="300">
        <v>0</v>
      </c>
      <c r="AZ342" s="300">
        <v>0</v>
      </c>
      <c r="BA342" s="300">
        <v>0</v>
      </c>
      <c r="BB342" s="300">
        <v>0</v>
      </c>
      <c r="BC342" s="300">
        <v>0</v>
      </c>
      <c r="BD342" s="300">
        <v>0</v>
      </c>
      <c r="BE342" s="300">
        <v>0</v>
      </c>
      <c r="BF342" s="300">
        <v>0</v>
      </c>
      <c r="BG342" s="300">
        <v>0</v>
      </c>
      <c r="BH342" s="300">
        <v>0</v>
      </c>
      <c r="BI342" s="300">
        <v>0</v>
      </c>
      <c r="BJ342" s="300">
        <v>0</v>
      </c>
      <c r="BK342" s="300">
        <v>0</v>
      </c>
      <c r="BL342" s="300">
        <v>0</v>
      </c>
      <c r="BM342" s="300">
        <v>0</v>
      </c>
      <c r="BN342" s="300">
        <v>0</v>
      </c>
      <c r="BO342" s="300">
        <v>0</v>
      </c>
      <c r="BP342" s="300">
        <v>0</v>
      </c>
      <c r="BQ342" s="300">
        <v>0</v>
      </c>
      <c r="BR342" s="300">
        <v>0</v>
      </c>
      <c r="BS342" s="300">
        <v>0</v>
      </c>
      <c r="BT342" s="300">
        <v>0</v>
      </c>
      <c r="BU342" s="300">
        <v>0</v>
      </c>
      <c r="BV342" s="300">
        <v>0</v>
      </c>
      <c r="BW342" s="300">
        <v>0</v>
      </c>
      <c r="BX342" s="300">
        <v>0</v>
      </c>
      <c r="BY342" s="300">
        <v>0</v>
      </c>
      <c r="BZ342" s="293">
        <f>-SUM(BZ319,BZ323:BZ324)*Inputs!$L$126</f>
        <v>0</v>
      </c>
      <c r="CA342" s="293">
        <f>-SUM(CA319,CA323:CA324)*Inputs!$L$126</f>
        <v>2.0445836376780289</v>
      </c>
      <c r="CB342" s="293">
        <f>-SUM(CB319,CB323:CB324)*Inputs!$L$126</f>
        <v>3.5891902210113624</v>
      </c>
      <c r="CC342" s="293">
        <f>-SUM(CC319,CC323:CC324)*Inputs!$L$126</f>
        <v>5.1337968043446969</v>
      </c>
      <c r="CD342" s="293">
        <f>-SUM(CD319,CD323:CD324)*Inputs!$L$126</f>
        <v>6.6784033876780304</v>
      </c>
      <c r="CE342" s="293">
        <f>-SUM(CE319,CE323:CE324)*Inputs!$L$126</f>
        <v>8.2230099710113649</v>
      </c>
      <c r="CF342" s="293">
        <f>-SUM(CF319,CF323:CF324)*Inputs!$L$126</f>
        <v>9.035948512500001</v>
      </c>
      <c r="CG342" s="293">
        <f>-SUM(CG319,CG323:CG324)*Inputs!$L$126</f>
        <v>9.035948512500001</v>
      </c>
      <c r="CH342" s="293">
        <f>-SUM(CH319,CH323:CH324)*Inputs!$L$126</f>
        <v>9.035948512500001</v>
      </c>
      <c r="CI342" s="293">
        <f>-SUM(CI319,CI323:CI324)*Inputs!$L$126</f>
        <v>9.035948512500001</v>
      </c>
      <c r="CJ342" s="293">
        <f>-SUM(CJ319,CJ323:CJ324)*Inputs!$L$126</f>
        <v>9.035948512500001</v>
      </c>
      <c r="CK342" s="293">
        <f>-SUM(CK319,CK323:CK324)*Inputs!$L$126</f>
        <v>9.035948512500001</v>
      </c>
      <c r="CL342" s="293">
        <f>-SUM(CL319,CL323:CL324)*Inputs!$L$126</f>
        <v>9.035948512500001</v>
      </c>
      <c r="CM342" s="293">
        <f>-SUM(CM319,CM323:CM324)*Inputs!$L$126</f>
        <v>9.035948512500001</v>
      </c>
      <c r="CN342" s="293">
        <f>-SUM(CN319,CN323:CN324)*Inputs!$L$126</f>
        <v>9.035948512500001</v>
      </c>
      <c r="CO342" s="293">
        <f>-SUM(CO319,CO323:CO324)*Inputs!$L$126</f>
        <v>9.035948512500001</v>
      </c>
      <c r="CP342" s="293">
        <f>-SUM(CP319,CP323:CP324)*Inputs!$L$126</f>
        <v>9.035948512500001</v>
      </c>
      <c r="CQ342" s="293">
        <f>-SUM(CQ319,CQ323:CQ324)*Inputs!$L$126</f>
        <v>9.035948512500001</v>
      </c>
      <c r="CR342" s="293">
        <f>-SUM(CR319,CR323:CR324)*Inputs!$L$126</f>
        <v>9.035948512500001</v>
      </c>
      <c r="CS342" s="293">
        <f>-SUM(CS319,CS323:CS324)*Inputs!$L$126</f>
        <v>9.035948512500001</v>
      </c>
      <c r="CT342" s="293">
        <f>-SUM(CT319,CT323:CT324)*Inputs!$L$126</f>
        <v>9.035948512500001</v>
      </c>
      <c r="CU342" s="293">
        <f>-SUM(CU319,CU323:CU324)*Inputs!$L$126</f>
        <v>9.035948512500001</v>
      </c>
      <c r="CV342" s="293">
        <f>-SUM(CV319,CV323:CV324)*Inputs!$L$126</f>
        <v>9.035948512500001</v>
      </c>
      <c r="CW342" s="293">
        <f>-SUM(CW319,CW323:CW324)*Inputs!$L$126</f>
        <v>9.035948512500001</v>
      </c>
      <c r="CX342" s="293">
        <f>-SUM(CX319,CX323:CX324)*Inputs!$L$126</f>
        <v>9.035948512500001</v>
      </c>
      <c r="CY342" s="293">
        <f>-SUM(CY319,CY323:CY324)*Inputs!$L$126</f>
        <v>9.035948512500001</v>
      </c>
      <c r="CZ342" s="293">
        <f>-SUM(CZ319,CZ323:CZ324)*Inputs!$L$126</f>
        <v>9.035948512500001</v>
      </c>
      <c r="DA342" s="293">
        <f>-SUM(DA319,DA323:DA324)*Inputs!$L$126</f>
        <v>9.035948512500001</v>
      </c>
      <c r="DB342" s="293">
        <f>-SUM(DB319,DB323:DB324)*Inputs!$L$126</f>
        <v>9.035948512500001</v>
      </c>
      <c r="DC342" s="293">
        <f>-SUM(DC319,DC323:DC324)*Inputs!$L$126</f>
        <v>9.035948512500001</v>
      </c>
      <c r="DD342" s="293">
        <f>-SUM(DD319,DD323:DD324)*Inputs!$L$126</f>
        <v>9.035948512500001</v>
      </c>
      <c r="DE342" s="293">
        <f>-SUM(DE319,DE323:DE324)*Inputs!$L$126</f>
        <v>9.035948512500001</v>
      </c>
      <c r="DF342" s="293">
        <f>-SUM(DF319,DF323:DF324)*Inputs!$L$126</f>
        <v>9.035948512500001</v>
      </c>
      <c r="DG342" s="293">
        <f>-SUM(DG319,DG323:DG324)*Inputs!$L$126</f>
        <v>9.035948512500001</v>
      </c>
      <c r="DH342" s="293">
        <f>-SUM(DH319,DH323:DH324)*Inputs!$L$126</f>
        <v>9.035948512500001</v>
      </c>
      <c r="DI342" s="293">
        <f>-SUM(DI319,DI323:DI324)*Inputs!$L$126</f>
        <v>9.035948512500001</v>
      </c>
      <c r="DJ342" s="293">
        <f>-SUM(DJ319,DJ323:DJ324)*Inputs!$L$126</f>
        <v>9.035948512500001</v>
      </c>
      <c r="DK342" s="293">
        <f>-SUM(DK319,DK323:DK324)*Inputs!$L$126</f>
        <v>9.035948512500001</v>
      </c>
      <c r="DL342" s="293">
        <f>-SUM(DL319,DL323:DL324)*Inputs!$L$126</f>
        <v>9.035948512500001</v>
      </c>
      <c r="DM342" s="293">
        <f>-SUM(DM319,DM323:DM324)*Inputs!$L$126</f>
        <v>9.035948512500001</v>
      </c>
      <c r="DN342" s="293">
        <f>-SUM(DN319,DN323:DN324)*Inputs!$L$126</f>
        <v>9.035948512500001</v>
      </c>
      <c r="DO342" s="293">
        <f>-SUM(DO319,DO323:DO324)*Inputs!$L$126</f>
        <v>9.035948512500001</v>
      </c>
      <c r="DP342" s="293">
        <f>-SUM(DP319,DP323:DP324)*Inputs!$L$126</f>
        <v>9.035948512500001</v>
      </c>
      <c r="DQ342" s="293">
        <f>-SUM(DQ319,DQ323:DQ324)*Inputs!$L$126</f>
        <v>9.035948512500001</v>
      </c>
      <c r="DR342" s="293">
        <f>-SUM(DR319,DR323:DR324)*Inputs!$L$126</f>
        <v>9.035948512500001</v>
      </c>
      <c r="DS342" s="293">
        <f>-SUM(DS319,DS323:DS324)*Inputs!$L$126</f>
        <v>9.035948512500001</v>
      </c>
      <c r="DT342" s="293">
        <f>-SUM(DT319,DT323:DT324)*Inputs!$L$126</f>
        <v>9.035948512500001</v>
      </c>
      <c r="DU342" s="293">
        <f>-SUM(DU319,DU323:DU324)*Inputs!$L$126</f>
        <v>9.035948512500001</v>
      </c>
      <c r="DV342" s="293">
        <f>-SUM(DV319,DV323:DV324)*Inputs!$L$126</f>
        <v>9.035948512500001</v>
      </c>
      <c r="DW342" s="293">
        <f>-SUM(DW319,DW323:DW324)*Inputs!$L$126</f>
        <v>9.035948512500001</v>
      </c>
      <c r="DX342" s="293">
        <f>-SUM(DX319,DX323:DX324)*Inputs!$L$126</f>
        <v>9.035948512500001</v>
      </c>
      <c r="DY342" s="293">
        <f>-SUM(DY319,DY323:DY324)*Inputs!$L$126</f>
        <v>9.035948512500001</v>
      </c>
    </row>
    <row r="343" spans="2:129" s="3" customFormat="1" ht="11.7" customHeight="1" outlineLevel="1" x14ac:dyDescent="0.25">
      <c r="B343" s="149" t="s">
        <v>599</v>
      </c>
      <c r="C343" s="149"/>
      <c r="D343" s="655"/>
      <c r="G343" s="290">
        <f t="shared" ca="1" si="438"/>
        <v>-25455.044300474867</v>
      </c>
      <c r="I343" s="300">
        <v>0</v>
      </c>
      <c r="J343" s="300">
        <v>0</v>
      </c>
      <c r="K343" s="300">
        <v>0</v>
      </c>
      <c r="L343" s="300">
        <v>0</v>
      </c>
      <c r="M343" s="300">
        <v>0</v>
      </c>
      <c r="N343" s="300">
        <v>0</v>
      </c>
      <c r="O343" s="300">
        <v>0</v>
      </c>
      <c r="P343" s="300">
        <v>0</v>
      </c>
      <c r="Q343" s="300">
        <v>0</v>
      </c>
      <c r="R343" s="300">
        <v>0</v>
      </c>
      <c r="S343" s="300">
        <v>0</v>
      </c>
      <c r="T343" s="300">
        <v>0</v>
      </c>
      <c r="U343" s="300">
        <v>0</v>
      </c>
      <c r="V343" s="300">
        <v>0</v>
      </c>
      <c r="W343" s="300">
        <v>0</v>
      </c>
      <c r="X343" s="300">
        <v>0</v>
      </c>
      <c r="Y343" s="300">
        <v>0</v>
      </c>
      <c r="Z343" s="300">
        <v>0</v>
      </c>
      <c r="AA343" s="300">
        <v>0</v>
      </c>
      <c r="AB343" s="300">
        <v>0</v>
      </c>
      <c r="AC343" s="300">
        <v>0</v>
      </c>
      <c r="AD343" s="300">
        <v>0</v>
      </c>
      <c r="AE343" s="300">
        <v>0</v>
      </c>
      <c r="AF343" s="300">
        <v>0</v>
      </c>
      <c r="AG343" s="300">
        <v>0</v>
      </c>
      <c r="AH343" s="300">
        <v>0</v>
      </c>
      <c r="AI343" s="300">
        <v>0</v>
      </c>
      <c r="AJ343" s="300">
        <v>0</v>
      </c>
      <c r="AK343" s="300">
        <v>0</v>
      </c>
      <c r="AL343" s="300">
        <v>0</v>
      </c>
      <c r="AM343" s="300">
        <v>0</v>
      </c>
      <c r="AN343" s="300">
        <v>0</v>
      </c>
      <c r="AO343" s="300">
        <v>0</v>
      </c>
      <c r="AP343" s="300">
        <v>0</v>
      </c>
      <c r="AQ343" s="300">
        <v>0</v>
      </c>
      <c r="AR343" s="300">
        <v>0</v>
      </c>
      <c r="AS343" s="300">
        <v>0</v>
      </c>
      <c r="AT343" s="300">
        <v>0</v>
      </c>
      <c r="AU343" s="300">
        <v>0</v>
      </c>
      <c r="AV343" s="300">
        <v>0</v>
      </c>
      <c r="AW343" s="300">
        <v>0</v>
      </c>
      <c r="AX343" s="300">
        <v>0</v>
      </c>
      <c r="AY343" s="300">
        <v>0</v>
      </c>
      <c r="AZ343" s="300">
        <v>0</v>
      </c>
      <c r="BA343" s="300">
        <v>0</v>
      </c>
      <c r="BB343" s="300">
        <v>0</v>
      </c>
      <c r="BC343" s="300">
        <v>0</v>
      </c>
      <c r="BD343" s="300">
        <v>0</v>
      </c>
      <c r="BE343" s="300">
        <v>0</v>
      </c>
      <c r="BF343" s="300">
        <v>0</v>
      </c>
      <c r="BG343" s="300">
        <v>0</v>
      </c>
      <c r="BH343" s="300">
        <v>0</v>
      </c>
      <c r="BI343" s="300">
        <v>0</v>
      </c>
      <c r="BJ343" s="300">
        <v>0</v>
      </c>
      <c r="BK343" s="300">
        <v>0</v>
      </c>
      <c r="BL343" s="300">
        <v>0</v>
      </c>
      <c r="BM343" s="300">
        <v>0</v>
      </c>
      <c r="BN343" s="300">
        <v>0</v>
      </c>
      <c r="BO343" s="300">
        <v>0</v>
      </c>
      <c r="BP343" s="300">
        <v>0</v>
      </c>
      <c r="BQ343" s="300">
        <v>0</v>
      </c>
      <c r="BR343" s="300">
        <v>0</v>
      </c>
      <c r="BS343" s="300">
        <v>0</v>
      </c>
      <c r="BT343" s="300">
        <v>0</v>
      </c>
      <c r="BU343" s="300">
        <v>0</v>
      </c>
      <c r="BV343" s="300">
        <v>0</v>
      </c>
      <c r="BW343" s="300">
        <v>0</v>
      </c>
      <c r="BX343" s="300">
        <v>0</v>
      </c>
      <c r="BY343" s="300">
        <v>0</v>
      </c>
      <c r="BZ343" s="293">
        <f ca="1">-Inputs!$L$126*SUM(BZ112)</f>
        <v>-469.2956771849274</v>
      </c>
      <c r="CA343" s="293">
        <f ca="1">-Inputs!$L$126*SUM(CA112)</f>
        <v>-419.70995867602494</v>
      </c>
      <c r="CB343" s="293">
        <f ca="1">-Inputs!$L$126*SUM(CB112)</f>
        <v>-419.70995867602494</v>
      </c>
      <c r="CC343" s="293">
        <f ca="1">-Inputs!$L$126*SUM(CC112)</f>
        <v>-419.70995867602494</v>
      </c>
      <c r="CD343" s="293">
        <f ca="1">-Inputs!$L$126*SUM(CD112)</f>
        <v>-419.70995867602494</v>
      </c>
      <c r="CE343" s="293">
        <f ca="1">-Inputs!$L$126*SUM(CE112)</f>
        <v>-419.70995867602494</v>
      </c>
      <c r="CF343" s="293">
        <f ca="1">-Inputs!$L$126*SUM(CF112)</f>
        <v>-487.99997505138236</v>
      </c>
      <c r="CG343" s="293">
        <f ca="1">-Inputs!$L$126*SUM(CG112)</f>
        <v>-497.75997455241009</v>
      </c>
      <c r="CH343" s="293">
        <f ca="1">-Inputs!$L$126*SUM(CH112)</f>
        <v>-497.75997455241009</v>
      </c>
      <c r="CI343" s="293">
        <f ca="1">-Inputs!$L$126*SUM(CI112)</f>
        <v>-497.75997455241009</v>
      </c>
      <c r="CJ343" s="293">
        <f ca="1">-Inputs!$L$126*SUM(CJ112)</f>
        <v>-497.75997455241009</v>
      </c>
      <c r="CK343" s="293">
        <f ca="1">-Inputs!$L$126*SUM(CK112)</f>
        <v>-497.75997455241009</v>
      </c>
      <c r="CL343" s="293">
        <f ca="1">-Inputs!$L$126*SUM(CL112)</f>
        <v>-497.75997455241009</v>
      </c>
      <c r="CM343" s="293">
        <f ca="1">-Inputs!$L$126*SUM(CM112)</f>
        <v>-497.75997455241009</v>
      </c>
      <c r="CN343" s="293">
        <f ca="1">-Inputs!$L$126*SUM(CN112)</f>
        <v>-497.75997455241009</v>
      </c>
      <c r="CO343" s="293">
        <f ca="1">-Inputs!$L$126*SUM(CO112)</f>
        <v>-497.75997455241009</v>
      </c>
      <c r="CP343" s="293">
        <f ca="1">-Inputs!$L$126*SUM(CP112)</f>
        <v>-497.75997455241009</v>
      </c>
      <c r="CQ343" s="293">
        <f ca="1">-Inputs!$L$126*SUM(CQ112)</f>
        <v>-497.75997455241009</v>
      </c>
      <c r="CR343" s="293">
        <f ca="1">-Inputs!$L$126*SUM(CR112)</f>
        <v>-497.75997455241009</v>
      </c>
      <c r="CS343" s="293">
        <f ca="1">-Inputs!$L$126*SUM(CS112)</f>
        <v>-497.75997455241009</v>
      </c>
      <c r="CT343" s="293">
        <f ca="1">-Inputs!$L$126*SUM(CT112)</f>
        <v>-497.75997455241009</v>
      </c>
      <c r="CU343" s="293">
        <f ca="1">-Inputs!$L$126*SUM(CU112)</f>
        <v>-497.75997455241009</v>
      </c>
      <c r="CV343" s="293">
        <f ca="1">-Inputs!$L$126*SUM(CV112)</f>
        <v>-497.75997455241009</v>
      </c>
      <c r="CW343" s="293">
        <f ca="1">-Inputs!$L$126*SUM(CW112)</f>
        <v>-497.75997455241009</v>
      </c>
      <c r="CX343" s="293">
        <f ca="1">-Inputs!$L$126*SUM(CX112)</f>
        <v>-497.75997455241009</v>
      </c>
      <c r="CY343" s="293">
        <f ca="1">-Inputs!$L$126*SUM(CY112)</f>
        <v>-497.75997455241009</v>
      </c>
      <c r="CZ343" s="293">
        <f ca="1">-Inputs!$L$126*SUM(CZ112)</f>
        <v>-497.75997455241009</v>
      </c>
      <c r="DA343" s="293">
        <f ca="1">-Inputs!$L$126*SUM(DA112)</f>
        <v>-497.75997455241009</v>
      </c>
      <c r="DB343" s="293">
        <f ca="1">-Inputs!$L$126*SUM(DB112)</f>
        <v>-497.75997455241009</v>
      </c>
      <c r="DC343" s="293">
        <f ca="1">-Inputs!$L$126*SUM(DC112)</f>
        <v>-497.75997455241009</v>
      </c>
      <c r="DD343" s="293">
        <f ca="1">-Inputs!$L$126*SUM(DD112)</f>
        <v>-497.75997455241009</v>
      </c>
      <c r="DE343" s="293">
        <f ca="1">-Inputs!$L$126*SUM(DE112)</f>
        <v>-497.75997455241009</v>
      </c>
      <c r="DF343" s="293">
        <f ca="1">-Inputs!$L$126*SUM(DF112)</f>
        <v>-497.75997455241009</v>
      </c>
      <c r="DG343" s="293">
        <f ca="1">-Inputs!$L$126*SUM(DG112)</f>
        <v>-497.75997455241009</v>
      </c>
      <c r="DH343" s="293">
        <f ca="1">-Inputs!$L$126*SUM(DH112)</f>
        <v>-497.75997455241009</v>
      </c>
      <c r="DI343" s="293">
        <f ca="1">-Inputs!$L$126*SUM(DI112)</f>
        <v>-497.75997455241009</v>
      </c>
      <c r="DJ343" s="293">
        <f ca="1">-Inputs!$L$126*SUM(DJ112)</f>
        <v>-497.75997455241009</v>
      </c>
      <c r="DK343" s="293">
        <f ca="1">-Inputs!$L$126*SUM(DK112)</f>
        <v>-497.75997455241009</v>
      </c>
      <c r="DL343" s="293">
        <f ca="1">-Inputs!$L$126*SUM(DL112)</f>
        <v>-497.75997455241009</v>
      </c>
      <c r="DM343" s="293">
        <f ca="1">-Inputs!$L$126*SUM(DM112)</f>
        <v>-497.75997455241009</v>
      </c>
      <c r="DN343" s="293">
        <f ca="1">-Inputs!$L$126*SUM(DN112)</f>
        <v>-497.75997455241009</v>
      </c>
      <c r="DO343" s="293">
        <f ca="1">-Inputs!$L$126*SUM(DO112)</f>
        <v>-497.75997455241009</v>
      </c>
      <c r="DP343" s="293">
        <f ca="1">-Inputs!$L$126*SUM(DP112)</f>
        <v>-497.75997455241009</v>
      </c>
      <c r="DQ343" s="293">
        <f ca="1">-Inputs!$L$126*SUM(DQ112)</f>
        <v>-497.75997455241009</v>
      </c>
      <c r="DR343" s="293">
        <f ca="1">-Inputs!$L$126*SUM(DR112)</f>
        <v>-497.75997455241009</v>
      </c>
      <c r="DS343" s="293">
        <f ca="1">-Inputs!$L$126*SUM(DS112)</f>
        <v>-497.75997455241009</v>
      </c>
      <c r="DT343" s="293">
        <f ca="1">-Inputs!$L$126*SUM(DT112)</f>
        <v>-497.75997455241009</v>
      </c>
      <c r="DU343" s="293">
        <f ca="1">-Inputs!$L$126*SUM(DU112)</f>
        <v>-497.75997455241009</v>
      </c>
      <c r="DV343" s="293">
        <f ca="1">-Inputs!$L$126*SUM(DV112)</f>
        <v>-497.75997455241009</v>
      </c>
      <c r="DW343" s="293">
        <f ca="1">-Inputs!$L$126*SUM(DW112)</f>
        <v>-497.75997455241009</v>
      </c>
      <c r="DX343" s="293">
        <f ca="1">-Inputs!$L$126*SUM(DX112)</f>
        <v>-497.75997455241009</v>
      </c>
      <c r="DY343" s="293">
        <f ca="1">-Inputs!$L$126*SUM(DY112)</f>
        <v>-497.75997455241009</v>
      </c>
    </row>
    <row r="344" spans="2:129" s="3" customFormat="1" ht="11.7" customHeight="1" outlineLevel="1" x14ac:dyDescent="0.25">
      <c r="B344" s="149" t="s">
        <v>600</v>
      </c>
      <c r="C344" s="149"/>
      <c r="D344" s="655"/>
      <c r="G344" s="290">
        <f t="shared" si="438"/>
        <v>-6304.6087942389113</v>
      </c>
      <c r="I344" s="300">
        <v>0</v>
      </c>
      <c r="J344" s="300">
        <v>0</v>
      </c>
      <c r="K344" s="300">
        <v>0</v>
      </c>
      <c r="L344" s="300">
        <v>0</v>
      </c>
      <c r="M344" s="300">
        <v>0</v>
      </c>
      <c r="N344" s="300">
        <v>0</v>
      </c>
      <c r="O344" s="300">
        <v>0</v>
      </c>
      <c r="P344" s="300">
        <v>0</v>
      </c>
      <c r="Q344" s="300">
        <v>0</v>
      </c>
      <c r="R344" s="300">
        <v>0</v>
      </c>
      <c r="S344" s="300">
        <v>0</v>
      </c>
      <c r="T344" s="300">
        <v>0</v>
      </c>
      <c r="U344" s="300">
        <v>0</v>
      </c>
      <c r="V344" s="300">
        <v>0</v>
      </c>
      <c r="W344" s="300">
        <v>0</v>
      </c>
      <c r="X344" s="300">
        <v>0</v>
      </c>
      <c r="Y344" s="300">
        <v>0</v>
      </c>
      <c r="Z344" s="300">
        <v>0</v>
      </c>
      <c r="AA344" s="300">
        <v>0</v>
      </c>
      <c r="AB344" s="300">
        <v>0</v>
      </c>
      <c r="AC344" s="300">
        <v>0</v>
      </c>
      <c r="AD344" s="300">
        <v>0</v>
      </c>
      <c r="AE344" s="300">
        <v>0</v>
      </c>
      <c r="AF344" s="300">
        <v>0</v>
      </c>
      <c r="AG344" s="300">
        <v>0</v>
      </c>
      <c r="AH344" s="300">
        <v>0</v>
      </c>
      <c r="AI344" s="300">
        <v>0</v>
      </c>
      <c r="AJ344" s="300">
        <v>0</v>
      </c>
      <c r="AK344" s="300">
        <v>0</v>
      </c>
      <c r="AL344" s="300">
        <v>0</v>
      </c>
      <c r="AM344" s="300">
        <v>0</v>
      </c>
      <c r="AN344" s="300">
        <v>0</v>
      </c>
      <c r="AO344" s="300">
        <v>0</v>
      </c>
      <c r="AP344" s="300">
        <v>0</v>
      </c>
      <c r="AQ344" s="300">
        <v>0</v>
      </c>
      <c r="AR344" s="300">
        <v>0</v>
      </c>
      <c r="AS344" s="300">
        <v>0</v>
      </c>
      <c r="AT344" s="300">
        <v>0</v>
      </c>
      <c r="AU344" s="300">
        <v>0</v>
      </c>
      <c r="AV344" s="300">
        <v>0</v>
      </c>
      <c r="AW344" s="300">
        <v>0</v>
      </c>
      <c r="AX344" s="300">
        <v>0</v>
      </c>
      <c r="AY344" s="300">
        <v>0</v>
      </c>
      <c r="AZ344" s="300">
        <v>0</v>
      </c>
      <c r="BA344" s="300">
        <v>0</v>
      </c>
      <c r="BB344" s="300">
        <v>0</v>
      </c>
      <c r="BC344" s="300">
        <v>0</v>
      </c>
      <c r="BD344" s="300">
        <v>0</v>
      </c>
      <c r="BE344" s="300">
        <v>0</v>
      </c>
      <c r="BF344" s="300">
        <v>0</v>
      </c>
      <c r="BG344" s="300">
        <v>0</v>
      </c>
      <c r="BH344" s="300">
        <v>0</v>
      </c>
      <c r="BI344" s="300">
        <v>0</v>
      </c>
      <c r="BJ344" s="300">
        <v>0</v>
      </c>
      <c r="BK344" s="300">
        <v>0</v>
      </c>
      <c r="BL344" s="300">
        <v>0</v>
      </c>
      <c r="BM344" s="300">
        <v>0</v>
      </c>
      <c r="BN344" s="300">
        <v>0</v>
      </c>
      <c r="BO344" s="300">
        <v>0</v>
      </c>
      <c r="BP344" s="300">
        <v>0</v>
      </c>
      <c r="BQ344" s="300">
        <v>0</v>
      </c>
      <c r="BR344" s="300">
        <v>0</v>
      </c>
      <c r="BS344" s="300">
        <v>0</v>
      </c>
      <c r="BT344" s="300">
        <v>0</v>
      </c>
      <c r="BU344" s="300">
        <v>0</v>
      </c>
      <c r="BV344" s="300">
        <v>0</v>
      </c>
      <c r="BW344" s="300">
        <v>0</v>
      </c>
      <c r="BX344" s="300">
        <v>0</v>
      </c>
      <c r="BY344" s="300">
        <v>0</v>
      </c>
      <c r="BZ344" s="293">
        <f>-Inputs!$L$126*SUM(BZ301:BZ305,BZ306,BZ308)</f>
        <v>0</v>
      </c>
      <c r="CA344" s="293">
        <f>-Inputs!$L$126*SUM(CA301:CA305,CA306,CA308)</f>
        <v>-29.208337681114699</v>
      </c>
      <c r="CB344" s="293">
        <f>-Inputs!$L$126*SUM(CB301:CB305,CB306,CB308)</f>
        <v>-51.274146014448029</v>
      </c>
      <c r="CC344" s="293">
        <f>-Inputs!$L$126*SUM(CC301:CC305,CC306,CC308)</f>
        <v>-73.339954347781372</v>
      </c>
      <c r="CD344" s="293">
        <f>-Inputs!$L$126*SUM(CD301:CD305,CD306,CD308)</f>
        <v>-95.405762681114723</v>
      </c>
      <c r="CE344" s="293">
        <f>-Inputs!$L$126*SUM(CE301:CE305,CE306,CE308)</f>
        <v>-117.47157101444805</v>
      </c>
      <c r="CF344" s="293">
        <f>-Inputs!$L$126*SUM(CF301:CF305,CF306,CF308)</f>
        <v>-129.08497875</v>
      </c>
      <c r="CG344" s="293">
        <f>-Inputs!$L$126*SUM(CG301:CG305,CG306,CG308)</f>
        <v>-129.08497875</v>
      </c>
      <c r="CH344" s="293">
        <f>-Inputs!$L$126*SUM(CH301:CH305,CH306,CH308)</f>
        <v>-129.08497875</v>
      </c>
      <c r="CI344" s="293">
        <f>-Inputs!$L$126*SUM(CI301:CI305,CI306,CI308)</f>
        <v>-129.08497875</v>
      </c>
      <c r="CJ344" s="293">
        <f>-Inputs!$L$126*SUM(CJ301:CJ305,CJ306,CJ308)</f>
        <v>-129.08497875</v>
      </c>
      <c r="CK344" s="293">
        <f>-Inputs!$L$126*SUM(CK301:CK305,CK306,CK308)</f>
        <v>-129.08497875</v>
      </c>
      <c r="CL344" s="293">
        <f>-Inputs!$L$126*SUM(CL301:CL305,CL306,CL308)</f>
        <v>-129.08497875</v>
      </c>
      <c r="CM344" s="293">
        <f>-Inputs!$L$126*SUM(CM301:CM305,CM306,CM308)</f>
        <v>-129.08497875</v>
      </c>
      <c r="CN344" s="293">
        <f>-Inputs!$L$126*SUM(CN301:CN305,CN306,CN308)</f>
        <v>-129.08497875</v>
      </c>
      <c r="CO344" s="293">
        <f>-Inputs!$L$126*SUM(CO301:CO305,CO306,CO308)</f>
        <v>-129.08497875</v>
      </c>
      <c r="CP344" s="293">
        <f>-Inputs!$L$126*SUM(CP301:CP305,CP306,CP308)</f>
        <v>-129.08497875</v>
      </c>
      <c r="CQ344" s="293">
        <f>-Inputs!$L$126*SUM(CQ301:CQ305,CQ306,CQ308)</f>
        <v>-129.08497875</v>
      </c>
      <c r="CR344" s="293">
        <f>-Inputs!$L$126*SUM(CR301:CR305,CR306,CR308)</f>
        <v>-129.08497875</v>
      </c>
      <c r="CS344" s="293">
        <f>-Inputs!$L$126*SUM(CS301:CS305,CS306,CS308)</f>
        <v>-129.08497875</v>
      </c>
      <c r="CT344" s="293">
        <f>-Inputs!$L$126*SUM(CT301:CT305,CT306,CT308)</f>
        <v>-129.08497875</v>
      </c>
      <c r="CU344" s="293">
        <f>-Inputs!$L$126*SUM(CU301:CU305,CU306,CU308)</f>
        <v>-129.08497875</v>
      </c>
      <c r="CV344" s="293">
        <f>-Inputs!$L$126*SUM(CV301:CV305,CV306,CV308)</f>
        <v>-129.08497875</v>
      </c>
      <c r="CW344" s="293">
        <f>-Inputs!$L$126*SUM(CW301:CW305,CW306,CW308)</f>
        <v>-129.08497875</v>
      </c>
      <c r="CX344" s="293">
        <f>-Inputs!$L$126*SUM(CX301:CX305,CX306,CX308)</f>
        <v>-129.08497875</v>
      </c>
      <c r="CY344" s="293">
        <f>-Inputs!$L$126*SUM(CY301:CY305,CY306,CY308)</f>
        <v>-129.08497875</v>
      </c>
      <c r="CZ344" s="293">
        <f>-Inputs!$L$126*SUM(CZ301:CZ305,CZ306,CZ308)</f>
        <v>-129.08497875</v>
      </c>
      <c r="DA344" s="293">
        <f>-Inputs!$L$126*SUM(DA301:DA305,DA306,DA308)</f>
        <v>-129.08497875</v>
      </c>
      <c r="DB344" s="293">
        <f>-Inputs!$L$126*SUM(DB301:DB305,DB306,DB308)</f>
        <v>-129.08497875</v>
      </c>
      <c r="DC344" s="293">
        <f>-Inputs!$L$126*SUM(DC301:DC305,DC306,DC308)</f>
        <v>-129.08497875</v>
      </c>
      <c r="DD344" s="293">
        <f>-Inputs!$L$126*SUM(DD301:DD305,DD306,DD308)</f>
        <v>-129.08497875</v>
      </c>
      <c r="DE344" s="293">
        <f>-Inputs!$L$126*SUM(DE301:DE305,DE306,DE308)</f>
        <v>-129.08497875</v>
      </c>
      <c r="DF344" s="293">
        <f>-Inputs!$L$126*SUM(DF301:DF305,DF306,DF308)</f>
        <v>-129.08497875</v>
      </c>
      <c r="DG344" s="293">
        <f>-Inputs!$L$126*SUM(DG301:DG305,DG306,DG308)</f>
        <v>-129.08497875</v>
      </c>
      <c r="DH344" s="293">
        <f>-Inputs!$L$126*SUM(DH301:DH305,DH306,DH308)</f>
        <v>-129.08497875</v>
      </c>
      <c r="DI344" s="293">
        <f>-Inputs!$L$126*SUM(DI301:DI305,DI306,DI308)</f>
        <v>-129.08497875</v>
      </c>
      <c r="DJ344" s="293">
        <f>-Inputs!$L$126*SUM(DJ301:DJ305,DJ306,DJ308)</f>
        <v>-129.08497875</v>
      </c>
      <c r="DK344" s="293">
        <f>-Inputs!$L$126*SUM(DK301:DK305,DK306,DK308)</f>
        <v>-129.08497875</v>
      </c>
      <c r="DL344" s="293">
        <f>-Inputs!$L$126*SUM(DL301:DL305,DL306,DL308)</f>
        <v>-129.08497875</v>
      </c>
      <c r="DM344" s="293">
        <f>-Inputs!$L$126*SUM(DM301:DM305,DM306,DM308)</f>
        <v>-129.08497875</v>
      </c>
      <c r="DN344" s="293">
        <f>-Inputs!$L$126*SUM(DN301:DN305,DN306,DN308)</f>
        <v>-129.08497875</v>
      </c>
      <c r="DO344" s="293">
        <f>-Inputs!$L$126*SUM(DO301:DO305,DO306,DO308)</f>
        <v>-129.08497875</v>
      </c>
      <c r="DP344" s="293">
        <f>-Inputs!$L$126*SUM(DP301:DP305,DP306,DP308)</f>
        <v>-129.08497875</v>
      </c>
      <c r="DQ344" s="293">
        <f>-Inputs!$L$126*SUM(DQ301:DQ305,DQ306,DQ308)</f>
        <v>-129.08497875</v>
      </c>
      <c r="DR344" s="293">
        <f>-Inputs!$L$126*SUM(DR301:DR305,DR306,DR308)</f>
        <v>-129.08497875</v>
      </c>
      <c r="DS344" s="293">
        <f>-Inputs!$L$126*SUM(DS301:DS305,DS306,DS308)</f>
        <v>-129.08497875</v>
      </c>
      <c r="DT344" s="293">
        <f>-Inputs!$L$126*SUM(DT301:DT305,DT306,DT308)</f>
        <v>-129.08497875</v>
      </c>
      <c r="DU344" s="293">
        <f>-Inputs!$L$126*SUM(DU301:DU305,DU306,DU308)</f>
        <v>-129.08497875</v>
      </c>
      <c r="DV344" s="293">
        <f>-Inputs!$L$126*SUM(DV301:DV305,DV306,DV308)</f>
        <v>-129.08497875</v>
      </c>
      <c r="DW344" s="293">
        <f>-Inputs!$L$126*SUM(DW301:DW305,DW306,DW308)</f>
        <v>-129.08497875</v>
      </c>
      <c r="DX344" s="293">
        <f>-Inputs!$L$126*SUM(DX301:DX305,DX306,DX308)</f>
        <v>-129.08497875</v>
      </c>
      <c r="DY344" s="293">
        <f>-Inputs!$L$126*SUM(DY301:DY305,DY306,DY308)</f>
        <v>-129.08497875</v>
      </c>
    </row>
    <row r="345" spans="2:129" s="3" customFormat="1" ht="11.7" customHeight="1" outlineLevel="1" x14ac:dyDescent="0.25">
      <c r="B345" s="152" t="s">
        <v>128</v>
      </c>
      <c r="C345" s="152"/>
      <c r="D345" s="1017"/>
      <c r="E345" s="292">
        <f>+Inputs!$K$94</f>
        <v>44834</v>
      </c>
      <c r="F345" s="63"/>
      <c r="G345" s="290">
        <f t="shared" si="438"/>
        <v>-50458.6</v>
      </c>
      <c r="H345" s="63"/>
      <c r="I345" s="1012">
        <v>0</v>
      </c>
      <c r="J345" s="1012">
        <v>0</v>
      </c>
      <c r="K345" s="1012">
        <v>0</v>
      </c>
      <c r="L345" s="1012">
        <v>0</v>
      </c>
      <c r="M345" s="1012">
        <v>0</v>
      </c>
      <c r="N345" s="1012">
        <v>0</v>
      </c>
      <c r="O345" s="1012">
        <v>0</v>
      </c>
      <c r="P345" s="1012">
        <v>0</v>
      </c>
      <c r="Q345" s="1012">
        <v>0</v>
      </c>
      <c r="R345" s="1012">
        <v>0</v>
      </c>
      <c r="S345" s="1012">
        <v>0</v>
      </c>
      <c r="T345" s="1012">
        <v>0</v>
      </c>
      <c r="U345" s="1012">
        <v>0</v>
      </c>
      <c r="V345" s="1012">
        <v>0</v>
      </c>
      <c r="W345" s="1012">
        <v>0</v>
      </c>
      <c r="X345" s="1012">
        <v>0</v>
      </c>
      <c r="Y345" s="1012">
        <v>0</v>
      </c>
      <c r="Z345" s="1012">
        <v>0</v>
      </c>
      <c r="AA345" s="1012">
        <v>0</v>
      </c>
      <c r="AB345" s="1012">
        <v>0</v>
      </c>
      <c r="AC345" s="1012">
        <v>0</v>
      </c>
      <c r="AD345" s="1012">
        <v>0</v>
      </c>
      <c r="AE345" s="1012">
        <v>0</v>
      </c>
      <c r="AF345" s="1012">
        <v>0</v>
      </c>
      <c r="AG345" s="1012">
        <v>0</v>
      </c>
      <c r="AH345" s="1012">
        <v>0</v>
      </c>
      <c r="AI345" s="1012">
        <v>0</v>
      </c>
      <c r="AJ345" s="1012">
        <v>0</v>
      </c>
      <c r="AK345" s="1012">
        <v>0</v>
      </c>
      <c r="AL345" s="1012">
        <v>0</v>
      </c>
      <c r="AM345" s="1012">
        <v>0</v>
      </c>
      <c r="AN345" s="1012">
        <v>0</v>
      </c>
      <c r="AO345" s="1012">
        <v>0</v>
      </c>
      <c r="AP345" s="1012">
        <v>-17062.599999999999</v>
      </c>
      <c r="AQ345" s="1012">
        <v>0</v>
      </c>
      <c r="AR345" s="1012">
        <v>0</v>
      </c>
      <c r="AS345" s="1012">
        <v>0</v>
      </c>
      <c r="AT345" s="1012">
        <v>0</v>
      </c>
      <c r="AU345" s="1012">
        <v>0</v>
      </c>
      <c r="AV345" s="1012">
        <v>0</v>
      </c>
      <c r="AW345" s="1012">
        <v>0</v>
      </c>
      <c r="AX345" s="1012">
        <v>0</v>
      </c>
      <c r="AY345" s="1012">
        <v>0</v>
      </c>
      <c r="AZ345" s="1012">
        <v>0</v>
      </c>
      <c r="BA345" s="1012">
        <v>0</v>
      </c>
      <c r="BB345" s="1012">
        <v>0</v>
      </c>
      <c r="BC345" s="1012">
        <v>0</v>
      </c>
      <c r="BD345" s="1012">
        <v>-33396</v>
      </c>
      <c r="BE345" s="1012">
        <v>0</v>
      </c>
      <c r="BF345" s="1012">
        <v>0</v>
      </c>
      <c r="BG345" s="1012">
        <v>0</v>
      </c>
      <c r="BH345" s="1012">
        <v>0</v>
      </c>
      <c r="BI345" s="1012">
        <v>0</v>
      </c>
      <c r="BJ345" s="1012">
        <v>0</v>
      </c>
      <c r="BK345" s="1012">
        <v>0</v>
      </c>
      <c r="BL345" s="1012">
        <v>0</v>
      </c>
      <c r="BM345" s="1012">
        <v>0</v>
      </c>
      <c r="BN345" s="1012">
        <v>0</v>
      </c>
      <c r="BO345" s="1012">
        <v>0</v>
      </c>
      <c r="BP345" s="1012">
        <v>0</v>
      </c>
      <c r="BQ345" s="1012">
        <v>0</v>
      </c>
      <c r="BR345" s="1012">
        <v>0</v>
      </c>
      <c r="BS345" s="1012">
        <v>0</v>
      </c>
      <c r="BT345" s="1012">
        <v>0</v>
      </c>
      <c r="BU345" s="1012">
        <v>0</v>
      </c>
      <c r="BV345" s="1012">
        <v>0</v>
      </c>
      <c r="BW345" s="1012">
        <v>0</v>
      </c>
      <c r="BX345" s="1012">
        <v>0</v>
      </c>
      <c r="BY345" s="1012">
        <v>0</v>
      </c>
      <c r="BZ345" s="1012">
        <v>0</v>
      </c>
      <c r="CA345" s="1012">
        <v>0</v>
      </c>
      <c r="CB345" s="1012">
        <v>0</v>
      </c>
      <c r="CC345" s="1012">
        <v>0</v>
      </c>
      <c r="CD345" s="1012">
        <v>0</v>
      </c>
      <c r="CE345" s="1012">
        <v>0</v>
      </c>
      <c r="CF345" s="1012">
        <v>0</v>
      </c>
      <c r="CG345" s="1012">
        <v>0</v>
      </c>
      <c r="CH345" s="1012">
        <v>0</v>
      </c>
      <c r="CI345" s="1012">
        <v>0</v>
      </c>
      <c r="CJ345" s="1012">
        <v>0</v>
      </c>
      <c r="CK345" s="1012">
        <v>0</v>
      </c>
      <c r="CL345" s="1012">
        <v>0</v>
      </c>
      <c r="CM345" s="1012">
        <v>0</v>
      </c>
      <c r="CN345" s="1012">
        <v>0</v>
      </c>
      <c r="CO345" s="1012">
        <v>0</v>
      </c>
      <c r="CP345" s="1012">
        <v>0</v>
      </c>
      <c r="CQ345" s="1012">
        <v>0</v>
      </c>
      <c r="CR345" s="1012">
        <v>0</v>
      </c>
      <c r="CS345" s="1012">
        <v>0</v>
      </c>
      <c r="CT345" s="1012">
        <v>0</v>
      </c>
      <c r="CU345" s="1012">
        <v>0</v>
      </c>
      <c r="CV345" s="1012">
        <v>0</v>
      </c>
      <c r="CW345" s="1012">
        <v>0</v>
      </c>
      <c r="CX345" s="1012">
        <v>0</v>
      </c>
      <c r="CY345" s="1012">
        <v>0</v>
      </c>
      <c r="CZ345" s="1012">
        <v>0</v>
      </c>
      <c r="DA345" s="1012">
        <v>0</v>
      </c>
      <c r="DB345" s="1012">
        <v>0</v>
      </c>
      <c r="DC345" s="1012">
        <v>0</v>
      </c>
      <c r="DD345" s="1012">
        <v>0</v>
      </c>
      <c r="DE345" s="1012">
        <v>0</v>
      </c>
      <c r="DF345" s="1012">
        <v>0</v>
      </c>
      <c r="DG345" s="1012">
        <v>0</v>
      </c>
      <c r="DH345" s="1012">
        <v>0</v>
      </c>
      <c r="DI345" s="1012">
        <v>0</v>
      </c>
      <c r="DJ345" s="1012">
        <v>0</v>
      </c>
      <c r="DK345" s="1012">
        <v>0</v>
      </c>
      <c r="DL345" s="1012">
        <v>0</v>
      </c>
      <c r="DM345" s="1012">
        <v>0</v>
      </c>
      <c r="DN345" s="1012">
        <v>0</v>
      </c>
      <c r="DO345" s="1012">
        <v>0</v>
      </c>
      <c r="DP345" s="1012">
        <v>0</v>
      </c>
      <c r="DQ345" s="1012">
        <v>0</v>
      </c>
      <c r="DR345" s="1012">
        <v>0</v>
      </c>
      <c r="DS345" s="1012">
        <v>0</v>
      </c>
      <c r="DT345" s="1012">
        <v>0</v>
      </c>
      <c r="DU345" s="1012">
        <v>0</v>
      </c>
      <c r="DV345" s="1012">
        <v>0</v>
      </c>
      <c r="DW345" s="1012">
        <v>0</v>
      </c>
      <c r="DX345" s="1012">
        <v>0</v>
      </c>
      <c r="DY345" s="1012">
        <v>0</v>
      </c>
    </row>
    <row r="346" spans="2:129" s="3" customFormat="1" ht="11.7" customHeight="1" outlineLevel="1" x14ac:dyDescent="0.3">
      <c r="B346" s="125" t="s">
        <v>124</v>
      </c>
      <c r="C346" s="125"/>
      <c r="G346" s="127"/>
      <c r="H346" s="896"/>
      <c r="I346" s="151">
        <f>+SUM(I339:I345)*(I7&lt;=Inputs!$K$81)*(SUM(I339:I345)&gt;=0)</f>
        <v>0</v>
      </c>
      <c r="J346" s="151">
        <f>+SUM(J339:J345)*(J7&lt;=Inputs!$K$81)*(SUM(J339:J345)&gt;=0)</f>
        <v>1390.0045312721768</v>
      </c>
      <c r="K346" s="151">
        <f>+SUM(K339:K345)*(K7&lt;=Inputs!$K$81)*(SUM(K339:K345)&gt;=0)</f>
        <v>1537.0045312721768</v>
      </c>
      <c r="L346" s="151">
        <f>+SUM(L339:L345)*(L7&lt;=Inputs!$K$81)*(SUM(L339:L345)&gt;=0)</f>
        <v>2100.0045312721768</v>
      </c>
      <c r="M346" s="151">
        <f>+SUM(M339:M345)*(M7&lt;=Inputs!$K$81)*(SUM(M339:M345)&gt;=0)</f>
        <v>2101.9045312721769</v>
      </c>
      <c r="N346" s="151">
        <f>+SUM(N339:N345)*(N7&lt;=Inputs!$K$81)*(SUM(N339:N345)&gt;=0)</f>
        <v>2101.9045312721769</v>
      </c>
      <c r="O346" s="151">
        <f>+SUM(O339:O345)*(O7&lt;=Inputs!$K$81)*(SUM(O339:O345)&gt;=0)</f>
        <v>2101.9045312721769</v>
      </c>
      <c r="P346" s="151">
        <f>+SUM(P339:P345)*(P7&lt;=Inputs!$K$81)*(SUM(P339:P345)&gt;=0)</f>
        <v>2101.9045312721769</v>
      </c>
      <c r="Q346" s="151">
        <f>+SUM(Q339:Q345)*(Q7&lt;=Inputs!$K$81)*(SUM(Q339:Q345)&gt;=0)</f>
        <v>2157.9045312721769</v>
      </c>
      <c r="R346" s="151">
        <f>+SUM(R339:R345)*(R7&lt;=Inputs!$K$81)*(SUM(R339:R345)&gt;=0)</f>
        <v>2157.9045312721769</v>
      </c>
      <c r="S346" s="151">
        <f>+SUM(S339:S345)*(S7&lt;=Inputs!$K$81)*(SUM(S339:S345)&gt;=0)</f>
        <v>2352.9045312721769</v>
      </c>
      <c r="T346" s="151">
        <f>+SUM(T339:T345)*(T7&lt;=Inputs!$K$81)*(SUM(T339:T345)&gt;=0)</f>
        <v>2408.9045312721769</v>
      </c>
      <c r="U346" s="151">
        <f>+SUM(U339:U345)*(U7&lt;=Inputs!$K$81)*(SUM(U339:U345)&gt;=0)</f>
        <v>2408.9045312721769</v>
      </c>
      <c r="V346" s="151">
        <f>+SUM(V339:V345)*(V7&lt;=Inputs!$K$81)*(SUM(V339:V345)&gt;=0)</f>
        <v>2408.9045312721769</v>
      </c>
      <c r="W346" s="151">
        <f>+SUM(W339:W345)*(W7&lt;=Inputs!$K$81)*(SUM(W339:W345)&gt;=0)</f>
        <v>3358.1484016452405</v>
      </c>
      <c r="X346" s="151">
        <f>+SUM(X339:X345)*(X7&lt;=Inputs!$K$81)*(SUM(X339:X345)&gt;=0)</f>
        <v>3358.1484016452405</v>
      </c>
      <c r="Y346" s="151">
        <f>+SUM(Y339:Y345)*(Y7&lt;=Inputs!$K$81)*(SUM(Y339:Y345)&gt;=0)</f>
        <v>4451.1136465385971</v>
      </c>
      <c r="Z346" s="151">
        <f>+SUM(Z339:Z345)*(Z7&lt;=Inputs!$K$81)*(SUM(Z339:Z345)&gt;=0)</f>
        <v>5107.2136465385975</v>
      </c>
      <c r="AA346" s="151">
        <f>+SUM(AA339:AA345)*(AA7&lt;=Inputs!$K$81)*(SUM(AA339:AA345)&gt;=0)</f>
        <v>5768.9011610410344</v>
      </c>
      <c r="AB346" s="151">
        <f>+SUM(AB339:AB345)*(AB7&lt;=Inputs!$K$81)*(SUM(AB339:AB345)&gt;=0)</f>
        <v>5778.9011610410344</v>
      </c>
      <c r="AC346" s="151">
        <f>+SUM(AC339:AC345)*(AC7&lt;=Inputs!$K$81)*(SUM(AC339:AC345)&gt;=0)</f>
        <v>5778.9011610410344</v>
      </c>
      <c r="AD346" s="151">
        <f>+SUM(AD339:AD345)*(AD7&lt;=Inputs!$K$81)*(SUM(AD339:AD345)&gt;=0)</f>
        <v>6200.9011610410344</v>
      </c>
      <c r="AE346" s="151">
        <f>+SUM(AE339:AE345)*(AE7&lt;=Inputs!$K$81)*(SUM(AE339:AE345)&gt;=0)</f>
        <v>16575.386673852328</v>
      </c>
      <c r="AF346" s="151">
        <f>+SUM(AF339:AF345)*(AF7&lt;=Inputs!$K$81)*(SUM(AF339:AF345)&gt;=0)</f>
        <v>18969.290336202972</v>
      </c>
      <c r="AG346" s="151">
        <f>+SUM(AG339:AG345)*(AG7&lt;=Inputs!$K$81)*(SUM(AG339:AG345)&gt;=0)</f>
        <v>20691.419725545311</v>
      </c>
      <c r="AH346" s="151">
        <f>+SUM(AH339:AH345)*(AH7&lt;=Inputs!$K$81)*(SUM(AH339:AH345)&gt;=0)</f>
        <v>22231.01243633332</v>
      </c>
      <c r="AI346" s="151">
        <f>+SUM(AI339:AI345)*(AI7&lt;=Inputs!$K$81)*(SUM(AI339:AI345)&gt;=0)</f>
        <v>24007.812436333319</v>
      </c>
      <c r="AJ346" s="151">
        <f>+SUM(AJ339:AJ345)*(AJ7&lt;=Inputs!$K$81)*(SUM(AJ339:AJ345)&gt;=0)</f>
        <v>25309.648919357627</v>
      </c>
      <c r="AK346" s="151">
        <f>+SUM(AK339:AK345)*(AK7&lt;=Inputs!$K$81)*(SUM(AK339:AK345)&gt;=0)</f>
        <v>26559.013626247128</v>
      </c>
      <c r="AL346" s="151">
        <f>+SUM(AL339:AL345)*(AL7&lt;=Inputs!$K$81)*(SUM(AL339:AL345)&gt;=0)</f>
        <v>27935.358305201185</v>
      </c>
      <c r="AM346" s="151">
        <f>+SUM(AM339:AM345)*(AM7&lt;=Inputs!$K$81)*(SUM(AM339:AM345)&gt;=0)</f>
        <v>29568.206718994152</v>
      </c>
      <c r="AN346" s="151">
        <f>+SUM(AN339:AN345)*(AN7&lt;=Inputs!$K$81)*(SUM(AN339:AN345)&gt;=0)</f>
        <v>30982.606718994153</v>
      </c>
      <c r="AO346" s="151">
        <f>+SUM(AO339:AO345)*(AO7&lt;=Inputs!$K$81)*(SUM(AO339:AO345)&gt;=0)</f>
        <v>32165.343724693943</v>
      </c>
      <c r="AP346" s="151">
        <f>+SUM(AP339:AP345)*(AP7&lt;=Inputs!$K$81)*(SUM(AP339:AP345)&gt;=0)</f>
        <v>16446.343724693943</v>
      </c>
      <c r="AQ346" s="151">
        <f>+SUM(AQ339:AQ345)*(AQ7&lt;=Inputs!$K$81)*(SUM(AQ339:AQ345)&gt;=0)</f>
        <v>16610.343724693943</v>
      </c>
      <c r="AR346" s="151">
        <f>+SUM(AR339:AR345)*(AR7&lt;=Inputs!$K$81)*(SUM(AR339:AR345)&gt;=0)</f>
        <v>16618.133724693944</v>
      </c>
      <c r="AS346" s="151">
        <f>+SUM(AS339:AS345)*(AS7&lt;=Inputs!$K$81)*(SUM(AS339:AS345)&gt;=0)</f>
        <v>18104.433724693943</v>
      </c>
      <c r="AT346" s="151">
        <f>+SUM(AT339:AT345)*(AT7&lt;=Inputs!$K$81)*(SUM(AT339:AT345)&gt;=0)</f>
        <v>19500.433724693943</v>
      </c>
      <c r="AU346" s="151">
        <f>+SUM(AU339:AU345)*(AU7&lt;=Inputs!$K$81)*(SUM(AU339:AU345)&gt;=0)</f>
        <v>19800.433724693943</v>
      </c>
      <c r="AV346" s="151">
        <f>+SUM(AV339:AV345)*(AV7&lt;=Inputs!$K$81)*(SUM(AV339:AV345)&gt;=0)</f>
        <v>21999.433724693943</v>
      </c>
      <c r="AW346" s="151">
        <f>+SUM(AW339:AW345)*(AW7&lt;=Inputs!$K$81)*(SUM(AW339:AW345)&gt;=0)</f>
        <v>27098.433724693943</v>
      </c>
      <c r="AX346" s="151">
        <f>+SUM(AX339:AX345)*(AX7&lt;=Inputs!$K$81)*(SUM(AX339:AX345)&gt;=0)</f>
        <v>27125.433724693943</v>
      </c>
      <c r="AY346" s="151">
        <f>+SUM(AY339:AY345)*(AY7&lt;=Inputs!$K$81)*(SUM(AY339:AY345)&gt;=0)</f>
        <v>29875.333724693945</v>
      </c>
      <c r="AZ346" s="151">
        <f>+SUM(AZ339:AZ345)*(AZ7&lt;=Inputs!$K$81)*(SUM(AZ339:AZ345)&gt;=0)</f>
        <v>32354.583724693945</v>
      </c>
      <c r="BA346" s="151">
        <f>+SUM(BA339:BA345)*(BA7&lt;=Inputs!$K$81)*(SUM(BA339:BA345)&gt;=0)</f>
        <v>37376.583724693948</v>
      </c>
      <c r="BB346" s="151">
        <f>+SUM(BB339:BB345)*(BB7&lt;=Inputs!$K$81)*(SUM(BB339:BB345)&gt;=0)</f>
        <v>40141.583724693948</v>
      </c>
      <c r="BC346" s="151">
        <f>+SUM(BC339:BC345)*(BC7&lt;=Inputs!$K$81)*(SUM(BC339:BC345)&gt;=0)</f>
        <v>40234.583724693948</v>
      </c>
      <c r="BD346" s="151">
        <f>+SUM(BD339:BD345)*(BD7&lt;=Inputs!$K$81)*(SUM(BD339:BD345)&gt;=0)</f>
        <v>8541.5837246939482</v>
      </c>
      <c r="BE346" s="151">
        <f>+SUM(BE339:BE345)*(BE7&lt;=Inputs!$K$81)*(SUM(BE339:BE345)&gt;=0)</f>
        <v>10623.583724693948</v>
      </c>
      <c r="BF346" s="151">
        <f>+SUM(BF339:BF345)*(BF7&lt;=Inputs!$K$81)*(SUM(BF339:BF345)&gt;=0)</f>
        <v>11022.583724693948</v>
      </c>
      <c r="BG346" s="151">
        <f>+SUM(BG339:BG345)*(BG7&lt;=Inputs!$K$81)*(SUM(BG339:BG345)&gt;=0)</f>
        <v>11372.583724693948</v>
      </c>
      <c r="BH346" s="151">
        <f>+SUM(BH339:BH345)*(BH7&lt;=Inputs!$K$81)*(SUM(BH339:BH345)&gt;=0)</f>
        <v>14808.583724693948</v>
      </c>
      <c r="BI346" s="1094">
        <f>483250146/31212.65</f>
        <v>15482.509367195671</v>
      </c>
      <c r="BJ346" s="1094">
        <f>487070545/31539.2</f>
        <v>15443.338607193587</v>
      </c>
      <c r="BK346" s="1094">
        <f>491412413/31727.74</f>
        <v>15488.415279499894</v>
      </c>
      <c r="BL346" s="1019">
        <f>496993404/32176.5</f>
        <v>15445.85035662673</v>
      </c>
      <c r="BM346" s="1019">
        <v>15201.125352437641</v>
      </c>
      <c r="BN346" s="1019">
        <f>497019705/BN99</f>
        <v>15021.677960687077</v>
      </c>
      <c r="BO346" s="1019">
        <f>495930867/BO99</f>
        <v>14840.560446906777</v>
      </c>
      <c r="BP346" s="1019">
        <f>492874503/BP99</f>
        <v>14566.351642057647</v>
      </c>
      <c r="BQ346" s="1019">
        <f>500590621/BQ99</f>
        <v>14612.273342785076</v>
      </c>
      <c r="BR346" s="1019">
        <f>499648739/BR99</f>
        <v>14440.568924880818</v>
      </c>
      <c r="BS346" s="1019">
        <f>494029308/BS99</f>
        <v>14191.432445320264</v>
      </c>
      <c r="BT346" s="1019">
        <f>488645348/BT99</f>
        <v>13917.166310937489</v>
      </c>
      <c r="BU346" s="1019">
        <f>484963571/BU99</f>
        <v>13812.305182025679</v>
      </c>
      <c r="BV346" s="1019">
        <f>479663323/BV99</f>
        <v>13507.959604254389</v>
      </c>
      <c r="BW346" s="1019">
        <f>470181455/BW99</f>
        <v>13216.447255244342</v>
      </c>
      <c r="BX346" s="1019">
        <f>473840012/BX99</f>
        <v>13221.517388398805</v>
      </c>
      <c r="BY346" s="1019">
        <f>477333968/BY99</f>
        <v>13247.17412341891</v>
      </c>
      <c r="BZ346" s="151">
        <f ca="1">+SUM(BZ339:BZ345)*(BZ7&lt;=Inputs!$K$81)*(SUM(BZ339:BZ345)&gt;=0)</f>
        <v>12827.056947035933</v>
      </c>
      <c r="CA346" s="151">
        <f ca="1">+SUM(CA339:CA345)*(CA7&lt;=Inputs!$K$81)*(SUM(CA339:CA345)&gt;=0)</f>
        <v>12425.756988940777</v>
      </c>
      <c r="CB346" s="151">
        <f ca="1">+SUM(CB339:CB345)*(CB7&lt;=Inputs!$K$81)*(SUM(CB339:CB345)&gt;=0)</f>
        <v>12003.935829095621</v>
      </c>
      <c r="CC346" s="151">
        <f ca="1">+SUM(CC339:CC345)*(CC7&lt;=Inputs!$K$81)*(SUM(CC339:CC345)&gt;=0)</f>
        <v>11561.593467500465</v>
      </c>
      <c r="CD346" s="151">
        <f ca="1">+SUM(CD339:CD345)*(CD7&lt;=Inputs!$K$81)*(SUM(CD339:CD345)&gt;=0)</f>
        <v>11098.729904155307</v>
      </c>
      <c r="CE346" s="151">
        <f ca="1">+SUM(CE339:CE345)*(CE7&lt;=Inputs!$K$81)*(SUM(CE339:CE345)&gt;=0)</f>
        <v>10615.345139060149</v>
      </c>
      <c r="CF346" s="151">
        <f ca="1">+SUM(CF339:CF345)*(CF7&lt;=Inputs!$K$81)*(SUM(CF339:CF345)&gt;=0)</f>
        <v>10057.991639623726</v>
      </c>
      <c r="CG346" s="151">
        <f ca="1">+SUM(CG339:CG345)*(CG7&lt;=Inputs!$K$81)*(SUM(CG339:CG345)&gt;=0)</f>
        <v>0</v>
      </c>
      <c r="CH346" s="151">
        <f ca="1">+SUM(CH339:CH345)*(CH7&lt;=Inputs!$K$81)*(SUM(CH339:CH345)&gt;=0)</f>
        <v>0</v>
      </c>
      <c r="CI346" s="151">
        <f ca="1">+SUM(CI339:CI345)*(CI7&lt;=Inputs!$K$81)*(SUM(CI339:CI345)&gt;=0)</f>
        <v>0</v>
      </c>
      <c r="CJ346" s="151">
        <f ca="1">+SUM(CJ339:CJ345)*(CJ7&lt;=Inputs!$K$81)*(SUM(CJ339:CJ345)&gt;=0)</f>
        <v>0</v>
      </c>
      <c r="CK346" s="151">
        <f ca="1">+SUM(CK339:CK345)*(CK7&lt;=Inputs!$K$81)*(SUM(CK339:CK345)&gt;=0)</f>
        <v>0</v>
      </c>
      <c r="CL346" s="151">
        <f ca="1">+SUM(CL339:CL345)*(CL7&lt;=Inputs!$K$81)*(SUM(CL339:CL345)&gt;=0)</f>
        <v>0</v>
      </c>
      <c r="CM346" s="151">
        <f ca="1">+SUM(CM339:CM345)*(CM7&lt;=Inputs!$K$81)*(SUM(CM339:CM345)&gt;=0)</f>
        <v>0</v>
      </c>
      <c r="CN346" s="151">
        <f ca="1">+SUM(CN339:CN345)*(CN7&lt;=Inputs!$K$81)*(SUM(CN339:CN345)&gt;=0)</f>
        <v>0</v>
      </c>
      <c r="CO346" s="151">
        <f ca="1">+SUM(CO339:CO345)*(CO7&lt;=Inputs!$K$81)*(SUM(CO339:CO345)&gt;=0)</f>
        <v>0</v>
      </c>
      <c r="CP346" s="151">
        <f ca="1">+SUM(CP339:CP345)*(CP7&lt;=Inputs!$K$81)*(SUM(CP339:CP345)&gt;=0)</f>
        <v>0</v>
      </c>
      <c r="CQ346" s="151">
        <f ca="1">+SUM(CQ339:CQ345)*(CQ7&lt;=Inputs!$K$81)*(SUM(CQ339:CQ345)&gt;=0)</f>
        <v>0</v>
      </c>
      <c r="CR346" s="151">
        <f ca="1">+SUM(CR339:CR345)*(CR7&lt;=Inputs!$K$81)*(SUM(CR339:CR345)&gt;=0)</f>
        <v>0</v>
      </c>
      <c r="CS346" s="151">
        <f ca="1">+SUM(CS339:CS345)*(CS7&lt;=Inputs!$K$81)*(SUM(CS339:CS345)&gt;=0)</f>
        <v>0</v>
      </c>
      <c r="CT346" s="151">
        <f ca="1">+SUM(CT339:CT345)*(CT7&lt;=Inputs!$K$81)*(SUM(CT339:CT345)&gt;=0)</f>
        <v>0</v>
      </c>
      <c r="CU346" s="151">
        <f ca="1">+SUM(CU339:CU345)*(CU7&lt;=Inputs!$K$81)*(SUM(CU339:CU345)&gt;=0)</f>
        <v>0</v>
      </c>
      <c r="CV346" s="151">
        <f ca="1">+SUM(CV339:CV345)*(CV7&lt;=Inputs!$K$81)*(SUM(CV339:CV345)&gt;=0)</f>
        <v>0</v>
      </c>
      <c r="CW346" s="151">
        <f ca="1">+SUM(CW339:CW345)*(CW7&lt;=Inputs!$K$81)*(SUM(CW339:CW345)&gt;=0)</f>
        <v>0</v>
      </c>
      <c r="CX346" s="151">
        <f ca="1">+SUM(CX339:CX345)*(CX7&lt;=Inputs!$K$81)*(SUM(CX339:CX345)&gt;=0)</f>
        <v>0</v>
      </c>
      <c r="CY346" s="151">
        <f ca="1">+SUM(CY339:CY345)*(CY7&lt;=Inputs!$K$81)*(SUM(CY339:CY345)&gt;=0)</f>
        <v>0</v>
      </c>
      <c r="CZ346" s="151">
        <f ca="1">+SUM(CZ339:CZ345)*(CZ7&lt;=Inputs!$K$81)*(SUM(CZ339:CZ345)&gt;=0)</f>
        <v>0</v>
      </c>
      <c r="DA346" s="151">
        <f ca="1">+SUM(DA339:DA345)*(DA7&lt;=Inputs!$K$81)*(SUM(DA339:DA345)&gt;=0)</f>
        <v>0</v>
      </c>
      <c r="DB346" s="151">
        <f ca="1">+SUM(DB339:DB345)*(DB7&lt;=Inputs!$K$81)*(SUM(DB339:DB345)&gt;=0)</f>
        <v>0</v>
      </c>
      <c r="DC346" s="151">
        <f ca="1">+SUM(DC339:DC345)*(DC7&lt;=Inputs!$K$81)*(SUM(DC339:DC345)&gt;=0)</f>
        <v>0</v>
      </c>
      <c r="DD346" s="151">
        <f ca="1">+SUM(DD339:DD345)*(DD7&lt;=Inputs!$K$81)*(SUM(DD339:DD345)&gt;=0)</f>
        <v>0</v>
      </c>
      <c r="DE346" s="151">
        <f ca="1">+SUM(DE339:DE345)*(DE7&lt;=Inputs!$K$81)*(SUM(DE339:DE345)&gt;=0)</f>
        <v>0</v>
      </c>
      <c r="DF346" s="151">
        <f ca="1">+SUM(DF339:DF345)*(DF7&lt;=Inputs!$K$81)*(SUM(DF339:DF345)&gt;=0)</f>
        <v>0</v>
      </c>
      <c r="DG346" s="151">
        <f ca="1">+SUM(DG339:DG345)*(DG7&lt;=Inputs!$K$81)*(SUM(DG339:DG345)&gt;=0)</f>
        <v>0</v>
      </c>
      <c r="DH346" s="151">
        <f ca="1">+SUM(DH339:DH345)*(DH7&lt;=Inputs!$K$81)*(SUM(DH339:DH345)&gt;=0)</f>
        <v>0</v>
      </c>
      <c r="DI346" s="151">
        <f ca="1">+SUM(DI339:DI345)*(DI7&lt;=Inputs!$K$81)*(SUM(DI339:DI345)&gt;=0)</f>
        <v>0</v>
      </c>
      <c r="DJ346" s="151">
        <f ca="1">+SUM(DJ339:DJ345)*(DJ7&lt;=Inputs!$K$81)*(SUM(DJ339:DJ345)&gt;=0)</f>
        <v>0</v>
      </c>
      <c r="DK346" s="151">
        <f ca="1">+SUM(DK339:DK345)*(DK7&lt;=Inputs!$K$81)*(SUM(DK339:DK345)&gt;=0)</f>
        <v>0</v>
      </c>
      <c r="DL346" s="151">
        <f ca="1">+SUM(DL339:DL345)*(DL7&lt;=Inputs!$K$81)*(SUM(DL339:DL345)&gt;=0)</f>
        <v>0</v>
      </c>
      <c r="DM346" s="151">
        <f ca="1">+SUM(DM339:DM345)*(DM7&lt;=Inputs!$K$81)*(SUM(DM339:DM345)&gt;=0)</f>
        <v>0</v>
      </c>
      <c r="DN346" s="151">
        <f ca="1">+SUM(DN339:DN345)*(DN7&lt;=Inputs!$K$81)*(SUM(DN339:DN345)&gt;=0)</f>
        <v>0</v>
      </c>
      <c r="DO346" s="151">
        <f ca="1">+SUM(DO339:DO345)*(DO7&lt;=Inputs!$K$81)*(SUM(DO339:DO345)&gt;=0)</f>
        <v>0</v>
      </c>
      <c r="DP346" s="151">
        <f ca="1">+SUM(DP339:DP345)*(DP7&lt;=Inputs!$K$81)*(SUM(DP339:DP345)&gt;=0)</f>
        <v>0</v>
      </c>
      <c r="DQ346" s="151">
        <f ca="1">+SUM(DQ339:DQ345)*(DQ7&lt;=Inputs!$K$81)*(SUM(DQ339:DQ345)&gt;=0)</f>
        <v>0</v>
      </c>
      <c r="DR346" s="151">
        <f ca="1">+SUM(DR339:DR345)*(DR7&lt;=Inputs!$K$81)*(SUM(DR339:DR345)&gt;=0)</f>
        <v>0</v>
      </c>
      <c r="DS346" s="151">
        <f ca="1">+SUM(DS339:DS345)*(DS7&lt;=Inputs!$K$81)*(SUM(DS339:DS345)&gt;=0)</f>
        <v>0</v>
      </c>
      <c r="DT346" s="151">
        <f ca="1">+SUM(DT339:DT345)*(DT7&lt;=Inputs!$K$81)*(SUM(DT339:DT345)&gt;=0)</f>
        <v>0</v>
      </c>
      <c r="DU346" s="151">
        <f ca="1">+SUM(DU339:DU345)*(DU7&lt;=Inputs!$K$81)*(SUM(DU339:DU345)&gt;=0)</f>
        <v>0</v>
      </c>
      <c r="DV346" s="151">
        <f ca="1">+SUM(DV339:DV345)*(DV7&lt;=Inputs!$K$81)*(SUM(DV339:DV345)&gt;=0)</f>
        <v>0</v>
      </c>
      <c r="DW346" s="151">
        <f ca="1">+SUM(DW339:DW345)*(DW7&lt;=Inputs!$K$81)*(SUM(DW339:DW345)&gt;=0)</f>
        <v>0</v>
      </c>
      <c r="DX346" s="151">
        <f ca="1">+SUM(DX339:DX345)*(DX7&lt;=Inputs!$K$81)*(SUM(DX339:DX345)&gt;=0)</f>
        <v>0</v>
      </c>
      <c r="DY346" s="151">
        <f ca="1">+SUM(DY339:DY345)*(DY7&lt;=Inputs!$K$81)*(SUM(DY339:DY345)&gt;=0)</f>
        <v>0</v>
      </c>
    </row>
    <row r="347" spans="2:129" s="3" customFormat="1" ht="11.7" customHeight="1" outlineLevel="1" x14ac:dyDescent="0.3">
      <c r="B347" s="125"/>
      <c r="C347" s="125"/>
      <c r="G347" s="127"/>
      <c r="H347" s="127"/>
      <c r="I347" s="111"/>
      <c r="J347" s="111"/>
      <c r="K347" s="111"/>
      <c r="L347" s="111"/>
      <c r="M347" s="111"/>
      <c r="N347" s="111"/>
      <c r="O347" s="111"/>
      <c r="P347" s="111"/>
      <c r="Q347" s="111"/>
      <c r="R347" s="111"/>
      <c r="S347" s="111"/>
      <c r="T347" s="111"/>
      <c r="U347" s="111"/>
      <c r="V347" s="111"/>
      <c r="W347" s="111"/>
      <c r="X347" s="111"/>
      <c r="Y347" s="111"/>
      <c r="Z347" s="111"/>
      <c r="AA347" s="111"/>
      <c r="AB347" s="111"/>
      <c r="AC347" s="111"/>
      <c r="AD347" s="111"/>
      <c r="AE347" s="111"/>
      <c r="AF347" s="111"/>
      <c r="AG347" s="111"/>
      <c r="AH347" s="111"/>
      <c r="AI347" s="111"/>
      <c r="AJ347" s="111"/>
      <c r="AK347" s="111"/>
      <c r="AL347" s="111"/>
      <c r="AM347" s="111"/>
      <c r="AN347" s="111"/>
      <c r="AO347" s="111"/>
      <c r="AP347" s="111"/>
      <c r="AQ347" s="111"/>
      <c r="AR347" s="111"/>
      <c r="AS347" s="111"/>
      <c r="AT347" s="111"/>
      <c r="AU347" s="111"/>
      <c r="AV347" s="111"/>
      <c r="AW347" s="111"/>
      <c r="AX347" s="111"/>
      <c r="AY347" s="111"/>
      <c r="AZ347" s="111"/>
      <c r="BA347" s="111"/>
      <c r="BB347" s="111"/>
      <c r="BC347" s="111"/>
      <c r="BD347" s="111"/>
      <c r="BE347" s="111"/>
      <c r="BF347" s="111"/>
      <c r="BG347" s="111"/>
      <c r="BH347" s="111"/>
      <c r="BI347" s="111"/>
      <c r="BJ347" s="151"/>
      <c r="BK347" s="151"/>
      <c r="BL347" s="737"/>
      <c r="BM347" s="737"/>
      <c r="BN347" s="111"/>
      <c r="BO347" s="111"/>
      <c r="BP347" s="111"/>
      <c r="BQ347" s="111"/>
      <c r="BR347" s="111"/>
      <c r="BS347" s="111"/>
      <c r="BT347" s="111"/>
      <c r="BU347" s="111"/>
      <c r="BV347" s="111"/>
      <c r="BW347" s="111"/>
      <c r="BX347" s="111"/>
      <c r="BY347" s="111"/>
      <c r="BZ347" s="111"/>
      <c r="CA347" s="111"/>
      <c r="CB347" s="111"/>
      <c r="CC347" s="111"/>
      <c r="CD347" s="111"/>
      <c r="CE347" s="111"/>
      <c r="CF347" s="111"/>
      <c r="CG347" s="111"/>
      <c r="CH347" s="111"/>
      <c r="CI347" s="111"/>
      <c r="CJ347" s="111"/>
      <c r="CK347" s="111"/>
      <c r="CL347" s="111"/>
      <c r="CM347" s="111"/>
      <c r="CN347" s="111"/>
      <c r="CO347" s="111"/>
      <c r="CP347" s="111"/>
      <c r="CQ347" s="111"/>
      <c r="CR347" s="111"/>
      <c r="CS347" s="111"/>
      <c r="CT347" s="111"/>
      <c r="CU347" s="111"/>
      <c r="CV347" s="111"/>
      <c r="CW347" s="111"/>
      <c r="CX347" s="111"/>
      <c r="CY347" s="111"/>
      <c r="CZ347" s="111"/>
      <c r="DA347" s="111"/>
      <c r="DB347" s="111"/>
      <c r="DC347" s="111"/>
      <c r="DD347" s="111"/>
      <c r="DE347" s="111"/>
      <c r="DF347" s="111"/>
      <c r="DG347" s="111"/>
      <c r="DH347" s="111"/>
      <c r="DI347" s="111"/>
      <c r="DJ347" s="111"/>
      <c r="DK347" s="111"/>
      <c r="DL347" s="111"/>
      <c r="DM347" s="111"/>
      <c r="DN347" s="111"/>
      <c r="DO347" s="111"/>
      <c r="DP347" s="111"/>
      <c r="DQ347" s="111"/>
      <c r="DR347" s="111"/>
      <c r="DS347" s="111"/>
      <c r="DT347" s="111"/>
      <c r="DU347" s="111"/>
      <c r="DV347" s="111"/>
      <c r="DW347" s="111"/>
      <c r="DX347" s="111"/>
      <c r="DY347" s="111"/>
    </row>
    <row r="348" spans="2:129" s="3" customFormat="1" ht="11.7" customHeight="1" outlineLevel="1" thickBot="1" x14ac:dyDescent="0.35">
      <c r="B348" s="80"/>
      <c r="C348" s="80"/>
      <c r="D348" s="80"/>
      <c r="E348" s="80"/>
      <c r="F348" s="80"/>
      <c r="G348" s="154"/>
      <c r="H348" s="154"/>
      <c r="I348" s="155"/>
      <c r="J348" s="155"/>
      <c r="K348" s="155"/>
      <c r="L348" s="155"/>
      <c r="M348" s="155"/>
      <c r="N348" s="155"/>
      <c r="O348" s="155"/>
      <c r="P348" s="155"/>
      <c r="Q348" s="155"/>
      <c r="R348" s="155"/>
      <c r="S348" s="155"/>
      <c r="T348" s="155"/>
      <c r="U348" s="155"/>
      <c r="V348" s="155"/>
      <c r="W348" s="155"/>
      <c r="X348" s="155"/>
      <c r="Y348" s="155"/>
      <c r="Z348" s="155"/>
      <c r="AA348" s="155"/>
      <c r="AB348" s="155"/>
      <c r="AC348" s="155"/>
      <c r="AD348" s="155"/>
      <c r="AE348" s="155"/>
      <c r="AF348" s="155"/>
      <c r="AG348" s="155"/>
      <c r="AH348" s="155"/>
      <c r="AI348" s="155"/>
      <c r="AJ348" s="155"/>
      <c r="AK348" s="155"/>
      <c r="AL348" s="155"/>
      <c r="AM348" s="155"/>
      <c r="AN348" s="155"/>
      <c r="AO348" s="155"/>
      <c r="AP348" s="155"/>
      <c r="AQ348" s="155"/>
      <c r="AR348" s="155"/>
      <c r="AS348" s="155"/>
      <c r="AT348" s="155"/>
      <c r="AU348" s="155"/>
      <c r="AV348" s="155"/>
      <c r="AW348" s="155"/>
      <c r="AX348" s="155"/>
      <c r="AY348" s="155"/>
      <c r="AZ348" s="155"/>
      <c r="BA348" s="155"/>
      <c r="BB348" s="155"/>
      <c r="BC348" s="155"/>
      <c r="BD348" s="155"/>
      <c r="BE348" s="155"/>
      <c r="BF348" s="155"/>
      <c r="BG348" s="155"/>
      <c r="BH348" s="155"/>
      <c r="BI348" s="155"/>
      <c r="BJ348" s="155"/>
      <c r="BK348" s="155"/>
      <c r="BL348" s="155"/>
      <c r="BM348" s="155"/>
      <c r="BN348" s="155"/>
      <c r="BO348" s="155"/>
      <c r="BP348" s="155"/>
      <c r="BQ348" s="155"/>
      <c r="BR348" s="155"/>
      <c r="BS348" s="155"/>
      <c r="BT348" s="155"/>
      <c r="BU348" s="155"/>
      <c r="BV348" s="155"/>
      <c r="BW348" s="155"/>
      <c r="BX348" s="155"/>
      <c r="BY348" s="155"/>
      <c r="BZ348" s="155"/>
      <c r="CA348" s="155"/>
      <c r="CB348" s="155"/>
      <c r="CC348" s="155"/>
      <c r="CD348" s="155"/>
      <c r="CE348" s="155"/>
      <c r="CF348" s="155"/>
      <c r="CG348" s="155"/>
      <c r="CH348" s="155"/>
      <c r="CI348" s="155"/>
      <c r="CJ348" s="155"/>
      <c r="CK348" s="155"/>
      <c r="CL348" s="155"/>
      <c r="CM348" s="155"/>
      <c r="CN348" s="155"/>
      <c r="CO348" s="155"/>
      <c r="CP348" s="155"/>
      <c r="CQ348" s="155"/>
      <c r="CR348" s="155"/>
      <c r="CS348" s="155"/>
      <c r="CT348" s="155"/>
      <c r="CU348" s="155"/>
      <c r="CV348" s="155"/>
      <c r="CW348" s="155"/>
      <c r="CX348" s="155"/>
      <c r="CY348" s="155"/>
      <c r="CZ348" s="155"/>
      <c r="DA348" s="155"/>
      <c r="DB348" s="155"/>
      <c r="DC348" s="155"/>
      <c r="DD348" s="155"/>
      <c r="DE348" s="155"/>
      <c r="DF348" s="155"/>
      <c r="DG348" s="155"/>
      <c r="DH348" s="155"/>
      <c r="DI348" s="155"/>
      <c r="DJ348" s="155"/>
      <c r="DK348" s="155"/>
      <c r="DL348" s="155"/>
      <c r="DM348" s="155"/>
      <c r="DN348" s="155"/>
      <c r="DO348" s="155"/>
      <c r="DP348" s="155"/>
      <c r="DQ348" s="155"/>
      <c r="DR348" s="155"/>
      <c r="DS348" s="155"/>
      <c r="DT348" s="155"/>
      <c r="DU348" s="155"/>
      <c r="DV348" s="155"/>
      <c r="DW348" s="155"/>
      <c r="DX348" s="155"/>
      <c r="DY348" s="155"/>
    </row>
    <row r="349" spans="2:129" s="3" customFormat="1" ht="11.7" customHeight="1" outlineLevel="1" thickTop="1" thickBot="1" x14ac:dyDescent="0.35">
      <c r="B349" s="192" t="s">
        <v>90</v>
      </c>
      <c r="C349" s="192"/>
      <c r="D349" s="206"/>
      <c r="E349" s="206"/>
      <c r="F349" s="206"/>
      <c r="G349" s="905"/>
      <c r="H349" s="295">
        <f ca="1">+SUM(I349:DY349)</f>
        <v>0</v>
      </c>
      <c r="I349" s="343">
        <f t="shared" ref="I349:BT349" si="439">-(I346-H346)*(I346&gt;=0)</f>
        <v>0</v>
      </c>
      <c r="J349" s="343">
        <f t="shared" si="439"/>
        <v>-1390.0045312721768</v>
      </c>
      <c r="K349" s="343">
        <f t="shared" si="439"/>
        <v>-147</v>
      </c>
      <c r="L349" s="343">
        <f t="shared" si="439"/>
        <v>-563</v>
      </c>
      <c r="M349" s="343">
        <f t="shared" si="439"/>
        <v>-1.9000000000000909</v>
      </c>
      <c r="N349" s="343">
        <f t="shared" si="439"/>
        <v>0</v>
      </c>
      <c r="O349" s="343">
        <f t="shared" si="439"/>
        <v>0</v>
      </c>
      <c r="P349" s="343">
        <f t="shared" si="439"/>
        <v>0</v>
      </c>
      <c r="Q349" s="343">
        <f t="shared" si="439"/>
        <v>-56</v>
      </c>
      <c r="R349" s="343">
        <f t="shared" si="439"/>
        <v>0</v>
      </c>
      <c r="S349" s="343">
        <f t="shared" si="439"/>
        <v>-195</v>
      </c>
      <c r="T349" s="343">
        <f t="shared" si="439"/>
        <v>-56</v>
      </c>
      <c r="U349" s="343">
        <f t="shared" si="439"/>
        <v>0</v>
      </c>
      <c r="V349" s="343">
        <f t="shared" si="439"/>
        <v>0</v>
      </c>
      <c r="W349" s="343">
        <f t="shared" si="439"/>
        <v>-949.2438703730636</v>
      </c>
      <c r="X349" s="343">
        <f t="shared" si="439"/>
        <v>0</v>
      </c>
      <c r="Y349" s="343">
        <f t="shared" si="439"/>
        <v>-1092.9652448933566</v>
      </c>
      <c r="Z349" s="343">
        <f t="shared" si="439"/>
        <v>-656.10000000000036</v>
      </c>
      <c r="AA349" s="343">
        <f t="shared" si="439"/>
        <v>-661.6875145024369</v>
      </c>
      <c r="AB349" s="343">
        <f t="shared" si="439"/>
        <v>-10</v>
      </c>
      <c r="AC349" s="343">
        <f t="shared" si="439"/>
        <v>0</v>
      </c>
      <c r="AD349" s="343">
        <f t="shared" si="439"/>
        <v>-422</v>
      </c>
      <c r="AE349" s="343">
        <f t="shared" si="439"/>
        <v>-10374.485512811294</v>
      </c>
      <c r="AF349" s="343">
        <f t="shared" si="439"/>
        <v>-2393.9036623506436</v>
      </c>
      <c r="AG349" s="343">
        <f t="shared" si="439"/>
        <v>-1722.129389342339</v>
      </c>
      <c r="AH349" s="343">
        <f t="shared" si="439"/>
        <v>-1539.5927107880088</v>
      </c>
      <c r="AI349" s="343">
        <f t="shared" si="439"/>
        <v>-1776.7999999999993</v>
      </c>
      <c r="AJ349" s="343">
        <f t="shared" si="439"/>
        <v>-1301.8364830243081</v>
      </c>
      <c r="AK349" s="343">
        <f t="shared" si="439"/>
        <v>-1249.3647068895007</v>
      </c>
      <c r="AL349" s="343">
        <f t="shared" si="439"/>
        <v>-1376.3446789540576</v>
      </c>
      <c r="AM349" s="343">
        <f t="shared" si="439"/>
        <v>-1632.8484137929663</v>
      </c>
      <c r="AN349" s="343">
        <f t="shared" si="439"/>
        <v>-1414.4000000000015</v>
      </c>
      <c r="AO349" s="343">
        <f t="shared" si="439"/>
        <v>-1182.7370056997897</v>
      </c>
      <c r="AP349" s="343">
        <f t="shared" si="439"/>
        <v>15719</v>
      </c>
      <c r="AQ349" s="343">
        <f t="shared" si="439"/>
        <v>-164</v>
      </c>
      <c r="AR349" s="343">
        <f t="shared" si="439"/>
        <v>-7.7900000000008731</v>
      </c>
      <c r="AS349" s="343">
        <f t="shared" si="439"/>
        <v>-1486.2999999999993</v>
      </c>
      <c r="AT349" s="343">
        <f t="shared" si="439"/>
        <v>-1396</v>
      </c>
      <c r="AU349" s="343">
        <f t="shared" si="439"/>
        <v>-300</v>
      </c>
      <c r="AV349" s="343">
        <f t="shared" si="439"/>
        <v>-2199</v>
      </c>
      <c r="AW349" s="343">
        <f t="shared" si="439"/>
        <v>-5099</v>
      </c>
      <c r="AX349" s="343">
        <f t="shared" si="439"/>
        <v>-27</v>
      </c>
      <c r="AY349" s="343">
        <f t="shared" si="439"/>
        <v>-2749.9000000000015</v>
      </c>
      <c r="AZ349" s="343">
        <f t="shared" si="439"/>
        <v>-2479.25</v>
      </c>
      <c r="BA349" s="343">
        <f t="shared" si="439"/>
        <v>-5022.0000000000036</v>
      </c>
      <c r="BB349" s="343">
        <f t="shared" si="439"/>
        <v>-2765</v>
      </c>
      <c r="BC349" s="343">
        <f t="shared" si="439"/>
        <v>-93</v>
      </c>
      <c r="BD349" s="343">
        <f t="shared" si="439"/>
        <v>31693</v>
      </c>
      <c r="BE349" s="343">
        <f t="shared" si="439"/>
        <v>-2082</v>
      </c>
      <c r="BF349" s="343">
        <f t="shared" si="439"/>
        <v>-399</v>
      </c>
      <c r="BG349" s="343">
        <f t="shared" si="439"/>
        <v>-350</v>
      </c>
      <c r="BH349" s="343">
        <f t="shared" si="439"/>
        <v>-3436</v>
      </c>
      <c r="BI349" s="343">
        <f t="shared" si="439"/>
        <v>-673.9256425017229</v>
      </c>
      <c r="BJ349" s="343">
        <f t="shared" si="439"/>
        <v>39.170760002083625</v>
      </c>
      <c r="BK349" s="343">
        <f t="shared" si="439"/>
        <v>-45.076672306306136</v>
      </c>
      <c r="BL349" s="343">
        <f t="shared" si="439"/>
        <v>42.564922873163596</v>
      </c>
      <c r="BM349" s="343">
        <f t="shared" si="439"/>
        <v>244.7250041890893</v>
      </c>
      <c r="BN349" s="343">
        <f t="shared" si="439"/>
        <v>179.44739175056384</v>
      </c>
      <c r="BO349" s="343">
        <f t="shared" ref="BO349" si="440">-(BO346-BN346)*(BO346&gt;=0)</f>
        <v>181.11751378030021</v>
      </c>
      <c r="BP349" s="343">
        <f t="shared" si="439"/>
        <v>274.20880484912959</v>
      </c>
      <c r="BQ349" s="343">
        <f t="shared" si="439"/>
        <v>-45.921700727429197</v>
      </c>
      <c r="BR349" s="343">
        <f t="shared" si="439"/>
        <v>171.70441790425866</v>
      </c>
      <c r="BS349" s="343">
        <f t="shared" si="439"/>
        <v>249.1364795605532</v>
      </c>
      <c r="BT349" s="343">
        <f t="shared" si="439"/>
        <v>274.26613438277491</v>
      </c>
      <c r="BU349" s="343">
        <f t="shared" ref="BU349:DY349" si="441">-(BU346-BT346)*(BU346&gt;=0)</f>
        <v>104.86112891181074</v>
      </c>
      <c r="BV349" s="343">
        <f t="shared" si="441"/>
        <v>304.34557777128975</v>
      </c>
      <c r="BW349" s="343">
        <f t="shared" si="441"/>
        <v>291.51234901004682</v>
      </c>
      <c r="BX349" s="343">
        <f t="shared" si="441"/>
        <v>-5.0701331544623827</v>
      </c>
      <c r="BY349" s="343">
        <f t="shared" si="441"/>
        <v>-25.656735020105771</v>
      </c>
      <c r="BZ349" s="343">
        <f t="shared" ca="1" si="441"/>
        <v>420.11717638297705</v>
      </c>
      <c r="CA349" s="343">
        <f t="shared" ca="1" si="441"/>
        <v>401.2999580951564</v>
      </c>
      <c r="CB349" s="343">
        <f t="shared" ca="1" si="441"/>
        <v>421.82115984515622</v>
      </c>
      <c r="CC349" s="343">
        <f t="shared" ca="1" si="441"/>
        <v>442.34236159515604</v>
      </c>
      <c r="CD349" s="343">
        <f t="shared" ca="1" si="441"/>
        <v>462.86356334515767</v>
      </c>
      <c r="CE349" s="343">
        <f t="shared" ca="1" si="441"/>
        <v>483.38476509515749</v>
      </c>
      <c r="CF349" s="343">
        <f t="shared" ca="1" si="441"/>
        <v>557.35349943642359</v>
      </c>
      <c r="CG349" s="343">
        <f t="shared" ca="1" si="441"/>
        <v>10057.991639623726</v>
      </c>
      <c r="CH349" s="343">
        <f t="shared" ca="1" si="441"/>
        <v>0</v>
      </c>
      <c r="CI349" s="343">
        <f t="shared" ca="1" si="441"/>
        <v>0</v>
      </c>
      <c r="CJ349" s="343">
        <f t="shared" ca="1" si="441"/>
        <v>0</v>
      </c>
      <c r="CK349" s="343">
        <f t="shared" ca="1" si="441"/>
        <v>0</v>
      </c>
      <c r="CL349" s="343">
        <f t="shared" ca="1" si="441"/>
        <v>0</v>
      </c>
      <c r="CM349" s="343">
        <f t="shared" ca="1" si="441"/>
        <v>0</v>
      </c>
      <c r="CN349" s="343">
        <f t="shared" ca="1" si="441"/>
        <v>0</v>
      </c>
      <c r="CO349" s="343">
        <f t="shared" ca="1" si="441"/>
        <v>0</v>
      </c>
      <c r="CP349" s="343">
        <f t="shared" ca="1" si="441"/>
        <v>0</v>
      </c>
      <c r="CQ349" s="343">
        <f t="shared" ca="1" si="441"/>
        <v>0</v>
      </c>
      <c r="CR349" s="343">
        <f t="shared" ca="1" si="441"/>
        <v>0</v>
      </c>
      <c r="CS349" s="343">
        <f t="shared" ca="1" si="441"/>
        <v>0</v>
      </c>
      <c r="CT349" s="343">
        <f t="shared" ca="1" si="441"/>
        <v>0</v>
      </c>
      <c r="CU349" s="343">
        <f t="shared" ca="1" si="441"/>
        <v>0</v>
      </c>
      <c r="CV349" s="343">
        <f t="shared" ca="1" si="441"/>
        <v>0</v>
      </c>
      <c r="CW349" s="343">
        <f t="shared" ca="1" si="441"/>
        <v>0</v>
      </c>
      <c r="CX349" s="343">
        <f t="shared" ca="1" si="441"/>
        <v>0</v>
      </c>
      <c r="CY349" s="343">
        <f t="shared" ca="1" si="441"/>
        <v>0</v>
      </c>
      <c r="CZ349" s="343">
        <f t="shared" ca="1" si="441"/>
        <v>0</v>
      </c>
      <c r="DA349" s="343">
        <f t="shared" ca="1" si="441"/>
        <v>0</v>
      </c>
      <c r="DB349" s="343">
        <f t="shared" ca="1" si="441"/>
        <v>0</v>
      </c>
      <c r="DC349" s="343">
        <f t="shared" ca="1" si="441"/>
        <v>0</v>
      </c>
      <c r="DD349" s="343">
        <f t="shared" ca="1" si="441"/>
        <v>0</v>
      </c>
      <c r="DE349" s="343">
        <f t="shared" ca="1" si="441"/>
        <v>0</v>
      </c>
      <c r="DF349" s="343">
        <f t="shared" ca="1" si="441"/>
        <v>0</v>
      </c>
      <c r="DG349" s="343">
        <f t="shared" ca="1" si="441"/>
        <v>0</v>
      </c>
      <c r="DH349" s="343">
        <f t="shared" ca="1" si="441"/>
        <v>0</v>
      </c>
      <c r="DI349" s="343">
        <f t="shared" ca="1" si="441"/>
        <v>0</v>
      </c>
      <c r="DJ349" s="343">
        <f t="shared" ca="1" si="441"/>
        <v>0</v>
      </c>
      <c r="DK349" s="343">
        <f t="shared" ca="1" si="441"/>
        <v>0</v>
      </c>
      <c r="DL349" s="343">
        <f t="shared" ca="1" si="441"/>
        <v>0</v>
      </c>
      <c r="DM349" s="343">
        <f t="shared" ca="1" si="441"/>
        <v>0</v>
      </c>
      <c r="DN349" s="343">
        <f t="shared" ca="1" si="441"/>
        <v>0</v>
      </c>
      <c r="DO349" s="343">
        <f t="shared" ca="1" si="441"/>
        <v>0</v>
      </c>
      <c r="DP349" s="343">
        <f t="shared" ca="1" si="441"/>
        <v>0</v>
      </c>
      <c r="DQ349" s="343">
        <f t="shared" ca="1" si="441"/>
        <v>0</v>
      </c>
      <c r="DR349" s="343">
        <f t="shared" ca="1" si="441"/>
        <v>0</v>
      </c>
      <c r="DS349" s="343">
        <f t="shared" ca="1" si="441"/>
        <v>0</v>
      </c>
      <c r="DT349" s="343">
        <f t="shared" ca="1" si="441"/>
        <v>0</v>
      </c>
      <c r="DU349" s="343">
        <f t="shared" ca="1" si="441"/>
        <v>0</v>
      </c>
      <c r="DV349" s="343">
        <f t="shared" ca="1" si="441"/>
        <v>0</v>
      </c>
      <c r="DW349" s="343">
        <f t="shared" ca="1" si="441"/>
        <v>0</v>
      </c>
      <c r="DX349" s="343">
        <f t="shared" ca="1" si="441"/>
        <v>0</v>
      </c>
      <c r="DY349" s="343">
        <f t="shared" ca="1" si="441"/>
        <v>0</v>
      </c>
    </row>
    <row r="350" spans="2:129" s="3" customFormat="1" ht="11.7" customHeight="1" outlineLevel="1" thickTop="1" x14ac:dyDescent="0.3">
      <c r="G350" s="127"/>
      <c r="H350" s="127"/>
      <c r="I350" s="111"/>
      <c r="J350" s="111"/>
      <c r="K350" s="111"/>
      <c r="L350" s="111"/>
      <c r="M350" s="111"/>
      <c r="N350" s="111"/>
      <c r="O350" s="111"/>
      <c r="P350" s="111"/>
      <c r="Q350" s="111"/>
      <c r="R350" s="111"/>
      <c r="S350" s="111"/>
      <c r="T350" s="111"/>
      <c r="U350" s="111"/>
      <c r="V350" s="111"/>
      <c r="W350" s="111"/>
      <c r="X350" s="111"/>
      <c r="Y350" s="111"/>
      <c r="Z350" s="111"/>
      <c r="AA350" s="111"/>
      <c r="AB350" s="111"/>
      <c r="AC350" s="111"/>
      <c r="AD350" s="111"/>
      <c r="AE350" s="111"/>
      <c r="AF350" s="111"/>
      <c r="AG350" s="111"/>
      <c r="AH350" s="111"/>
      <c r="AI350" s="111"/>
      <c r="AJ350" s="111"/>
      <c r="AK350" s="111"/>
      <c r="AL350" s="111"/>
      <c r="AM350" s="111"/>
      <c r="AN350" s="111"/>
      <c r="AO350" s="111"/>
      <c r="AP350" s="111"/>
      <c r="AQ350" s="111"/>
      <c r="AR350" s="111"/>
      <c r="AS350" s="111"/>
      <c r="AT350" s="111"/>
      <c r="AU350" s="111"/>
      <c r="AV350" s="111"/>
      <c r="AW350" s="111"/>
      <c r="AX350" s="111"/>
      <c r="AY350" s="111"/>
      <c r="AZ350" s="111"/>
      <c r="BA350" s="111"/>
      <c r="BB350" s="111"/>
      <c r="BC350" s="111"/>
      <c r="BD350" s="111"/>
      <c r="BE350" s="111"/>
      <c r="BF350" s="111"/>
      <c r="BG350" s="111"/>
      <c r="BH350" s="111"/>
      <c r="BI350" s="111"/>
      <c r="BJ350" s="111"/>
      <c r="BK350" s="111"/>
      <c r="BL350" s="111"/>
      <c r="BM350" s="111"/>
      <c r="BN350" s="111"/>
      <c r="BO350" s="111"/>
      <c r="BP350" s="111"/>
      <c r="BQ350" s="111"/>
      <c r="BR350" s="111"/>
      <c r="BS350" s="111"/>
      <c r="BT350" s="111"/>
      <c r="BU350" s="111"/>
      <c r="BV350" s="111"/>
      <c r="BW350" s="111"/>
      <c r="BX350" s="111"/>
      <c r="BY350" s="111"/>
      <c r="BZ350" s="111"/>
      <c r="CA350" s="111"/>
      <c r="CB350" s="111"/>
      <c r="CC350" s="111"/>
      <c r="CD350" s="111"/>
      <c r="CE350" s="111"/>
      <c r="CF350" s="111"/>
      <c r="CG350" s="111"/>
      <c r="CH350" s="111"/>
      <c r="CI350" s="111"/>
      <c r="CJ350" s="111"/>
      <c r="CK350" s="111"/>
      <c r="CL350" s="111"/>
      <c r="CM350" s="111"/>
      <c r="CN350" s="111"/>
      <c r="CO350" s="111"/>
      <c r="CP350" s="111"/>
      <c r="CQ350" s="111"/>
      <c r="CR350" s="111"/>
      <c r="CS350" s="111"/>
      <c r="CT350" s="111"/>
      <c r="CU350" s="111"/>
      <c r="CV350" s="111"/>
      <c r="CW350" s="111"/>
      <c r="CX350" s="111"/>
      <c r="CY350" s="111"/>
      <c r="CZ350" s="111"/>
      <c r="DA350" s="111"/>
      <c r="DB350" s="111"/>
      <c r="DC350" s="111"/>
      <c r="DD350" s="111"/>
      <c r="DE350" s="111"/>
      <c r="DF350" s="111"/>
      <c r="DG350" s="111"/>
      <c r="DH350" s="111"/>
      <c r="DI350" s="111"/>
      <c r="DJ350" s="111"/>
      <c r="DK350" s="111"/>
      <c r="DL350" s="111"/>
      <c r="DM350" s="111"/>
      <c r="DN350" s="111"/>
      <c r="DO350" s="111"/>
      <c r="DP350" s="111"/>
      <c r="DQ350" s="111"/>
      <c r="DR350" s="111"/>
      <c r="DS350" s="111"/>
      <c r="DT350" s="111"/>
      <c r="DU350" s="111"/>
      <c r="DV350" s="111"/>
      <c r="DW350" s="111"/>
      <c r="DX350" s="111"/>
      <c r="DY350" s="111"/>
    </row>
    <row r="351" spans="2:129" s="3" customFormat="1" ht="11.7" customHeight="1" x14ac:dyDescent="0.3">
      <c r="G351" s="127"/>
      <c r="H351" s="127"/>
      <c r="I351" s="111"/>
      <c r="J351" s="111"/>
      <c r="K351" s="111"/>
      <c r="L351" s="111"/>
      <c r="M351" s="111"/>
      <c r="N351" s="111"/>
      <c r="O351" s="111"/>
      <c r="P351" s="111"/>
      <c r="Q351" s="111"/>
      <c r="R351" s="111"/>
      <c r="S351" s="111"/>
      <c r="T351" s="111"/>
      <c r="U351" s="111"/>
      <c r="V351" s="111"/>
      <c r="W351" s="111"/>
      <c r="X351" s="111"/>
      <c r="Y351" s="111"/>
      <c r="Z351" s="111"/>
      <c r="AA351" s="111"/>
      <c r="AB351" s="111"/>
      <c r="AC351" s="111"/>
      <c r="AD351" s="111"/>
      <c r="AE351" s="111"/>
      <c r="AF351" s="111"/>
      <c r="AG351" s="111"/>
      <c r="AH351" s="111"/>
      <c r="AI351" s="111"/>
      <c r="AJ351" s="111"/>
      <c r="AK351" s="111"/>
      <c r="AL351" s="111"/>
      <c r="AM351" s="111"/>
      <c r="AN351" s="111"/>
      <c r="AO351" s="111"/>
      <c r="AP351" s="111"/>
      <c r="AQ351" s="111"/>
      <c r="AR351" s="111"/>
      <c r="AS351" s="111"/>
      <c r="AT351" s="111"/>
      <c r="AU351" s="111"/>
      <c r="AV351" s="111"/>
      <c r="AW351" s="111"/>
      <c r="AX351" s="111"/>
      <c r="AY351" s="111"/>
      <c r="AZ351" s="111"/>
      <c r="BA351" s="111"/>
      <c r="BB351" s="111"/>
      <c r="BC351" s="111"/>
      <c r="BD351" s="111"/>
      <c r="BE351" s="111"/>
      <c r="BF351" s="111"/>
      <c r="BG351" s="111"/>
      <c r="BH351" s="111"/>
      <c r="BI351" s="111"/>
      <c r="BJ351" s="111"/>
      <c r="BK351" s="111"/>
      <c r="BL351" s="111"/>
      <c r="BM351" s="111"/>
      <c r="BN351" s="111"/>
      <c r="BO351" s="111"/>
      <c r="BP351" s="111"/>
      <c r="BQ351" s="111"/>
      <c r="BR351" s="111"/>
      <c r="BS351" s="111"/>
      <c r="BT351" s="111"/>
      <c r="BU351" s="111"/>
      <c r="BV351" s="111"/>
      <c r="BW351" s="111"/>
      <c r="BX351" s="111"/>
      <c r="BY351" s="111"/>
      <c r="BZ351" s="111"/>
      <c r="CA351" s="111"/>
      <c r="CB351" s="111"/>
      <c r="CC351" s="111"/>
      <c r="CD351" s="111"/>
      <c r="CE351" s="111"/>
      <c r="CF351" s="111"/>
      <c r="CG351" s="111"/>
      <c r="CH351" s="111"/>
      <c r="CI351" s="111"/>
      <c r="CJ351" s="111"/>
      <c r="CK351" s="111"/>
      <c r="CL351" s="111"/>
      <c r="CM351" s="111"/>
      <c r="CN351" s="111"/>
      <c r="CO351" s="111"/>
      <c r="CP351" s="111"/>
      <c r="CQ351" s="111"/>
      <c r="CR351" s="111"/>
      <c r="CS351" s="111"/>
      <c r="CT351" s="111"/>
      <c r="CU351" s="111"/>
      <c r="CV351" s="111"/>
      <c r="CW351" s="111"/>
      <c r="CX351" s="111"/>
      <c r="CY351" s="111"/>
      <c r="CZ351" s="111"/>
      <c r="DA351" s="111"/>
      <c r="DB351" s="111"/>
      <c r="DC351" s="111"/>
      <c r="DD351" s="111"/>
      <c r="DE351" s="111"/>
      <c r="DF351" s="111"/>
      <c r="DG351" s="111"/>
      <c r="DH351" s="111"/>
      <c r="DI351" s="111"/>
      <c r="DJ351" s="111"/>
      <c r="DK351" s="111"/>
      <c r="DL351" s="111"/>
      <c r="DM351" s="111"/>
      <c r="DN351" s="111"/>
      <c r="DO351" s="111"/>
      <c r="DP351" s="111"/>
      <c r="DQ351" s="111"/>
      <c r="DR351" s="111"/>
      <c r="DS351" s="111"/>
      <c r="DT351" s="111"/>
      <c r="DU351" s="111"/>
      <c r="DV351" s="111"/>
      <c r="DW351" s="111"/>
      <c r="DX351" s="111"/>
      <c r="DY351" s="111"/>
    </row>
    <row r="352" spans="2:129" s="3" customFormat="1" ht="11.7" customHeight="1" x14ac:dyDescent="0.3">
      <c r="B352" s="313" t="s">
        <v>121</v>
      </c>
      <c r="C352" s="313"/>
      <c r="D352" s="313"/>
      <c r="E352" s="313"/>
      <c r="F352" s="313"/>
      <c r="G352" s="313"/>
      <c r="H352" s="313"/>
      <c r="I352" s="313"/>
      <c r="J352" s="313"/>
      <c r="K352" s="313"/>
      <c r="L352" s="313"/>
      <c r="M352" s="313"/>
      <c r="N352" s="313"/>
      <c r="O352" s="313"/>
      <c r="P352" s="313"/>
      <c r="Q352" s="313"/>
      <c r="R352" s="313"/>
      <c r="S352" s="313"/>
      <c r="T352" s="313"/>
      <c r="U352" s="313"/>
      <c r="V352" s="313"/>
      <c r="W352" s="313"/>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c r="AS352" s="313"/>
      <c r="AT352" s="313"/>
      <c r="AU352" s="313"/>
      <c r="AV352" s="313"/>
      <c r="AW352" s="313"/>
      <c r="AX352" s="313"/>
      <c r="AY352" s="313"/>
      <c r="AZ352" s="313"/>
      <c r="BA352" s="313"/>
      <c r="BB352" s="313"/>
      <c r="BC352" s="313"/>
      <c r="BD352" s="313"/>
      <c r="BE352" s="313"/>
      <c r="BF352" s="313"/>
      <c r="BG352" s="313"/>
      <c r="BH352" s="313"/>
      <c r="BI352" s="313"/>
      <c r="BJ352" s="313"/>
      <c r="BK352" s="313"/>
      <c r="BL352" s="313"/>
      <c r="BM352" s="313"/>
      <c r="BN352" s="313"/>
      <c r="BO352" s="313"/>
      <c r="BP352" s="313"/>
      <c r="BQ352" s="313"/>
      <c r="BR352" s="313"/>
      <c r="BS352" s="313"/>
      <c r="BT352" s="313"/>
      <c r="BU352" s="313"/>
      <c r="BV352" s="313"/>
      <c r="BW352" s="313"/>
      <c r="BX352" s="313"/>
      <c r="BY352" s="313"/>
      <c r="BZ352" s="313"/>
      <c r="CA352" s="313"/>
      <c r="CB352" s="313"/>
      <c r="CC352" s="313"/>
      <c r="CD352" s="313"/>
      <c r="CE352" s="313"/>
      <c r="CF352" s="313"/>
      <c r="CG352" s="313"/>
      <c r="CH352" s="313"/>
      <c r="CI352" s="313"/>
      <c r="CJ352" s="313"/>
      <c r="CK352" s="313"/>
      <c r="CL352" s="313"/>
      <c r="CM352" s="313"/>
      <c r="CN352" s="313"/>
      <c r="CO352" s="313"/>
      <c r="CP352" s="313"/>
      <c r="CQ352" s="313"/>
      <c r="CR352" s="313"/>
      <c r="CS352" s="313"/>
      <c r="CT352" s="313"/>
      <c r="CU352" s="313"/>
      <c r="CV352" s="313"/>
      <c r="CW352" s="313"/>
      <c r="CX352" s="313"/>
      <c r="CY352" s="313"/>
      <c r="CZ352" s="313"/>
      <c r="DA352" s="313"/>
      <c r="DB352" s="313"/>
      <c r="DC352" s="313"/>
      <c r="DD352" s="313"/>
      <c r="DE352" s="313"/>
      <c r="DF352" s="313"/>
      <c r="DG352" s="313"/>
      <c r="DH352" s="313"/>
      <c r="DI352" s="313"/>
      <c r="DJ352" s="313"/>
      <c r="DK352" s="313"/>
      <c r="DL352" s="313"/>
      <c r="DM352" s="313"/>
      <c r="DN352" s="313"/>
      <c r="DO352" s="313"/>
      <c r="DP352" s="313"/>
      <c r="DQ352" s="313"/>
      <c r="DR352" s="313"/>
      <c r="DS352" s="313"/>
      <c r="DT352" s="313"/>
      <c r="DU352" s="313"/>
      <c r="DV352" s="313"/>
      <c r="DW352" s="313"/>
      <c r="DX352" s="313"/>
      <c r="DY352" s="313"/>
    </row>
    <row r="353" spans="1:129" s="3" customFormat="1" ht="11.7" customHeight="1" outlineLevel="1" x14ac:dyDescent="0.3">
      <c r="G353" s="127"/>
      <c r="H353" s="127"/>
      <c r="I353" s="111"/>
      <c r="J353" s="111"/>
      <c r="K353" s="111"/>
      <c r="L353" s="111"/>
      <c r="M353" s="111"/>
      <c r="N353" s="111"/>
      <c r="O353" s="111"/>
      <c r="P353" s="111"/>
      <c r="Q353" s="111"/>
      <c r="R353" s="111"/>
      <c r="S353" s="111"/>
      <c r="T353" s="111"/>
      <c r="U353" s="111"/>
      <c r="V353" s="111"/>
      <c r="W353" s="111"/>
      <c r="X353" s="111"/>
      <c r="Y353" s="111"/>
      <c r="Z353" s="111"/>
      <c r="AA353" s="111"/>
      <c r="AB353" s="111"/>
      <c r="AC353" s="111"/>
      <c r="AD353" s="111"/>
      <c r="AE353" s="111"/>
      <c r="AF353" s="111"/>
      <c r="AG353" s="111"/>
      <c r="AH353" s="111"/>
      <c r="AI353" s="111"/>
      <c r="AJ353" s="111"/>
      <c r="AK353" s="111"/>
      <c r="AL353" s="111"/>
      <c r="AM353" s="111"/>
      <c r="AN353" s="111"/>
      <c r="AO353" s="111"/>
      <c r="AP353" s="111"/>
      <c r="AQ353" s="111"/>
      <c r="AR353" s="111"/>
      <c r="AS353" s="111"/>
      <c r="AT353" s="111"/>
      <c r="AU353" s="111"/>
      <c r="AV353" s="111"/>
      <c r="AW353" s="111"/>
      <c r="AX353" s="111"/>
      <c r="AY353" s="111"/>
      <c r="AZ353" s="111"/>
      <c r="BA353" s="111"/>
      <c r="BB353" s="111"/>
      <c r="BC353" s="111"/>
      <c r="BD353" s="111"/>
      <c r="BE353" s="111"/>
      <c r="BF353" s="111"/>
      <c r="BG353" s="111"/>
      <c r="BH353" s="111"/>
      <c r="BI353" s="111"/>
      <c r="BJ353" s="111"/>
      <c r="BK353" s="111"/>
      <c r="BL353" s="111"/>
      <c r="BM353" s="111"/>
      <c r="BN353" s="111"/>
      <c r="BO353" s="111"/>
      <c r="BP353" s="111"/>
      <c r="BQ353" s="111"/>
      <c r="BR353" s="111"/>
      <c r="BS353" s="111"/>
      <c r="BT353" s="111"/>
      <c r="BU353" s="111"/>
      <c r="BV353" s="111"/>
      <c r="BW353" s="111"/>
      <c r="BX353" s="111"/>
      <c r="BY353" s="111"/>
      <c r="BZ353" s="111"/>
      <c r="CA353" s="111"/>
      <c r="CB353" s="111"/>
      <c r="CC353" s="111"/>
      <c r="CD353" s="111"/>
      <c r="CE353" s="111"/>
      <c r="CF353" s="111"/>
      <c r="CG353" s="111"/>
      <c r="CH353" s="111"/>
      <c r="CI353" s="111"/>
      <c r="CJ353" s="111"/>
      <c r="CK353" s="111"/>
      <c r="CL353" s="111"/>
      <c r="CM353" s="111"/>
      <c r="CN353" s="111"/>
      <c r="CO353" s="111"/>
      <c r="CP353" s="111"/>
      <c r="CQ353" s="111"/>
      <c r="CR353" s="111"/>
      <c r="CS353" s="111"/>
      <c r="CT353" s="111"/>
      <c r="CU353" s="111"/>
      <c r="CV353" s="111"/>
      <c r="CW353" s="111"/>
      <c r="CX353" s="111"/>
      <c r="CY353" s="111"/>
      <c r="CZ353" s="111"/>
      <c r="DA353" s="111"/>
      <c r="DB353" s="111"/>
      <c r="DC353" s="111"/>
      <c r="DD353" s="111"/>
      <c r="DE353" s="111"/>
      <c r="DF353" s="111"/>
      <c r="DG353" s="111"/>
      <c r="DH353" s="111"/>
      <c r="DI353" s="111"/>
      <c r="DJ353" s="111"/>
      <c r="DK353" s="111"/>
      <c r="DL353" s="111"/>
      <c r="DM353" s="111"/>
      <c r="DN353" s="111"/>
      <c r="DO353" s="111"/>
      <c r="DP353" s="111"/>
      <c r="DQ353" s="111"/>
      <c r="DR353" s="111"/>
      <c r="DS353" s="111"/>
      <c r="DT353" s="111"/>
      <c r="DU353" s="111"/>
      <c r="DV353" s="111"/>
      <c r="DW353" s="111"/>
      <c r="DX353" s="111"/>
      <c r="DY353" s="111"/>
    </row>
    <row r="354" spans="1:129" s="3" customFormat="1" ht="11.7" customHeight="1" outlineLevel="1" x14ac:dyDescent="0.3">
      <c r="B354" s="177" t="s">
        <v>44</v>
      </c>
      <c r="C354" s="177"/>
      <c r="G354" s="127"/>
      <c r="H354" s="127"/>
      <c r="I354" s="111"/>
      <c r="J354" s="111"/>
      <c r="K354" s="111"/>
      <c r="L354" s="111"/>
      <c r="M354" s="111"/>
      <c r="N354" s="111"/>
      <c r="O354" s="111"/>
      <c r="P354" s="111"/>
      <c r="Q354" s="111"/>
      <c r="R354" s="111"/>
      <c r="S354" s="111"/>
      <c r="T354" s="111"/>
      <c r="U354" s="111"/>
      <c r="V354" s="111"/>
      <c r="W354" s="111"/>
      <c r="X354" s="111"/>
      <c r="Y354" s="111"/>
      <c r="Z354" s="111"/>
      <c r="AA354" s="111"/>
      <c r="AB354" s="111"/>
      <c r="AC354" s="111"/>
      <c r="AD354" s="111"/>
      <c r="AE354" s="111"/>
      <c r="AF354" s="111"/>
      <c r="AG354" s="111"/>
      <c r="AH354" s="111"/>
      <c r="AI354" s="111"/>
      <c r="AJ354" s="111"/>
      <c r="AK354" s="111"/>
      <c r="AL354" s="111"/>
      <c r="AM354" s="111"/>
      <c r="AN354" s="111"/>
      <c r="AO354" s="111"/>
      <c r="AP354" s="111"/>
      <c r="AQ354" s="111"/>
      <c r="AR354" s="111"/>
      <c r="AS354" s="111"/>
      <c r="AT354" s="111"/>
      <c r="AU354" s="111"/>
      <c r="AV354" s="111"/>
      <c r="AW354" s="111"/>
      <c r="AX354" s="111"/>
      <c r="AY354" s="111"/>
      <c r="AZ354" s="111"/>
      <c r="BA354" s="111"/>
      <c r="BB354" s="111"/>
      <c r="BC354" s="111"/>
      <c r="BD354" s="111"/>
      <c r="BE354" s="111"/>
      <c r="BF354" s="111"/>
      <c r="BG354" s="111"/>
      <c r="BH354" s="111"/>
      <c r="BI354" s="111"/>
      <c r="BJ354" s="111"/>
      <c r="BK354" s="111"/>
      <c r="BL354" s="111"/>
      <c r="BM354" s="111"/>
      <c r="BN354" s="111"/>
      <c r="BO354" s="111"/>
      <c r="BP354" s="111"/>
      <c r="BQ354" s="111"/>
      <c r="BR354" s="111"/>
      <c r="BS354" s="111"/>
      <c r="BT354" s="111"/>
      <c r="BU354" s="111"/>
      <c r="BV354" s="111"/>
      <c r="BW354" s="111"/>
      <c r="BX354" s="111"/>
      <c r="BY354" s="111"/>
      <c r="BZ354" s="111"/>
      <c r="CA354" s="111"/>
      <c r="CB354" s="111"/>
      <c r="CC354" s="111"/>
      <c r="CD354" s="111"/>
      <c r="CE354" s="151"/>
      <c r="CF354" s="111"/>
      <c r="CG354" s="111"/>
      <c r="CH354" s="111"/>
      <c r="CI354" s="111"/>
      <c r="CJ354" s="111"/>
      <c r="CK354" s="111"/>
      <c r="CL354" s="111"/>
      <c r="CM354" s="111"/>
      <c r="CN354" s="111"/>
      <c r="CO354" s="111"/>
      <c r="CP354" s="111"/>
      <c r="CQ354" s="111"/>
      <c r="CR354" s="111"/>
      <c r="CS354" s="111"/>
      <c r="CT354" s="111"/>
      <c r="CU354" s="111"/>
      <c r="CV354" s="111"/>
      <c r="CW354" s="111"/>
      <c r="CX354" s="111"/>
      <c r="CY354" s="111"/>
      <c r="CZ354" s="111"/>
      <c r="DA354" s="111"/>
      <c r="DB354" s="111"/>
      <c r="DC354" s="111"/>
      <c r="DD354" s="111"/>
      <c r="DE354" s="111"/>
      <c r="DF354" s="111"/>
      <c r="DG354" s="111"/>
      <c r="DH354" s="111"/>
      <c r="DI354" s="111"/>
      <c r="DJ354" s="111"/>
      <c r="DK354" s="111"/>
      <c r="DL354" s="111"/>
      <c r="DM354" s="111"/>
      <c r="DN354" s="111"/>
      <c r="DO354" s="111"/>
      <c r="DP354" s="111"/>
      <c r="DQ354" s="111"/>
      <c r="DR354" s="111"/>
      <c r="DS354" s="111"/>
      <c r="DT354" s="111"/>
      <c r="DU354" s="111"/>
      <c r="DV354" s="111"/>
      <c r="DW354" s="111"/>
      <c r="DX354" s="111"/>
      <c r="DY354" s="111"/>
    </row>
    <row r="355" spans="1:129" s="3" customFormat="1" ht="11.7" customHeight="1" outlineLevel="1" x14ac:dyDescent="0.3">
      <c r="B355" s="149" t="s">
        <v>403</v>
      </c>
      <c r="C355" s="149"/>
      <c r="D355" s="346">
        <f>Inputs!$L$100</f>
        <v>0.05</v>
      </c>
      <c r="E355" s="292">
        <f>+Inputs!$K$81</f>
        <v>45291</v>
      </c>
      <c r="G355" s="127"/>
      <c r="H355" s="308">
        <f ca="1">+SUM(I355:DY355)</f>
        <v>635016.88859481271</v>
      </c>
      <c r="I355" s="151">
        <f t="shared" ref="I355:AN355" si="442">+I248/$D$355*(I$7=$E$355)</f>
        <v>0</v>
      </c>
      <c r="J355" s="151">
        <f t="shared" si="442"/>
        <v>0</v>
      </c>
      <c r="K355" s="151">
        <f t="shared" si="442"/>
        <v>0</v>
      </c>
      <c r="L355" s="151">
        <f t="shared" si="442"/>
        <v>0</v>
      </c>
      <c r="M355" s="151">
        <f t="shared" si="442"/>
        <v>0</v>
      </c>
      <c r="N355" s="151">
        <f t="shared" si="442"/>
        <v>0</v>
      </c>
      <c r="O355" s="151">
        <f t="shared" si="442"/>
        <v>0</v>
      </c>
      <c r="P355" s="151">
        <f t="shared" si="442"/>
        <v>0</v>
      </c>
      <c r="Q355" s="151">
        <f t="shared" si="442"/>
        <v>0</v>
      </c>
      <c r="R355" s="151">
        <f t="shared" si="442"/>
        <v>0</v>
      </c>
      <c r="S355" s="151">
        <f t="shared" si="442"/>
        <v>0</v>
      </c>
      <c r="T355" s="151">
        <f t="shared" si="442"/>
        <v>0</v>
      </c>
      <c r="U355" s="151">
        <f t="shared" si="442"/>
        <v>0</v>
      </c>
      <c r="V355" s="151">
        <f t="shared" si="442"/>
        <v>0</v>
      </c>
      <c r="W355" s="151">
        <f t="shared" si="442"/>
        <v>0</v>
      </c>
      <c r="X355" s="151">
        <f t="shared" si="442"/>
        <v>0</v>
      </c>
      <c r="Y355" s="151">
        <f t="shared" si="442"/>
        <v>0</v>
      </c>
      <c r="Z355" s="151">
        <f t="shared" si="442"/>
        <v>0</v>
      </c>
      <c r="AA355" s="151">
        <f t="shared" si="442"/>
        <v>0</v>
      </c>
      <c r="AB355" s="151">
        <f t="shared" si="442"/>
        <v>0</v>
      </c>
      <c r="AC355" s="151">
        <f t="shared" si="442"/>
        <v>0</v>
      </c>
      <c r="AD355" s="151">
        <f t="shared" si="442"/>
        <v>0</v>
      </c>
      <c r="AE355" s="151">
        <f t="shared" si="442"/>
        <v>0</v>
      </c>
      <c r="AF355" s="151">
        <f t="shared" si="442"/>
        <v>0</v>
      </c>
      <c r="AG355" s="151">
        <f t="shared" si="442"/>
        <v>0</v>
      </c>
      <c r="AH355" s="151">
        <f t="shared" si="442"/>
        <v>0</v>
      </c>
      <c r="AI355" s="151">
        <f t="shared" si="442"/>
        <v>0</v>
      </c>
      <c r="AJ355" s="151">
        <f t="shared" si="442"/>
        <v>0</v>
      </c>
      <c r="AK355" s="151">
        <f t="shared" si="442"/>
        <v>0</v>
      </c>
      <c r="AL355" s="151">
        <f t="shared" si="442"/>
        <v>0</v>
      </c>
      <c r="AM355" s="151">
        <f t="shared" si="442"/>
        <v>0</v>
      </c>
      <c r="AN355" s="151">
        <f t="shared" si="442"/>
        <v>0</v>
      </c>
      <c r="AO355" s="151">
        <f t="shared" ref="AO355:BT355" si="443">+AO248/$D$355*(AO$7=$E$355)</f>
        <v>0</v>
      </c>
      <c r="AP355" s="151">
        <f t="shared" si="443"/>
        <v>0</v>
      </c>
      <c r="AQ355" s="151">
        <f t="shared" si="443"/>
        <v>0</v>
      </c>
      <c r="AR355" s="151">
        <f t="shared" si="443"/>
        <v>0</v>
      </c>
      <c r="AS355" s="151">
        <f t="shared" si="443"/>
        <v>0</v>
      </c>
      <c r="AT355" s="151">
        <f t="shared" si="443"/>
        <v>0</v>
      </c>
      <c r="AU355" s="151">
        <f t="shared" si="443"/>
        <v>0</v>
      </c>
      <c r="AV355" s="151">
        <f t="shared" si="443"/>
        <v>0</v>
      </c>
      <c r="AW355" s="151">
        <f t="shared" si="443"/>
        <v>0</v>
      </c>
      <c r="AX355" s="151">
        <f t="shared" si="443"/>
        <v>0</v>
      </c>
      <c r="AY355" s="151">
        <f t="shared" si="443"/>
        <v>0</v>
      </c>
      <c r="AZ355" s="151">
        <f t="shared" si="443"/>
        <v>0</v>
      </c>
      <c r="BA355" s="151">
        <f t="shared" si="443"/>
        <v>0</v>
      </c>
      <c r="BB355" s="151">
        <f t="shared" si="443"/>
        <v>0</v>
      </c>
      <c r="BC355" s="151">
        <f t="shared" si="443"/>
        <v>0</v>
      </c>
      <c r="BD355" s="151">
        <f t="shared" si="443"/>
        <v>0</v>
      </c>
      <c r="BE355" s="151">
        <f t="shared" si="443"/>
        <v>0</v>
      </c>
      <c r="BF355" s="151">
        <f t="shared" si="443"/>
        <v>0</v>
      </c>
      <c r="BG355" s="151">
        <f t="shared" si="443"/>
        <v>0</v>
      </c>
      <c r="BH355" s="151">
        <f t="shared" si="443"/>
        <v>0</v>
      </c>
      <c r="BI355" s="151">
        <f t="shared" si="443"/>
        <v>0</v>
      </c>
      <c r="BJ355" s="151">
        <f t="shared" si="443"/>
        <v>0</v>
      </c>
      <c r="BK355" s="151">
        <f t="shared" si="443"/>
        <v>0</v>
      </c>
      <c r="BL355" s="151">
        <f t="shared" si="443"/>
        <v>0</v>
      </c>
      <c r="BM355" s="151">
        <f t="shared" si="443"/>
        <v>0</v>
      </c>
      <c r="BN355" s="151">
        <f t="shared" ca="1" si="443"/>
        <v>0</v>
      </c>
      <c r="BO355" s="151">
        <f t="shared" ca="1" si="443"/>
        <v>0</v>
      </c>
      <c r="BP355" s="151">
        <f t="shared" ca="1" si="443"/>
        <v>0</v>
      </c>
      <c r="BQ355" s="151">
        <f t="shared" ca="1" si="443"/>
        <v>0</v>
      </c>
      <c r="BR355" s="151">
        <f t="shared" ca="1" si="443"/>
        <v>0</v>
      </c>
      <c r="BS355" s="151">
        <f t="shared" ca="1" si="443"/>
        <v>0</v>
      </c>
      <c r="BT355" s="151">
        <f t="shared" ca="1" si="443"/>
        <v>0</v>
      </c>
      <c r="BU355" s="151">
        <f t="shared" ref="BU355:CZ355" ca="1" si="444">+BU248/$D$355*(BU$7=$E$355)</f>
        <v>0</v>
      </c>
      <c r="BV355" s="151">
        <f t="shared" ca="1" si="444"/>
        <v>0</v>
      </c>
      <c r="BW355" s="151">
        <f t="shared" ca="1" si="444"/>
        <v>0</v>
      </c>
      <c r="BX355" s="151">
        <f t="shared" ca="1" si="444"/>
        <v>0</v>
      </c>
      <c r="BY355" s="151">
        <f t="shared" ca="1" si="444"/>
        <v>0</v>
      </c>
      <c r="BZ355" s="151">
        <f t="shared" ca="1" si="444"/>
        <v>0</v>
      </c>
      <c r="CA355" s="151">
        <f t="shared" ca="1" si="444"/>
        <v>0</v>
      </c>
      <c r="CB355" s="151">
        <f t="shared" ca="1" si="444"/>
        <v>0</v>
      </c>
      <c r="CC355" s="151">
        <f t="shared" ca="1" si="444"/>
        <v>0</v>
      </c>
      <c r="CD355" s="151">
        <f t="shared" ca="1" si="444"/>
        <v>0</v>
      </c>
      <c r="CE355" s="151">
        <f t="shared" ca="1" si="444"/>
        <v>0</v>
      </c>
      <c r="CF355" s="151">
        <f t="shared" ca="1" si="444"/>
        <v>635016.88859481271</v>
      </c>
      <c r="CG355" s="151">
        <f t="shared" ca="1" si="444"/>
        <v>0</v>
      </c>
      <c r="CH355" s="151">
        <f t="shared" ca="1" si="444"/>
        <v>0</v>
      </c>
      <c r="CI355" s="151">
        <f t="shared" ca="1" si="444"/>
        <v>0</v>
      </c>
      <c r="CJ355" s="151">
        <f t="shared" ca="1" si="444"/>
        <v>0</v>
      </c>
      <c r="CK355" s="151">
        <f t="shared" ca="1" si="444"/>
        <v>0</v>
      </c>
      <c r="CL355" s="151">
        <f t="shared" ca="1" si="444"/>
        <v>0</v>
      </c>
      <c r="CM355" s="151">
        <f t="shared" ca="1" si="444"/>
        <v>0</v>
      </c>
      <c r="CN355" s="151">
        <f t="shared" ca="1" si="444"/>
        <v>0</v>
      </c>
      <c r="CO355" s="151">
        <f t="shared" ca="1" si="444"/>
        <v>0</v>
      </c>
      <c r="CP355" s="151">
        <f t="shared" ca="1" si="444"/>
        <v>0</v>
      </c>
      <c r="CQ355" s="151">
        <f t="shared" ca="1" si="444"/>
        <v>0</v>
      </c>
      <c r="CR355" s="151">
        <f t="shared" ca="1" si="444"/>
        <v>0</v>
      </c>
      <c r="CS355" s="151">
        <f t="shared" ca="1" si="444"/>
        <v>0</v>
      </c>
      <c r="CT355" s="151">
        <f t="shared" ca="1" si="444"/>
        <v>0</v>
      </c>
      <c r="CU355" s="151">
        <f t="shared" ca="1" si="444"/>
        <v>0</v>
      </c>
      <c r="CV355" s="151">
        <f t="shared" ca="1" si="444"/>
        <v>0</v>
      </c>
      <c r="CW355" s="151">
        <f t="shared" ca="1" si="444"/>
        <v>0</v>
      </c>
      <c r="CX355" s="151">
        <f t="shared" ca="1" si="444"/>
        <v>0</v>
      </c>
      <c r="CY355" s="151">
        <f t="shared" ca="1" si="444"/>
        <v>0</v>
      </c>
      <c r="CZ355" s="151">
        <f t="shared" ca="1" si="444"/>
        <v>0</v>
      </c>
      <c r="DA355" s="151">
        <f t="shared" ref="DA355:DY355" ca="1" si="445">+DA248/$D$355*(DA$7=$E$355)</f>
        <v>0</v>
      </c>
      <c r="DB355" s="151">
        <f t="shared" ca="1" si="445"/>
        <v>0</v>
      </c>
      <c r="DC355" s="151">
        <f t="shared" ca="1" si="445"/>
        <v>0</v>
      </c>
      <c r="DD355" s="151">
        <f t="shared" ca="1" si="445"/>
        <v>0</v>
      </c>
      <c r="DE355" s="151">
        <f t="shared" ca="1" si="445"/>
        <v>0</v>
      </c>
      <c r="DF355" s="151">
        <f t="shared" ca="1" si="445"/>
        <v>0</v>
      </c>
      <c r="DG355" s="151">
        <f t="shared" ca="1" si="445"/>
        <v>0</v>
      </c>
      <c r="DH355" s="151">
        <f t="shared" ca="1" si="445"/>
        <v>0</v>
      </c>
      <c r="DI355" s="151">
        <f t="shared" ca="1" si="445"/>
        <v>0</v>
      </c>
      <c r="DJ355" s="151">
        <f t="shared" ca="1" si="445"/>
        <v>0</v>
      </c>
      <c r="DK355" s="151">
        <f t="shared" ca="1" si="445"/>
        <v>0</v>
      </c>
      <c r="DL355" s="151">
        <f t="shared" ca="1" si="445"/>
        <v>0</v>
      </c>
      <c r="DM355" s="151">
        <f t="shared" ca="1" si="445"/>
        <v>0</v>
      </c>
      <c r="DN355" s="151">
        <f t="shared" ca="1" si="445"/>
        <v>0</v>
      </c>
      <c r="DO355" s="151">
        <f t="shared" ca="1" si="445"/>
        <v>0</v>
      </c>
      <c r="DP355" s="151">
        <f t="shared" ca="1" si="445"/>
        <v>0</v>
      </c>
      <c r="DQ355" s="151">
        <f t="shared" ca="1" si="445"/>
        <v>0</v>
      </c>
      <c r="DR355" s="151">
        <f t="shared" ca="1" si="445"/>
        <v>0</v>
      </c>
      <c r="DS355" s="151">
        <f t="shared" ca="1" si="445"/>
        <v>0</v>
      </c>
      <c r="DT355" s="151">
        <f t="shared" ca="1" si="445"/>
        <v>0</v>
      </c>
      <c r="DU355" s="151">
        <f t="shared" ca="1" si="445"/>
        <v>0</v>
      </c>
      <c r="DV355" s="151">
        <f t="shared" ca="1" si="445"/>
        <v>0</v>
      </c>
      <c r="DW355" s="151">
        <f t="shared" ca="1" si="445"/>
        <v>0</v>
      </c>
      <c r="DX355" s="151">
        <f t="shared" ca="1" si="445"/>
        <v>0</v>
      </c>
      <c r="DY355" s="151">
        <f t="shared" ca="1" si="445"/>
        <v>0</v>
      </c>
    </row>
    <row r="356" spans="1:129" s="3" customFormat="1" ht="11.7" customHeight="1" outlineLevel="1" thickBot="1" x14ac:dyDescent="0.35">
      <c r="B356" s="178" t="s">
        <v>404</v>
      </c>
      <c r="C356" s="178"/>
      <c r="D356" s="347">
        <f>+Inputs!$L$102</f>
        <v>0</v>
      </c>
      <c r="E356" s="80"/>
      <c r="F356" s="80"/>
      <c r="G356" s="154"/>
      <c r="H356" s="349">
        <f ca="1">+SUM(I356:DY356)</f>
        <v>0</v>
      </c>
      <c r="I356" s="348">
        <f>-I355*$D$356</f>
        <v>0</v>
      </c>
      <c r="J356" s="348">
        <f t="shared" ref="J356:AN356" si="446">-J355*$D$356</f>
        <v>0</v>
      </c>
      <c r="K356" s="348">
        <f t="shared" si="446"/>
        <v>0</v>
      </c>
      <c r="L356" s="348">
        <f t="shared" si="446"/>
        <v>0</v>
      </c>
      <c r="M356" s="348">
        <f t="shared" si="446"/>
        <v>0</v>
      </c>
      <c r="N356" s="348">
        <f t="shared" si="446"/>
        <v>0</v>
      </c>
      <c r="O356" s="348">
        <f t="shared" si="446"/>
        <v>0</v>
      </c>
      <c r="P356" s="348">
        <f t="shared" si="446"/>
        <v>0</v>
      </c>
      <c r="Q356" s="348">
        <f t="shared" si="446"/>
        <v>0</v>
      </c>
      <c r="R356" s="348">
        <f t="shared" si="446"/>
        <v>0</v>
      </c>
      <c r="S356" s="348">
        <f t="shared" si="446"/>
        <v>0</v>
      </c>
      <c r="T356" s="348">
        <f t="shared" si="446"/>
        <v>0</v>
      </c>
      <c r="U356" s="348">
        <f t="shared" si="446"/>
        <v>0</v>
      </c>
      <c r="V356" s="348">
        <f t="shared" si="446"/>
        <v>0</v>
      </c>
      <c r="W356" s="348">
        <f t="shared" si="446"/>
        <v>0</v>
      </c>
      <c r="X356" s="348">
        <f t="shared" si="446"/>
        <v>0</v>
      </c>
      <c r="Y356" s="348">
        <f t="shared" si="446"/>
        <v>0</v>
      </c>
      <c r="Z356" s="348">
        <f t="shared" si="446"/>
        <v>0</v>
      </c>
      <c r="AA356" s="348">
        <f t="shared" si="446"/>
        <v>0</v>
      </c>
      <c r="AB356" s="348">
        <f t="shared" si="446"/>
        <v>0</v>
      </c>
      <c r="AC356" s="348">
        <f t="shared" si="446"/>
        <v>0</v>
      </c>
      <c r="AD356" s="348">
        <f t="shared" si="446"/>
        <v>0</v>
      </c>
      <c r="AE356" s="348">
        <f t="shared" si="446"/>
        <v>0</v>
      </c>
      <c r="AF356" s="348">
        <f t="shared" si="446"/>
        <v>0</v>
      </c>
      <c r="AG356" s="348">
        <f t="shared" si="446"/>
        <v>0</v>
      </c>
      <c r="AH356" s="348">
        <f t="shared" si="446"/>
        <v>0</v>
      </c>
      <c r="AI356" s="348">
        <f t="shared" si="446"/>
        <v>0</v>
      </c>
      <c r="AJ356" s="348">
        <f t="shared" si="446"/>
        <v>0</v>
      </c>
      <c r="AK356" s="348">
        <f t="shared" si="446"/>
        <v>0</v>
      </c>
      <c r="AL356" s="348">
        <f t="shared" si="446"/>
        <v>0</v>
      </c>
      <c r="AM356" s="348">
        <f t="shared" si="446"/>
        <v>0</v>
      </c>
      <c r="AN356" s="348">
        <f t="shared" si="446"/>
        <v>0</v>
      </c>
      <c r="AO356" s="348">
        <f t="shared" ref="AO356:BT356" si="447">-AO355*$D$356</f>
        <v>0</v>
      </c>
      <c r="AP356" s="348">
        <f t="shared" si="447"/>
        <v>0</v>
      </c>
      <c r="AQ356" s="348">
        <f t="shared" si="447"/>
        <v>0</v>
      </c>
      <c r="AR356" s="348">
        <f t="shared" si="447"/>
        <v>0</v>
      </c>
      <c r="AS356" s="348">
        <f t="shared" si="447"/>
        <v>0</v>
      </c>
      <c r="AT356" s="348">
        <f t="shared" si="447"/>
        <v>0</v>
      </c>
      <c r="AU356" s="348">
        <f t="shared" si="447"/>
        <v>0</v>
      </c>
      <c r="AV356" s="348">
        <f t="shared" si="447"/>
        <v>0</v>
      </c>
      <c r="AW356" s="348">
        <f t="shared" si="447"/>
        <v>0</v>
      </c>
      <c r="AX356" s="348">
        <f t="shared" si="447"/>
        <v>0</v>
      </c>
      <c r="AY356" s="348">
        <f t="shared" si="447"/>
        <v>0</v>
      </c>
      <c r="AZ356" s="348">
        <f t="shared" si="447"/>
        <v>0</v>
      </c>
      <c r="BA356" s="348">
        <f t="shared" si="447"/>
        <v>0</v>
      </c>
      <c r="BB356" s="348">
        <f t="shared" si="447"/>
        <v>0</v>
      </c>
      <c r="BC356" s="348">
        <f t="shared" si="447"/>
        <v>0</v>
      </c>
      <c r="BD356" s="348">
        <f t="shared" si="447"/>
        <v>0</v>
      </c>
      <c r="BE356" s="348">
        <f t="shared" si="447"/>
        <v>0</v>
      </c>
      <c r="BF356" s="348">
        <f t="shared" si="447"/>
        <v>0</v>
      </c>
      <c r="BG356" s="348">
        <f t="shared" si="447"/>
        <v>0</v>
      </c>
      <c r="BH356" s="348">
        <f t="shared" si="447"/>
        <v>0</v>
      </c>
      <c r="BI356" s="348">
        <f t="shared" si="447"/>
        <v>0</v>
      </c>
      <c r="BJ356" s="348">
        <f t="shared" si="447"/>
        <v>0</v>
      </c>
      <c r="BK356" s="348">
        <f t="shared" si="447"/>
        <v>0</v>
      </c>
      <c r="BL356" s="348">
        <f t="shared" si="447"/>
        <v>0</v>
      </c>
      <c r="BM356" s="348">
        <f t="shared" si="447"/>
        <v>0</v>
      </c>
      <c r="BN356" s="348">
        <f t="shared" ca="1" si="447"/>
        <v>0</v>
      </c>
      <c r="BO356" s="348">
        <f t="shared" ca="1" si="447"/>
        <v>0</v>
      </c>
      <c r="BP356" s="348">
        <f t="shared" ca="1" si="447"/>
        <v>0</v>
      </c>
      <c r="BQ356" s="348">
        <f t="shared" ca="1" si="447"/>
        <v>0</v>
      </c>
      <c r="BR356" s="348">
        <f t="shared" ca="1" si="447"/>
        <v>0</v>
      </c>
      <c r="BS356" s="348">
        <f t="shared" ca="1" si="447"/>
        <v>0</v>
      </c>
      <c r="BT356" s="348">
        <f t="shared" ca="1" si="447"/>
        <v>0</v>
      </c>
      <c r="BU356" s="348">
        <f ca="1">-BU355*$D$356</f>
        <v>0</v>
      </c>
      <c r="BV356" s="348">
        <f t="shared" ref="BV356:DW356" ca="1" si="448">-BV355*$D$356</f>
        <v>0</v>
      </c>
      <c r="BW356" s="348">
        <f t="shared" ca="1" si="448"/>
        <v>0</v>
      </c>
      <c r="BX356" s="348">
        <f t="shared" ca="1" si="448"/>
        <v>0</v>
      </c>
      <c r="BY356" s="348">
        <f t="shared" ca="1" si="448"/>
        <v>0</v>
      </c>
      <c r="BZ356" s="348">
        <f t="shared" ca="1" si="448"/>
        <v>0</v>
      </c>
      <c r="CA356" s="348">
        <f t="shared" ca="1" si="448"/>
        <v>0</v>
      </c>
      <c r="CB356" s="348">
        <f ca="1">-CB355*$D$356</f>
        <v>0</v>
      </c>
      <c r="CC356" s="348">
        <f t="shared" ca="1" si="448"/>
        <v>0</v>
      </c>
      <c r="CD356" s="348">
        <f t="shared" ca="1" si="448"/>
        <v>0</v>
      </c>
      <c r="CE356" s="348">
        <f ca="1">-CE355*$D$356</f>
        <v>0</v>
      </c>
      <c r="CF356" s="348">
        <f ca="1">-CF355*$D$356</f>
        <v>0</v>
      </c>
      <c r="CG356" s="348">
        <f t="shared" ca="1" si="448"/>
        <v>0</v>
      </c>
      <c r="CH356" s="348">
        <f t="shared" ca="1" si="448"/>
        <v>0</v>
      </c>
      <c r="CI356" s="348">
        <f t="shared" ca="1" si="448"/>
        <v>0</v>
      </c>
      <c r="CJ356" s="348">
        <f t="shared" ca="1" si="448"/>
        <v>0</v>
      </c>
      <c r="CK356" s="348">
        <f t="shared" ca="1" si="448"/>
        <v>0</v>
      </c>
      <c r="CL356" s="348">
        <f t="shared" ca="1" si="448"/>
        <v>0</v>
      </c>
      <c r="CM356" s="348">
        <f t="shared" ca="1" si="448"/>
        <v>0</v>
      </c>
      <c r="CN356" s="348">
        <f t="shared" ca="1" si="448"/>
        <v>0</v>
      </c>
      <c r="CO356" s="348">
        <f t="shared" ca="1" si="448"/>
        <v>0</v>
      </c>
      <c r="CP356" s="348">
        <f t="shared" ca="1" si="448"/>
        <v>0</v>
      </c>
      <c r="CQ356" s="348">
        <f t="shared" ca="1" si="448"/>
        <v>0</v>
      </c>
      <c r="CR356" s="348">
        <f t="shared" ca="1" si="448"/>
        <v>0</v>
      </c>
      <c r="CS356" s="348">
        <f t="shared" ca="1" si="448"/>
        <v>0</v>
      </c>
      <c r="CT356" s="348">
        <f t="shared" ca="1" si="448"/>
        <v>0</v>
      </c>
      <c r="CU356" s="348">
        <f t="shared" ca="1" si="448"/>
        <v>0</v>
      </c>
      <c r="CV356" s="348">
        <f t="shared" ca="1" si="448"/>
        <v>0</v>
      </c>
      <c r="CW356" s="348">
        <f t="shared" ca="1" si="448"/>
        <v>0</v>
      </c>
      <c r="CX356" s="348">
        <f t="shared" ca="1" si="448"/>
        <v>0</v>
      </c>
      <c r="CY356" s="348">
        <f t="shared" ca="1" si="448"/>
        <v>0</v>
      </c>
      <c r="CZ356" s="348">
        <f t="shared" ca="1" si="448"/>
        <v>0</v>
      </c>
      <c r="DA356" s="348">
        <f t="shared" ca="1" si="448"/>
        <v>0</v>
      </c>
      <c r="DB356" s="348">
        <f t="shared" ca="1" si="448"/>
        <v>0</v>
      </c>
      <c r="DC356" s="348">
        <f t="shared" ca="1" si="448"/>
        <v>0</v>
      </c>
      <c r="DD356" s="348">
        <f t="shared" ca="1" si="448"/>
        <v>0</v>
      </c>
      <c r="DE356" s="348">
        <f t="shared" ca="1" si="448"/>
        <v>0</v>
      </c>
      <c r="DF356" s="348">
        <f t="shared" ca="1" si="448"/>
        <v>0</v>
      </c>
      <c r="DG356" s="348">
        <f t="shared" ca="1" si="448"/>
        <v>0</v>
      </c>
      <c r="DH356" s="348">
        <f t="shared" ca="1" si="448"/>
        <v>0</v>
      </c>
      <c r="DI356" s="348">
        <f t="shared" ca="1" si="448"/>
        <v>0</v>
      </c>
      <c r="DJ356" s="348">
        <f t="shared" ca="1" si="448"/>
        <v>0</v>
      </c>
      <c r="DK356" s="348">
        <f t="shared" ca="1" si="448"/>
        <v>0</v>
      </c>
      <c r="DL356" s="348">
        <f t="shared" ca="1" si="448"/>
        <v>0</v>
      </c>
      <c r="DM356" s="348">
        <f t="shared" ca="1" si="448"/>
        <v>0</v>
      </c>
      <c r="DN356" s="348">
        <f t="shared" ca="1" si="448"/>
        <v>0</v>
      </c>
      <c r="DO356" s="348">
        <f t="shared" ca="1" si="448"/>
        <v>0</v>
      </c>
      <c r="DP356" s="348">
        <f t="shared" ca="1" si="448"/>
        <v>0</v>
      </c>
      <c r="DQ356" s="348">
        <f t="shared" ca="1" si="448"/>
        <v>0</v>
      </c>
      <c r="DR356" s="348">
        <f t="shared" ca="1" si="448"/>
        <v>0</v>
      </c>
      <c r="DS356" s="348">
        <f t="shared" ca="1" si="448"/>
        <v>0</v>
      </c>
      <c r="DT356" s="348">
        <f t="shared" ca="1" si="448"/>
        <v>0</v>
      </c>
      <c r="DU356" s="348">
        <f t="shared" ca="1" si="448"/>
        <v>0</v>
      </c>
      <c r="DV356" s="348">
        <f t="shared" ca="1" si="448"/>
        <v>0</v>
      </c>
      <c r="DW356" s="348">
        <f t="shared" ca="1" si="448"/>
        <v>0</v>
      </c>
      <c r="DX356" s="348">
        <f t="shared" ref="DX356" ca="1" si="449">-DX355*$D$356</f>
        <v>0</v>
      </c>
      <c r="DY356" s="348">
        <f ca="1">-DY355*$D$356</f>
        <v>0</v>
      </c>
    </row>
    <row r="357" spans="1:129" s="3" customFormat="1" ht="11.7" customHeight="1" outlineLevel="1" thickTop="1" thickBot="1" x14ac:dyDescent="0.35">
      <c r="B357" s="140" t="s">
        <v>405</v>
      </c>
      <c r="C357" s="140"/>
      <c r="D357" s="156"/>
      <c r="E357" s="156"/>
      <c r="F357" s="156"/>
      <c r="G357" s="164"/>
      <c r="H357" s="295">
        <f ca="1">+SUM(I357:DY357)</f>
        <v>635016.88859481271</v>
      </c>
      <c r="I357" s="350">
        <f>+SUM(I355:I356)</f>
        <v>0</v>
      </c>
      <c r="J357" s="350">
        <f t="shared" ref="J357:BU357" si="450">+SUM(J355:J356)</f>
        <v>0</v>
      </c>
      <c r="K357" s="350">
        <f t="shared" si="450"/>
        <v>0</v>
      </c>
      <c r="L357" s="350">
        <f t="shared" si="450"/>
        <v>0</v>
      </c>
      <c r="M357" s="350">
        <f t="shared" si="450"/>
        <v>0</v>
      </c>
      <c r="N357" s="350">
        <f t="shared" si="450"/>
        <v>0</v>
      </c>
      <c r="O357" s="350">
        <f t="shared" si="450"/>
        <v>0</v>
      </c>
      <c r="P357" s="350">
        <f t="shared" si="450"/>
        <v>0</v>
      </c>
      <c r="Q357" s="350">
        <f t="shared" si="450"/>
        <v>0</v>
      </c>
      <c r="R357" s="350">
        <f t="shared" si="450"/>
        <v>0</v>
      </c>
      <c r="S357" s="350">
        <f t="shared" si="450"/>
        <v>0</v>
      </c>
      <c r="T357" s="350">
        <f t="shared" si="450"/>
        <v>0</v>
      </c>
      <c r="U357" s="350">
        <f t="shared" si="450"/>
        <v>0</v>
      </c>
      <c r="V357" s="350">
        <f t="shared" si="450"/>
        <v>0</v>
      </c>
      <c r="W357" s="350">
        <f t="shared" si="450"/>
        <v>0</v>
      </c>
      <c r="X357" s="350">
        <f t="shared" si="450"/>
        <v>0</v>
      </c>
      <c r="Y357" s="350">
        <f t="shared" si="450"/>
        <v>0</v>
      </c>
      <c r="Z357" s="350">
        <f t="shared" si="450"/>
        <v>0</v>
      </c>
      <c r="AA357" s="350">
        <f t="shared" si="450"/>
        <v>0</v>
      </c>
      <c r="AB357" s="350">
        <f t="shared" si="450"/>
        <v>0</v>
      </c>
      <c r="AC357" s="350">
        <f t="shared" si="450"/>
        <v>0</v>
      </c>
      <c r="AD357" s="350">
        <f t="shared" si="450"/>
        <v>0</v>
      </c>
      <c r="AE357" s="350">
        <f t="shared" si="450"/>
        <v>0</v>
      </c>
      <c r="AF357" s="350">
        <f t="shared" si="450"/>
        <v>0</v>
      </c>
      <c r="AG357" s="350">
        <f t="shared" si="450"/>
        <v>0</v>
      </c>
      <c r="AH357" s="350">
        <f t="shared" si="450"/>
        <v>0</v>
      </c>
      <c r="AI357" s="350">
        <f t="shared" si="450"/>
        <v>0</v>
      </c>
      <c r="AJ357" s="350">
        <f t="shared" si="450"/>
        <v>0</v>
      </c>
      <c r="AK357" s="350">
        <f t="shared" si="450"/>
        <v>0</v>
      </c>
      <c r="AL357" s="350">
        <f t="shared" si="450"/>
        <v>0</v>
      </c>
      <c r="AM357" s="350">
        <f t="shared" si="450"/>
        <v>0</v>
      </c>
      <c r="AN357" s="350">
        <f t="shared" si="450"/>
        <v>0</v>
      </c>
      <c r="AO357" s="350">
        <f t="shared" si="450"/>
        <v>0</v>
      </c>
      <c r="AP357" s="350">
        <f t="shared" si="450"/>
        <v>0</v>
      </c>
      <c r="AQ357" s="350">
        <f t="shared" si="450"/>
        <v>0</v>
      </c>
      <c r="AR357" s="350">
        <f t="shared" si="450"/>
        <v>0</v>
      </c>
      <c r="AS357" s="350">
        <f t="shared" si="450"/>
        <v>0</v>
      </c>
      <c r="AT357" s="350">
        <f t="shared" si="450"/>
        <v>0</v>
      </c>
      <c r="AU357" s="350">
        <f t="shared" si="450"/>
        <v>0</v>
      </c>
      <c r="AV357" s="350">
        <f t="shared" si="450"/>
        <v>0</v>
      </c>
      <c r="AW357" s="350">
        <f t="shared" si="450"/>
        <v>0</v>
      </c>
      <c r="AX357" s="350">
        <f>+SUM(AX355:AX356)</f>
        <v>0</v>
      </c>
      <c r="AY357" s="350">
        <f t="shared" si="450"/>
        <v>0</v>
      </c>
      <c r="AZ357" s="350">
        <f t="shared" si="450"/>
        <v>0</v>
      </c>
      <c r="BA357" s="350">
        <f t="shared" si="450"/>
        <v>0</v>
      </c>
      <c r="BB357" s="350">
        <f t="shared" si="450"/>
        <v>0</v>
      </c>
      <c r="BC357" s="350">
        <f t="shared" si="450"/>
        <v>0</v>
      </c>
      <c r="BD357" s="350">
        <f t="shared" si="450"/>
        <v>0</v>
      </c>
      <c r="BE357" s="350">
        <f t="shared" si="450"/>
        <v>0</v>
      </c>
      <c r="BF357" s="350">
        <f t="shared" si="450"/>
        <v>0</v>
      </c>
      <c r="BG357" s="350">
        <f t="shared" si="450"/>
        <v>0</v>
      </c>
      <c r="BH357" s="350">
        <f t="shared" si="450"/>
        <v>0</v>
      </c>
      <c r="BI357" s="350">
        <f t="shared" si="450"/>
        <v>0</v>
      </c>
      <c r="BJ357" s="350">
        <f t="shared" si="450"/>
        <v>0</v>
      </c>
      <c r="BK357" s="350">
        <f t="shared" si="450"/>
        <v>0</v>
      </c>
      <c r="BL357" s="350">
        <f t="shared" si="450"/>
        <v>0</v>
      </c>
      <c r="BM357" s="350">
        <f t="shared" si="450"/>
        <v>0</v>
      </c>
      <c r="BN357" s="350">
        <f t="shared" ca="1" si="450"/>
        <v>0</v>
      </c>
      <c r="BO357" s="350">
        <f t="shared" ca="1" si="450"/>
        <v>0</v>
      </c>
      <c r="BP357" s="350">
        <f t="shared" ca="1" si="450"/>
        <v>0</v>
      </c>
      <c r="BQ357" s="350">
        <f ca="1">+SUM(BQ355:BQ356)</f>
        <v>0</v>
      </c>
      <c r="BR357" s="350">
        <f t="shared" ca="1" si="450"/>
        <v>0</v>
      </c>
      <c r="BS357" s="350">
        <f t="shared" ca="1" si="450"/>
        <v>0</v>
      </c>
      <c r="BT357" s="350">
        <f t="shared" ca="1" si="450"/>
        <v>0</v>
      </c>
      <c r="BU357" s="350">
        <f t="shared" ca="1" si="450"/>
        <v>0</v>
      </c>
      <c r="BV357" s="350">
        <f t="shared" ref="BV357:DW357" ca="1" si="451">+SUM(BV355:BV356)</f>
        <v>0</v>
      </c>
      <c r="BW357" s="350">
        <f t="shared" ca="1" si="451"/>
        <v>0</v>
      </c>
      <c r="BX357" s="350">
        <f t="shared" ca="1" si="451"/>
        <v>0</v>
      </c>
      <c r="BY357" s="350">
        <f t="shared" ca="1" si="451"/>
        <v>0</v>
      </c>
      <c r="BZ357" s="350">
        <f t="shared" ca="1" si="451"/>
        <v>0</v>
      </c>
      <c r="CA357" s="350">
        <f t="shared" ca="1" si="451"/>
        <v>0</v>
      </c>
      <c r="CB357" s="350">
        <f ca="1">+SUM(CB355:CB356)</f>
        <v>0</v>
      </c>
      <c r="CC357" s="350">
        <f t="shared" ca="1" si="451"/>
        <v>0</v>
      </c>
      <c r="CD357" s="350">
        <f t="shared" ca="1" si="451"/>
        <v>0</v>
      </c>
      <c r="CE357" s="350">
        <f ca="1">+SUM(CE355:CE356)</f>
        <v>0</v>
      </c>
      <c r="CF357" s="350">
        <f t="shared" ca="1" si="451"/>
        <v>635016.88859481271</v>
      </c>
      <c r="CG357" s="350">
        <f t="shared" ca="1" si="451"/>
        <v>0</v>
      </c>
      <c r="CH357" s="350">
        <f t="shared" ca="1" si="451"/>
        <v>0</v>
      </c>
      <c r="CI357" s="350">
        <f t="shared" ca="1" si="451"/>
        <v>0</v>
      </c>
      <c r="CJ357" s="350">
        <f t="shared" ca="1" si="451"/>
        <v>0</v>
      </c>
      <c r="CK357" s="350">
        <f t="shared" ca="1" si="451"/>
        <v>0</v>
      </c>
      <c r="CL357" s="350">
        <f t="shared" ca="1" si="451"/>
        <v>0</v>
      </c>
      <c r="CM357" s="350">
        <f t="shared" ca="1" si="451"/>
        <v>0</v>
      </c>
      <c r="CN357" s="350">
        <f t="shared" ca="1" si="451"/>
        <v>0</v>
      </c>
      <c r="CO357" s="350">
        <f t="shared" ca="1" si="451"/>
        <v>0</v>
      </c>
      <c r="CP357" s="350">
        <f t="shared" ca="1" si="451"/>
        <v>0</v>
      </c>
      <c r="CQ357" s="350">
        <f t="shared" ca="1" si="451"/>
        <v>0</v>
      </c>
      <c r="CR357" s="350">
        <f t="shared" ca="1" si="451"/>
        <v>0</v>
      </c>
      <c r="CS357" s="350">
        <f t="shared" ca="1" si="451"/>
        <v>0</v>
      </c>
      <c r="CT357" s="350">
        <f t="shared" ca="1" si="451"/>
        <v>0</v>
      </c>
      <c r="CU357" s="350">
        <f t="shared" ca="1" si="451"/>
        <v>0</v>
      </c>
      <c r="CV357" s="350">
        <f t="shared" ca="1" si="451"/>
        <v>0</v>
      </c>
      <c r="CW357" s="350">
        <f t="shared" ca="1" si="451"/>
        <v>0</v>
      </c>
      <c r="CX357" s="350">
        <f t="shared" ca="1" si="451"/>
        <v>0</v>
      </c>
      <c r="CY357" s="350">
        <f t="shared" ca="1" si="451"/>
        <v>0</v>
      </c>
      <c r="CZ357" s="350">
        <f t="shared" ca="1" si="451"/>
        <v>0</v>
      </c>
      <c r="DA357" s="350">
        <f t="shared" ca="1" si="451"/>
        <v>0</v>
      </c>
      <c r="DB357" s="350">
        <f t="shared" ca="1" si="451"/>
        <v>0</v>
      </c>
      <c r="DC357" s="350">
        <f t="shared" ca="1" si="451"/>
        <v>0</v>
      </c>
      <c r="DD357" s="350">
        <f t="shared" ca="1" si="451"/>
        <v>0</v>
      </c>
      <c r="DE357" s="350">
        <f t="shared" ca="1" si="451"/>
        <v>0</v>
      </c>
      <c r="DF357" s="350">
        <f t="shared" ca="1" si="451"/>
        <v>0</v>
      </c>
      <c r="DG357" s="350">
        <f t="shared" ca="1" si="451"/>
        <v>0</v>
      </c>
      <c r="DH357" s="350">
        <f t="shared" ca="1" si="451"/>
        <v>0</v>
      </c>
      <c r="DI357" s="350">
        <f t="shared" ca="1" si="451"/>
        <v>0</v>
      </c>
      <c r="DJ357" s="350">
        <f t="shared" ca="1" si="451"/>
        <v>0</v>
      </c>
      <c r="DK357" s="350">
        <f t="shared" ca="1" si="451"/>
        <v>0</v>
      </c>
      <c r="DL357" s="350">
        <f t="shared" ca="1" si="451"/>
        <v>0</v>
      </c>
      <c r="DM357" s="350">
        <f t="shared" ca="1" si="451"/>
        <v>0</v>
      </c>
      <c r="DN357" s="350">
        <f t="shared" ca="1" si="451"/>
        <v>0</v>
      </c>
      <c r="DO357" s="350">
        <f t="shared" ca="1" si="451"/>
        <v>0</v>
      </c>
      <c r="DP357" s="350">
        <f t="shared" ca="1" si="451"/>
        <v>0</v>
      </c>
      <c r="DQ357" s="350">
        <f t="shared" ca="1" si="451"/>
        <v>0</v>
      </c>
      <c r="DR357" s="350">
        <f t="shared" ca="1" si="451"/>
        <v>0</v>
      </c>
      <c r="DS357" s="350">
        <f t="shared" ca="1" si="451"/>
        <v>0</v>
      </c>
      <c r="DT357" s="350">
        <f t="shared" ca="1" si="451"/>
        <v>0</v>
      </c>
      <c r="DU357" s="350">
        <f t="shared" ca="1" si="451"/>
        <v>0</v>
      </c>
      <c r="DV357" s="350">
        <f t="shared" ca="1" si="451"/>
        <v>0</v>
      </c>
      <c r="DW357" s="350">
        <f t="shared" ca="1" si="451"/>
        <v>0</v>
      </c>
      <c r="DX357" s="350">
        <f t="shared" ref="DX357" ca="1" si="452">+SUM(DX355:DX356)</f>
        <v>0</v>
      </c>
      <c r="DY357" s="350">
        <f t="shared" ref="DY357" ca="1" si="453">+SUM(DY355:DY356)</f>
        <v>0</v>
      </c>
    </row>
    <row r="358" spans="1:129" s="3" customFormat="1" ht="11.7" customHeight="1" outlineLevel="1" thickTop="1" x14ac:dyDescent="0.3">
      <c r="G358" s="127"/>
      <c r="H358" s="127"/>
      <c r="I358" s="111"/>
      <c r="J358" s="111"/>
      <c r="K358" s="111"/>
      <c r="L358" s="111"/>
      <c r="M358" s="111"/>
      <c r="N358" s="111"/>
      <c r="O358" s="111"/>
      <c r="P358" s="111"/>
      <c r="Q358" s="111"/>
      <c r="R358" s="111"/>
      <c r="S358" s="111"/>
      <c r="T358" s="111"/>
      <c r="U358" s="111"/>
      <c r="V358" s="111"/>
      <c r="W358" s="111"/>
      <c r="X358" s="111"/>
      <c r="Y358" s="111"/>
      <c r="Z358" s="111"/>
      <c r="AA358" s="111"/>
      <c r="AB358" s="111"/>
      <c r="AC358" s="111"/>
      <c r="AD358" s="111"/>
      <c r="AE358" s="111"/>
      <c r="AF358" s="111"/>
      <c r="AG358" s="111"/>
      <c r="AH358" s="111"/>
      <c r="AI358" s="111"/>
      <c r="AJ358" s="111"/>
      <c r="AK358" s="111"/>
      <c r="AL358" s="111"/>
      <c r="AM358" s="111"/>
      <c r="AN358" s="111"/>
      <c r="AO358" s="111"/>
      <c r="AP358" s="111"/>
      <c r="AQ358" s="111"/>
      <c r="AR358" s="111"/>
      <c r="AS358" s="111"/>
      <c r="AT358" s="111"/>
      <c r="AU358" s="111"/>
      <c r="AV358" s="111"/>
      <c r="AW358" s="111"/>
      <c r="AX358" s="111"/>
      <c r="AY358" s="111"/>
      <c r="AZ358" s="111"/>
      <c r="BA358" s="111"/>
      <c r="BB358" s="111"/>
      <c r="BC358" s="111"/>
      <c r="BD358" s="111"/>
      <c r="BE358" s="111"/>
      <c r="BF358" s="111"/>
      <c r="BG358" s="111"/>
      <c r="BH358" s="111"/>
      <c r="BI358" s="111"/>
      <c r="BJ358" s="111"/>
      <c r="BK358" s="111"/>
      <c r="BL358" s="111"/>
      <c r="BM358" s="111"/>
      <c r="BN358" s="111"/>
      <c r="BO358" s="111"/>
      <c r="BP358" s="111"/>
      <c r="BQ358" s="111"/>
      <c r="BR358" s="111"/>
      <c r="BS358" s="111"/>
      <c r="BT358" s="111"/>
      <c r="BU358" s="111"/>
      <c r="BV358" s="111"/>
      <c r="BW358" s="111"/>
      <c r="BX358" s="111"/>
      <c r="BY358" s="111"/>
      <c r="BZ358" s="111"/>
      <c r="CA358" s="111"/>
      <c r="CB358" s="111"/>
      <c r="CC358" s="111"/>
      <c r="CD358" s="111"/>
      <c r="CE358" s="111"/>
      <c r="CF358" s="111"/>
      <c r="CG358" s="111"/>
      <c r="CH358" s="111"/>
      <c r="CI358" s="111"/>
      <c r="CJ358" s="111"/>
      <c r="CK358" s="111"/>
      <c r="CL358" s="111"/>
      <c r="CM358" s="111"/>
      <c r="CN358" s="111"/>
      <c r="CO358" s="111"/>
      <c r="CP358" s="111"/>
      <c r="CQ358" s="111"/>
      <c r="CR358" s="111"/>
      <c r="CS358" s="111"/>
      <c r="CT358" s="111"/>
      <c r="CU358" s="111"/>
      <c r="CV358" s="111"/>
      <c r="CW358" s="111"/>
      <c r="CX358" s="111"/>
      <c r="CY358" s="111"/>
      <c r="CZ358" s="111"/>
      <c r="DA358" s="111"/>
      <c r="DB358" s="111"/>
      <c r="DC358" s="111"/>
      <c r="DD358" s="111"/>
      <c r="DE358" s="111"/>
      <c r="DF358" s="111"/>
      <c r="DG358" s="111"/>
      <c r="DH358" s="111"/>
      <c r="DI358" s="111"/>
      <c r="DJ358" s="111"/>
      <c r="DK358" s="111"/>
      <c r="DL358" s="111"/>
      <c r="DM358" s="111"/>
      <c r="DN358" s="111"/>
      <c r="DO358" s="111"/>
      <c r="DP358" s="111"/>
      <c r="DQ358" s="111"/>
      <c r="DR358" s="111"/>
      <c r="DS358" s="111"/>
      <c r="DT358" s="111"/>
      <c r="DU358" s="111"/>
      <c r="DV358" s="111"/>
      <c r="DW358" s="111"/>
      <c r="DX358" s="111"/>
      <c r="DY358" s="111"/>
    </row>
    <row r="359" spans="1:129" s="3" customFormat="1" ht="11.7" customHeight="1" outlineLevel="1" x14ac:dyDescent="0.3">
      <c r="B359" s="177" t="s">
        <v>13</v>
      </c>
      <c r="C359" s="177"/>
      <c r="G359" s="127"/>
      <c r="H359" s="127"/>
      <c r="I359" s="111"/>
      <c r="J359" s="111"/>
      <c r="K359" s="111"/>
      <c r="L359" s="111"/>
      <c r="M359" s="111"/>
      <c r="N359" s="111"/>
      <c r="O359" s="111"/>
      <c r="P359" s="111"/>
      <c r="Q359" s="111"/>
      <c r="R359" s="111"/>
      <c r="S359" s="111"/>
      <c r="T359" s="111"/>
      <c r="U359" s="111"/>
      <c r="V359" s="111"/>
      <c r="W359" s="111"/>
      <c r="X359" s="111"/>
      <c r="Y359" s="111"/>
      <c r="Z359" s="111"/>
      <c r="AA359" s="111"/>
      <c r="AB359" s="111"/>
      <c r="AC359" s="111"/>
      <c r="AD359" s="111"/>
      <c r="AE359" s="111"/>
      <c r="AF359" s="111"/>
      <c r="AG359" s="111"/>
      <c r="AH359" s="111"/>
      <c r="AI359" s="111"/>
      <c r="AJ359" s="111"/>
      <c r="AK359" s="111"/>
      <c r="AL359" s="111"/>
      <c r="AM359" s="111"/>
      <c r="AN359" s="111"/>
      <c r="AO359" s="111"/>
      <c r="AP359" s="111"/>
      <c r="AQ359" s="111"/>
      <c r="AR359" s="111"/>
      <c r="AS359" s="111"/>
      <c r="AT359" s="111"/>
      <c r="AU359" s="111"/>
      <c r="AV359" s="111"/>
      <c r="AW359" s="111"/>
      <c r="AX359" s="111"/>
      <c r="AY359" s="111"/>
      <c r="AZ359" s="111"/>
      <c r="BA359" s="111"/>
      <c r="BB359" s="111"/>
      <c r="BC359" s="111"/>
      <c r="BD359" s="111"/>
      <c r="BE359" s="111"/>
      <c r="BF359" s="111"/>
      <c r="BG359" s="111"/>
      <c r="BH359" s="111"/>
      <c r="BI359" s="111"/>
      <c r="BJ359" s="111"/>
      <c r="BK359" s="111"/>
      <c r="BL359" s="111"/>
      <c r="BM359" s="111"/>
      <c r="BN359" s="111"/>
      <c r="BO359" s="111"/>
      <c r="BP359" s="111"/>
      <c r="BQ359" s="111"/>
      <c r="BR359" s="111"/>
      <c r="BS359" s="111"/>
      <c r="BT359" s="111"/>
      <c r="BU359" s="111"/>
      <c r="BV359" s="111"/>
      <c r="BW359" s="111"/>
      <c r="BX359" s="111"/>
      <c r="BY359" s="111"/>
      <c r="BZ359" s="111"/>
      <c r="CA359" s="111"/>
      <c r="CB359" s="111"/>
      <c r="CC359" s="111"/>
      <c r="CD359" s="111"/>
      <c r="CE359" s="111"/>
      <c r="CF359" s="111"/>
      <c r="CG359" s="111"/>
      <c r="CH359" s="111"/>
      <c r="CI359" s="111"/>
      <c r="CJ359" s="111"/>
      <c r="CK359" s="111"/>
      <c r="CL359" s="111"/>
      <c r="CM359" s="111"/>
      <c r="CN359" s="111"/>
      <c r="CO359" s="111"/>
      <c r="CP359" s="111"/>
      <c r="CQ359" s="111"/>
      <c r="CR359" s="111"/>
      <c r="CS359" s="111"/>
      <c r="CT359" s="111"/>
      <c r="CU359" s="111"/>
      <c r="CV359" s="111"/>
      <c r="CW359" s="111"/>
      <c r="CX359" s="111"/>
      <c r="CY359" s="111"/>
      <c r="CZ359" s="111"/>
      <c r="DA359" s="111"/>
      <c r="DB359" s="111"/>
      <c r="DC359" s="111"/>
      <c r="DD359" s="111"/>
      <c r="DE359" s="111"/>
      <c r="DF359" s="111"/>
      <c r="DG359" s="111"/>
      <c r="DH359" s="111"/>
      <c r="DI359" s="111"/>
      <c r="DJ359" s="111"/>
      <c r="DK359" s="111"/>
      <c r="DL359" s="111"/>
      <c r="DM359" s="111"/>
      <c r="DN359" s="111"/>
      <c r="DO359" s="111"/>
      <c r="DP359" s="111"/>
      <c r="DQ359" s="111"/>
      <c r="DR359" s="111"/>
      <c r="DS359" s="111"/>
      <c r="DT359" s="111"/>
      <c r="DU359" s="111"/>
      <c r="DV359" s="111"/>
      <c r="DW359" s="111"/>
      <c r="DX359" s="111"/>
      <c r="DY359" s="111"/>
    </row>
    <row r="360" spans="1:129" s="3" customFormat="1" ht="11.7" customHeight="1" outlineLevel="1" x14ac:dyDescent="0.3">
      <c r="B360" s="149" t="s">
        <v>125</v>
      </c>
      <c r="C360" s="149"/>
      <c r="D360" s="346">
        <f>+Inputs!L101</f>
        <v>5.5E-2</v>
      </c>
      <c r="E360" s="292">
        <f>+Inputs!$K$81</f>
        <v>45291</v>
      </c>
      <c r="G360" s="127"/>
      <c r="H360" s="308">
        <f>+SUM(I360:DY360)</f>
        <v>138943.30166389482</v>
      </c>
      <c r="I360" s="151">
        <f t="shared" ref="I360:AN360" si="454">+I331/$D$360*(I$7=$E$360)</f>
        <v>0</v>
      </c>
      <c r="J360" s="151">
        <f t="shared" si="454"/>
        <v>0</v>
      </c>
      <c r="K360" s="151">
        <f t="shared" si="454"/>
        <v>0</v>
      </c>
      <c r="L360" s="151">
        <f t="shared" si="454"/>
        <v>0</v>
      </c>
      <c r="M360" s="151">
        <f t="shared" si="454"/>
        <v>0</v>
      </c>
      <c r="N360" s="151">
        <f t="shared" si="454"/>
        <v>0</v>
      </c>
      <c r="O360" s="151">
        <f t="shared" si="454"/>
        <v>0</v>
      </c>
      <c r="P360" s="151">
        <f t="shared" si="454"/>
        <v>0</v>
      </c>
      <c r="Q360" s="151">
        <f t="shared" si="454"/>
        <v>0</v>
      </c>
      <c r="R360" s="151">
        <f t="shared" si="454"/>
        <v>0</v>
      </c>
      <c r="S360" s="151">
        <f t="shared" si="454"/>
        <v>0</v>
      </c>
      <c r="T360" s="151">
        <f t="shared" si="454"/>
        <v>0</v>
      </c>
      <c r="U360" s="151">
        <f t="shared" si="454"/>
        <v>0</v>
      </c>
      <c r="V360" s="151">
        <f t="shared" si="454"/>
        <v>0</v>
      </c>
      <c r="W360" s="151">
        <f t="shared" si="454"/>
        <v>0</v>
      </c>
      <c r="X360" s="151">
        <f t="shared" si="454"/>
        <v>0</v>
      </c>
      <c r="Y360" s="151">
        <f t="shared" si="454"/>
        <v>0</v>
      </c>
      <c r="Z360" s="151">
        <f t="shared" si="454"/>
        <v>0</v>
      </c>
      <c r="AA360" s="151">
        <f t="shared" si="454"/>
        <v>0</v>
      </c>
      <c r="AB360" s="151">
        <f t="shared" si="454"/>
        <v>0</v>
      </c>
      <c r="AC360" s="151">
        <f t="shared" si="454"/>
        <v>0</v>
      </c>
      <c r="AD360" s="151">
        <f t="shared" si="454"/>
        <v>0</v>
      </c>
      <c r="AE360" s="151">
        <f t="shared" si="454"/>
        <v>0</v>
      </c>
      <c r="AF360" s="151">
        <f t="shared" si="454"/>
        <v>0</v>
      </c>
      <c r="AG360" s="151">
        <f t="shared" si="454"/>
        <v>0</v>
      </c>
      <c r="AH360" s="151">
        <f t="shared" si="454"/>
        <v>0</v>
      </c>
      <c r="AI360" s="151">
        <f t="shared" si="454"/>
        <v>0</v>
      </c>
      <c r="AJ360" s="151">
        <f t="shared" si="454"/>
        <v>0</v>
      </c>
      <c r="AK360" s="151">
        <f t="shared" si="454"/>
        <v>0</v>
      </c>
      <c r="AL360" s="151">
        <f t="shared" si="454"/>
        <v>0</v>
      </c>
      <c r="AM360" s="151">
        <f t="shared" si="454"/>
        <v>0</v>
      </c>
      <c r="AN360" s="151">
        <f t="shared" si="454"/>
        <v>0</v>
      </c>
      <c r="AO360" s="151">
        <f t="shared" ref="AO360:BT360" si="455">+AO331/$D$360*(AO$7=$E$360)</f>
        <v>0</v>
      </c>
      <c r="AP360" s="151">
        <f t="shared" si="455"/>
        <v>0</v>
      </c>
      <c r="AQ360" s="151">
        <f t="shared" si="455"/>
        <v>0</v>
      </c>
      <c r="AR360" s="151">
        <f t="shared" si="455"/>
        <v>0</v>
      </c>
      <c r="AS360" s="151">
        <f t="shared" si="455"/>
        <v>0</v>
      </c>
      <c r="AT360" s="151">
        <f t="shared" si="455"/>
        <v>0</v>
      </c>
      <c r="AU360" s="151">
        <f t="shared" si="455"/>
        <v>0</v>
      </c>
      <c r="AV360" s="151">
        <f t="shared" si="455"/>
        <v>0</v>
      </c>
      <c r="AW360" s="151">
        <f t="shared" si="455"/>
        <v>0</v>
      </c>
      <c r="AX360" s="151">
        <f t="shared" si="455"/>
        <v>0</v>
      </c>
      <c r="AY360" s="151">
        <f t="shared" si="455"/>
        <v>0</v>
      </c>
      <c r="AZ360" s="151">
        <f t="shared" si="455"/>
        <v>0</v>
      </c>
      <c r="BA360" s="151">
        <f t="shared" si="455"/>
        <v>0</v>
      </c>
      <c r="BB360" s="151">
        <f t="shared" si="455"/>
        <v>0</v>
      </c>
      <c r="BC360" s="151">
        <f t="shared" si="455"/>
        <v>0</v>
      </c>
      <c r="BD360" s="151">
        <f t="shared" si="455"/>
        <v>0</v>
      </c>
      <c r="BE360" s="151">
        <f t="shared" si="455"/>
        <v>0</v>
      </c>
      <c r="BF360" s="151">
        <f t="shared" si="455"/>
        <v>0</v>
      </c>
      <c r="BG360" s="151">
        <f t="shared" si="455"/>
        <v>0</v>
      </c>
      <c r="BH360" s="151">
        <f t="shared" si="455"/>
        <v>0</v>
      </c>
      <c r="BI360" s="151">
        <f t="shared" si="455"/>
        <v>0</v>
      </c>
      <c r="BJ360" s="151">
        <f t="shared" si="455"/>
        <v>0</v>
      </c>
      <c r="BK360" s="151">
        <f t="shared" si="455"/>
        <v>0</v>
      </c>
      <c r="BL360" s="151">
        <f t="shared" si="455"/>
        <v>0</v>
      </c>
      <c r="BM360" s="151">
        <f t="shared" si="455"/>
        <v>0</v>
      </c>
      <c r="BN360" s="151">
        <f t="shared" si="455"/>
        <v>0</v>
      </c>
      <c r="BO360" s="151">
        <f t="shared" si="455"/>
        <v>0</v>
      </c>
      <c r="BP360" s="151">
        <f t="shared" si="455"/>
        <v>0</v>
      </c>
      <c r="BQ360" s="151">
        <f t="shared" si="455"/>
        <v>0</v>
      </c>
      <c r="BR360" s="151">
        <f t="shared" si="455"/>
        <v>0</v>
      </c>
      <c r="BS360" s="151">
        <f t="shared" si="455"/>
        <v>0</v>
      </c>
      <c r="BT360" s="151">
        <f t="shared" si="455"/>
        <v>0</v>
      </c>
      <c r="BU360" s="151">
        <f t="shared" ref="BU360:CZ360" si="456">+BU331/$D$360*(BU$7=$E$360)</f>
        <v>0</v>
      </c>
      <c r="BV360" s="151">
        <f t="shared" si="456"/>
        <v>0</v>
      </c>
      <c r="BW360" s="151">
        <f t="shared" si="456"/>
        <v>0</v>
      </c>
      <c r="BX360" s="151">
        <f t="shared" si="456"/>
        <v>0</v>
      </c>
      <c r="BY360" s="151">
        <f t="shared" si="456"/>
        <v>0</v>
      </c>
      <c r="BZ360" s="151">
        <f t="shared" si="456"/>
        <v>0</v>
      </c>
      <c r="CA360" s="151">
        <f t="shared" si="456"/>
        <v>0</v>
      </c>
      <c r="CB360" s="151">
        <f t="shared" si="456"/>
        <v>0</v>
      </c>
      <c r="CC360" s="151">
        <f t="shared" si="456"/>
        <v>0</v>
      </c>
      <c r="CD360" s="151">
        <f t="shared" si="456"/>
        <v>0</v>
      </c>
      <c r="CE360" s="151">
        <f t="shared" si="456"/>
        <v>0</v>
      </c>
      <c r="CF360" s="151">
        <f t="shared" si="456"/>
        <v>138943.30166389482</v>
      </c>
      <c r="CG360" s="151">
        <f t="shared" si="456"/>
        <v>0</v>
      </c>
      <c r="CH360" s="151">
        <f t="shared" si="456"/>
        <v>0</v>
      </c>
      <c r="CI360" s="151">
        <f t="shared" si="456"/>
        <v>0</v>
      </c>
      <c r="CJ360" s="151">
        <f t="shared" si="456"/>
        <v>0</v>
      </c>
      <c r="CK360" s="151">
        <f t="shared" si="456"/>
        <v>0</v>
      </c>
      <c r="CL360" s="151">
        <f t="shared" si="456"/>
        <v>0</v>
      </c>
      <c r="CM360" s="151">
        <f t="shared" si="456"/>
        <v>0</v>
      </c>
      <c r="CN360" s="151">
        <f t="shared" si="456"/>
        <v>0</v>
      </c>
      <c r="CO360" s="151">
        <f t="shared" si="456"/>
        <v>0</v>
      </c>
      <c r="CP360" s="151">
        <f t="shared" si="456"/>
        <v>0</v>
      </c>
      <c r="CQ360" s="151">
        <f t="shared" si="456"/>
        <v>0</v>
      </c>
      <c r="CR360" s="151">
        <f t="shared" si="456"/>
        <v>0</v>
      </c>
      <c r="CS360" s="151">
        <f t="shared" si="456"/>
        <v>0</v>
      </c>
      <c r="CT360" s="151">
        <f t="shared" si="456"/>
        <v>0</v>
      </c>
      <c r="CU360" s="151">
        <f t="shared" si="456"/>
        <v>0</v>
      </c>
      <c r="CV360" s="151">
        <f t="shared" si="456"/>
        <v>0</v>
      </c>
      <c r="CW360" s="151">
        <f t="shared" si="456"/>
        <v>0</v>
      </c>
      <c r="CX360" s="151">
        <f t="shared" si="456"/>
        <v>0</v>
      </c>
      <c r="CY360" s="151">
        <f t="shared" si="456"/>
        <v>0</v>
      </c>
      <c r="CZ360" s="151">
        <f t="shared" si="456"/>
        <v>0</v>
      </c>
      <c r="DA360" s="151">
        <f t="shared" ref="DA360:DY360" si="457">+DA331/$D$360*(DA$7=$E$360)</f>
        <v>0</v>
      </c>
      <c r="DB360" s="151">
        <f t="shared" si="457"/>
        <v>0</v>
      </c>
      <c r="DC360" s="151">
        <f t="shared" si="457"/>
        <v>0</v>
      </c>
      <c r="DD360" s="151">
        <f t="shared" si="457"/>
        <v>0</v>
      </c>
      <c r="DE360" s="151">
        <f t="shared" si="457"/>
        <v>0</v>
      </c>
      <c r="DF360" s="151">
        <f t="shared" si="457"/>
        <v>0</v>
      </c>
      <c r="DG360" s="151">
        <f t="shared" si="457"/>
        <v>0</v>
      </c>
      <c r="DH360" s="151">
        <f t="shared" si="457"/>
        <v>0</v>
      </c>
      <c r="DI360" s="151">
        <f t="shared" si="457"/>
        <v>0</v>
      </c>
      <c r="DJ360" s="151">
        <f t="shared" si="457"/>
        <v>0</v>
      </c>
      <c r="DK360" s="151">
        <f t="shared" si="457"/>
        <v>0</v>
      </c>
      <c r="DL360" s="151">
        <f t="shared" si="457"/>
        <v>0</v>
      </c>
      <c r="DM360" s="151">
        <f t="shared" si="457"/>
        <v>0</v>
      </c>
      <c r="DN360" s="151">
        <f t="shared" si="457"/>
        <v>0</v>
      </c>
      <c r="DO360" s="151">
        <f t="shared" si="457"/>
        <v>0</v>
      </c>
      <c r="DP360" s="151">
        <f t="shared" si="457"/>
        <v>0</v>
      </c>
      <c r="DQ360" s="151">
        <f t="shared" si="457"/>
        <v>0</v>
      </c>
      <c r="DR360" s="151">
        <f t="shared" si="457"/>
        <v>0</v>
      </c>
      <c r="DS360" s="151">
        <f t="shared" si="457"/>
        <v>0</v>
      </c>
      <c r="DT360" s="151">
        <f t="shared" si="457"/>
        <v>0</v>
      </c>
      <c r="DU360" s="151">
        <f t="shared" si="457"/>
        <v>0</v>
      </c>
      <c r="DV360" s="151">
        <f t="shared" si="457"/>
        <v>0</v>
      </c>
      <c r="DW360" s="151">
        <f t="shared" si="457"/>
        <v>0</v>
      </c>
      <c r="DX360" s="151">
        <f t="shared" si="457"/>
        <v>0</v>
      </c>
      <c r="DY360" s="151">
        <f t="shared" si="457"/>
        <v>0</v>
      </c>
    </row>
    <row r="361" spans="1:129" s="3" customFormat="1" ht="11.7" customHeight="1" outlineLevel="1" thickBot="1" x14ac:dyDescent="0.35">
      <c r="B361" s="178" t="s">
        <v>126</v>
      </c>
      <c r="C361" s="178"/>
      <c r="D361" s="347">
        <f>+Inputs!$L$102</f>
        <v>0</v>
      </c>
      <c r="E361" s="80"/>
      <c r="F361" s="80"/>
      <c r="G361" s="154"/>
      <c r="H361" s="349">
        <f>+SUM(I361:DY361)</f>
        <v>0</v>
      </c>
      <c r="I361" s="348">
        <f>-I360*$D$361</f>
        <v>0</v>
      </c>
      <c r="J361" s="348">
        <f t="shared" ref="J361:BU361" si="458">-J360*$D$361</f>
        <v>0</v>
      </c>
      <c r="K361" s="348">
        <f t="shared" si="458"/>
        <v>0</v>
      </c>
      <c r="L361" s="348">
        <f t="shared" si="458"/>
        <v>0</v>
      </c>
      <c r="M361" s="348">
        <f t="shared" si="458"/>
        <v>0</v>
      </c>
      <c r="N361" s="348">
        <f t="shared" si="458"/>
        <v>0</v>
      </c>
      <c r="O361" s="348">
        <f t="shared" si="458"/>
        <v>0</v>
      </c>
      <c r="P361" s="348">
        <f t="shared" si="458"/>
        <v>0</v>
      </c>
      <c r="Q361" s="348">
        <f t="shared" si="458"/>
        <v>0</v>
      </c>
      <c r="R361" s="348">
        <f t="shared" si="458"/>
        <v>0</v>
      </c>
      <c r="S361" s="348">
        <f t="shared" si="458"/>
        <v>0</v>
      </c>
      <c r="T361" s="348">
        <f t="shared" si="458"/>
        <v>0</v>
      </c>
      <c r="U361" s="348">
        <f t="shared" si="458"/>
        <v>0</v>
      </c>
      <c r="V361" s="348">
        <f t="shared" si="458"/>
        <v>0</v>
      </c>
      <c r="W361" s="348">
        <f t="shared" si="458"/>
        <v>0</v>
      </c>
      <c r="X361" s="348">
        <f t="shared" si="458"/>
        <v>0</v>
      </c>
      <c r="Y361" s="348">
        <f t="shared" si="458"/>
        <v>0</v>
      </c>
      <c r="Z361" s="348">
        <f t="shared" si="458"/>
        <v>0</v>
      </c>
      <c r="AA361" s="348">
        <f t="shared" si="458"/>
        <v>0</v>
      </c>
      <c r="AB361" s="348">
        <f t="shared" si="458"/>
        <v>0</v>
      </c>
      <c r="AC361" s="348">
        <f t="shared" si="458"/>
        <v>0</v>
      </c>
      <c r="AD361" s="348">
        <f t="shared" si="458"/>
        <v>0</v>
      </c>
      <c r="AE361" s="348">
        <f t="shared" si="458"/>
        <v>0</v>
      </c>
      <c r="AF361" s="348">
        <f t="shared" si="458"/>
        <v>0</v>
      </c>
      <c r="AG361" s="348">
        <f t="shared" si="458"/>
        <v>0</v>
      </c>
      <c r="AH361" s="348">
        <f t="shared" si="458"/>
        <v>0</v>
      </c>
      <c r="AI361" s="348">
        <f t="shared" si="458"/>
        <v>0</v>
      </c>
      <c r="AJ361" s="348">
        <f t="shared" si="458"/>
        <v>0</v>
      </c>
      <c r="AK361" s="348">
        <f t="shared" si="458"/>
        <v>0</v>
      </c>
      <c r="AL361" s="348">
        <f t="shared" si="458"/>
        <v>0</v>
      </c>
      <c r="AM361" s="348">
        <f t="shared" si="458"/>
        <v>0</v>
      </c>
      <c r="AN361" s="348">
        <f t="shared" si="458"/>
        <v>0</v>
      </c>
      <c r="AO361" s="348">
        <f t="shared" si="458"/>
        <v>0</v>
      </c>
      <c r="AP361" s="348">
        <f t="shared" si="458"/>
        <v>0</v>
      </c>
      <c r="AQ361" s="348">
        <f t="shared" si="458"/>
        <v>0</v>
      </c>
      <c r="AR361" s="348">
        <f t="shared" si="458"/>
        <v>0</v>
      </c>
      <c r="AS361" s="348">
        <f t="shared" si="458"/>
        <v>0</v>
      </c>
      <c r="AT361" s="348">
        <f t="shared" si="458"/>
        <v>0</v>
      </c>
      <c r="AU361" s="348">
        <f t="shared" si="458"/>
        <v>0</v>
      </c>
      <c r="AV361" s="348">
        <f t="shared" si="458"/>
        <v>0</v>
      </c>
      <c r="AW361" s="348">
        <f t="shared" si="458"/>
        <v>0</v>
      </c>
      <c r="AX361" s="348">
        <f t="shared" si="458"/>
        <v>0</v>
      </c>
      <c r="AY361" s="348">
        <f t="shared" si="458"/>
        <v>0</v>
      </c>
      <c r="AZ361" s="348">
        <f t="shared" si="458"/>
        <v>0</v>
      </c>
      <c r="BA361" s="348">
        <f t="shared" si="458"/>
        <v>0</v>
      </c>
      <c r="BB361" s="348">
        <f t="shared" si="458"/>
        <v>0</v>
      </c>
      <c r="BC361" s="348">
        <f t="shared" si="458"/>
        <v>0</v>
      </c>
      <c r="BD361" s="348">
        <f t="shared" si="458"/>
        <v>0</v>
      </c>
      <c r="BE361" s="348">
        <f t="shared" si="458"/>
        <v>0</v>
      </c>
      <c r="BF361" s="348">
        <f t="shared" si="458"/>
        <v>0</v>
      </c>
      <c r="BG361" s="348">
        <f t="shared" si="458"/>
        <v>0</v>
      </c>
      <c r="BH361" s="348">
        <f t="shared" si="458"/>
        <v>0</v>
      </c>
      <c r="BI361" s="348">
        <f t="shared" si="458"/>
        <v>0</v>
      </c>
      <c r="BJ361" s="348">
        <f t="shared" si="458"/>
        <v>0</v>
      </c>
      <c r="BK361" s="348">
        <f t="shared" si="458"/>
        <v>0</v>
      </c>
      <c r="BL361" s="348">
        <f t="shared" si="458"/>
        <v>0</v>
      </c>
      <c r="BM361" s="348">
        <f t="shared" si="458"/>
        <v>0</v>
      </c>
      <c r="BN361" s="348">
        <f t="shared" si="458"/>
        <v>0</v>
      </c>
      <c r="BO361" s="348">
        <f t="shared" si="458"/>
        <v>0</v>
      </c>
      <c r="BP361" s="348">
        <f t="shared" si="458"/>
        <v>0</v>
      </c>
      <c r="BQ361" s="348">
        <f t="shared" si="458"/>
        <v>0</v>
      </c>
      <c r="BR361" s="348">
        <f t="shared" si="458"/>
        <v>0</v>
      </c>
      <c r="BS361" s="348">
        <f t="shared" si="458"/>
        <v>0</v>
      </c>
      <c r="BT361" s="348">
        <f t="shared" si="458"/>
        <v>0</v>
      </c>
      <c r="BU361" s="348">
        <f t="shared" si="458"/>
        <v>0</v>
      </c>
      <c r="BV361" s="348">
        <f t="shared" ref="BV361:DW361" si="459">-BV360*$D$361</f>
        <v>0</v>
      </c>
      <c r="BW361" s="348">
        <f t="shared" si="459"/>
        <v>0</v>
      </c>
      <c r="BX361" s="348">
        <f t="shared" si="459"/>
        <v>0</v>
      </c>
      <c r="BY361" s="348">
        <f t="shared" si="459"/>
        <v>0</v>
      </c>
      <c r="BZ361" s="348">
        <f t="shared" si="459"/>
        <v>0</v>
      </c>
      <c r="CA361" s="348">
        <f t="shared" si="459"/>
        <v>0</v>
      </c>
      <c r="CB361" s="348">
        <f t="shared" si="459"/>
        <v>0</v>
      </c>
      <c r="CC361" s="348">
        <f t="shared" si="459"/>
        <v>0</v>
      </c>
      <c r="CD361" s="348">
        <f t="shared" si="459"/>
        <v>0</v>
      </c>
      <c r="CE361" s="348">
        <f>-CE360*$D$361</f>
        <v>0</v>
      </c>
      <c r="CF361" s="348">
        <f t="shared" si="459"/>
        <v>0</v>
      </c>
      <c r="CG361" s="348">
        <f t="shared" si="459"/>
        <v>0</v>
      </c>
      <c r="CH361" s="348">
        <f t="shared" si="459"/>
        <v>0</v>
      </c>
      <c r="CI361" s="348">
        <f t="shared" si="459"/>
        <v>0</v>
      </c>
      <c r="CJ361" s="348">
        <f t="shared" si="459"/>
        <v>0</v>
      </c>
      <c r="CK361" s="348">
        <f t="shared" si="459"/>
        <v>0</v>
      </c>
      <c r="CL361" s="348">
        <f t="shared" si="459"/>
        <v>0</v>
      </c>
      <c r="CM361" s="348">
        <f t="shared" si="459"/>
        <v>0</v>
      </c>
      <c r="CN361" s="348">
        <f t="shared" si="459"/>
        <v>0</v>
      </c>
      <c r="CO361" s="348">
        <f t="shared" si="459"/>
        <v>0</v>
      </c>
      <c r="CP361" s="348">
        <f t="shared" si="459"/>
        <v>0</v>
      </c>
      <c r="CQ361" s="348">
        <f t="shared" si="459"/>
        <v>0</v>
      </c>
      <c r="CR361" s="348">
        <f t="shared" si="459"/>
        <v>0</v>
      </c>
      <c r="CS361" s="348">
        <f t="shared" si="459"/>
        <v>0</v>
      </c>
      <c r="CT361" s="348">
        <f t="shared" si="459"/>
        <v>0</v>
      </c>
      <c r="CU361" s="348">
        <f t="shared" si="459"/>
        <v>0</v>
      </c>
      <c r="CV361" s="348">
        <f t="shared" si="459"/>
        <v>0</v>
      </c>
      <c r="CW361" s="348">
        <f t="shared" si="459"/>
        <v>0</v>
      </c>
      <c r="CX361" s="348">
        <f t="shared" si="459"/>
        <v>0</v>
      </c>
      <c r="CY361" s="348">
        <f t="shared" si="459"/>
        <v>0</v>
      </c>
      <c r="CZ361" s="348">
        <f t="shared" si="459"/>
        <v>0</v>
      </c>
      <c r="DA361" s="348">
        <f t="shared" si="459"/>
        <v>0</v>
      </c>
      <c r="DB361" s="348">
        <f t="shared" si="459"/>
        <v>0</v>
      </c>
      <c r="DC361" s="348">
        <f t="shared" si="459"/>
        <v>0</v>
      </c>
      <c r="DD361" s="348">
        <f t="shared" si="459"/>
        <v>0</v>
      </c>
      <c r="DE361" s="348">
        <f t="shared" si="459"/>
        <v>0</v>
      </c>
      <c r="DF361" s="348">
        <f t="shared" si="459"/>
        <v>0</v>
      </c>
      <c r="DG361" s="348">
        <f t="shared" si="459"/>
        <v>0</v>
      </c>
      <c r="DH361" s="348">
        <f t="shared" si="459"/>
        <v>0</v>
      </c>
      <c r="DI361" s="348">
        <f t="shared" si="459"/>
        <v>0</v>
      </c>
      <c r="DJ361" s="348">
        <f t="shared" si="459"/>
        <v>0</v>
      </c>
      <c r="DK361" s="348">
        <f t="shared" si="459"/>
        <v>0</v>
      </c>
      <c r="DL361" s="348">
        <f t="shared" si="459"/>
        <v>0</v>
      </c>
      <c r="DM361" s="348">
        <f t="shared" si="459"/>
        <v>0</v>
      </c>
      <c r="DN361" s="348">
        <f t="shared" si="459"/>
        <v>0</v>
      </c>
      <c r="DO361" s="348">
        <f t="shared" si="459"/>
        <v>0</v>
      </c>
      <c r="DP361" s="348">
        <f t="shared" si="459"/>
        <v>0</v>
      </c>
      <c r="DQ361" s="348">
        <f t="shared" si="459"/>
        <v>0</v>
      </c>
      <c r="DR361" s="348">
        <f t="shared" si="459"/>
        <v>0</v>
      </c>
      <c r="DS361" s="348">
        <f t="shared" si="459"/>
        <v>0</v>
      </c>
      <c r="DT361" s="348">
        <f t="shared" si="459"/>
        <v>0</v>
      </c>
      <c r="DU361" s="348">
        <f t="shared" si="459"/>
        <v>0</v>
      </c>
      <c r="DV361" s="348">
        <f t="shared" si="459"/>
        <v>0</v>
      </c>
      <c r="DW361" s="348">
        <f t="shared" si="459"/>
        <v>0</v>
      </c>
      <c r="DX361" s="348">
        <f t="shared" ref="DX361" si="460">-DX360*$D$361</f>
        <v>0</v>
      </c>
      <c r="DY361" s="348">
        <f>-DY360*$D$361</f>
        <v>0</v>
      </c>
    </row>
    <row r="362" spans="1:129" s="3" customFormat="1" ht="11.7" customHeight="1" outlineLevel="1" thickTop="1" thickBot="1" x14ac:dyDescent="0.35">
      <c r="B362" s="140" t="s">
        <v>18</v>
      </c>
      <c r="C362" s="140"/>
      <c r="D362" s="156"/>
      <c r="E362" s="156"/>
      <c r="F362" s="156"/>
      <c r="G362" s="164"/>
      <c r="H362" s="295">
        <f>+SUM(I362:DY362)</f>
        <v>138943.30166389482</v>
      </c>
      <c r="I362" s="350">
        <f>+SUM(I360:I361)</f>
        <v>0</v>
      </c>
      <c r="J362" s="350">
        <f t="shared" ref="J362:BU362" si="461">+SUM(J360:J361)</f>
        <v>0</v>
      </c>
      <c r="K362" s="350">
        <f t="shared" si="461"/>
        <v>0</v>
      </c>
      <c r="L362" s="350">
        <f t="shared" si="461"/>
        <v>0</v>
      </c>
      <c r="M362" s="350">
        <f t="shared" si="461"/>
        <v>0</v>
      </c>
      <c r="N362" s="350">
        <f t="shared" si="461"/>
        <v>0</v>
      </c>
      <c r="O362" s="350">
        <f t="shared" si="461"/>
        <v>0</v>
      </c>
      <c r="P362" s="350">
        <f t="shared" si="461"/>
        <v>0</v>
      </c>
      <c r="Q362" s="350">
        <f t="shared" si="461"/>
        <v>0</v>
      </c>
      <c r="R362" s="350">
        <f t="shared" si="461"/>
        <v>0</v>
      </c>
      <c r="S362" s="350">
        <f t="shared" si="461"/>
        <v>0</v>
      </c>
      <c r="T362" s="350">
        <f t="shared" si="461"/>
        <v>0</v>
      </c>
      <c r="U362" s="350">
        <f t="shared" si="461"/>
        <v>0</v>
      </c>
      <c r="V362" s="350">
        <f t="shared" si="461"/>
        <v>0</v>
      </c>
      <c r="W362" s="350">
        <f t="shared" si="461"/>
        <v>0</v>
      </c>
      <c r="X362" s="350">
        <f t="shared" si="461"/>
        <v>0</v>
      </c>
      <c r="Y362" s="350">
        <f t="shared" si="461"/>
        <v>0</v>
      </c>
      <c r="Z362" s="350">
        <f t="shared" si="461"/>
        <v>0</v>
      </c>
      <c r="AA362" s="350">
        <f t="shared" si="461"/>
        <v>0</v>
      </c>
      <c r="AB362" s="350">
        <f t="shared" si="461"/>
        <v>0</v>
      </c>
      <c r="AC362" s="350">
        <f t="shared" si="461"/>
        <v>0</v>
      </c>
      <c r="AD362" s="350">
        <f t="shared" si="461"/>
        <v>0</v>
      </c>
      <c r="AE362" s="350">
        <f t="shared" si="461"/>
        <v>0</v>
      </c>
      <c r="AF362" s="350">
        <f t="shared" si="461"/>
        <v>0</v>
      </c>
      <c r="AG362" s="350">
        <f t="shared" si="461"/>
        <v>0</v>
      </c>
      <c r="AH362" s="350">
        <f t="shared" si="461"/>
        <v>0</v>
      </c>
      <c r="AI362" s="350">
        <f t="shared" si="461"/>
        <v>0</v>
      </c>
      <c r="AJ362" s="350">
        <f t="shared" si="461"/>
        <v>0</v>
      </c>
      <c r="AK362" s="350">
        <f t="shared" si="461"/>
        <v>0</v>
      </c>
      <c r="AL362" s="350">
        <f t="shared" si="461"/>
        <v>0</v>
      </c>
      <c r="AM362" s="350">
        <f t="shared" si="461"/>
        <v>0</v>
      </c>
      <c r="AN362" s="350">
        <f t="shared" si="461"/>
        <v>0</v>
      </c>
      <c r="AO362" s="350">
        <f t="shared" si="461"/>
        <v>0</v>
      </c>
      <c r="AP362" s="350">
        <f t="shared" si="461"/>
        <v>0</v>
      </c>
      <c r="AQ362" s="350">
        <f t="shared" si="461"/>
        <v>0</v>
      </c>
      <c r="AR362" s="350">
        <f t="shared" si="461"/>
        <v>0</v>
      </c>
      <c r="AS362" s="350">
        <f t="shared" si="461"/>
        <v>0</v>
      </c>
      <c r="AT362" s="350">
        <f t="shared" si="461"/>
        <v>0</v>
      </c>
      <c r="AU362" s="350">
        <f t="shared" si="461"/>
        <v>0</v>
      </c>
      <c r="AV362" s="350">
        <f t="shared" si="461"/>
        <v>0</v>
      </c>
      <c r="AW362" s="350">
        <f t="shared" si="461"/>
        <v>0</v>
      </c>
      <c r="AX362" s="350">
        <f t="shared" si="461"/>
        <v>0</v>
      </c>
      <c r="AY362" s="350">
        <f t="shared" si="461"/>
        <v>0</v>
      </c>
      <c r="AZ362" s="350">
        <f t="shared" si="461"/>
        <v>0</v>
      </c>
      <c r="BA362" s="350">
        <f t="shared" si="461"/>
        <v>0</v>
      </c>
      <c r="BB362" s="350">
        <f t="shared" si="461"/>
        <v>0</v>
      </c>
      <c r="BC362" s="350">
        <f t="shared" si="461"/>
        <v>0</v>
      </c>
      <c r="BD362" s="350">
        <f t="shared" si="461"/>
        <v>0</v>
      </c>
      <c r="BE362" s="350">
        <f t="shared" si="461"/>
        <v>0</v>
      </c>
      <c r="BF362" s="350">
        <f t="shared" si="461"/>
        <v>0</v>
      </c>
      <c r="BG362" s="350">
        <f t="shared" si="461"/>
        <v>0</v>
      </c>
      <c r="BH362" s="350">
        <f t="shared" si="461"/>
        <v>0</v>
      </c>
      <c r="BI362" s="350">
        <f t="shared" si="461"/>
        <v>0</v>
      </c>
      <c r="BJ362" s="350">
        <f t="shared" si="461"/>
        <v>0</v>
      </c>
      <c r="BK362" s="350">
        <f t="shared" si="461"/>
        <v>0</v>
      </c>
      <c r="BL362" s="350">
        <f t="shared" si="461"/>
        <v>0</v>
      </c>
      <c r="BM362" s="350">
        <f t="shared" si="461"/>
        <v>0</v>
      </c>
      <c r="BN362" s="350">
        <f t="shared" si="461"/>
        <v>0</v>
      </c>
      <c r="BO362" s="350">
        <f t="shared" si="461"/>
        <v>0</v>
      </c>
      <c r="BP362" s="350">
        <f t="shared" si="461"/>
        <v>0</v>
      </c>
      <c r="BQ362" s="350">
        <f t="shared" si="461"/>
        <v>0</v>
      </c>
      <c r="BR362" s="350">
        <f t="shared" si="461"/>
        <v>0</v>
      </c>
      <c r="BS362" s="350">
        <f t="shared" si="461"/>
        <v>0</v>
      </c>
      <c r="BT362" s="350">
        <f t="shared" si="461"/>
        <v>0</v>
      </c>
      <c r="BU362" s="350">
        <f t="shared" si="461"/>
        <v>0</v>
      </c>
      <c r="BV362" s="350">
        <f t="shared" ref="BV362:DW362" si="462">+SUM(BV360:BV361)</f>
        <v>0</v>
      </c>
      <c r="BW362" s="350">
        <f t="shared" si="462"/>
        <v>0</v>
      </c>
      <c r="BX362" s="350">
        <f t="shared" si="462"/>
        <v>0</v>
      </c>
      <c r="BY362" s="350">
        <f t="shared" si="462"/>
        <v>0</v>
      </c>
      <c r="BZ362" s="350">
        <f t="shared" si="462"/>
        <v>0</v>
      </c>
      <c r="CA362" s="350">
        <f t="shared" si="462"/>
        <v>0</v>
      </c>
      <c r="CB362" s="350">
        <f t="shared" si="462"/>
        <v>0</v>
      </c>
      <c r="CC362" s="350">
        <f t="shared" si="462"/>
        <v>0</v>
      </c>
      <c r="CD362" s="350">
        <f t="shared" si="462"/>
        <v>0</v>
      </c>
      <c r="CE362" s="350">
        <f>+SUM(CE360:CE361)</f>
        <v>0</v>
      </c>
      <c r="CF362" s="350">
        <f t="shared" si="462"/>
        <v>138943.30166389482</v>
      </c>
      <c r="CG362" s="350">
        <f t="shared" si="462"/>
        <v>0</v>
      </c>
      <c r="CH362" s="350">
        <f t="shared" si="462"/>
        <v>0</v>
      </c>
      <c r="CI362" s="350">
        <f t="shared" si="462"/>
        <v>0</v>
      </c>
      <c r="CJ362" s="350">
        <f t="shared" si="462"/>
        <v>0</v>
      </c>
      <c r="CK362" s="350">
        <f t="shared" si="462"/>
        <v>0</v>
      </c>
      <c r="CL362" s="350">
        <f t="shared" si="462"/>
        <v>0</v>
      </c>
      <c r="CM362" s="350">
        <f t="shared" si="462"/>
        <v>0</v>
      </c>
      <c r="CN362" s="350">
        <f t="shared" si="462"/>
        <v>0</v>
      </c>
      <c r="CO362" s="350">
        <f t="shared" si="462"/>
        <v>0</v>
      </c>
      <c r="CP362" s="350">
        <f t="shared" si="462"/>
        <v>0</v>
      </c>
      <c r="CQ362" s="350">
        <f t="shared" si="462"/>
        <v>0</v>
      </c>
      <c r="CR362" s="350">
        <f t="shared" si="462"/>
        <v>0</v>
      </c>
      <c r="CS362" s="350">
        <f t="shared" si="462"/>
        <v>0</v>
      </c>
      <c r="CT362" s="350">
        <f t="shared" si="462"/>
        <v>0</v>
      </c>
      <c r="CU362" s="350">
        <f t="shared" si="462"/>
        <v>0</v>
      </c>
      <c r="CV362" s="350">
        <f t="shared" si="462"/>
        <v>0</v>
      </c>
      <c r="CW362" s="350">
        <f t="shared" si="462"/>
        <v>0</v>
      </c>
      <c r="CX362" s="350">
        <f t="shared" si="462"/>
        <v>0</v>
      </c>
      <c r="CY362" s="350">
        <f t="shared" si="462"/>
        <v>0</v>
      </c>
      <c r="CZ362" s="350">
        <f t="shared" si="462"/>
        <v>0</v>
      </c>
      <c r="DA362" s="350">
        <f t="shared" si="462"/>
        <v>0</v>
      </c>
      <c r="DB362" s="350">
        <f t="shared" si="462"/>
        <v>0</v>
      </c>
      <c r="DC362" s="350">
        <f t="shared" si="462"/>
        <v>0</v>
      </c>
      <c r="DD362" s="350">
        <f t="shared" si="462"/>
        <v>0</v>
      </c>
      <c r="DE362" s="350">
        <f t="shared" si="462"/>
        <v>0</v>
      </c>
      <c r="DF362" s="350">
        <f t="shared" si="462"/>
        <v>0</v>
      </c>
      <c r="DG362" s="350">
        <f t="shared" si="462"/>
        <v>0</v>
      </c>
      <c r="DH362" s="350">
        <f t="shared" si="462"/>
        <v>0</v>
      </c>
      <c r="DI362" s="350">
        <f t="shared" si="462"/>
        <v>0</v>
      </c>
      <c r="DJ362" s="350">
        <f t="shared" si="462"/>
        <v>0</v>
      </c>
      <c r="DK362" s="350">
        <f t="shared" si="462"/>
        <v>0</v>
      </c>
      <c r="DL362" s="350">
        <f t="shared" si="462"/>
        <v>0</v>
      </c>
      <c r="DM362" s="350">
        <f t="shared" si="462"/>
        <v>0</v>
      </c>
      <c r="DN362" s="350">
        <f t="shared" si="462"/>
        <v>0</v>
      </c>
      <c r="DO362" s="350">
        <f t="shared" si="462"/>
        <v>0</v>
      </c>
      <c r="DP362" s="350">
        <f t="shared" si="462"/>
        <v>0</v>
      </c>
      <c r="DQ362" s="350">
        <f t="shared" si="462"/>
        <v>0</v>
      </c>
      <c r="DR362" s="350">
        <f t="shared" si="462"/>
        <v>0</v>
      </c>
      <c r="DS362" s="350">
        <f t="shared" si="462"/>
        <v>0</v>
      </c>
      <c r="DT362" s="350">
        <f t="shared" si="462"/>
        <v>0</v>
      </c>
      <c r="DU362" s="350">
        <f t="shared" si="462"/>
        <v>0</v>
      </c>
      <c r="DV362" s="350">
        <f t="shared" si="462"/>
        <v>0</v>
      </c>
      <c r="DW362" s="350">
        <f t="shared" si="462"/>
        <v>0</v>
      </c>
      <c r="DX362" s="350">
        <f t="shared" ref="DX362" si="463">+SUM(DX360:DX361)</f>
        <v>0</v>
      </c>
      <c r="DY362" s="350">
        <f t="shared" ref="DY362" si="464">+SUM(DY360:DY361)</f>
        <v>0</v>
      </c>
    </row>
    <row r="363" spans="1:129" s="3" customFormat="1" ht="11.7" customHeight="1" outlineLevel="1" thickTop="1" x14ac:dyDescent="0.3">
      <c r="G363" s="127"/>
      <c r="H363" s="127"/>
      <c r="I363" s="111"/>
      <c r="J363" s="111"/>
      <c r="K363" s="111"/>
      <c r="L363" s="111"/>
      <c r="M363" s="111"/>
      <c r="N363" s="111"/>
      <c r="O363" s="111"/>
      <c r="P363" s="111"/>
      <c r="Q363" s="111"/>
      <c r="R363" s="111"/>
      <c r="S363" s="111"/>
      <c r="T363" s="111"/>
      <c r="U363" s="111"/>
      <c r="V363" s="111"/>
      <c r="W363" s="111"/>
      <c r="X363" s="111"/>
      <c r="Y363" s="111"/>
      <c r="Z363" s="111"/>
      <c r="AA363" s="111"/>
      <c r="AB363" s="111"/>
      <c r="AC363" s="111"/>
      <c r="AD363" s="111"/>
      <c r="AE363" s="111"/>
      <c r="AF363" s="111"/>
      <c r="AG363" s="111"/>
      <c r="AH363" s="111"/>
      <c r="AI363" s="111"/>
      <c r="AJ363" s="111"/>
      <c r="AK363" s="111"/>
      <c r="AL363" s="111"/>
      <c r="AM363" s="111"/>
      <c r="AN363" s="111"/>
      <c r="AO363" s="111"/>
      <c r="AP363" s="111"/>
      <c r="AQ363" s="111"/>
      <c r="AR363" s="111"/>
      <c r="AS363" s="111"/>
      <c r="AT363" s="111"/>
      <c r="AU363" s="111"/>
      <c r="AV363" s="111"/>
      <c r="AW363" s="111"/>
      <c r="AX363" s="111"/>
      <c r="AY363" s="111"/>
      <c r="AZ363" s="111"/>
      <c r="BA363" s="111"/>
      <c r="BB363" s="111"/>
      <c r="BC363" s="111"/>
      <c r="BD363" s="111"/>
      <c r="BE363" s="111"/>
      <c r="BF363" s="111"/>
      <c r="BG363" s="111"/>
      <c r="BH363" s="111"/>
      <c r="BI363" s="111"/>
      <c r="BJ363" s="111"/>
      <c r="BK363" s="111"/>
      <c r="BL363" s="111"/>
      <c r="BM363" s="111"/>
      <c r="BN363" s="111"/>
      <c r="BO363" s="111"/>
      <c r="BP363" s="111"/>
      <c r="BQ363" s="111"/>
      <c r="BR363" s="111"/>
      <c r="BS363" s="111"/>
      <c r="BT363" s="111"/>
      <c r="BU363" s="111"/>
      <c r="BV363" s="111"/>
      <c r="BW363" s="111"/>
      <c r="BX363" s="111"/>
      <c r="BY363" s="111"/>
      <c r="BZ363" s="111"/>
      <c r="CA363" s="111"/>
      <c r="CB363" s="111"/>
      <c r="CC363" s="111"/>
      <c r="CD363" s="111"/>
      <c r="CE363" s="111"/>
      <c r="CF363" s="111"/>
      <c r="CG363" s="111"/>
      <c r="CH363" s="111"/>
      <c r="CI363" s="111"/>
      <c r="CJ363" s="111"/>
      <c r="CK363" s="111"/>
      <c r="CL363" s="111"/>
      <c r="CM363" s="111"/>
      <c r="CN363" s="111"/>
      <c r="CO363" s="111"/>
      <c r="CP363" s="111"/>
      <c r="CQ363" s="111"/>
      <c r="CR363" s="111"/>
      <c r="CS363" s="111"/>
      <c r="CT363" s="111"/>
      <c r="CU363" s="111"/>
      <c r="CV363" s="111"/>
      <c r="CW363" s="111"/>
      <c r="CX363" s="111"/>
      <c r="CY363" s="111"/>
      <c r="CZ363" s="111"/>
      <c r="DA363" s="111"/>
      <c r="DB363" s="111"/>
      <c r="DC363" s="111"/>
      <c r="DD363" s="111"/>
      <c r="DE363" s="111"/>
      <c r="DF363" s="111"/>
      <c r="DG363" s="111"/>
      <c r="DH363" s="111"/>
      <c r="DI363" s="111"/>
      <c r="DJ363" s="111"/>
      <c r="DK363" s="111"/>
      <c r="DL363" s="111"/>
      <c r="DM363" s="111"/>
      <c r="DN363" s="111"/>
      <c r="DO363" s="111"/>
      <c r="DP363" s="111"/>
      <c r="DQ363" s="111"/>
      <c r="DR363" s="111"/>
      <c r="DS363" s="111"/>
      <c r="DT363" s="111"/>
      <c r="DU363" s="111"/>
      <c r="DV363" s="111"/>
      <c r="DW363" s="111"/>
      <c r="DX363" s="111"/>
      <c r="DY363" s="111"/>
    </row>
    <row r="364" spans="1:129" s="3" customFormat="1" ht="11.7" customHeight="1" x14ac:dyDescent="0.3">
      <c r="G364" s="127"/>
      <c r="H364" s="127"/>
      <c r="I364" s="111"/>
      <c r="J364" s="111"/>
      <c r="K364" s="111"/>
      <c r="L364" s="111"/>
      <c r="M364" s="111"/>
      <c r="N364" s="111"/>
      <c r="O364" s="111"/>
      <c r="P364" s="111"/>
      <c r="Q364" s="111"/>
      <c r="R364" s="111"/>
      <c r="S364" s="111"/>
      <c r="T364" s="111"/>
      <c r="U364" s="111"/>
      <c r="V364" s="111"/>
      <c r="W364" s="111"/>
      <c r="X364" s="111"/>
      <c r="Y364" s="111"/>
      <c r="Z364" s="111"/>
      <c r="AA364" s="111"/>
      <c r="AB364" s="111"/>
      <c r="AC364" s="111"/>
      <c r="AD364" s="111"/>
      <c r="AE364" s="111"/>
      <c r="AF364" s="111"/>
      <c r="AG364" s="111"/>
      <c r="AH364" s="111"/>
      <c r="AI364" s="111"/>
      <c r="AJ364" s="111"/>
      <c r="AK364" s="111"/>
      <c r="AL364" s="111"/>
      <c r="AM364" s="111"/>
      <c r="AN364" s="111"/>
      <c r="AO364" s="111"/>
      <c r="AP364" s="111"/>
      <c r="AQ364" s="111"/>
      <c r="AR364" s="111"/>
      <c r="AS364" s="111"/>
      <c r="AT364" s="111"/>
      <c r="AU364" s="111"/>
      <c r="AV364" s="111"/>
      <c r="AW364" s="111"/>
      <c r="AX364" s="111"/>
      <c r="AY364" s="111"/>
      <c r="AZ364" s="111"/>
      <c r="BA364" s="111"/>
      <c r="BB364" s="111"/>
      <c r="BC364" s="111"/>
      <c r="BD364" s="111"/>
      <c r="BE364" s="111"/>
      <c r="BF364" s="111"/>
      <c r="BG364" s="111"/>
      <c r="BH364" s="111"/>
      <c r="BI364" s="111"/>
      <c r="BJ364" s="111"/>
      <c r="BK364" s="111"/>
      <c r="BL364" s="111"/>
      <c r="BM364" s="111"/>
      <c r="BN364" s="111"/>
      <c r="BO364" s="111"/>
      <c r="BP364" s="111"/>
      <c r="BQ364" s="111"/>
      <c r="BR364" s="111"/>
      <c r="BS364" s="111"/>
      <c r="BT364" s="111"/>
      <c r="BU364" s="111"/>
      <c r="BV364" s="111"/>
      <c r="BW364" s="111"/>
      <c r="BX364" s="111"/>
      <c r="BY364" s="111"/>
      <c r="BZ364" s="111"/>
      <c r="CA364" s="111"/>
      <c r="CB364" s="111"/>
      <c r="CC364" s="111"/>
      <c r="CD364" s="111"/>
      <c r="CE364" s="111"/>
      <c r="CF364" s="111"/>
      <c r="CG364" s="111"/>
      <c r="CH364" s="111"/>
      <c r="CI364" s="111"/>
      <c r="CJ364" s="111"/>
      <c r="CK364" s="111"/>
      <c r="CL364" s="111"/>
      <c r="CM364" s="111"/>
      <c r="CN364" s="111"/>
      <c r="CO364" s="111"/>
      <c r="CP364" s="111"/>
      <c r="CQ364" s="111"/>
      <c r="CR364" s="111"/>
      <c r="CS364" s="111"/>
      <c r="CT364" s="111"/>
      <c r="CU364" s="111"/>
      <c r="CV364" s="111"/>
      <c r="CW364" s="111"/>
      <c r="CX364" s="111"/>
      <c r="CY364" s="111"/>
      <c r="CZ364" s="111"/>
      <c r="DA364" s="111"/>
      <c r="DB364" s="111"/>
      <c r="DC364" s="111"/>
      <c r="DD364" s="111"/>
      <c r="DE364" s="111"/>
      <c r="DF364" s="111"/>
      <c r="DG364" s="111"/>
      <c r="DH364" s="111"/>
      <c r="DI364" s="111"/>
      <c r="DJ364" s="111"/>
      <c r="DK364" s="111"/>
      <c r="DL364" s="111"/>
      <c r="DM364" s="111"/>
      <c r="DN364" s="111"/>
      <c r="DO364" s="111"/>
      <c r="DP364" s="111"/>
      <c r="DQ364" s="111"/>
      <c r="DR364" s="111"/>
      <c r="DS364" s="111"/>
      <c r="DT364" s="111"/>
      <c r="DU364" s="111"/>
      <c r="DV364" s="111"/>
      <c r="DW364" s="111"/>
      <c r="DX364" s="111"/>
      <c r="DY364" s="111"/>
    </row>
    <row r="365" spans="1:129" s="5" customFormat="1" ht="11.7" customHeight="1" x14ac:dyDescent="0.3">
      <c r="A365" s="3"/>
      <c r="B365" s="313" t="s">
        <v>134</v>
      </c>
      <c r="C365" s="313"/>
      <c r="D365" s="313"/>
      <c r="E365" s="313"/>
      <c r="F365" s="313"/>
      <c r="G365" s="313"/>
      <c r="H365" s="313"/>
      <c r="I365" s="313"/>
      <c r="J365" s="313"/>
      <c r="K365" s="313"/>
      <c r="L365" s="313"/>
      <c r="M365" s="313"/>
      <c r="N365" s="313"/>
      <c r="O365" s="313"/>
      <c r="P365" s="313"/>
      <c r="Q365" s="313"/>
      <c r="R365" s="313"/>
      <c r="S365" s="313"/>
      <c r="T365" s="313"/>
      <c r="U365" s="313"/>
      <c r="V365" s="313"/>
      <c r="W365" s="313"/>
      <c r="X365" s="313"/>
      <c r="Y365" s="313"/>
      <c r="Z365" s="313"/>
      <c r="AA365" s="313"/>
      <c r="AB365" s="313"/>
      <c r="AC365" s="313"/>
      <c r="AD365" s="313"/>
      <c r="AE365" s="313"/>
      <c r="AF365" s="313"/>
      <c r="AG365" s="313"/>
      <c r="AH365" s="313"/>
      <c r="AI365" s="313"/>
      <c r="AJ365" s="313"/>
      <c r="AK365" s="313"/>
      <c r="AL365" s="313"/>
      <c r="AM365" s="313"/>
      <c r="AN365" s="313"/>
      <c r="AO365" s="313"/>
      <c r="AP365" s="313"/>
      <c r="AQ365" s="313"/>
      <c r="AR365" s="313"/>
      <c r="AS365" s="313"/>
      <c r="AT365" s="313"/>
      <c r="AU365" s="313"/>
      <c r="AV365" s="313"/>
      <c r="AW365" s="313"/>
      <c r="AX365" s="313"/>
      <c r="AY365" s="313"/>
      <c r="AZ365" s="313"/>
      <c r="BA365" s="313"/>
      <c r="BB365" s="313"/>
      <c r="BC365" s="313"/>
      <c r="BD365" s="313"/>
      <c r="BE365" s="313"/>
      <c r="BF365" s="313"/>
      <c r="BG365" s="313"/>
      <c r="BH365" s="313"/>
      <c r="BI365" s="313"/>
      <c r="BJ365" s="313"/>
      <c r="BK365" s="313"/>
      <c r="BL365" s="313"/>
      <c r="BM365" s="313"/>
      <c r="BN365" s="313"/>
      <c r="BO365" s="313"/>
      <c r="BP365" s="313"/>
      <c r="BQ365" s="313"/>
      <c r="BR365" s="313"/>
      <c r="BS365" s="313"/>
      <c r="BT365" s="313"/>
      <c r="BU365" s="313"/>
      <c r="BV365" s="313"/>
      <c r="BW365" s="313"/>
      <c r="BX365" s="313"/>
      <c r="BY365" s="313"/>
      <c r="BZ365" s="313"/>
      <c r="CA365" s="313"/>
      <c r="CB365" s="313"/>
      <c r="CC365" s="313"/>
      <c r="CD365" s="313"/>
      <c r="CE365" s="313"/>
      <c r="CF365" s="313"/>
      <c r="CG365" s="313"/>
      <c r="CH365" s="313"/>
      <c r="CI365" s="313"/>
      <c r="CJ365" s="313"/>
      <c r="CK365" s="313"/>
      <c r="CL365" s="313"/>
      <c r="CM365" s="313"/>
      <c r="CN365" s="313"/>
      <c r="CO365" s="313"/>
      <c r="CP365" s="313"/>
      <c r="CQ365" s="313"/>
      <c r="CR365" s="313"/>
      <c r="CS365" s="313"/>
      <c r="CT365" s="313"/>
      <c r="CU365" s="313"/>
      <c r="CV365" s="313"/>
      <c r="CW365" s="313"/>
      <c r="CX365" s="313"/>
      <c r="CY365" s="313"/>
      <c r="CZ365" s="313"/>
      <c r="DA365" s="313"/>
      <c r="DB365" s="313"/>
      <c r="DC365" s="313"/>
      <c r="DD365" s="313"/>
      <c r="DE365" s="313"/>
      <c r="DF365" s="313"/>
      <c r="DG365" s="313"/>
      <c r="DH365" s="313"/>
      <c r="DI365" s="313"/>
      <c r="DJ365" s="313"/>
      <c r="DK365" s="313"/>
      <c r="DL365" s="313"/>
      <c r="DM365" s="313"/>
      <c r="DN365" s="313"/>
      <c r="DO365" s="313"/>
      <c r="DP365" s="313"/>
      <c r="DQ365" s="313"/>
      <c r="DR365" s="313"/>
      <c r="DS365" s="313"/>
      <c r="DT365" s="313"/>
      <c r="DU365" s="313"/>
      <c r="DV365" s="313"/>
      <c r="DW365" s="313"/>
      <c r="DX365" s="313"/>
      <c r="DY365" s="313"/>
    </row>
    <row r="366" spans="1:129" s="5" customFormat="1" ht="11.7" customHeight="1" outlineLevel="1" x14ac:dyDescent="0.3">
      <c r="A366" s="3"/>
      <c r="B366" s="130"/>
      <c r="C366" s="130"/>
      <c r="D366" s="3"/>
      <c r="E366" s="3"/>
      <c r="F366" s="3"/>
      <c r="G366" s="127"/>
      <c r="H366" s="127"/>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c r="AQ366" s="14"/>
      <c r="AR366" s="14"/>
      <c r="AS366" s="14"/>
      <c r="AT366" s="14"/>
      <c r="AU366" s="14"/>
      <c r="AV366" s="14"/>
      <c r="AW366" s="14"/>
      <c r="AX366" s="14"/>
      <c r="AY366" s="14"/>
      <c r="AZ366" s="14"/>
      <c r="BA366" s="14"/>
      <c r="BB366" s="14"/>
      <c r="BC366" s="14"/>
      <c r="BD366" s="14"/>
      <c r="BE366" s="14"/>
      <c r="BF366" s="14"/>
      <c r="BG366" s="14"/>
      <c r="BH366" s="14"/>
      <c r="BI366" s="14"/>
      <c r="BJ366" s="14"/>
      <c r="BK366" s="14"/>
      <c r="BL366" s="14"/>
      <c r="BM366" s="14"/>
      <c r="BN366" s="14"/>
      <c r="BO366" s="14"/>
      <c r="BP366" s="14"/>
      <c r="BQ366" s="14"/>
      <c r="BR366" s="14"/>
      <c r="BS366" s="14"/>
      <c r="BT366" s="14"/>
      <c r="BU366" s="14"/>
      <c r="BV366" s="14"/>
      <c r="BW366" s="14"/>
      <c r="BX366" s="14"/>
      <c r="BY366" s="14"/>
      <c r="BZ366" s="14"/>
      <c r="CA366" s="14"/>
      <c r="CB366" s="14"/>
      <c r="CC366" s="14"/>
      <c r="CD366" s="14"/>
      <c r="CE366" s="14"/>
      <c r="CF366" s="14"/>
      <c r="CG366" s="14"/>
      <c r="CH366" s="14"/>
      <c r="CI366" s="14"/>
      <c r="CJ366" s="14"/>
      <c r="CK366" s="14"/>
      <c r="CL366" s="14"/>
      <c r="CM366" s="14"/>
      <c r="CN366" s="14"/>
      <c r="CO366" s="14"/>
      <c r="CP366" s="14"/>
      <c r="CQ366" s="14"/>
      <c r="CR366" s="14"/>
      <c r="CS366" s="14"/>
      <c r="CT366" s="14"/>
      <c r="CU366" s="14"/>
      <c r="CV366" s="14"/>
      <c r="CW366" s="14"/>
      <c r="CX366" s="14"/>
      <c r="CY366" s="14"/>
      <c r="CZ366" s="14"/>
      <c r="DA366" s="14"/>
      <c r="DB366" s="14"/>
      <c r="DC366" s="14"/>
      <c r="DD366" s="14"/>
      <c r="DE366" s="14"/>
      <c r="DF366" s="14"/>
      <c r="DG366" s="14"/>
      <c r="DH366" s="14"/>
      <c r="DI366" s="14"/>
      <c r="DJ366" s="14"/>
      <c r="DK366" s="14"/>
      <c r="DL366" s="14"/>
      <c r="DM366" s="14"/>
      <c r="DN366" s="14"/>
      <c r="DO366" s="14"/>
      <c r="DP366" s="14"/>
      <c r="DQ366" s="14"/>
      <c r="DR366" s="14"/>
      <c r="DS366" s="14"/>
      <c r="DT366" s="14"/>
      <c r="DU366" s="14"/>
      <c r="DV366" s="14"/>
      <c r="DW366" s="14"/>
      <c r="DX366" s="14"/>
      <c r="DY366" s="14"/>
    </row>
    <row r="367" spans="1:129" s="5" customFormat="1" ht="11.7" customHeight="1" outlineLevel="1" x14ac:dyDescent="0.3">
      <c r="A367" s="3"/>
      <c r="B367" s="177" t="s">
        <v>41</v>
      </c>
      <c r="C367" s="177"/>
      <c r="D367" s="3"/>
      <c r="E367" s="3"/>
      <c r="F367" s="3"/>
      <c r="G367" s="127"/>
      <c r="H367" s="127"/>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c r="AQ367" s="14"/>
      <c r="AR367" s="14"/>
      <c r="AS367" s="14"/>
      <c r="AT367" s="14"/>
      <c r="AU367" s="14"/>
      <c r="AV367" s="14"/>
      <c r="AW367" s="14"/>
      <c r="AX367" s="14"/>
      <c r="AY367" s="14"/>
      <c r="AZ367" s="14"/>
      <c r="BA367" s="14"/>
      <c r="BB367" s="14"/>
      <c r="BC367" s="14"/>
      <c r="BD367" s="14"/>
      <c r="BE367" s="14"/>
      <c r="BF367" s="14"/>
      <c r="BG367" s="14"/>
      <c r="BH367" s="14"/>
      <c r="BI367" s="14"/>
      <c r="BJ367" s="14"/>
      <c r="BK367" s="14"/>
      <c r="BL367" s="14"/>
      <c r="BM367" s="14"/>
      <c r="BN367" s="14"/>
      <c r="BO367" s="14"/>
      <c r="BP367" s="14"/>
      <c r="BQ367" s="14"/>
      <c r="BR367" s="14"/>
      <c r="BS367" s="14"/>
      <c r="BT367" s="14"/>
      <c r="BU367" s="14"/>
      <c r="BV367" s="14"/>
      <c r="BW367" s="14"/>
      <c r="BX367" s="14"/>
      <c r="BY367" s="14"/>
      <c r="BZ367" s="14"/>
      <c r="CA367" s="14"/>
      <c r="CB367" s="14"/>
      <c r="CC367" s="14"/>
      <c r="CD367" s="14"/>
      <c r="CE367" s="14"/>
      <c r="CF367" s="14"/>
      <c r="CG367" s="14"/>
      <c r="CH367" s="14"/>
      <c r="CI367" s="14"/>
      <c r="CJ367" s="14"/>
      <c r="CK367" s="14"/>
      <c r="CL367" s="14"/>
      <c r="CM367" s="14"/>
      <c r="CN367" s="14"/>
      <c r="CO367" s="14"/>
      <c r="CP367" s="14"/>
      <c r="CQ367" s="14"/>
      <c r="CR367" s="14"/>
      <c r="CS367" s="14"/>
      <c r="CT367" s="14"/>
      <c r="CU367" s="14"/>
      <c r="CV367" s="14"/>
      <c r="CW367" s="14"/>
      <c r="CX367" s="14"/>
      <c r="CY367" s="14"/>
      <c r="CZ367" s="14"/>
      <c r="DA367" s="14"/>
      <c r="DB367" s="14"/>
      <c r="DC367" s="14"/>
      <c r="DD367" s="14"/>
      <c r="DE367" s="14"/>
      <c r="DF367" s="14"/>
      <c r="DG367" s="14"/>
      <c r="DH367" s="14"/>
      <c r="DI367" s="14"/>
      <c r="DJ367" s="14"/>
      <c r="DK367" s="14"/>
      <c r="DL367" s="14"/>
      <c r="DM367" s="14"/>
      <c r="DN367" s="14"/>
      <c r="DO367" s="14"/>
      <c r="DP367" s="14"/>
      <c r="DQ367" s="14"/>
      <c r="DR367" s="14"/>
      <c r="DS367" s="14"/>
      <c r="DT367" s="14"/>
      <c r="DU367" s="14"/>
      <c r="DV367" s="14"/>
      <c r="DW367" s="14"/>
      <c r="DX367" s="14"/>
      <c r="DY367" s="14"/>
    </row>
    <row r="368" spans="1:129" s="5" customFormat="1" ht="11.7" customHeight="1" outlineLevel="1" x14ac:dyDescent="0.3">
      <c r="A368" s="3"/>
      <c r="B368" s="149" t="s">
        <v>42</v>
      </c>
      <c r="C368" s="149"/>
      <c r="D368" s="701">
        <f>1-D370</f>
        <v>0.3159135433982132</v>
      </c>
      <c r="E368" s="3"/>
      <c r="F368" s="3"/>
      <c r="G368" s="127"/>
      <c r="H368" s="127"/>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c r="AQ368" s="14"/>
      <c r="AR368" s="14"/>
      <c r="AS368" s="14"/>
      <c r="AT368" s="14"/>
      <c r="AU368" s="14"/>
      <c r="AV368" s="14"/>
      <c r="AW368" s="14"/>
      <c r="AX368" s="14"/>
      <c r="AY368" s="14"/>
      <c r="AZ368" s="14"/>
      <c r="BA368" s="14"/>
      <c r="BB368" s="14"/>
      <c r="BC368" s="14"/>
      <c r="BD368" s="14"/>
      <c r="BE368" s="14"/>
      <c r="BF368" s="14"/>
      <c r="BG368" s="14"/>
      <c r="BH368" s="14"/>
      <c r="BI368" s="14"/>
      <c r="BJ368" s="14"/>
      <c r="BK368" s="14"/>
      <c r="BL368" s="14"/>
      <c r="BM368" s="14"/>
      <c r="BN368" s="14"/>
      <c r="BO368" s="14"/>
      <c r="BP368" s="14"/>
      <c r="BQ368" s="14"/>
      <c r="BR368" s="14"/>
      <c r="BS368" s="14"/>
      <c r="BT368" s="14"/>
      <c r="BU368" s="14"/>
      <c r="BV368" s="14"/>
      <c r="BW368" s="14"/>
      <c r="BX368" s="14"/>
      <c r="BY368" s="14"/>
      <c r="BZ368" s="14"/>
      <c r="CA368" s="14"/>
      <c r="CB368" s="14"/>
      <c r="CC368" s="14"/>
      <c r="CD368" s="14"/>
      <c r="CE368" s="14"/>
      <c r="CF368" s="14"/>
      <c r="CG368" s="14"/>
      <c r="CH368" s="14"/>
      <c r="CI368" s="14"/>
      <c r="CJ368" s="14"/>
      <c r="CK368" s="14"/>
      <c r="CL368" s="14"/>
      <c r="CM368" s="14"/>
      <c r="CN368" s="14"/>
      <c r="CO368" s="14"/>
      <c r="CP368" s="14"/>
      <c r="CQ368" s="14"/>
      <c r="CR368" s="14"/>
      <c r="CS368" s="14"/>
      <c r="CT368" s="14"/>
      <c r="CU368" s="14"/>
      <c r="CV368" s="14"/>
      <c r="CW368" s="14"/>
      <c r="CX368" s="14"/>
      <c r="CY368" s="14"/>
      <c r="CZ368" s="14"/>
      <c r="DA368" s="14"/>
      <c r="DB368" s="14"/>
      <c r="DC368" s="14"/>
      <c r="DD368" s="14"/>
      <c r="DE368" s="14"/>
      <c r="DF368" s="14"/>
      <c r="DG368" s="14"/>
      <c r="DH368" s="14"/>
      <c r="DI368" s="14"/>
      <c r="DJ368" s="14"/>
      <c r="DK368" s="14"/>
      <c r="DL368" s="14"/>
      <c r="DM368" s="14"/>
      <c r="DN368" s="14"/>
      <c r="DO368" s="14"/>
      <c r="DP368" s="14"/>
      <c r="DQ368" s="14"/>
      <c r="DR368" s="14"/>
      <c r="DS368" s="14"/>
      <c r="DT368" s="14"/>
      <c r="DU368" s="14"/>
      <c r="DV368" s="14"/>
      <c r="DW368" s="14"/>
      <c r="DX368" s="14"/>
      <c r="DY368" s="14"/>
    </row>
    <row r="369" spans="1:129" s="5" customFormat="1" ht="11.7" customHeight="1" outlineLevel="1" x14ac:dyDescent="0.3">
      <c r="A369" s="3"/>
      <c r="B369" s="113" t="s">
        <v>416</v>
      </c>
      <c r="C369" s="113"/>
      <c r="D369" s="648">
        <f>+SUM(-G67,G340)*D368</f>
        <v>194881.55326132083</v>
      </c>
      <c r="E369" s="706"/>
      <c r="F369" s="3"/>
      <c r="G369" s="127"/>
      <c r="H369" s="127"/>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c r="AQ369" s="14"/>
      <c r="AR369" s="14"/>
      <c r="AS369" s="14"/>
      <c r="AT369" s="14"/>
      <c r="AU369" s="14"/>
      <c r="AV369" s="14"/>
      <c r="AW369" s="14"/>
      <c r="AX369" s="14"/>
      <c r="AY369" s="14"/>
      <c r="AZ369" s="14"/>
      <c r="BA369" s="14"/>
      <c r="BB369" s="14"/>
      <c r="BC369" s="14"/>
      <c r="BD369" s="14"/>
      <c r="BE369" s="14"/>
      <c r="BF369" s="14"/>
      <c r="BG369" s="14"/>
      <c r="BH369" s="14"/>
      <c r="BI369" s="14"/>
      <c r="BJ369" s="14"/>
      <c r="BK369" s="14"/>
      <c r="BL369" s="14"/>
      <c r="BM369" s="14"/>
      <c r="BN369" s="14"/>
      <c r="BO369" s="14"/>
      <c r="BP369" s="14"/>
      <c r="BQ369" s="14"/>
      <c r="BR369" s="14"/>
      <c r="BS369" s="14"/>
      <c r="BT369" s="14"/>
      <c r="BU369" s="14"/>
      <c r="BV369" s="14"/>
      <c r="BW369" s="14"/>
      <c r="BX369" s="14"/>
      <c r="BY369" s="14"/>
      <c r="BZ369" s="14"/>
      <c r="CA369" s="14"/>
      <c r="CB369" s="14"/>
      <c r="CC369" s="14"/>
      <c r="CD369" s="14"/>
      <c r="CE369" s="14"/>
      <c r="CF369" s="14"/>
      <c r="CG369" s="14"/>
      <c r="CH369" s="14"/>
      <c r="CI369" s="14"/>
      <c r="CJ369" s="14"/>
      <c r="CK369" s="14"/>
      <c r="CL369" s="14"/>
      <c r="CM369" s="14"/>
      <c r="CN369" s="14"/>
      <c r="CO369" s="14"/>
      <c r="CP369" s="14"/>
      <c r="CQ369" s="14"/>
      <c r="CR369" s="14"/>
      <c r="CS369" s="14"/>
      <c r="CT369" s="14"/>
      <c r="CU369" s="14"/>
      <c r="CV369" s="14"/>
      <c r="CW369" s="14"/>
      <c r="CX369" s="14"/>
      <c r="CY369" s="14"/>
      <c r="CZ369" s="14"/>
      <c r="DA369" s="14"/>
      <c r="DB369" s="14"/>
      <c r="DC369" s="14"/>
      <c r="DD369" s="14"/>
      <c r="DE369" s="14"/>
      <c r="DF369" s="14"/>
      <c r="DG369" s="14"/>
      <c r="DH369" s="14"/>
      <c r="DI369" s="14"/>
      <c r="DJ369" s="14"/>
      <c r="DK369" s="14"/>
      <c r="DL369" s="14"/>
      <c r="DM369" s="14"/>
      <c r="DN369" s="14"/>
      <c r="DO369" s="14"/>
      <c r="DP369" s="14"/>
      <c r="DQ369" s="14"/>
      <c r="DR369" s="14"/>
      <c r="DS369" s="14"/>
      <c r="DT369" s="14"/>
      <c r="DU369" s="14"/>
      <c r="DV369" s="14"/>
      <c r="DW369" s="14"/>
      <c r="DX369" s="14"/>
      <c r="DY369" s="14"/>
    </row>
    <row r="370" spans="1:129" s="5" customFormat="1" ht="11.7" customHeight="1" outlineLevel="1" x14ac:dyDescent="0.3">
      <c r="A370" s="3"/>
      <c r="B370" s="149" t="s">
        <v>130</v>
      </c>
      <c r="C370" s="149"/>
      <c r="D370" s="701">
        <f>+D371/SUM(-G67,G340)</f>
        <v>0.6840864566017868</v>
      </c>
      <c r="E370" s="3"/>
      <c r="F370" s="3"/>
      <c r="G370" s="127"/>
      <c r="H370" s="127"/>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c r="AQ370" s="14"/>
      <c r="AR370" s="14"/>
      <c r="AS370" s="14"/>
      <c r="AT370" s="14"/>
      <c r="AU370" s="14"/>
      <c r="AV370" s="14"/>
      <c r="AW370" s="14"/>
      <c r="AX370" s="14"/>
      <c r="AY370" s="14"/>
      <c r="AZ370" s="14"/>
      <c r="BA370" s="14"/>
      <c r="BB370" s="14"/>
      <c r="BC370" s="14"/>
      <c r="BD370" s="14"/>
      <c r="BE370" s="14"/>
      <c r="BF370" s="14"/>
      <c r="BG370" s="14"/>
      <c r="BH370" s="14"/>
      <c r="BI370" s="14"/>
      <c r="BJ370" s="14"/>
      <c r="BK370" s="14"/>
      <c r="BL370" s="14"/>
      <c r="BM370" s="14"/>
      <c r="BN370" s="14"/>
      <c r="BO370" s="14"/>
      <c r="BP370" s="14"/>
      <c r="BQ370" s="14"/>
      <c r="BR370" s="14"/>
      <c r="BS370" s="14"/>
      <c r="BT370" s="14"/>
      <c r="BU370" s="14"/>
      <c r="BV370" s="14"/>
      <c r="BW370" s="14"/>
      <c r="BX370" s="14"/>
      <c r="BY370" s="14"/>
      <c r="BZ370" s="14"/>
      <c r="CA370" s="14"/>
      <c r="CB370" s="14"/>
      <c r="CC370" s="14"/>
      <c r="CD370" s="14"/>
      <c r="CE370" s="14"/>
      <c r="CF370" s="14"/>
      <c r="CG370" s="14"/>
      <c r="CH370" s="14"/>
      <c r="CI370" s="14"/>
      <c r="CJ370" s="14"/>
      <c r="CK370" s="14"/>
      <c r="CL370" s="14"/>
      <c r="CM370" s="14"/>
      <c r="CN370" s="14"/>
      <c r="CO370" s="14"/>
      <c r="CP370" s="14"/>
      <c r="CQ370" s="14"/>
      <c r="CR370" s="14"/>
      <c r="CS370" s="14"/>
      <c r="CT370" s="14"/>
      <c r="CU370" s="14"/>
      <c r="CV370" s="14"/>
      <c r="CW370" s="14"/>
      <c r="CX370" s="14"/>
      <c r="CY370" s="14"/>
      <c r="CZ370" s="14"/>
      <c r="DA370" s="14"/>
      <c r="DB370" s="14"/>
      <c r="DC370" s="14"/>
      <c r="DD370" s="14"/>
      <c r="DE370" s="14"/>
      <c r="DF370" s="14"/>
      <c r="DG370" s="14"/>
      <c r="DH370" s="14"/>
      <c r="DI370" s="14"/>
      <c r="DJ370" s="14"/>
      <c r="DK370" s="14"/>
      <c r="DL370" s="14"/>
      <c r="DM370" s="14"/>
      <c r="DN370" s="14"/>
      <c r="DO370" s="14"/>
      <c r="DP370" s="14"/>
      <c r="DQ370" s="14"/>
      <c r="DR370" s="14"/>
      <c r="DS370" s="14"/>
      <c r="DT370" s="14"/>
      <c r="DU370" s="14"/>
      <c r="DV370" s="14"/>
      <c r="DW370" s="14"/>
      <c r="DX370" s="14"/>
      <c r="DY370" s="14"/>
    </row>
    <row r="371" spans="1:129" s="5" customFormat="1" ht="11.7" customHeight="1" outlineLevel="1" x14ac:dyDescent="0.3">
      <c r="A371" s="3"/>
      <c r="B371" s="113" t="s">
        <v>416</v>
      </c>
      <c r="C371" s="113"/>
      <c r="D371" s="1018">
        <v>422001</v>
      </c>
      <c r="E371" s="3"/>
      <c r="F371" s="3"/>
      <c r="G371" s="127"/>
      <c r="H371" s="127"/>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c r="AQ371" s="14"/>
      <c r="AR371" s="14"/>
      <c r="AS371" s="14"/>
      <c r="AT371" s="14"/>
      <c r="AU371" s="14"/>
      <c r="AV371" s="14"/>
      <c r="AW371" s="14"/>
      <c r="AX371" s="14"/>
      <c r="AY371" s="14"/>
      <c r="AZ371" s="14"/>
      <c r="BA371" s="14"/>
      <c r="BB371" s="14"/>
      <c r="BC371" s="14"/>
      <c r="BD371" s="14"/>
      <c r="BE371" s="14"/>
      <c r="BF371" s="14"/>
      <c r="BG371" s="14"/>
      <c r="BH371" s="14"/>
      <c r="BI371" s="14"/>
      <c r="BJ371" s="14"/>
      <c r="BK371" s="14"/>
      <c r="BL371" s="14"/>
      <c r="BM371" s="14"/>
      <c r="BN371" s="14"/>
      <c r="BO371" s="14"/>
      <c r="BP371" s="14"/>
      <c r="BQ371" s="14"/>
      <c r="BR371" s="14"/>
      <c r="BS371" s="14"/>
      <c r="BT371" s="14"/>
      <c r="BU371" s="14"/>
      <c r="BV371" s="14"/>
      <c r="BW371" s="14"/>
      <c r="BX371" s="14"/>
      <c r="BY371" s="14"/>
      <c r="BZ371" s="14"/>
      <c r="CA371" s="14"/>
      <c r="CB371" s="14"/>
      <c r="CC371" s="14"/>
      <c r="CD371" s="14"/>
      <c r="CE371" s="14"/>
      <c r="CF371" s="14"/>
      <c r="CG371" s="14"/>
      <c r="CH371" s="14"/>
      <c r="CI371" s="14"/>
      <c r="CJ371" s="14"/>
      <c r="CK371" s="14"/>
      <c r="CL371" s="14"/>
      <c r="CM371" s="14"/>
      <c r="CN371" s="14"/>
      <c r="CO371" s="14"/>
      <c r="CP371" s="14"/>
      <c r="CQ371" s="14"/>
      <c r="CR371" s="14"/>
      <c r="CS371" s="14"/>
      <c r="CT371" s="14"/>
      <c r="CU371" s="14"/>
      <c r="CV371" s="14"/>
      <c r="CW371" s="14"/>
      <c r="CX371" s="14"/>
      <c r="CY371" s="14"/>
      <c r="CZ371" s="14"/>
      <c r="DA371" s="14"/>
      <c r="DB371" s="14"/>
      <c r="DC371" s="14"/>
      <c r="DD371" s="14"/>
      <c r="DE371" s="14"/>
      <c r="DF371" s="14"/>
      <c r="DG371" s="14"/>
      <c r="DH371" s="14"/>
      <c r="DI371" s="14"/>
      <c r="DJ371" s="14"/>
      <c r="DK371" s="14"/>
      <c r="DL371" s="14"/>
      <c r="DM371" s="14"/>
      <c r="DN371" s="14"/>
      <c r="DO371" s="14"/>
      <c r="DP371" s="14"/>
      <c r="DQ371" s="14"/>
      <c r="DR371" s="14"/>
      <c r="DS371" s="14"/>
      <c r="DT371" s="14"/>
      <c r="DU371" s="14"/>
      <c r="DV371" s="14"/>
      <c r="DW371" s="14"/>
      <c r="DX371" s="14"/>
      <c r="DY371" s="14"/>
    </row>
    <row r="372" spans="1:129" s="5" customFormat="1" ht="11.7" customHeight="1" outlineLevel="1" x14ac:dyDescent="0.3">
      <c r="A372" s="3"/>
      <c r="B372" s="149" t="s">
        <v>1</v>
      </c>
      <c r="C372" s="149"/>
      <c r="D372" s="648">
        <f>+SUM(D369,D371)</f>
        <v>616882.55326132081</v>
      </c>
      <c r="E372" s="3"/>
      <c r="F372" s="3"/>
      <c r="G372" s="127"/>
      <c r="H372" s="127"/>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c r="AS372" s="14"/>
      <c r="AT372" s="14"/>
      <c r="AU372" s="14"/>
      <c r="AV372" s="14"/>
      <c r="AW372" s="14"/>
      <c r="AX372" s="14"/>
      <c r="AY372" s="14"/>
      <c r="AZ372" s="14"/>
      <c r="BA372" s="14"/>
      <c r="BB372" s="14"/>
      <c r="BC372" s="14"/>
      <c r="BD372" s="14"/>
      <c r="BE372" s="14"/>
      <c r="BF372" s="14"/>
      <c r="BG372" s="14"/>
      <c r="BH372" s="14"/>
      <c r="BI372" s="14"/>
      <c r="BJ372" s="14"/>
      <c r="BK372" s="14"/>
      <c r="BL372" s="14"/>
      <c r="BM372" s="14"/>
      <c r="BN372" s="14"/>
      <c r="BO372" s="14"/>
      <c r="BP372" s="14"/>
      <c r="BQ372" s="14"/>
      <c r="BR372" s="14"/>
      <c r="BS372" s="14"/>
      <c r="BT372" s="14"/>
      <c r="BU372" s="14"/>
      <c r="BV372" s="14"/>
      <c r="BW372" s="14"/>
      <c r="BX372" s="14"/>
      <c r="BY372" s="14"/>
      <c r="BZ372" s="14"/>
      <c r="CA372" s="14"/>
      <c r="CB372" s="14"/>
      <c r="CC372" s="14"/>
      <c r="CD372" s="14"/>
      <c r="CE372" s="14"/>
      <c r="CF372" s="14"/>
      <c r="CG372" s="14"/>
      <c r="CH372" s="14"/>
      <c r="CI372" s="14"/>
      <c r="CJ372" s="14"/>
      <c r="CK372" s="14"/>
      <c r="CL372" s="14"/>
      <c r="CM372" s="14"/>
      <c r="CN372" s="14"/>
      <c r="CO372" s="14"/>
      <c r="CP372" s="14"/>
      <c r="CQ372" s="14"/>
      <c r="CR372" s="14"/>
      <c r="CS372" s="14"/>
      <c r="CT372" s="14"/>
      <c r="CU372" s="14"/>
      <c r="CV372" s="14"/>
      <c r="CW372" s="14"/>
      <c r="CX372" s="14"/>
      <c r="CY372" s="14"/>
      <c r="CZ372" s="14"/>
      <c r="DA372" s="14"/>
      <c r="DB372" s="14"/>
      <c r="DC372" s="14"/>
      <c r="DD372" s="14"/>
      <c r="DE372" s="14"/>
      <c r="DF372" s="14"/>
      <c r="DG372" s="14"/>
      <c r="DH372" s="14"/>
      <c r="DI372" s="14"/>
      <c r="DJ372" s="14"/>
      <c r="DK372" s="14"/>
      <c r="DL372" s="14"/>
      <c r="DM372" s="14"/>
      <c r="DN372" s="14"/>
      <c r="DO372" s="14"/>
      <c r="DP372" s="14"/>
      <c r="DQ372" s="14"/>
      <c r="DR372" s="14"/>
      <c r="DS372" s="14"/>
      <c r="DT372" s="14"/>
      <c r="DU372" s="14"/>
      <c r="DV372" s="14"/>
      <c r="DW372" s="14"/>
      <c r="DX372" s="14"/>
      <c r="DY372" s="14"/>
    </row>
    <row r="373" spans="1:129" s="5" customFormat="1" ht="11.7" customHeight="1" outlineLevel="1" x14ac:dyDescent="0.3">
      <c r="A373" s="3"/>
      <c r="B373" s="113"/>
      <c r="C373" s="113"/>
      <c r="D373" s="590"/>
      <c r="E373" s="3"/>
      <c r="F373" s="3"/>
      <c r="G373" s="127"/>
      <c r="H373" s="127"/>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c r="AQ373" s="14"/>
      <c r="AR373" s="14"/>
      <c r="AS373" s="14"/>
      <c r="AT373" s="14"/>
      <c r="AU373" s="14"/>
      <c r="AV373" s="14"/>
      <c r="AW373" s="14"/>
      <c r="AX373" s="14"/>
      <c r="AY373" s="14"/>
      <c r="AZ373" s="14"/>
      <c r="BA373" s="14"/>
      <c r="BB373" s="14"/>
      <c r="BC373" s="14"/>
      <c r="BD373" s="14"/>
      <c r="BE373" s="14"/>
      <c r="BF373" s="14"/>
      <c r="BG373" s="14"/>
      <c r="BH373" s="14"/>
      <c r="BI373" s="14"/>
      <c r="BJ373" s="14"/>
      <c r="BK373" s="14"/>
      <c r="BL373" s="14"/>
      <c r="BM373" s="14"/>
      <c r="BN373" s="14"/>
      <c r="BO373" s="14"/>
      <c r="BP373" s="14"/>
      <c r="BQ373" s="14"/>
      <c r="BR373" s="14"/>
      <c r="BS373" s="14"/>
      <c r="BT373" s="14"/>
      <c r="BU373" s="14"/>
      <c r="BV373" s="14"/>
      <c r="BW373" s="14"/>
      <c r="BX373" s="14"/>
      <c r="BY373" s="14"/>
      <c r="BZ373" s="14"/>
      <c r="CA373" s="14"/>
      <c r="CB373" s="14"/>
      <c r="CC373" s="14"/>
      <c r="CD373" s="14"/>
      <c r="CE373" s="14"/>
      <c r="CF373" s="14"/>
      <c r="CG373" s="14"/>
      <c r="CH373" s="14"/>
      <c r="CI373" s="14"/>
      <c r="CJ373" s="14"/>
      <c r="CK373" s="14"/>
      <c r="CL373" s="14"/>
      <c r="CM373" s="14"/>
      <c r="CN373" s="14"/>
      <c r="CO373" s="14"/>
      <c r="CP373" s="14"/>
      <c r="CQ373" s="14"/>
      <c r="CR373" s="14"/>
      <c r="CS373" s="14"/>
      <c r="CT373" s="14"/>
      <c r="CU373" s="14"/>
      <c r="CV373" s="14"/>
      <c r="CW373" s="14"/>
      <c r="CX373" s="14"/>
      <c r="CY373" s="14"/>
      <c r="CZ373" s="14"/>
      <c r="DA373" s="14"/>
      <c r="DB373" s="14"/>
      <c r="DC373" s="14"/>
      <c r="DD373" s="14"/>
      <c r="DE373" s="14"/>
      <c r="DF373" s="14"/>
      <c r="DG373" s="14"/>
      <c r="DH373" s="14"/>
      <c r="DI373" s="14"/>
      <c r="DJ373" s="14"/>
      <c r="DK373" s="14"/>
      <c r="DL373" s="14"/>
      <c r="DM373" s="14"/>
      <c r="DN373" s="14"/>
      <c r="DO373" s="14"/>
      <c r="DP373" s="14"/>
      <c r="DQ373" s="14"/>
      <c r="DR373" s="14"/>
      <c r="DS373" s="14"/>
      <c r="DT373" s="14"/>
      <c r="DU373" s="14"/>
      <c r="DV373" s="14"/>
      <c r="DW373" s="14"/>
      <c r="DX373" s="14"/>
      <c r="DY373" s="14"/>
    </row>
    <row r="374" spans="1:129" s="5" customFormat="1" ht="11.7" customHeight="1" outlineLevel="1" x14ac:dyDescent="0.3">
      <c r="A374" s="3"/>
      <c r="B374" s="177" t="s">
        <v>592</v>
      </c>
      <c r="C374" s="177"/>
      <c r="D374" s="3"/>
      <c r="E374" s="3"/>
      <c r="F374" s="3"/>
      <c r="G374" s="127"/>
      <c r="H374" s="127"/>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c r="AQ374" s="14"/>
      <c r="AR374" s="14"/>
      <c r="AS374" s="14"/>
      <c r="AT374" s="14"/>
      <c r="AU374" s="14"/>
      <c r="AV374" s="14"/>
      <c r="AW374" s="14"/>
      <c r="AX374" s="14"/>
      <c r="AY374" s="14"/>
      <c r="AZ374" s="14"/>
      <c r="BA374" s="14"/>
      <c r="BB374" s="14"/>
      <c r="BC374" s="14"/>
      <c r="BD374" s="14"/>
      <c r="BE374" s="14"/>
      <c r="BF374" s="14"/>
      <c r="BG374" s="14"/>
      <c r="BH374" s="14"/>
      <c r="BI374" s="14"/>
      <c r="BJ374" s="14"/>
      <c r="BK374" s="14"/>
      <c r="BL374" s="14"/>
      <c r="BM374" s="14"/>
      <c r="BN374" s="14"/>
      <c r="BO374" s="14"/>
      <c r="BP374" s="14"/>
      <c r="BQ374" s="14"/>
      <c r="BR374" s="14"/>
      <c r="BS374" s="14"/>
      <c r="BT374" s="14"/>
      <c r="BU374" s="14"/>
      <c r="BV374" s="14"/>
      <c r="BW374" s="14"/>
      <c r="BX374" s="14"/>
      <c r="BY374" s="14"/>
      <c r="BZ374" s="14"/>
      <c r="CA374" s="14"/>
      <c r="CB374" s="14"/>
      <c r="CC374" s="14"/>
      <c r="CD374" s="14"/>
      <c r="CE374" s="14"/>
      <c r="CF374" s="14"/>
      <c r="CG374" s="14"/>
      <c r="CH374" s="14"/>
      <c r="CI374" s="14"/>
      <c r="CJ374" s="14"/>
      <c r="CK374" s="14"/>
      <c r="CL374" s="14"/>
      <c r="CM374" s="14"/>
      <c r="CN374" s="14"/>
      <c r="CO374" s="14"/>
      <c r="CP374" s="14"/>
      <c r="CQ374" s="14"/>
      <c r="CR374" s="14"/>
      <c r="CS374" s="14"/>
      <c r="CT374" s="14"/>
      <c r="CU374" s="14"/>
      <c r="CV374" s="14"/>
      <c r="CW374" s="14"/>
      <c r="CX374" s="14"/>
      <c r="CY374" s="14"/>
      <c r="CZ374" s="14"/>
      <c r="DA374" s="14"/>
      <c r="DB374" s="14"/>
      <c r="DC374" s="14"/>
      <c r="DD374" s="14"/>
      <c r="DE374" s="14"/>
      <c r="DF374" s="14"/>
      <c r="DG374" s="14"/>
      <c r="DH374" s="14"/>
      <c r="DI374" s="14"/>
      <c r="DJ374" s="14"/>
      <c r="DK374" s="14"/>
      <c r="DL374" s="14"/>
      <c r="DM374" s="14"/>
      <c r="DN374" s="14"/>
      <c r="DO374" s="14"/>
      <c r="DP374" s="14"/>
      <c r="DQ374" s="14"/>
      <c r="DR374" s="14"/>
      <c r="DS374" s="14"/>
      <c r="DT374" s="14"/>
      <c r="DU374" s="14"/>
      <c r="DV374" s="14"/>
      <c r="DW374" s="14"/>
      <c r="DX374" s="14"/>
      <c r="DY374" s="14"/>
    </row>
    <row r="375" spans="1:129" s="5" customFormat="1" ht="11.7" customHeight="1" outlineLevel="1" x14ac:dyDescent="0.25">
      <c r="A375" s="3"/>
      <c r="B375" s="149" t="s">
        <v>488</v>
      </c>
      <c r="C375" s="149"/>
      <c r="D375" s="3"/>
      <c r="E375" s="3"/>
      <c r="F375" s="3"/>
      <c r="H375" s="290">
        <f t="shared" ref="H375:H383" si="465">+SUM(I375:DY375)</f>
        <v>148941.6</v>
      </c>
      <c r="I375" s="1020">
        <f t="shared" ref="I375:AN375" si="466">-I20</f>
        <v>148941.6</v>
      </c>
      <c r="J375" s="14">
        <f t="shared" si="466"/>
        <v>0</v>
      </c>
      <c r="K375" s="14">
        <f t="shared" si="466"/>
        <v>0</v>
      </c>
      <c r="L375" s="14">
        <f t="shared" si="466"/>
        <v>0</v>
      </c>
      <c r="M375" s="14">
        <f t="shared" si="466"/>
        <v>0</v>
      </c>
      <c r="N375" s="14">
        <f t="shared" si="466"/>
        <v>0</v>
      </c>
      <c r="O375" s="14">
        <f t="shared" si="466"/>
        <v>0</v>
      </c>
      <c r="P375" s="14">
        <f t="shared" si="466"/>
        <v>0</v>
      </c>
      <c r="Q375" s="14">
        <f t="shared" si="466"/>
        <v>0</v>
      </c>
      <c r="R375" s="14">
        <f t="shared" si="466"/>
        <v>0</v>
      </c>
      <c r="S375" s="14">
        <f t="shared" si="466"/>
        <v>0</v>
      </c>
      <c r="T375" s="14">
        <f t="shared" si="466"/>
        <v>0</v>
      </c>
      <c r="U375" s="14">
        <f t="shared" si="466"/>
        <v>0</v>
      </c>
      <c r="V375" s="14">
        <f t="shared" si="466"/>
        <v>0</v>
      </c>
      <c r="W375" s="14">
        <f t="shared" si="466"/>
        <v>0</v>
      </c>
      <c r="X375" s="14">
        <f t="shared" si="466"/>
        <v>0</v>
      </c>
      <c r="Y375" s="14">
        <f t="shared" si="466"/>
        <v>0</v>
      </c>
      <c r="Z375" s="14">
        <f t="shared" si="466"/>
        <v>0</v>
      </c>
      <c r="AA375" s="14">
        <f t="shared" si="466"/>
        <v>0</v>
      </c>
      <c r="AB375" s="14">
        <f t="shared" si="466"/>
        <v>0</v>
      </c>
      <c r="AC375" s="14">
        <f t="shared" si="466"/>
        <v>0</v>
      </c>
      <c r="AD375" s="14">
        <f t="shared" si="466"/>
        <v>0</v>
      </c>
      <c r="AE375" s="14">
        <f t="shared" si="466"/>
        <v>0</v>
      </c>
      <c r="AF375" s="14">
        <f t="shared" si="466"/>
        <v>0</v>
      </c>
      <c r="AG375" s="14">
        <f t="shared" si="466"/>
        <v>0</v>
      </c>
      <c r="AH375" s="14">
        <f t="shared" si="466"/>
        <v>0</v>
      </c>
      <c r="AI375" s="14">
        <f t="shared" si="466"/>
        <v>0</v>
      </c>
      <c r="AJ375" s="14">
        <f t="shared" si="466"/>
        <v>0</v>
      </c>
      <c r="AK375" s="14">
        <f t="shared" si="466"/>
        <v>0</v>
      </c>
      <c r="AL375" s="14">
        <f t="shared" si="466"/>
        <v>0</v>
      </c>
      <c r="AM375" s="14">
        <f t="shared" si="466"/>
        <v>0</v>
      </c>
      <c r="AN375" s="14">
        <f t="shared" si="466"/>
        <v>0</v>
      </c>
      <c r="AO375" s="14">
        <f t="shared" ref="AO375:BG375" si="467">-AO20</f>
        <v>0</v>
      </c>
      <c r="AP375" s="14">
        <f t="shared" si="467"/>
        <v>0</v>
      </c>
      <c r="AQ375" s="14">
        <f t="shared" si="467"/>
        <v>0</v>
      </c>
      <c r="AR375" s="14">
        <f t="shared" si="467"/>
        <v>0</v>
      </c>
      <c r="AS375" s="14">
        <f t="shared" si="467"/>
        <v>0</v>
      </c>
      <c r="AT375" s="14">
        <f t="shared" si="467"/>
        <v>0</v>
      </c>
      <c r="AU375" s="14">
        <f t="shared" si="467"/>
        <v>0</v>
      </c>
      <c r="AV375" s="14">
        <f t="shared" si="467"/>
        <v>0</v>
      </c>
      <c r="AW375" s="14">
        <f t="shared" si="467"/>
        <v>0</v>
      </c>
      <c r="AX375" s="14">
        <f t="shared" si="467"/>
        <v>0</v>
      </c>
      <c r="AY375" s="14">
        <f t="shared" si="467"/>
        <v>0</v>
      </c>
      <c r="AZ375" s="14">
        <f t="shared" si="467"/>
        <v>0</v>
      </c>
      <c r="BA375" s="14">
        <f t="shared" si="467"/>
        <v>0</v>
      </c>
      <c r="BB375" s="14">
        <f t="shared" si="467"/>
        <v>0</v>
      </c>
      <c r="BC375" s="14">
        <f t="shared" si="467"/>
        <v>0</v>
      </c>
      <c r="BD375" s="14">
        <f t="shared" si="467"/>
        <v>0</v>
      </c>
      <c r="BE375" s="14">
        <f t="shared" si="467"/>
        <v>0</v>
      </c>
      <c r="BF375" s="14">
        <f t="shared" si="467"/>
        <v>0</v>
      </c>
      <c r="BG375" s="14">
        <f t="shared" si="467"/>
        <v>0</v>
      </c>
      <c r="BH375" s="14"/>
      <c r="BI375" s="14"/>
      <c r="BJ375" s="14"/>
      <c r="BK375" s="14"/>
      <c r="BL375" s="14"/>
      <c r="BM375" s="14"/>
      <c r="BN375" s="14"/>
      <c r="BO375" s="14"/>
      <c r="BP375" s="14"/>
      <c r="BQ375" s="14"/>
      <c r="BR375" s="14"/>
      <c r="BS375" s="14"/>
      <c r="BT375" s="14"/>
      <c r="BU375" s="14"/>
      <c r="BV375" s="14"/>
      <c r="BW375" s="14"/>
      <c r="BX375" s="14"/>
      <c r="BY375" s="14"/>
      <c r="BZ375" s="14"/>
      <c r="CA375" s="14"/>
      <c r="CB375" s="14"/>
      <c r="CC375" s="14"/>
      <c r="CD375" s="14"/>
      <c r="CE375" s="14"/>
      <c r="CF375" s="14"/>
      <c r="CG375" s="14"/>
      <c r="CH375" s="14"/>
      <c r="CI375" s="14"/>
      <c r="CJ375" s="14"/>
      <c r="CK375" s="14"/>
      <c r="CL375" s="14"/>
      <c r="CM375" s="14"/>
      <c r="CN375" s="14"/>
      <c r="CO375" s="14"/>
      <c r="CP375" s="14"/>
      <c r="CQ375" s="14"/>
      <c r="CR375" s="14"/>
      <c r="CS375" s="14"/>
      <c r="CT375" s="14"/>
      <c r="CU375" s="14"/>
      <c r="CV375" s="14"/>
      <c r="CW375" s="14"/>
      <c r="CX375" s="14"/>
      <c r="CY375" s="14"/>
      <c r="CZ375" s="14"/>
      <c r="DA375" s="14"/>
      <c r="DB375" s="14"/>
      <c r="DC375" s="14"/>
      <c r="DD375" s="14"/>
      <c r="DE375" s="14"/>
      <c r="DF375" s="14"/>
      <c r="DG375" s="14"/>
      <c r="DH375" s="14"/>
      <c r="DI375" s="14"/>
      <c r="DJ375" s="14"/>
      <c r="DK375" s="14"/>
      <c r="DL375" s="14"/>
      <c r="DM375" s="14"/>
      <c r="DN375" s="14"/>
      <c r="DO375" s="14"/>
      <c r="DP375" s="14"/>
      <c r="DQ375" s="14"/>
      <c r="DR375" s="14"/>
      <c r="DS375" s="14"/>
      <c r="DT375" s="14"/>
      <c r="DU375" s="14"/>
      <c r="DV375" s="14"/>
      <c r="DW375" s="14"/>
      <c r="DX375" s="14"/>
      <c r="DY375" s="14"/>
    </row>
    <row r="376" spans="1:129" s="5" customFormat="1" ht="11.7" customHeight="1" outlineLevel="1" x14ac:dyDescent="0.25">
      <c r="A376" s="3"/>
      <c r="B376" s="149" t="s">
        <v>489</v>
      </c>
      <c r="C376" s="149"/>
      <c r="D376" s="3"/>
      <c r="E376" s="3"/>
      <c r="F376" s="3"/>
      <c r="H376" s="1021">
        <f t="shared" si="465"/>
        <v>284521.16880633327</v>
      </c>
      <c r="I376" s="293">
        <f t="shared" ref="I376:AN376" si="468">-SUM(I38:I40)*(SUM(I38:I40)&lt;0)</f>
        <v>0</v>
      </c>
      <c r="J376" s="293">
        <f t="shared" si="468"/>
        <v>0</v>
      </c>
      <c r="K376" s="293">
        <f t="shared" si="468"/>
        <v>0</v>
      </c>
      <c r="L376" s="293">
        <f t="shared" si="468"/>
        <v>0</v>
      </c>
      <c r="M376" s="293">
        <f t="shared" si="468"/>
        <v>0</v>
      </c>
      <c r="N376" s="293">
        <f t="shared" si="468"/>
        <v>0</v>
      </c>
      <c r="O376" s="293">
        <f t="shared" si="468"/>
        <v>0</v>
      </c>
      <c r="P376" s="293">
        <f t="shared" si="468"/>
        <v>0</v>
      </c>
      <c r="Q376" s="293">
        <f t="shared" si="468"/>
        <v>0</v>
      </c>
      <c r="R376" s="293">
        <f t="shared" si="468"/>
        <v>0</v>
      </c>
      <c r="S376" s="293">
        <f t="shared" si="468"/>
        <v>0</v>
      </c>
      <c r="T376" s="293">
        <f t="shared" si="468"/>
        <v>0</v>
      </c>
      <c r="U376" s="293">
        <f t="shared" si="468"/>
        <v>0</v>
      </c>
      <c r="V376" s="293">
        <f t="shared" si="468"/>
        <v>0</v>
      </c>
      <c r="W376" s="293">
        <f t="shared" si="468"/>
        <v>4996.0203703845464</v>
      </c>
      <c r="X376" s="293">
        <f t="shared" si="468"/>
        <v>0</v>
      </c>
      <c r="Y376" s="293">
        <f t="shared" si="468"/>
        <v>5752.448657333458</v>
      </c>
      <c r="Z376" s="293">
        <f t="shared" si="468"/>
        <v>0</v>
      </c>
      <c r="AA376" s="293">
        <f t="shared" si="468"/>
        <v>3482.5658658022985</v>
      </c>
      <c r="AB376" s="293">
        <f t="shared" si="468"/>
        <v>0</v>
      </c>
      <c r="AC376" s="293">
        <f t="shared" si="468"/>
        <v>1109.6961440737464</v>
      </c>
      <c r="AD376" s="293">
        <f t="shared" si="468"/>
        <v>1596.02</v>
      </c>
      <c r="AE376" s="293">
        <f t="shared" si="468"/>
        <v>54307.681862760786</v>
      </c>
      <c r="AF376" s="293">
        <f t="shared" si="468"/>
        <v>12599.492959740237</v>
      </c>
      <c r="AG376" s="293">
        <f t="shared" si="468"/>
        <v>6333.4988389794571</v>
      </c>
      <c r="AH376" s="293">
        <f t="shared" si="468"/>
        <v>7095.7236616406672</v>
      </c>
      <c r="AI376" s="293">
        <f t="shared" si="468"/>
        <v>7150.8149853557079</v>
      </c>
      <c r="AJ376" s="293">
        <f t="shared" si="468"/>
        <v>6114</v>
      </c>
      <c r="AK376" s="293">
        <f t="shared" si="468"/>
        <v>6241.1839217364504</v>
      </c>
      <c r="AL376" s="293">
        <f t="shared" si="468"/>
        <v>6910.7254042911272</v>
      </c>
      <c r="AM376" s="293">
        <f t="shared" si="468"/>
        <v>8225.446389322733</v>
      </c>
      <c r="AN376" s="293">
        <f t="shared" si="468"/>
        <v>6931</v>
      </c>
      <c r="AO376" s="293">
        <f t="shared" ref="AO376:BG376" si="469">-SUM(AO38:AO40)*(SUM(AO38:AO40)&lt;0)</f>
        <v>5814.5960931199197</v>
      </c>
      <c r="AP376" s="293">
        <f t="shared" si="469"/>
        <v>4978</v>
      </c>
      <c r="AQ376" s="293">
        <f t="shared" si="469"/>
        <v>0</v>
      </c>
      <c r="AR376" s="293">
        <f t="shared" si="469"/>
        <v>0</v>
      </c>
      <c r="AS376" s="293">
        <f t="shared" si="469"/>
        <v>7783.3</v>
      </c>
      <c r="AT376" s="293">
        <f t="shared" si="469"/>
        <v>6838</v>
      </c>
      <c r="AU376" s="293">
        <f t="shared" si="469"/>
        <v>0</v>
      </c>
      <c r="AV376" s="293">
        <f t="shared" si="469"/>
        <v>11260</v>
      </c>
      <c r="AW376" s="293">
        <f t="shared" si="469"/>
        <v>25711.8</v>
      </c>
      <c r="AX376" s="293">
        <f t="shared" si="469"/>
        <v>0</v>
      </c>
      <c r="AY376" s="293">
        <f t="shared" si="469"/>
        <v>12037.941281980959</v>
      </c>
      <c r="AZ376" s="293">
        <f t="shared" si="469"/>
        <v>13428.526423374538</v>
      </c>
      <c r="BA376" s="293">
        <f t="shared" si="469"/>
        <v>25548.899999999987</v>
      </c>
      <c r="BB376" s="293">
        <f t="shared" si="469"/>
        <v>10968.096412907664</v>
      </c>
      <c r="BC376" s="293">
        <f t="shared" si="469"/>
        <v>380.09001026736479</v>
      </c>
      <c r="BD376" s="293">
        <f t="shared" si="469"/>
        <v>8748.5932154473776</v>
      </c>
      <c r="BE376" s="293">
        <f t="shared" si="469"/>
        <v>10669.406307814321</v>
      </c>
      <c r="BF376" s="293">
        <f t="shared" si="469"/>
        <v>1048</v>
      </c>
      <c r="BG376" s="293">
        <f t="shared" si="469"/>
        <v>459.6</v>
      </c>
      <c r="BH376" s="293"/>
      <c r="BI376" s="293"/>
      <c r="BJ376" s="293"/>
      <c r="BK376" s="293"/>
      <c r="BL376" s="293"/>
      <c r="BM376" s="293"/>
      <c r="BN376" s="293"/>
      <c r="BO376" s="293"/>
      <c r="BP376" s="293"/>
      <c r="BQ376" s="293"/>
      <c r="BR376" s="293"/>
      <c r="BS376" s="293"/>
      <c r="BT376" s="293"/>
      <c r="BU376" s="293"/>
      <c r="BV376" s="293"/>
      <c r="BW376" s="293"/>
      <c r="BX376" s="293"/>
      <c r="BY376" s="293"/>
      <c r="BZ376" s="293"/>
      <c r="CA376" s="293"/>
      <c r="CB376" s="293"/>
      <c r="CC376" s="293"/>
      <c r="CD376" s="293"/>
      <c r="CE376" s="293"/>
      <c r="CF376" s="293"/>
      <c r="CG376" s="293"/>
      <c r="CH376" s="293"/>
      <c r="CI376" s="293"/>
      <c r="CJ376" s="293"/>
      <c r="CK376" s="293"/>
      <c r="CL376" s="293"/>
      <c r="CM376" s="293"/>
      <c r="CN376" s="293"/>
      <c r="CO376" s="293"/>
      <c r="CP376" s="293"/>
      <c r="CQ376" s="293"/>
      <c r="CR376" s="293"/>
      <c r="CS376" s="293"/>
      <c r="CT376" s="293"/>
      <c r="CU376" s="293"/>
      <c r="CV376" s="293"/>
      <c r="CW376" s="293"/>
      <c r="CX376" s="293"/>
      <c r="CY376" s="293"/>
      <c r="CZ376" s="293"/>
      <c r="DA376" s="293"/>
      <c r="DB376" s="293"/>
      <c r="DC376" s="293"/>
      <c r="DD376" s="293"/>
      <c r="DE376" s="293"/>
      <c r="DF376" s="293"/>
      <c r="DG376" s="293"/>
      <c r="DH376" s="293"/>
      <c r="DI376" s="293"/>
      <c r="DJ376" s="293"/>
      <c r="DK376" s="293"/>
      <c r="DL376" s="293"/>
      <c r="DM376" s="293"/>
      <c r="DN376" s="293"/>
      <c r="DO376" s="293"/>
      <c r="DP376" s="293"/>
      <c r="DQ376" s="293"/>
      <c r="DR376" s="293"/>
      <c r="DS376" s="293"/>
      <c r="DT376" s="293"/>
      <c r="DU376" s="293"/>
      <c r="DV376" s="293"/>
      <c r="DW376" s="293"/>
      <c r="DX376" s="293"/>
      <c r="DY376" s="293"/>
    </row>
    <row r="377" spans="1:129" s="5" customFormat="1" ht="11.7" customHeight="1" outlineLevel="1" x14ac:dyDescent="0.25">
      <c r="A377" s="3"/>
      <c r="B377" s="149" t="s">
        <v>596</v>
      </c>
      <c r="C377" s="149"/>
      <c r="D377" s="3"/>
      <c r="E377" s="3"/>
      <c r="F377" s="3"/>
      <c r="H377" s="1021">
        <f t="shared" si="465"/>
        <v>155027.52674481145</v>
      </c>
      <c r="I377" s="293">
        <f t="shared" ref="I377:AN377" si="470">-SUM(I21:I32,I37,I41,I46:I53,I58,-I340)</f>
        <v>0</v>
      </c>
      <c r="J377" s="293">
        <f t="shared" si="470"/>
        <v>9931.0229483610528</v>
      </c>
      <c r="K377" s="293">
        <f t="shared" si="470"/>
        <v>918.2</v>
      </c>
      <c r="L377" s="293">
        <f t="shared" si="470"/>
        <v>3526.8068221862859</v>
      </c>
      <c r="M377" s="293">
        <f t="shared" si="470"/>
        <v>505.43645603247569</v>
      </c>
      <c r="N377" s="293">
        <f t="shared" si="470"/>
        <v>2606.4505945243063</v>
      </c>
      <c r="O377" s="293">
        <f t="shared" si="470"/>
        <v>0</v>
      </c>
      <c r="P377" s="293">
        <f t="shared" si="470"/>
        <v>660.89596559726238</v>
      </c>
      <c r="Q377" s="293">
        <f t="shared" si="470"/>
        <v>2427.1427321533956</v>
      </c>
      <c r="R377" s="293">
        <f t="shared" si="470"/>
        <v>823.40604281012759</v>
      </c>
      <c r="S377" s="293">
        <f t="shared" si="470"/>
        <v>1750.46</v>
      </c>
      <c r="T377" s="293">
        <f t="shared" si="470"/>
        <v>1143.3312740467463</v>
      </c>
      <c r="U377" s="293">
        <f t="shared" si="470"/>
        <v>225.53644334802181</v>
      </c>
      <c r="V377" s="293">
        <f t="shared" si="470"/>
        <v>2724.8097463965332</v>
      </c>
      <c r="W377" s="293">
        <f t="shared" si="470"/>
        <v>2297.6313985768629</v>
      </c>
      <c r="X377" s="293">
        <f t="shared" si="470"/>
        <v>1307.5542789935589</v>
      </c>
      <c r="Y377" s="293">
        <f t="shared" si="470"/>
        <v>3057.8652448933572</v>
      </c>
      <c r="Z377" s="293">
        <f t="shared" si="470"/>
        <v>4717.1446828974076</v>
      </c>
      <c r="AA377" s="293">
        <f t="shared" si="470"/>
        <v>1395.4675195521795</v>
      </c>
      <c r="AB377" s="293">
        <f t="shared" si="470"/>
        <v>991.84470258408942</v>
      </c>
      <c r="AC377" s="293">
        <f t="shared" si="470"/>
        <v>211.85000000000002</v>
      </c>
      <c r="AD377" s="293">
        <f t="shared" si="470"/>
        <v>2307.8156605773606</v>
      </c>
      <c r="AE377" s="293">
        <f t="shared" si="470"/>
        <v>11192.92286376528</v>
      </c>
      <c r="AF377" s="293">
        <f t="shared" si="470"/>
        <v>3277.9474523441286</v>
      </c>
      <c r="AG377" s="293">
        <f t="shared" si="470"/>
        <v>5758.6903825075169</v>
      </c>
      <c r="AH377" s="293">
        <f t="shared" si="470"/>
        <v>2815.9182445430183</v>
      </c>
      <c r="AI377" s="293">
        <f t="shared" si="470"/>
        <v>10151.572741272856</v>
      </c>
      <c r="AJ377" s="293">
        <f t="shared" si="470"/>
        <v>2681.0055455705628</v>
      </c>
      <c r="AK377" s="293">
        <f t="shared" si="470"/>
        <v>2223.9061931156662</v>
      </c>
      <c r="AL377" s="293">
        <f t="shared" si="470"/>
        <v>2301.04528195478</v>
      </c>
      <c r="AM377" s="293">
        <f t="shared" si="470"/>
        <v>2268.3295914354198</v>
      </c>
      <c r="AN377" s="293">
        <f t="shared" si="470"/>
        <v>3931.1831231859069</v>
      </c>
      <c r="AO377" s="293">
        <f t="shared" ref="AO377:BG377" si="471">-SUM(AO21:AO32,AO37,AO41,AO46:AO53,AO58,-AO340)</f>
        <v>2403.5356562326542</v>
      </c>
      <c r="AP377" s="293">
        <f t="shared" si="471"/>
        <v>4941.6957590936754</v>
      </c>
      <c r="AQ377" s="293">
        <f t="shared" si="471"/>
        <v>1703.78</v>
      </c>
      <c r="AR377" s="293">
        <f t="shared" si="471"/>
        <v>870.64</v>
      </c>
      <c r="AS377" s="293">
        <f t="shared" si="471"/>
        <v>2061.5700000000002</v>
      </c>
      <c r="AT377" s="293">
        <f t="shared" si="471"/>
        <v>2354.5300000000002</v>
      </c>
      <c r="AU377" s="293">
        <f t="shared" si="471"/>
        <v>2422.9999999999995</v>
      </c>
      <c r="AV377" s="293">
        <f t="shared" si="471"/>
        <v>3349.3</v>
      </c>
      <c r="AW377" s="293">
        <f t="shared" si="471"/>
        <v>7459.2999999999993</v>
      </c>
      <c r="AX377" s="293">
        <f t="shared" si="471"/>
        <v>1066</v>
      </c>
      <c r="AY377" s="293">
        <f t="shared" si="471"/>
        <v>6223.7342190841318</v>
      </c>
      <c r="AZ377" s="293">
        <f t="shared" si="471"/>
        <v>4357.9128415905907</v>
      </c>
      <c r="BA377" s="293">
        <f t="shared" si="471"/>
        <v>5929.4854744877239</v>
      </c>
      <c r="BB377" s="293">
        <f t="shared" si="471"/>
        <v>7101.5397090049282</v>
      </c>
      <c r="BC377" s="293">
        <f t="shared" si="471"/>
        <v>1161.5348064947184</v>
      </c>
      <c r="BD377" s="293">
        <f t="shared" si="471"/>
        <v>2928.3609486042351</v>
      </c>
      <c r="BE377" s="293">
        <f t="shared" si="471"/>
        <v>3036.8595814446649</v>
      </c>
      <c r="BF377" s="293">
        <f t="shared" si="471"/>
        <v>1920.1468313122316</v>
      </c>
      <c r="BG377" s="293">
        <f t="shared" si="471"/>
        <v>3601.4069842357221</v>
      </c>
      <c r="BH377" s="293"/>
      <c r="BI377" s="293"/>
      <c r="BJ377" s="293"/>
      <c r="BK377" s="293"/>
      <c r="BL377" s="293"/>
      <c r="BM377" s="293"/>
      <c r="BN377" s="293"/>
      <c r="BO377" s="293"/>
      <c r="BP377" s="293"/>
      <c r="BQ377" s="293"/>
      <c r="BR377" s="293"/>
      <c r="BS377" s="293"/>
      <c r="BT377" s="293"/>
      <c r="BU377" s="293"/>
      <c r="BV377" s="293"/>
      <c r="BW377" s="293"/>
      <c r="BX377" s="293"/>
      <c r="BY377" s="293"/>
      <c r="BZ377" s="293"/>
      <c r="CA377" s="293"/>
      <c r="CB377" s="293"/>
      <c r="CC377" s="293"/>
      <c r="CD377" s="293"/>
      <c r="CE377" s="293"/>
      <c r="CF377" s="293"/>
      <c r="CG377" s="293"/>
      <c r="CH377" s="293"/>
      <c r="CI377" s="293"/>
      <c r="CJ377" s="293"/>
      <c r="CK377" s="293"/>
      <c r="CL377" s="293"/>
      <c r="CM377" s="293"/>
      <c r="CN377" s="293"/>
      <c r="CO377" s="293"/>
      <c r="CP377" s="293"/>
      <c r="CQ377" s="293"/>
      <c r="CR377" s="293"/>
      <c r="CS377" s="293"/>
      <c r="CT377" s="293"/>
      <c r="CU377" s="293"/>
      <c r="CV377" s="293"/>
      <c r="CW377" s="293"/>
      <c r="CX377" s="293"/>
      <c r="CY377" s="293"/>
      <c r="CZ377" s="293"/>
      <c r="DA377" s="293"/>
      <c r="DB377" s="293"/>
      <c r="DC377" s="293"/>
      <c r="DD377" s="293"/>
      <c r="DE377" s="293"/>
      <c r="DF377" s="293"/>
      <c r="DG377" s="293"/>
      <c r="DH377" s="293"/>
      <c r="DI377" s="293"/>
      <c r="DJ377" s="293"/>
      <c r="DK377" s="293"/>
      <c r="DL377" s="293"/>
      <c r="DM377" s="293"/>
      <c r="DN377" s="293"/>
      <c r="DO377" s="293"/>
      <c r="DP377" s="293"/>
      <c r="DQ377" s="293"/>
      <c r="DR377" s="293"/>
      <c r="DS377" s="293"/>
      <c r="DT377" s="293"/>
      <c r="DU377" s="293"/>
      <c r="DV377" s="293"/>
      <c r="DW377" s="293"/>
      <c r="DX377" s="293"/>
      <c r="DY377" s="293"/>
    </row>
    <row r="378" spans="1:129" s="5" customFormat="1" ht="11.7" customHeight="1" outlineLevel="1" x14ac:dyDescent="0.25">
      <c r="A378" s="3"/>
      <c r="B378" s="149" t="s">
        <v>589</v>
      </c>
      <c r="C378" s="149"/>
      <c r="D378" s="3"/>
      <c r="E378" s="292">
        <f>+Inputs!$L$75</f>
        <v>44561</v>
      </c>
      <c r="F378" s="3"/>
      <c r="H378" s="308">
        <f t="shared" si="465"/>
        <v>6885.7814714271699</v>
      </c>
      <c r="I378" s="293">
        <f t="shared" ref="I378:AN378" si="472">-SUM(I394,I406)*(I7&lt;=$E$378)</f>
        <v>0</v>
      </c>
      <c r="J378" s="293">
        <f t="shared" si="472"/>
        <v>0</v>
      </c>
      <c r="K378" s="293">
        <f t="shared" si="472"/>
        <v>0</v>
      </c>
      <c r="L378" s="293">
        <f t="shared" si="472"/>
        <v>0</v>
      </c>
      <c r="M378" s="293">
        <f t="shared" si="472"/>
        <v>0</v>
      </c>
      <c r="N378" s="293">
        <f t="shared" si="472"/>
        <v>0</v>
      </c>
      <c r="O378" s="293">
        <f t="shared" si="472"/>
        <v>0</v>
      </c>
      <c r="P378" s="293">
        <f t="shared" si="472"/>
        <v>0</v>
      </c>
      <c r="Q378" s="293">
        <f t="shared" si="472"/>
        <v>0</v>
      </c>
      <c r="R378" s="293">
        <f t="shared" si="472"/>
        <v>0</v>
      </c>
      <c r="S378" s="293">
        <f t="shared" si="472"/>
        <v>0</v>
      </c>
      <c r="T378" s="293">
        <f t="shared" si="472"/>
        <v>0</v>
      </c>
      <c r="U378" s="293">
        <f t="shared" si="472"/>
        <v>0</v>
      </c>
      <c r="V378" s="293">
        <f t="shared" si="472"/>
        <v>0</v>
      </c>
      <c r="W378" s="293">
        <f t="shared" si="472"/>
        <v>0</v>
      </c>
      <c r="X378" s="293">
        <f t="shared" si="472"/>
        <v>0</v>
      </c>
      <c r="Y378" s="293">
        <f t="shared" si="472"/>
        <v>0</v>
      </c>
      <c r="Z378" s="293">
        <f t="shared" si="472"/>
        <v>0</v>
      </c>
      <c r="AA378" s="293">
        <f t="shared" si="472"/>
        <v>0</v>
      </c>
      <c r="AB378" s="293">
        <f t="shared" si="472"/>
        <v>0</v>
      </c>
      <c r="AC378" s="293">
        <f t="shared" si="472"/>
        <v>0</v>
      </c>
      <c r="AD378" s="293">
        <f t="shared" si="472"/>
        <v>0</v>
      </c>
      <c r="AE378" s="293">
        <f t="shared" si="472"/>
        <v>0</v>
      </c>
      <c r="AF378" s="293">
        <f t="shared" si="472"/>
        <v>380.71015466471698</v>
      </c>
      <c r="AG378" s="293">
        <f t="shared" si="472"/>
        <v>0</v>
      </c>
      <c r="AH378" s="293">
        <f t="shared" si="472"/>
        <v>0</v>
      </c>
      <c r="AI378" s="293">
        <f t="shared" si="472"/>
        <v>0</v>
      </c>
      <c r="AJ378" s="293">
        <f t="shared" si="472"/>
        <v>0</v>
      </c>
      <c r="AK378" s="293">
        <f t="shared" si="472"/>
        <v>0</v>
      </c>
      <c r="AL378" s="293">
        <f t="shared" si="472"/>
        <v>0</v>
      </c>
      <c r="AM378" s="293">
        <f t="shared" si="472"/>
        <v>0</v>
      </c>
      <c r="AN378" s="293">
        <f t="shared" si="472"/>
        <v>0</v>
      </c>
      <c r="AO378" s="293">
        <f t="shared" ref="AO378:BG378" si="473">-SUM(AO394,AO406)*(AO7&lt;=$E$378)</f>
        <v>0</v>
      </c>
      <c r="AP378" s="293">
        <f t="shared" si="473"/>
        <v>0</v>
      </c>
      <c r="AQ378" s="293">
        <f t="shared" si="473"/>
        <v>0</v>
      </c>
      <c r="AR378" s="293">
        <f t="shared" si="473"/>
        <v>0</v>
      </c>
      <c r="AS378" s="293">
        <f t="shared" si="473"/>
        <v>1957</v>
      </c>
      <c r="AT378" s="293">
        <f t="shared" si="473"/>
        <v>213.15</v>
      </c>
      <c r="AU378" s="293">
        <f t="shared" si="473"/>
        <v>141</v>
      </c>
      <c r="AV378" s="293">
        <f t="shared" si="473"/>
        <v>128.9</v>
      </c>
      <c r="AW378" s="293">
        <f t="shared" si="473"/>
        <v>216.9</v>
      </c>
      <c r="AX378" s="293">
        <f t="shared" si="473"/>
        <v>147</v>
      </c>
      <c r="AY378" s="293">
        <f t="shared" si="473"/>
        <v>173.34059975203346</v>
      </c>
      <c r="AZ378" s="293">
        <f t="shared" si="473"/>
        <v>209.89232166040171</v>
      </c>
      <c r="BA378" s="293">
        <f t="shared" si="473"/>
        <v>169.38839535001776</v>
      </c>
      <c r="BB378" s="293">
        <f t="shared" si="473"/>
        <v>406.5</v>
      </c>
      <c r="BC378" s="293">
        <f t="shared" si="473"/>
        <v>0</v>
      </c>
      <c r="BD378" s="293">
        <f t="shared" si="473"/>
        <v>0</v>
      </c>
      <c r="BE378" s="293">
        <f t="shared" si="473"/>
        <v>2174</v>
      </c>
      <c r="BF378" s="293">
        <f t="shared" si="473"/>
        <v>340</v>
      </c>
      <c r="BG378" s="293">
        <f t="shared" si="473"/>
        <v>228</v>
      </c>
      <c r="BH378" s="293"/>
      <c r="BI378" s="293"/>
      <c r="BJ378" s="293"/>
      <c r="BK378" s="293"/>
      <c r="BL378" s="293"/>
      <c r="BM378" s="293"/>
      <c r="BN378" s="293"/>
      <c r="BO378" s="293"/>
      <c r="BP378" s="293"/>
      <c r="BQ378" s="293"/>
      <c r="BR378" s="293"/>
      <c r="BS378" s="293"/>
      <c r="BT378" s="293"/>
      <c r="BU378" s="293"/>
      <c r="BV378" s="293"/>
      <c r="BW378" s="293"/>
      <c r="BX378" s="293"/>
      <c r="BY378" s="293"/>
      <c r="BZ378" s="293"/>
      <c r="CA378" s="293"/>
      <c r="CB378" s="293"/>
      <c r="CC378" s="293"/>
      <c r="CD378" s="293"/>
      <c r="CE378" s="293"/>
      <c r="CF378" s="293"/>
      <c r="CG378" s="293"/>
      <c r="CH378" s="293"/>
      <c r="CI378" s="293"/>
      <c r="CJ378" s="293"/>
      <c r="CK378" s="293"/>
      <c r="CL378" s="293"/>
      <c r="CM378" s="293"/>
      <c r="CN378" s="293"/>
      <c r="CO378" s="293"/>
      <c r="CP378" s="293"/>
      <c r="CQ378" s="293"/>
      <c r="CR378" s="293"/>
      <c r="CS378" s="293"/>
      <c r="CT378" s="293"/>
      <c r="CU378" s="293"/>
      <c r="CV378" s="293"/>
      <c r="CW378" s="293"/>
      <c r="CX378" s="293"/>
      <c r="CY378" s="293"/>
      <c r="CZ378" s="293"/>
      <c r="DA378" s="293"/>
      <c r="DB378" s="293"/>
      <c r="DC378" s="293"/>
      <c r="DD378" s="293"/>
      <c r="DE378" s="293"/>
      <c r="DF378" s="293"/>
      <c r="DG378" s="293"/>
      <c r="DH378" s="293"/>
      <c r="DI378" s="293"/>
      <c r="DJ378" s="293"/>
      <c r="DK378" s="293"/>
      <c r="DL378" s="293"/>
      <c r="DM378" s="293"/>
      <c r="DN378" s="293"/>
      <c r="DO378" s="293"/>
      <c r="DP378" s="293"/>
      <c r="DQ378" s="293"/>
      <c r="DR378" s="293"/>
      <c r="DS378" s="293"/>
      <c r="DT378" s="293"/>
      <c r="DU378" s="293"/>
      <c r="DV378" s="293"/>
      <c r="DW378" s="293"/>
      <c r="DX378" s="293"/>
      <c r="DY378" s="293"/>
    </row>
    <row r="379" spans="1:129" s="5" customFormat="1" ht="11.7" customHeight="1" outlineLevel="1" x14ac:dyDescent="0.25">
      <c r="A379" s="3"/>
      <c r="B379" s="149" t="s">
        <v>97</v>
      </c>
      <c r="C379" s="149"/>
      <c r="D379" s="3"/>
      <c r="E379" s="1092"/>
      <c r="F379" s="3"/>
      <c r="H379" s="308">
        <f t="shared" si="465"/>
        <v>17284.220000000012</v>
      </c>
      <c r="I379" s="293">
        <f t="shared" ref="I379:AN379" si="474">-SUM(-I345,I389,I400,I410)</f>
        <v>0</v>
      </c>
      <c r="J379" s="293">
        <f t="shared" si="474"/>
        <v>0</v>
      </c>
      <c r="K379" s="293">
        <f t="shared" si="474"/>
        <v>0</v>
      </c>
      <c r="L379" s="293">
        <f t="shared" si="474"/>
        <v>0</v>
      </c>
      <c r="M379" s="293">
        <f t="shared" si="474"/>
        <v>0</v>
      </c>
      <c r="N379" s="293">
        <f t="shared" si="474"/>
        <v>0</v>
      </c>
      <c r="O379" s="293">
        <f t="shared" si="474"/>
        <v>0</v>
      </c>
      <c r="P379" s="293">
        <f t="shared" si="474"/>
        <v>0</v>
      </c>
      <c r="Q379" s="293">
        <f t="shared" si="474"/>
        <v>0</v>
      </c>
      <c r="R379" s="293">
        <f t="shared" si="474"/>
        <v>0</v>
      </c>
      <c r="S379" s="293">
        <f t="shared" si="474"/>
        <v>0</v>
      </c>
      <c r="T379" s="293">
        <f t="shared" si="474"/>
        <v>0</v>
      </c>
      <c r="U379" s="293">
        <f t="shared" si="474"/>
        <v>0</v>
      </c>
      <c r="V379" s="293">
        <f t="shared" si="474"/>
        <v>0</v>
      </c>
      <c r="W379" s="293">
        <f t="shared" si="474"/>
        <v>0</v>
      </c>
      <c r="X379" s="293">
        <f t="shared" si="474"/>
        <v>0</v>
      </c>
      <c r="Y379" s="293">
        <f t="shared" si="474"/>
        <v>0</v>
      </c>
      <c r="Z379" s="293">
        <f t="shared" si="474"/>
        <v>0</v>
      </c>
      <c r="AA379" s="293">
        <f t="shared" si="474"/>
        <v>0</v>
      </c>
      <c r="AB379" s="293">
        <f t="shared" si="474"/>
        <v>0</v>
      </c>
      <c r="AC379" s="293">
        <f t="shared" si="474"/>
        <v>0</v>
      </c>
      <c r="AD379" s="293">
        <f t="shared" si="474"/>
        <v>0</v>
      </c>
      <c r="AE379" s="293">
        <f t="shared" si="474"/>
        <v>0</v>
      </c>
      <c r="AF379" s="293">
        <f t="shared" si="474"/>
        <v>65358.7</v>
      </c>
      <c r="AG379" s="293">
        <f t="shared" si="474"/>
        <v>230.6</v>
      </c>
      <c r="AH379" s="293">
        <f t="shared" si="474"/>
        <v>94.01</v>
      </c>
      <c r="AI379" s="293">
        <f t="shared" si="474"/>
        <v>90.42</v>
      </c>
      <c r="AJ379" s="293">
        <f t="shared" si="474"/>
        <v>84.02</v>
      </c>
      <c r="AK379" s="293">
        <f t="shared" si="474"/>
        <v>126.17</v>
      </c>
      <c r="AL379" s="293">
        <f t="shared" si="474"/>
        <v>93.81</v>
      </c>
      <c r="AM379" s="293">
        <f t="shared" si="474"/>
        <v>85.67</v>
      </c>
      <c r="AN379" s="293">
        <f t="shared" si="474"/>
        <v>0.35</v>
      </c>
      <c r="AO379" s="293">
        <f t="shared" ref="AO379:BG379" si="475">-SUM(-AO345,AO389,AO400,AO410)</f>
        <v>0.35</v>
      </c>
      <c r="AP379" s="293">
        <f t="shared" si="475"/>
        <v>-17061.899999999998</v>
      </c>
      <c r="AQ379" s="293">
        <f t="shared" si="475"/>
        <v>0</v>
      </c>
      <c r="AR379" s="293">
        <f t="shared" si="475"/>
        <v>0</v>
      </c>
      <c r="AS379" s="293">
        <f t="shared" si="475"/>
        <v>1.0499999999999998</v>
      </c>
      <c r="AT379" s="293">
        <f t="shared" si="475"/>
        <v>72.349999999999994</v>
      </c>
      <c r="AU379" s="293">
        <f t="shared" si="475"/>
        <v>40.299999999999997</v>
      </c>
      <c r="AV379" s="293">
        <f t="shared" si="475"/>
        <v>168.6</v>
      </c>
      <c r="AW379" s="293">
        <f t="shared" si="475"/>
        <v>246.28</v>
      </c>
      <c r="AX379" s="293">
        <f t="shared" si="475"/>
        <v>156.69999999999999</v>
      </c>
      <c r="AY379" s="293">
        <f t="shared" si="475"/>
        <v>0</v>
      </c>
      <c r="AZ379" s="293">
        <f t="shared" si="475"/>
        <v>167.1</v>
      </c>
      <c r="BA379" s="293">
        <f t="shared" si="475"/>
        <v>241.16</v>
      </c>
      <c r="BB379" s="293">
        <f t="shared" si="475"/>
        <v>178.1</v>
      </c>
      <c r="BC379" s="293">
        <f t="shared" si="475"/>
        <v>152.68</v>
      </c>
      <c r="BD379" s="293">
        <f t="shared" si="475"/>
        <v>-33396</v>
      </c>
      <c r="BE379" s="293">
        <f t="shared" si="475"/>
        <v>153.69999999999999</v>
      </c>
      <c r="BF379" s="293">
        <f t="shared" si="475"/>
        <v>0</v>
      </c>
      <c r="BG379" s="293">
        <f t="shared" si="475"/>
        <v>0</v>
      </c>
      <c r="BH379" s="293"/>
      <c r="BI379" s="293"/>
      <c r="BJ379" s="293"/>
      <c r="BK379" s="293"/>
      <c r="BL379" s="293"/>
      <c r="BM379" s="293"/>
      <c r="BN379" s="293"/>
      <c r="BO379" s="293"/>
      <c r="BP379" s="293"/>
      <c r="BQ379" s="293"/>
      <c r="BR379" s="293"/>
      <c r="BS379" s="293"/>
      <c r="BT379" s="293"/>
      <c r="BU379" s="293"/>
      <c r="BV379" s="293"/>
      <c r="BW379" s="293"/>
      <c r="BX379" s="293"/>
      <c r="BY379" s="293"/>
      <c r="BZ379" s="293"/>
      <c r="CA379" s="293"/>
      <c r="CB379" s="293"/>
      <c r="CC379" s="293"/>
      <c r="CD379" s="293"/>
      <c r="CE379" s="293"/>
      <c r="CF379" s="293"/>
      <c r="CG379" s="293"/>
      <c r="CH379" s="293"/>
      <c r="CI379" s="293"/>
      <c r="CJ379" s="293"/>
      <c r="CK379" s="293"/>
      <c r="CL379" s="293"/>
      <c r="CM379" s="293"/>
      <c r="CN379" s="293"/>
      <c r="CO379" s="293"/>
      <c r="CP379" s="293"/>
      <c r="CQ379" s="293"/>
      <c r="CR379" s="293"/>
      <c r="CS379" s="293"/>
      <c r="CT379" s="293"/>
      <c r="CU379" s="293"/>
      <c r="CV379" s="293"/>
      <c r="CW379" s="293"/>
      <c r="CX379" s="293"/>
      <c r="CY379" s="293"/>
      <c r="CZ379" s="293"/>
      <c r="DA379" s="293"/>
      <c r="DB379" s="293"/>
      <c r="DC379" s="293"/>
      <c r="DD379" s="293"/>
      <c r="DE379" s="293"/>
      <c r="DF379" s="293"/>
      <c r="DG379" s="293"/>
      <c r="DH379" s="293"/>
      <c r="DI379" s="293"/>
      <c r="DJ379" s="293"/>
      <c r="DK379" s="293"/>
      <c r="DL379" s="293"/>
      <c r="DM379" s="293"/>
      <c r="DN379" s="293"/>
      <c r="DO379" s="293"/>
      <c r="DP379" s="293"/>
      <c r="DQ379" s="293"/>
      <c r="DR379" s="293"/>
      <c r="DS379" s="293"/>
      <c r="DT379" s="293"/>
      <c r="DU379" s="293"/>
      <c r="DV379" s="293"/>
      <c r="DW379" s="293"/>
      <c r="DX379" s="293"/>
      <c r="DY379" s="293"/>
    </row>
    <row r="380" spans="1:129" s="5" customFormat="1" ht="11.7" customHeight="1" outlineLevel="1" thickBot="1" x14ac:dyDescent="0.3">
      <c r="A380" s="3"/>
      <c r="B380" s="178" t="s">
        <v>591</v>
      </c>
      <c r="C380" s="178"/>
      <c r="D380" s="80"/>
      <c r="E380" s="80"/>
      <c r="F380" s="80"/>
      <c r="G380" s="156"/>
      <c r="H380" s="349">
        <f t="shared" ca="1" si="465"/>
        <v>13082.760066226463</v>
      </c>
      <c r="I380" s="1065">
        <f>-I444*(I444&lt;0)*(I6&gt;=Inputs!$L$76)*(I7&lt;Inputs!$K$94)</f>
        <v>0</v>
      </c>
      <c r="J380" s="1065">
        <f>-J444*(J444&lt;0)*(J6&gt;=Inputs!$L$76)*(J7&lt;Inputs!$K$94)</f>
        <v>0</v>
      </c>
      <c r="K380" s="1065">
        <f>-K444*(K444&lt;0)*(K6&gt;=Inputs!$L$76)*(K7&lt;Inputs!$K$94)</f>
        <v>0</v>
      </c>
      <c r="L380" s="1065">
        <f>-L444*(L444&lt;0)*(L6&gt;=Inputs!$L$76)*(L7&lt;Inputs!$K$94)</f>
        <v>0</v>
      </c>
      <c r="M380" s="1065">
        <f>-M444*(M444&lt;0)*(M6&gt;=Inputs!$L$76)*(M7&lt;Inputs!$K$94)</f>
        <v>0</v>
      </c>
      <c r="N380" s="1065">
        <f>-N444*(N444&lt;0)*(N6&gt;=Inputs!$L$76)*(N7&lt;Inputs!$K$94)</f>
        <v>0</v>
      </c>
      <c r="O380" s="1065">
        <f>-O444*(O444&lt;0)*(O6&gt;=Inputs!$L$76)*(O7&lt;Inputs!$K$94)</f>
        <v>0</v>
      </c>
      <c r="P380" s="1065">
        <f>-P444*(P444&lt;0)*(P6&gt;=Inputs!$L$76)*(P7&lt;Inputs!$K$94)</f>
        <v>0</v>
      </c>
      <c r="Q380" s="1065">
        <f>-Q444*(Q444&lt;0)*(Q6&gt;=Inputs!$L$76)*(Q7&lt;Inputs!$K$94)</f>
        <v>0</v>
      </c>
      <c r="R380" s="1065">
        <f>-R444*(R444&lt;0)*(R6&gt;=Inputs!$L$76)*(R7&lt;Inputs!$K$94)</f>
        <v>0</v>
      </c>
      <c r="S380" s="1065">
        <f>-S444*(S444&lt;0)*(S6&gt;=Inputs!$L$76)*(S7&lt;Inputs!$K$94)</f>
        <v>0</v>
      </c>
      <c r="T380" s="1065">
        <f>-T444*(T444&lt;0)*(T6&gt;=Inputs!$L$76)*(T7&lt;Inputs!$K$94)</f>
        <v>0</v>
      </c>
      <c r="U380" s="1065">
        <f>-U444*(U444&lt;0)*(U6&gt;=Inputs!$L$76)*(U7&lt;Inputs!$K$94)</f>
        <v>0</v>
      </c>
      <c r="V380" s="1065">
        <f>-V444*(V444&lt;0)*(V6&gt;=Inputs!$L$76)*(V7&lt;Inputs!$K$94)</f>
        <v>0</v>
      </c>
      <c r="W380" s="1065">
        <f>-W444*(W444&lt;0)*(W6&gt;=Inputs!$L$76)*(W7&lt;Inputs!$K$94)</f>
        <v>0</v>
      </c>
      <c r="X380" s="1065">
        <f>-X444*(X444&lt;0)*(X6&gt;=Inputs!$L$76)*(X7&lt;Inputs!$K$94)</f>
        <v>0</v>
      </c>
      <c r="Y380" s="1065">
        <f>-Y444*(Y444&lt;0)*(Y6&gt;=Inputs!$L$76)*(Y7&lt;Inputs!$K$94)</f>
        <v>0</v>
      </c>
      <c r="Z380" s="1065">
        <f>-Z444*(Z444&lt;0)*(Z6&gt;=Inputs!$L$76)*(Z7&lt;Inputs!$K$94)</f>
        <v>0</v>
      </c>
      <c r="AA380" s="1065">
        <f>-AA444*(AA444&lt;0)*(AA6&gt;=Inputs!$L$76)*(AA7&lt;Inputs!$K$94)</f>
        <v>0</v>
      </c>
      <c r="AB380" s="1065">
        <f>-AB444*(AB444&lt;0)*(AB6&gt;=Inputs!$L$76)*(AB7&lt;Inputs!$K$94)</f>
        <v>0</v>
      </c>
      <c r="AC380" s="1065">
        <f>-AC444*(AC444&lt;0)*(AC6&gt;=Inputs!$L$76)*(AC7&lt;Inputs!$K$94)</f>
        <v>0</v>
      </c>
      <c r="AD380" s="1065">
        <f>-AD444*(AD444&lt;0)*(AD6&gt;=Inputs!$L$76)*(AD7&lt;Inputs!$K$94)</f>
        <v>0</v>
      </c>
      <c r="AE380" s="1065">
        <f>-AE444*(AE444&lt;0)*(AE6&gt;=Inputs!$L$76)*(AE7&lt;Inputs!$K$94)</f>
        <v>0</v>
      </c>
      <c r="AF380" s="1065">
        <f>-AF444*(AF444&lt;0)*(AF6&gt;=Inputs!$L$76)*(AF7&lt;Inputs!$K$94)</f>
        <v>0</v>
      </c>
      <c r="AG380" s="1065">
        <f>-AG444*(AG444&lt;0)*(AG6&gt;=Inputs!$L$76)*(AG7&lt;Inputs!$K$94)</f>
        <v>0</v>
      </c>
      <c r="AH380" s="1065">
        <f>-AH444*(AH444&lt;0)*(AH6&gt;=Inputs!$L$76)*(AH7&lt;Inputs!$K$94)</f>
        <v>0</v>
      </c>
      <c r="AI380" s="1065">
        <f>-AI444*(AI444&lt;0)*(AI6&gt;=Inputs!$L$76)*(AI7&lt;Inputs!$K$94)</f>
        <v>0</v>
      </c>
      <c r="AJ380" s="1065">
        <f>-AJ444*(AJ444&lt;0)*(AJ6&gt;=Inputs!$L$76)*(AJ7&lt;Inputs!$K$94)</f>
        <v>0</v>
      </c>
      <c r="AK380" s="1065">
        <f>-AK444*(AK444&lt;0)*(AK6&gt;=Inputs!$L$76)*(AK7&lt;Inputs!$K$94)</f>
        <v>0</v>
      </c>
      <c r="AL380" s="1065">
        <f>-AL444*(AL444&lt;0)*(AL6&gt;=Inputs!$L$76)*(AL7&lt;Inputs!$K$94)</f>
        <v>0</v>
      </c>
      <c r="AM380" s="1065">
        <f>-AM444*(AM444&lt;0)*(AM6&gt;=Inputs!$L$76)*(AM7&lt;Inputs!$K$94)</f>
        <v>0</v>
      </c>
      <c r="AN380" s="1065">
        <f>-AN444*(AN444&lt;0)*(AN6&gt;=Inputs!$L$76)*(AN7&lt;Inputs!$K$94)</f>
        <v>0</v>
      </c>
      <c r="AO380" s="1065">
        <f>-AO444*(AO444&lt;0)*(AO6&gt;=Inputs!$L$76)*(AO7&lt;Inputs!$K$94)</f>
        <v>0</v>
      </c>
      <c r="AP380" s="1065">
        <f>-AP444*(AP444&lt;0)*(AP6&gt;=Inputs!$L$76)*(AP7&lt;Inputs!$K$94)</f>
        <v>0</v>
      </c>
      <c r="AQ380" s="1065">
        <f>-AQ444*(AQ444&lt;0)*(AQ6&gt;=Inputs!$L$76)*(AQ7&lt;Inputs!$K$94)</f>
        <v>0</v>
      </c>
      <c r="AR380" s="1065">
        <f>-AR444*(AR444&lt;0)*(AR6&gt;=Inputs!$L$76)*(AR7&lt;Inputs!$K$94)</f>
        <v>0</v>
      </c>
      <c r="AS380" s="1065">
        <f>-AS444*(AS444&lt;0)*(AS6&gt;=Inputs!$L$76)*(AS7&lt;Inputs!$K$94)</f>
        <v>0</v>
      </c>
      <c r="AT380" s="1065">
        <f>-AT444*(AT444&lt;0)*(AT6&gt;=Inputs!$L$76)*(AT7&lt;Inputs!$K$94)</f>
        <v>0</v>
      </c>
      <c r="AU380" s="1065">
        <f>-AU444*(AU444&lt;0)*(AU6&gt;=Inputs!$L$76)*(AU7&lt;Inputs!$K$94)</f>
        <v>0</v>
      </c>
      <c r="AV380" s="1065">
        <f>-AV444*(AV444&lt;0)*(AV6&gt;=Inputs!$L$76)*(AV7&lt;Inputs!$K$94)</f>
        <v>0</v>
      </c>
      <c r="AW380" s="1065">
        <f>-AW444*(AW444&lt;0)*(AW6&gt;=Inputs!$L$76)*(AW7&lt;Inputs!$K$94)</f>
        <v>0</v>
      </c>
      <c r="AX380" s="1065">
        <f>-AX444*(AX444&lt;0)*(AX6&gt;=Inputs!$L$76)*(AX7&lt;Inputs!$K$94)</f>
        <v>0</v>
      </c>
      <c r="AY380" s="1065">
        <f>-AY444*(AY444&lt;0)*(AY6&gt;=Inputs!$L$76)*(AY7&lt;Inputs!$K$94)</f>
        <v>0</v>
      </c>
      <c r="AZ380" s="1065">
        <f>-AZ444*(AZ444&lt;0)*(AZ6&gt;=Inputs!$L$76)*(AZ7&lt;Inputs!$K$94)</f>
        <v>0</v>
      </c>
      <c r="BA380" s="1065">
        <f>-BA444*(BA444&lt;0)*(BA6&gt;=Inputs!$L$76)*(BA7&lt;Inputs!$K$94)</f>
        <v>0</v>
      </c>
      <c r="BB380" s="1065">
        <f>-BB444*(BB444&lt;0)*(BB6&gt;=Inputs!$L$76)*(BB7&lt;Inputs!$K$94)</f>
        <v>0</v>
      </c>
      <c r="BC380" s="1065">
        <f>-BC444*(BC444&lt;0)*(BC6&gt;=Inputs!$L$76)*(BC7&lt;Inputs!$K$94)</f>
        <v>0</v>
      </c>
      <c r="BD380" s="1065">
        <f>-BD444*(BD444&lt;0)*(BD6&gt;=Inputs!$L$76)*(BD7&lt;Inputs!$K$94)</f>
        <v>0</v>
      </c>
      <c r="BE380" s="1065">
        <f>-BE444*(BE444&lt;0)*(BE6&gt;=Inputs!$L$76)*(BE7&lt;Inputs!$K$94)</f>
        <v>0</v>
      </c>
      <c r="BF380" s="1065">
        <f>-BF444*(BF444&lt;0)*(BF6&gt;=Inputs!$L$76)*(BF7&lt;Inputs!$K$94)</f>
        <v>0</v>
      </c>
      <c r="BG380" s="1065">
        <f>-BG444*(BG444&lt;0)*(BG6&gt;=Inputs!$L$76)*(BG7&lt;Inputs!$K$94)</f>
        <v>0</v>
      </c>
      <c r="BH380" s="1065">
        <f>-BH444*(BH444&lt;0)*(BH6&gt;=Inputs!$L$76)*(BH7&lt;Inputs!$K$94)</f>
        <v>113.57982497890112</v>
      </c>
      <c r="BI380" s="1065">
        <f>-BI444*(BI444&lt;0)*(BI6&gt;=Inputs!$L$76)*(BI7&lt;Inputs!$K$94)</f>
        <v>4111.2242247438098</v>
      </c>
      <c r="BJ380" s="1065">
        <f>-BJ444*(BJ444&lt;0)*(BJ6&gt;=Inputs!$L$76)*(BJ7&lt;Inputs!$K$94)</f>
        <v>2480.1065774066014</v>
      </c>
      <c r="BK380" s="1065">
        <f>-BK444*(BK444&lt;0)*(BK6&gt;=Inputs!$L$76)*(BK7&lt;Inputs!$K$94)</f>
        <v>3859.3762196424859</v>
      </c>
      <c r="BL380" s="1065">
        <f>-BL444*(BL444&lt;0)*(BL6&gt;=Inputs!$L$76)*(BL7&lt;Inputs!$K$94)</f>
        <v>0</v>
      </c>
      <c r="BM380" s="1065">
        <f>-BM444*(BM444&lt;0)*(BM6&gt;=Inputs!$L$76)*(BM7&lt;Inputs!$K$94)</f>
        <v>1829.2189937986427</v>
      </c>
      <c r="BN380" s="1065">
        <f ca="1">-BN444*(BN444&lt;0)*(BN6&gt;=Inputs!$L$76)*(BN7&lt;Inputs!$K$94)</f>
        <v>423.19749474959326</v>
      </c>
      <c r="BO380" s="1065">
        <f ca="1">-BO444*(BO444&lt;0)*(BO6&gt;=Inputs!$L$76)*(BO7&lt;Inputs!$K$94)</f>
        <v>266.05673090642728</v>
      </c>
      <c r="BP380" s="1065">
        <f ca="1">-BP444*(BP444&lt;0)*(BP6&gt;=Inputs!$L$76)*(BP7&lt;Inputs!$K$94)</f>
        <v>0</v>
      </c>
      <c r="BQ380" s="1065">
        <f ca="1">-BQ444*(BQ444&lt;0)*(BQ6&gt;=Inputs!$L$76)*(BQ7&lt;Inputs!$K$94)</f>
        <v>0</v>
      </c>
      <c r="BR380" s="1065">
        <f ca="1">-BR444*(BR444&lt;0)*(BR6&gt;=Inputs!$L$76)*(BR7&lt;Inputs!$K$94)</f>
        <v>0</v>
      </c>
      <c r="BS380" s="1065">
        <f ca="1">-BS444*(BS444&lt;0)*(BS6&gt;=Inputs!$L$76)*(BS7&lt;Inputs!$K$94)</f>
        <v>0</v>
      </c>
      <c r="BT380" s="1065">
        <f ca="1">-BT444*(BT444&lt;0)*(BT6&gt;=Inputs!$L$76)*(BT7&lt;Inputs!$K$94)</f>
        <v>0</v>
      </c>
      <c r="BU380" s="1065">
        <f ca="1">-BU444*(BU444&lt;0)*(BU6&gt;=Inputs!$L$76)*(BU7&lt;Inputs!$K$94)</f>
        <v>0</v>
      </c>
      <c r="BV380" s="1065">
        <f ca="1">-BV444*(BV444&lt;0)*(BV6&gt;=Inputs!$L$76)*(BV7&lt;Inputs!$K$94)</f>
        <v>0</v>
      </c>
      <c r="BW380" s="1065">
        <f ca="1">-BW444*(BW444&lt;0)*(BW6&gt;=Inputs!$L$76)*(BW7&lt;Inputs!$K$94)</f>
        <v>0</v>
      </c>
      <c r="BX380" s="1065">
        <f ca="1">-BX444*(BX444&lt;0)*(BX6&gt;=Inputs!$L$76)*(BX7&lt;Inputs!$K$94)</f>
        <v>0</v>
      </c>
      <c r="BY380" s="1065">
        <f ca="1">-BY444*(BY444&lt;0)*(BY6&gt;=Inputs!$L$76)*(BY7&lt;Inputs!$K$94)</f>
        <v>0</v>
      </c>
      <c r="BZ380" s="1065">
        <f ca="1">-BZ444*(BZ444&lt;0)*(BZ6&gt;=Inputs!$L$76)*(BZ7&lt;Inputs!$K$94)</f>
        <v>0</v>
      </c>
      <c r="CA380" s="1065">
        <f ca="1">-CA444*(CA444&lt;0)*(CA6&gt;=Inputs!$L$76)*(CA7&lt;Inputs!$K$94)</f>
        <v>0</v>
      </c>
      <c r="CB380" s="1065">
        <f ca="1">-CB444*(CB444&lt;0)*(CB6&gt;=Inputs!$L$76)*(CB7&lt;Inputs!$K$94)</f>
        <v>0</v>
      </c>
      <c r="CC380" s="1065">
        <f ca="1">-CC444*(CC444&lt;0)*(CC6&gt;=Inputs!$L$76)*(CC7&lt;Inputs!$K$94)</f>
        <v>0</v>
      </c>
      <c r="CD380" s="1065">
        <f ca="1">-CD444*(CD444&lt;0)*(CD6&gt;=Inputs!$L$76)*(CD7&lt;Inputs!$K$94)</f>
        <v>0</v>
      </c>
      <c r="CE380" s="1065">
        <f ca="1">-CE444*(CE444&lt;0)*(CE6&gt;=Inputs!$L$76)*(CE7&lt;Inputs!$K$94)</f>
        <v>0</v>
      </c>
      <c r="CF380" s="1065">
        <f ca="1">-CF444*(CF444&lt;0)*(CF6&gt;=Inputs!$L$76)*(CF7&lt;Inputs!$K$94)</f>
        <v>0</v>
      </c>
      <c r="CG380" s="1065">
        <f ca="1">-CG444*(CG444&lt;0)*(CG6&gt;=Inputs!$L$76)*(CG7&lt;Inputs!$K$94)</f>
        <v>0</v>
      </c>
      <c r="CH380" s="1065">
        <f ca="1">-CH444*(CH444&lt;0)*(CH6&gt;=Inputs!$L$76)*(CH7&lt;Inputs!$K$94)</f>
        <v>0</v>
      </c>
      <c r="CI380" s="1065">
        <f ca="1">-CI444*(CI444&lt;0)*(CI6&gt;=Inputs!$L$76)*(CI7&lt;Inputs!$K$94)</f>
        <v>0</v>
      </c>
      <c r="CJ380" s="1065">
        <f ca="1">-CJ444*(CJ444&lt;0)*(CJ6&gt;=Inputs!$L$76)*(CJ7&lt;Inputs!$K$94)</f>
        <v>0</v>
      </c>
      <c r="CK380" s="1065">
        <f ca="1">-CK444*(CK444&lt;0)*(CK6&gt;=Inputs!$L$76)*(CK7&lt;Inputs!$K$94)</f>
        <v>0</v>
      </c>
      <c r="CL380" s="1065">
        <f ca="1">-CL444*(CL444&lt;0)*(CL6&gt;=Inputs!$L$76)*(CL7&lt;Inputs!$K$94)</f>
        <v>0</v>
      </c>
      <c r="CM380" s="1065">
        <f ca="1">-CM444*(CM444&lt;0)*(CM6&gt;=Inputs!$L$76)*(CM7&lt;Inputs!$K$94)</f>
        <v>0</v>
      </c>
      <c r="CN380" s="1065">
        <f ca="1">-CN444*(CN444&lt;0)*(CN6&gt;=Inputs!$L$76)*(CN7&lt;Inputs!$K$94)</f>
        <v>0</v>
      </c>
      <c r="CO380" s="1065">
        <f ca="1">-CO444*(CO444&lt;0)*(CO6&gt;=Inputs!$L$76)*(CO7&lt;Inputs!$K$94)</f>
        <v>0</v>
      </c>
      <c r="CP380" s="1065">
        <f ca="1">-CP444*(CP444&lt;0)*(CP6&gt;=Inputs!$L$76)*(CP7&lt;Inputs!$K$94)</f>
        <v>0</v>
      </c>
      <c r="CQ380" s="1065">
        <f ca="1">-CQ444*(CQ444&lt;0)*(CQ6&gt;=Inputs!$L$76)*(CQ7&lt;Inputs!$K$94)</f>
        <v>0</v>
      </c>
      <c r="CR380" s="1065">
        <f ca="1">-CR444*(CR444&lt;0)*(CR6&gt;=Inputs!$L$76)*(CR7&lt;Inputs!$K$94)</f>
        <v>0</v>
      </c>
      <c r="CS380" s="1065">
        <f ca="1">-CS444*(CS444&lt;0)*(CS6&gt;=Inputs!$L$76)*(CS7&lt;Inputs!$K$94)</f>
        <v>0</v>
      </c>
      <c r="CT380" s="1065">
        <f ca="1">-CT444*(CT444&lt;0)*(CT6&gt;=Inputs!$L$76)*(CT7&lt;Inputs!$K$94)</f>
        <v>0</v>
      </c>
      <c r="CU380" s="1065">
        <f ca="1">-CU444*(CU444&lt;0)*(CU6&gt;=Inputs!$L$76)*(CU7&lt;Inputs!$K$94)</f>
        <v>0</v>
      </c>
      <c r="CV380" s="1065">
        <f ca="1">-CV444*(CV444&lt;0)*(CV6&gt;=Inputs!$L$76)*(CV7&lt;Inputs!$K$94)</f>
        <v>0</v>
      </c>
      <c r="CW380" s="1065">
        <f ca="1">-CW444*(CW444&lt;0)*(CW6&gt;=Inputs!$L$76)*(CW7&lt;Inputs!$K$94)</f>
        <v>0</v>
      </c>
      <c r="CX380" s="1065">
        <f ca="1">-CX444*(CX444&lt;0)*(CX6&gt;=Inputs!$L$76)*(CX7&lt;Inputs!$K$94)</f>
        <v>0</v>
      </c>
      <c r="CY380" s="1065">
        <f ca="1">-CY444*(CY444&lt;0)*(CY6&gt;=Inputs!$L$76)*(CY7&lt;Inputs!$K$94)</f>
        <v>0</v>
      </c>
      <c r="CZ380" s="1065">
        <f ca="1">-CZ444*(CZ444&lt;0)*(CZ6&gt;=Inputs!$L$76)*(CZ7&lt;Inputs!$K$94)</f>
        <v>0</v>
      </c>
      <c r="DA380" s="1065">
        <f ca="1">-DA444*(DA444&lt;0)*(DA6&gt;=Inputs!$L$76)*(DA7&lt;Inputs!$K$94)</f>
        <v>0</v>
      </c>
      <c r="DB380" s="1065">
        <f ca="1">-DB444*(DB444&lt;0)*(DB6&gt;=Inputs!$L$76)*(DB7&lt;Inputs!$K$94)</f>
        <v>0</v>
      </c>
      <c r="DC380" s="1065">
        <f ca="1">-DC444*(DC444&lt;0)*(DC6&gt;=Inputs!$L$76)*(DC7&lt;Inputs!$K$94)</f>
        <v>0</v>
      </c>
      <c r="DD380" s="1065">
        <f ca="1">-DD444*(DD444&lt;0)*(DD6&gt;=Inputs!$L$76)*(DD7&lt;Inputs!$K$94)</f>
        <v>0</v>
      </c>
      <c r="DE380" s="1065">
        <f ca="1">-DE444*(DE444&lt;0)*(DE6&gt;=Inputs!$L$76)*(DE7&lt;Inputs!$K$94)</f>
        <v>0</v>
      </c>
      <c r="DF380" s="1065">
        <f ca="1">-DF444*(DF444&lt;0)*(DF6&gt;=Inputs!$L$76)*(DF7&lt;Inputs!$K$94)</f>
        <v>0</v>
      </c>
      <c r="DG380" s="1065">
        <f ca="1">-DG444*(DG444&lt;0)*(DG6&gt;=Inputs!$L$76)*(DG7&lt;Inputs!$K$94)</f>
        <v>0</v>
      </c>
      <c r="DH380" s="1065">
        <f ca="1">-DH444*(DH444&lt;0)*(DH6&gt;=Inputs!$L$76)*(DH7&lt;Inputs!$K$94)</f>
        <v>0</v>
      </c>
      <c r="DI380" s="1065">
        <f ca="1">-DI444*(DI444&lt;0)*(DI6&gt;=Inputs!$L$76)*(DI7&lt;Inputs!$K$94)</f>
        <v>0</v>
      </c>
      <c r="DJ380" s="1065">
        <f ca="1">-DJ444*(DJ444&lt;0)*(DJ6&gt;=Inputs!$L$76)*(DJ7&lt;Inputs!$K$94)</f>
        <v>0</v>
      </c>
      <c r="DK380" s="1065">
        <f ca="1">-DK444*(DK444&lt;0)*(DK6&gt;=Inputs!$L$76)*(DK7&lt;Inputs!$K$94)</f>
        <v>0</v>
      </c>
      <c r="DL380" s="1065">
        <f ca="1">-DL444*(DL444&lt;0)*(DL6&gt;=Inputs!$L$76)*(DL7&lt;Inputs!$K$94)</f>
        <v>0</v>
      </c>
      <c r="DM380" s="1065">
        <f ca="1">-DM444*(DM444&lt;0)*(DM6&gt;=Inputs!$L$76)*(DM7&lt;Inputs!$K$94)</f>
        <v>0</v>
      </c>
      <c r="DN380" s="1065">
        <f ca="1">-DN444*(DN444&lt;0)*(DN6&gt;=Inputs!$L$76)*(DN7&lt;Inputs!$K$94)</f>
        <v>0</v>
      </c>
      <c r="DO380" s="1065">
        <f ca="1">-DO444*(DO444&lt;0)*(DO6&gt;=Inputs!$L$76)*(DO7&lt;Inputs!$K$94)</f>
        <v>0</v>
      </c>
      <c r="DP380" s="1065">
        <f ca="1">-DP444*(DP444&lt;0)*(DP6&gt;=Inputs!$L$76)*(DP7&lt;Inputs!$K$94)</f>
        <v>0</v>
      </c>
      <c r="DQ380" s="1065">
        <f ca="1">-DQ444*(DQ444&lt;0)*(DQ6&gt;=Inputs!$L$76)*(DQ7&lt;Inputs!$K$94)</f>
        <v>0</v>
      </c>
      <c r="DR380" s="1065">
        <f ca="1">-DR444*(DR444&lt;0)*(DR6&gt;=Inputs!$L$76)*(DR7&lt;Inputs!$K$94)</f>
        <v>0</v>
      </c>
      <c r="DS380" s="1065">
        <f ca="1">-DS444*(DS444&lt;0)*(DS6&gt;=Inputs!$L$76)*(DS7&lt;Inputs!$K$94)</f>
        <v>0</v>
      </c>
      <c r="DT380" s="1065">
        <f ca="1">-DT444*(DT444&lt;0)*(DT6&gt;=Inputs!$L$76)*(DT7&lt;Inputs!$K$94)</f>
        <v>0</v>
      </c>
      <c r="DU380" s="1065">
        <f ca="1">-DU444*(DU444&lt;0)*(DU6&gt;=Inputs!$L$76)*(DU7&lt;Inputs!$K$94)</f>
        <v>0</v>
      </c>
      <c r="DV380" s="1065">
        <f ca="1">-DV444*(DV444&lt;0)*(DV6&gt;=Inputs!$L$76)*(DV7&lt;Inputs!$K$94)</f>
        <v>0</v>
      </c>
      <c r="DW380" s="1065">
        <f ca="1">-DW444*(DW444&lt;0)*(DW6&gt;=Inputs!$L$76)*(DW7&lt;Inputs!$K$94)</f>
        <v>0</v>
      </c>
      <c r="DX380" s="1065">
        <f ca="1">-DX444*(DX444&lt;0)*(DX6&gt;=Inputs!$L$76)*(DX7&lt;Inputs!$K$94)</f>
        <v>0</v>
      </c>
      <c r="DY380" s="1065">
        <f ca="1">-DY444*(DY444&lt;0)*(DY6&gt;=Inputs!$L$76)*(DY7&lt;Inputs!$K$94)</f>
        <v>0</v>
      </c>
    </row>
    <row r="381" spans="1:129" s="5" customFormat="1" ht="11.7" customHeight="1" outlineLevel="1" thickTop="1" thickBot="1" x14ac:dyDescent="0.35">
      <c r="A381" s="3"/>
      <c r="B381" s="204" t="s">
        <v>1</v>
      </c>
      <c r="C381" s="204"/>
      <c r="D381" s="80"/>
      <c r="E381" s="80"/>
      <c r="F381" s="80"/>
      <c r="G381" s="156"/>
      <c r="H381" s="647">
        <f t="shared" ca="1" si="465"/>
        <v>625743.05708879838</v>
      </c>
      <c r="I381" s="336">
        <f>+SUM(I375:I380)</f>
        <v>148941.6</v>
      </c>
      <c r="J381" s="336">
        <f t="shared" ref="J381:BU381" si="476">+SUM(J375:J380)</f>
        <v>9931.0229483610528</v>
      </c>
      <c r="K381" s="336">
        <f t="shared" si="476"/>
        <v>918.2</v>
      </c>
      <c r="L381" s="336">
        <f t="shared" si="476"/>
        <v>3526.8068221862859</v>
      </c>
      <c r="M381" s="336">
        <f t="shared" si="476"/>
        <v>505.43645603247569</v>
      </c>
      <c r="N381" s="336">
        <f t="shared" si="476"/>
        <v>2606.4505945243063</v>
      </c>
      <c r="O381" s="336">
        <f t="shared" si="476"/>
        <v>0</v>
      </c>
      <c r="P381" s="336">
        <f t="shared" si="476"/>
        <v>660.89596559726238</v>
      </c>
      <c r="Q381" s="336">
        <f t="shared" si="476"/>
        <v>2427.1427321533956</v>
      </c>
      <c r="R381" s="336">
        <f t="shared" si="476"/>
        <v>823.40604281012759</v>
      </c>
      <c r="S381" s="336">
        <f t="shared" si="476"/>
        <v>1750.46</v>
      </c>
      <c r="T381" s="336">
        <f t="shared" si="476"/>
        <v>1143.3312740467463</v>
      </c>
      <c r="U381" s="336">
        <f t="shared" si="476"/>
        <v>225.53644334802181</v>
      </c>
      <c r="V381" s="336">
        <f t="shared" si="476"/>
        <v>2724.8097463965332</v>
      </c>
      <c r="W381" s="336">
        <f t="shared" si="476"/>
        <v>7293.6517689614093</v>
      </c>
      <c r="X381" s="336">
        <f t="shared" si="476"/>
        <v>1307.5542789935589</v>
      </c>
      <c r="Y381" s="336">
        <f t="shared" si="476"/>
        <v>8810.3139022268151</v>
      </c>
      <c r="Z381" s="336">
        <f t="shared" si="476"/>
        <v>4717.1446828974076</v>
      </c>
      <c r="AA381" s="336">
        <f t="shared" si="476"/>
        <v>4878.033385354478</v>
      </c>
      <c r="AB381" s="336">
        <f t="shared" si="476"/>
        <v>991.84470258408942</v>
      </c>
      <c r="AC381" s="336">
        <f t="shared" si="476"/>
        <v>1321.5461440737463</v>
      </c>
      <c r="AD381" s="336">
        <f t="shared" si="476"/>
        <v>3903.8356605773606</v>
      </c>
      <c r="AE381" s="336">
        <f t="shared" si="476"/>
        <v>65500.604726526064</v>
      </c>
      <c r="AF381" s="336">
        <f t="shared" si="476"/>
        <v>81616.850566749083</v>
      </c>
      <c r="AG381" s="336">
        <f t="shared" si="476"/>
        <v>12322.789221486973</v>
      </c>
      <c r="AH381" s="336">
        <f t="shared" si="476"/>
        <v>10005.651906183686</v>
      </c>
      <c r="AI381" s="336">
        <f t="shared" si="476"/>
        <v>17392.807726628562</v>
      </c>
      <c r="AJ381" s="336">
        <f t="shared" si="476"/>
        <v>8879.0255455705628</v>
      </c>
      <c r="AK381" s="336">
        <f t="shared" si="476"/>
        <v>8591.2601148521171</v>
      </c>
      <c r="AL381" s="336">
        <f t="shared" si="476"/>
        <v>9305.5806862459067</v>
      </c>
      <c r="AM381" s="336">
        <f t="shared" si="476"/>
        <v>10579.445980758153</v>
      </c>
      <c r="AN381" s="336">
        <f t="shared" si="476"/>
        <v>10862.533123185907</v>
      </c>
      <c r="AO381" s="336">
        <f t="shared" si="476"/>
        <v>8218.4817493525752</v>
      </c>
      <c r="AP381" s="336">
        <f t="shared" si="476"/>
        <v>-7142.2042409063215</v>
      </c>
      <c r="AQ381" s="336">
        <f t="shared" si="476"/>
        <v>1703.78</v>
      </c>
      <c r="AR381" s="336">
        <f t="shared" si="476"/>
        <v>870.64</v>
      </c>
      <c r="AS381" s="336">
        <f t="shared" si="476"/>
        <v>11802.92</v>
      </c>
      <c r="AT381" s="336">
        <f t="shared" si="476"/>
        <v>9478.0300000000007</v>
      </c>
      <c r="AU381" s="336">
        <f t="shared" si="476"/>
        <v>2604.2999999999997</v>
      </c>
      <c r="AV381" s="336">
        <f t="shared" si="476"/>
        <v>14906.8</v>
      </c>
      <c r="AW381" s="336">
        <f t="shared" si="476"/>
        <v>33634.28</v>
      </c>
      <c r="AX381" s="336">
        <f t="shared" si="476"/>
        <v>1369.7</v>
      </c>
      <c r="AY381" s="336">
        <f t="shared" si="476"/>
        <v>18435.016100817124</v>
      </c>
      <c r="AZ381" s="336">
        <f t="shared" si="476"/>
        <v>18163.431586625527</v>
      </c>
      <c r="BA381" s="336">
        <f t="shared" si="476"/>
        <v>31888.933869837729</v>
      </c>
      <c r="BB381" s="336">
        <f t="shared" si="476"/>
        <v>18654.236121912589</v>
      </c>
      <c r="BC381" s="336">
        <f t="shared" si="476"/>
        <v>1694.3048167620832</v>
      </c>
      <c r="BD381" s="336">
        <f t="shared" si="476"/>
        <v>-21719.045835948389</v>
      </c>
      <c r="BE381" s="336">
        <f t="shared" si="476"/>
        <v>16033.965889258987</v>
      </c>
      <c r="BF381" s="336">
        <f t="shared" si="476"/>
        <v>3308.1468313122314</v>
      </c>
      <c r="BG381" s="336">
        <f t="shared" si="476"/>
        <v>4289.0069842357225</v>
      </c>
      <c r="BH381" s="336">
        <f t="shared" si="476"/>
        <v>113.57982497890112</v>
      </c>
      <c r="BI381" s="336">
        <f t="shared" si="476"/>
        <v>4111.2242247438098</v>
      </c>
      <c r="BJ381" s="336">
        <f t="shared" si="476"/>
        <v>2480.1065774066014</v>
      </c>
      <c r="BK381" s="336">
        <f t="shared" si="476"/>
        <v>3859.3762196424859</v>
      </c>
      <c r="BL381" s="336">
        <f t="shared" si="476"/>
        <v>0</v>
      </c>
      <c r="BM381" s="336">
        <f t="shared" si="476"/>
        <v>1829.2189937986427</v>
      </c>
      <c r="BN381" s="336">
        <f t="shared" ca="1" si="476"/>
        <v>423.19749474959326</v>
      </c>
      <c r="BO381" s="336">
        <f t="shared" ca="1" si="476"/>
        <v>266.05673090642728</v>
      </c>
      <c r="BP381" s="336">
        <f t="shared" ca="1" si="476"/>
        <v>0</v>
      </c>
      <c r="BQ381" s="336">
        <f t="shared" ca="1" si="476"/>
        <v>0</v>
      </c>
      <c r="BR381" s="336">
        <f t="shared" ca="1" si="476"/>
        <v>0</v>
      </c>
      <c r="BS381" s="336">
        <f t="shared" ca="1" si="476"/>
        <v>0</v>
      </c>
      <c r="BT381" s="336">
        <f t="shared" ca="1" si="476"/>
        <v>0</v>
      </c>
      <c r="BU381" s="336">
        <f t="shared" ca="1" si="476"/>
        <v>0</v>
      </c>
      <c r="BV381" s="336">
        <f t="shared" ref="BV381:DW381" ca="1" si="477">+SUM(BV375:BV380)</f>
        <v>0</v>
      </c>
      <c r="BW381" s="336">
        <f t="shared" ca="1" si="477"/>
        <v>0</v>
      </c>
      <c r="BX381" s="336">
        <f t="shared" ca="1" si="477"/>
        <v>0</v>
      </c>
      <c r="BY381" s="336">
        <f t="shared" ca="1" si="477"/>
        <v>0</v>
      </c>
      <c r="BZ381" s="336">
        <f t="shared" ca="1" si="477"/>
        <v>0</v>
      </c>
      <c r="CA381" s="336">
        <f t="shared" ca="1" si="477"/>
        <v>0</v>
      </c>
      <c r="CB381" s="336">
        <f t="shared" ca="1" si="477"/>
        <v>0</v>
      </c>
      <c r="CC381" s="336">
        <f t="shared" ca="1" si="477"/>
        <v>0</v>
      </c>
      <c r="CD381" s="336">
        <f t="shared" ca="1" si="477"/>
        <v>0</v>
      </c>
      <c r="CE381" s="336">
        <f t="shared" ca="1" si="477"/>
        <v>0</v>
      </c>
      <c r="CF381" s="336">
        <f t="shared" ca="1" si="477"/>
        <v>0</v>
      </c>
      <c r="CG381" s="336">
        <f t="shared" ca="1" si="477"/>
        <v>0</v>
      </c>
      <c r="CH381" s="336">
        <f t="shared" ca="1" si="477"/>
        <v>0</v>
      </c>
      <c r="CI381" s="336">
        <f t="shared" ca="1" si="477"/>
        <v>0</v>
      </c>
      <c r="CJ381" s="336">
        <f t="shared" ca="1" si="477"/>
        <v>0</v>
      </c>
      <c r="CK381" s="336">
        <f t="shared" ca="1" si="477"/>
        <v>0</v>
      </c>
      <c r="CL381" s="336">
        <f t="shared" ca="1" si="477"/>
        <v>0</v>
      </c>
      <c r="CM381" s="336">
        <f t="shared" ca="1" si="477"/>
        <v>0</v>
      </c>
      <c r="CN381" s="336">
        <f t="shared" ca="1" si="477"/>
        <v>0</v>
      </c>
      <c r="CO381" s="336">
        <f t="shared" ca="1" si="477"/>
        <v>0</v>
      </c>
      <c r="CP381" s="336">
        <f t="shared" ca="1" si="477"/>
        <v>0</v>
      </c>
      <c r="CQ381" s="336">
        <f t="shared" ca="1" si="477"/>
        <v>0</v>
      </c>
      <c r="CR381" s="336">
        <f t="shared" ca="1" si="477"/>
        <v>0</v>
      </c>
      <c r="CS381" s="336">
        <f t="shared" ca="1" si="477"/>
        <v>0</v>
      </c>
      <c r="CT381" s="336">
        <f t="shared" ca="1" si="477"/>
        <v>0</v>
      </c>
      <c r="CU381" s="336">
        <f t="shared" ca="1" si="477"/>
        <v>0</v>
      </c>
      <c r="CV381" s="336">
        <f t="shared" ca="1" si="477"/>
        <v>0</v>
      </c>
      <c r="CW381" s="336">
        <f t="shared" ca="1" si="477"/>
        <v>0</v>
      </c>
      <c r="CX381" s="336">
        <f t="shared" ca="1" si="477"/>
        <v>0</v>
      </c>
      <c r="CY381" s="336">
        <f t="shared" ca="1" si="477"/>
        <v>0</v>
      </c>
      <c r="CZ381" s="336">
        <f t="shared" ca="1" si="477"/>
        <v>0</v>
      </c>
      <c r="DA381" s="336">
        <f t="shared" ca="1" si="477"/>
        <v>0</v>
      </c>
      <c r="DB381" s="336">
        <f t="shared" ca="1" si="477"/>
        <v>0</v>
      </c>
      <c r="DC381" s="336">
        <f t="shared" ca="1" si="477"/>
        <v>0</v>
      </c>
      <c r="DD381" s="336">
        <f t="shared" ca="1" si="477"/>
        <v>0</v>
      </c>
      <c r="DE381" s="336">
        <f t="shared" ca="1" si="477"/>
        <v>0</v>
      </c>
      <c r="DF381" s="336">
        <f t="shared" ca="1" si="477"/>
        <v>0</v>
      </c>
      <c r="DG381" s="336">
        <f t="shared" ca="1" si="477"/>
        <v>0</v>
      </c>
      <c r="DH381" s="336">
        <f t="shared" ca="1" si="477"/>
        <v>0</v>
      </c>
      <c r="DI381" s="336">
        <f t="shared" ca="1" si="477"/>
        <v>0</v>
      </c>
      <c r="DJ381" s="336">
        <f t="shared" ca="1" si="477"/>
        <v>0</v>
      </c>
      <c r="DK381" s="336">
        <f t="shared" ca="1" si="477"/>
        <v>0</v>
      </c>
      <c r="DL381" s="336">
        <f t="shared" ca="1" si="477"/>
        <v>0</v>
      </c>
      <c r="DM381" s="336">
        <f t="shared" ca="1" si="477"/>
        <v>0</v>
      </c>
      <c r="DN381" s="336">
        <f t="shared" ca="1" si="477"/>
        <v>0</v>
      </c>
      <c r="DO381" s="336">
        <f t="shared" ca="1" si="477"/>
        <v>0</v>
      </c>
      <c r="DP381" s="336">
        <f t="shared" ca="1" si="477"/>
        <v>0</v>
      </c>
      <c r="DQ381" s="336">
        <f t="shared" ca="1" si="477"/>
        <v>0</v>
      </c>
      <c r="DR381" s="336">
        <f t="shared" ca="1" si="477"/>
        <v>0</v>
      </c>
      <c r="DS381" s="336">
        <f t="shared" ca="1" si="477"/>
        <v>0</v>
      </c>
      <c r="DT381" s="336">
        <f t="shared" ca="1" si="477"/>
        <v>0</v>
      </c>
      <c r="DU381" s="336">
        <f t="shared" ca="1" si="477"/>
        <v>0</v>
      </c>
      <c r="DV381" s="336">
        <f t="shared" ca="1" si="477"/>
        <v>0</v>
      </c>
      <c r="DW381" s="336">
        <f t="shared" ca="1" si="477"/>
        <v>0</v>
      </c>
      <c r="DX381" s="336">
        <f t="shared" ref="DX381" ca="1" si="478">+SUM(DX375:DX380)</f>
        <v>0</v>
      </c>
      <c r="DY381" s="336">
        <f t="shared" ref="DY381" ca="1" si="479">+SUM(DY375:DY380)</f>
        <v>0</v>
      </c>
    </row>
    <row r="382" spans="1:129" s="5" customFormat="1" ht="11.7" customHeight="1" outlineLevel="1" thickTop="1" x14ac:dyDescent="0.3">
      <c r="A382" s="3"/>
      <c r="B382" s="149" t="s">
        <v>593</v>
      </c>
      <c r="C382" s="149"/>
      <c r="D382" s="3"/>
      <c r="E382" s="3"/>
      <c r="F382" s="3"/>
      <c r="H382" s="290">
        <f t="shared" ca="1" si="465"/>
        <v>162767.77708879835</v>
      </c>
      <c r="I382" s="14">
        <f>+I381-I383</f>
        <v>148941.6</v>
      </c>
      <c r="J382" s="14">
        <f t="shared" ref="J382:BU382" si="480">+J381-J383</f>
        <v>9931.0229483610528</v>
      </c>
      <c r="K382" s="14">
        <f t="shared" si="480"/>
        <v>918.2</v>
      </c>
      <c r="L382" s="14">
        <f t="shared" si="480"/>
        <v>3526.8068221862859</v>
      </c>
      <c r="M382" s="14">
        <f t="shared" si="480"/>
        <v>505.43645603247569</v>
      </c>
      <c r="N382" s="14">
        <f t="shared" si="480"/>
        <v>2606.4505945243063</v>
      </c>
      <c r="O382" s="14">
        <f t="shared" si="480"/>
        <v>0</v>
      </c>
      <c r="P382" s="14">
        <f t="shared" si="480"/>
        <v>660.89596559726238</v>
      </c>
      <c r="Q382" s="14">
        <f t="shared" si="480"/>
        <v>2427.1427321533956</v>
      </c>
      <c r="R382" s="14">
        <f t="shared" si="480"/>
        <v>823.40604281012759</v>
      </c>
      <c r="S382" s="14">
        <f t="shared" si="480"/>
        <v>1750.46</v>
      </c>
      <c r="T382" s="14">
        <f t="shared" si="480"/>
        <v>1143.3312740467463</v>
      </c>
      <c r="U382" s="14">
        <f t="shared" si="480"/>
        <v>225.53644334802181</v>
      </c>
      <c r="V382" s="14">
        <f t="shared" si="480"/>
        <v>2724.8097463965332</v>
      </c>
      <c r="W382" s="14">
        <f t="shared" si="480"/>
        <v>7293.6517689614093</v>
      </c>
      <c r="X382" s="14">
        <f t="shared" si="480"/>
        <v>1307.5542789935589</v>
      </c>
      <c r="Y382" s="14">
        <f t="shared" si="480"/>
        <v>8810.3139022268151</v>
      </c>
      <c r="Z382" s="14">
        <f t="shared" si="480"/>
        <v>4717.1446828974076</v>
      </c>
      <c r="AA382" s="14">
        <f t="shared" si="480"/>
        <v>4878.033385354478</v>
      </c>
      <c r="AB382" s="14">
        <f t="shared" si="480"/>
        <v>991.84470258408942</v>
      </c>
      <c r="AC382" s="14">
        <f t="shared" si="480"/>
        <v>1321.5461440737463</v>
      </c>
      <c r="AD382" s="14">
        <f t="shared" si="480"/>
        <v>3903.8356605773606</v>
      </c>
      <c r="AE382" s="14">
        <f t="shared" si="480"/>
        <v>822.60472652606404</v>
      </c>
      <c r="AF382" s="14">
        <f t="shared" si="480"/>
        <v>-1342.1494332509174</v>
      </c>
      <c r="AG382" s="14">
        <f t="shared" si="480"/>
        <v>-13226.490778513025</v>
      </c>
      <c r="AH382" s="14">
        <f t="shared" si="480"/>
        <v>-1355.3480938163138</v>
      </c>
      <c r="AI382" s="14">
        <f t="shared" si="480"/>
        <v>9309.8077266285618</v>
      </c>
      <c r="AJ382" s="14">
        <f t="shared" si="480"/>
        <v>1584.0255455705628</v>
      </c>
      <c r="AK382" s="14">
        <f t="shared" si="480"/>
        <v>-3908.7398851478829</v>
      </c>
      <c r="AL382" s="14">
        <f t="shared" si="480"/>
        <v>805.58068624590669</v>
      </c>
      <c r="AM382" s="14">
        <f t="shared" si="480"/>
        <v>579.44598075815338</v>
      </c>
      <c r="AN382" s="14">
        <f t="shared" si="480"/>
        <v>2512.5331231859072</v>
      </c>
      <c r="AO382" s="14">
        <f t="shared" si="480"/>
        <v>1318.4817493525752</v>
      </c>
      <c r="AP382" s="14">
        <f t="shared" si="480"/>
        <v>-23142.204240906322</v>
      </c>
      <c r="AQ382" s="14">
        <f t="shared" si="480"/>
        <v>1703.78</v>
      </c>
      <c r="AR382" s="14">
        <f t="shared" si="480"/>
        <v>870.64</v>
      </c>
      <c r="AS382" s="14">
        <f t="shared" si="480"/>
        <v>1002.9200000000001</v>
      </c>
      <c r="AT382" s="14">
        <f t="shared" si="480"/>
        <v>478.03000000000065</v>
      </c>
      <c r="AU382" s="14">
        <f t="shared" si="480"/>
        <v>-2395.7000000000003</v>
      </c>
      <c r="AV382" s="14">
        <f t="shared" si="480"/>
        <v>-6093.2000000000007</v>
      </c>
      <c r="AW382" s="14">
        <f t="shared" si="480"/>
        <v>2934.2799999999988</v>
      </c>
      <c r="AX382" s="14">
        <f t="shared" si="480"/>
        <v>-18130.3</v>
      </c>
      <c r="AY382" s="14">
        <f t="shared" si="480"/>
        <v>18435.016100817124</v>
      </c>
      <c r="AZ382" s="14">
        <f t="shared" si="480"/>
        <v>-2636.5684133744726</v>
      </c>
      <c r="BA382" s="14">
        <f t="shared" si="480"/>
        <v>1888.9338698377287</v>
      </c>
      <c r="BB382" s="14">
        <f t="shared" si="480"/>
        <v>-345.76387808741129</v>
      </c>
      <c r="BC382" s="14">
        <f t="shared" si="480"/>
        <v>-17305.695183237916</v>
      </c>
      <c r="BD382" s="14">
        <f t="shared" si="480"/>
        <v>-21719.045835948389</v>
      </c>
      <c r="BE382" s="14">
        <f t="shared" si="480"/>
        <v>33.965889258986863</v>
      </c>
      <c r="BF382" s="14">
        <f t="shared" si="480"/>
        <v>3308.1468313122314</v>
      </c>
      <c r="BG382" s="14">
        <f t="shared" si="480"/>
        <v>4289.0069842357225</v>
      </c>
      <c r="BH382" s="14">
        <f t="shared" si="480"/>
        <v>113.57982497890112</v>
      </c>
      <c r="BI382" s="14">
        <f t="shared" si="480"/>
        <v>4111.2242247438098</v>
      </c>
      <c r="BJ382" s="14">
        <f t="shared" si="480"/>
        <v>2480.1065774066014</v>
      </c>
      <c r="BK382" s="14">
        <f t="shared" si="480"/>
        <v>3859.3762196424859</v>
      </c>
      <c r="BL382" s="14">
        <f t="shared" si="480"/>
        <v>0</v>
      </c>
      <c r="BM382" s="14">
        <f t="shared" si="480"/>
        <v>1829.2189937986427</v>
      </c>
      <c r="BN382" s="14">
        <f t="shared" ca="1" si="480"/>
        <v>423.19749474959326</v>
      </c>
      <c r="BO382" s="14">
        <f t="shared" ca="1" si="480"/>
        <v>266.05673090642728</v>
      </c>
      <c r="BP382" s="14">
        <f t="shared" ca="1" si="480"/>
        <v>0</v>
      </c>
      <c r="BQ382" s="14">
        <f t="shared" ca="1" si="480"/>
        <v>0</v>
      </c>
      <c r="BR382" s="14">
        <f t="shared" ca="1" si="480"/>
        <v>0</v>
      </c>
      <c r="BS382" s="14">
        <f t="shared" ca="1" si="480"/>
        <v>0</v>
      </c>
      <c r="BT382" s="14">
        <f t="shared" ca="1" si="480"/>
        <v>0</v>
      </c>
      <c r="BU382" s="14">
        <f t="shared" ca="1" si="480"/>
        <v>0</v>
      </c>
      <c r="BV382" s="14">
        <f t="shared" ref="BV382:DY382" ca="1" si="481">+BV381-BV383</f>
        <v>0</v>
      </c>
      <c r="BW382" s="14">
        <f t="shared" ca="1" si="481"/>
        <v>0</v>
      </c>
      <c r="BX382" s="14">
        <f t="shared" ca="1" si="481"/>
        <v>0</v>
      </c>
      <c r="BY382" s="14">
        <f t="shared" ca="1" si="481"/>
        <v>0</v>
      </c>
      <c r="BZ382" s="14">
        <f t="shared" ca="1" si="481"/>
        <v>0</v>
      </c>
      <c r="CA382" s="14">
        <f t="shared" ca="1" si="481"/>
        <v>0</v>
      </c>
      <c r="CB382" s="14">
        <f t="shared" ca="1" si="481"/>
        <v>0</v>
      </c>
      <c r="CC382" s="14">
        <f t="shared" ca="1" si="481"/>
        <v>0</v>
      </c>
      <c r="CD382" s="14">
        <f t="shared" ca="1" si="481"/>
        <v>0</v>
      </c>
      <c r="CE382" s="14">
        <f t="shared" ca="1" si="481"/>
        <v>0</v>
      </c>
      <c r="CF382" s="14">
        <f t="shared" ca="1" si="481"/>
        <v>0</v>
      </c>
      <c r="CG382" s="14">
        <f t="shared" ca="1" si="481"/>
        <v>0</v>
      </c>
      <c r="CH382" s="14">
        <f t="shared" ca="1" si="481"/>
        <v>0</v>
      </c>
      <c r="CI382" s="14">
        <f t="shared" ca="1" si="481"/>
        <v>0</v>
      </c>
      <c r="CJ382" s="14">
        <f t="shared" ca="1" si="481"/>
        <v>0</v>
      </c>
      <c r="CK382" s="14">
        <f t="shared" ca="1" si="481"/>
        <v>0</v>
      </c>
      <c r="CL382" s="14">
        <f t="shared" ca="1" si="481"/>
        <v>0</v>
      </c>
      <c r="CM382" s="14">
        <f t="shared" ca="1" si="481"/>
        <v>0</v>
      </c>
      <c r="CN382" s="14">
        <f t="shared" ca="1" si="481"/>
        <v>0</v>
      </c>
      <c r="CO382" s="14">
        <f t="shared" ca="1" si="481"/>
        <v>0</v>
      </c>
      <c r="CP382" s="14">
        <f t="shared" ca="1" si="481"/>
        <v>0</v>
      </c>
      <c r="CQ382" s="14">
        <f t="shared" ca="1" si="481"/>
        <v>0</v>
      </c>
      <c r="CR382" s="14">
        <f t="shared" ca="1" si="481"/>
        <v>0</v>
      </c>
      <c r="CS382" s="14">
        <f t="shared" ca="1" si="481"/>
        <v>0</v>
      </c>
      <c r="CT382" s="14">
        <f t="shared" ca="1" si="481"/>
        <v>0</v>
      </c>
      <c r="CU382" s="14">
        <f t="shared" ca="1" si="481"/>
        <v>0</v>
      </c>
      <c r="CV382" s="14">
        <f t="shared" ca="1" si="481"/>
        <v>0</v>
      </c>
      <c r="CW382" s="14">
        <f t="shared" ca="1" si="481"/>
        <v>0</v>
      </c>
      <c r="CX382" s="14">
        <f t="shared" ca="1" si="481"/>
        <v>0</v>
      </c>
      <c r="CY382" s="14">
        <f t="shared" ca="1" si="481"/>
        <v>0</v>
      </c>
      <c r="CZ382" s="14">
        <f t="shared" ca="1" si="481"/>
        <v>0</v>
      </c>
      <c r="DA382" s="14">
        <f t="shared" ca="1" si="481"/>
        <v>0</v>
      </c>
      <c r="DB382" s="14">
        <f t="shared" ca="1" si="481"/>
        <v>0</v>
      </c>
      <c r="DC382" s="14">
        <f t="shared" ca="1" si="481"/>
        <v>0</v>
      </c>
      <c r="DD382" s="14">
        <f t="shared" ca="1" si="481"/>
        <v>0</v>
      </c>
      <c r="DE382" s="14">
        <f t="shared" ca="1" si="481"/>
        <v>0</v>
      </c>
      <c r="DF382" s="14">
        <f t="shared" ca="1" si="481"/>
        <v>0</v>
      </c>
      <c r="DG382" s="14">
        <f t="shared" ca="1" si="481"/>
        <v>0</v>
      </c>
      <c r="DH382" s="14">
        <f t="shared" ca="1" si="481"/>
        <v>0</v>
      </c>
      <c r="DI382" s="14">
        <f t="shared" ca="1" si="481"/>
        <v>0</v>
      </c>
      <c r="DJ382" s="14">
        <f t="shared" ca="1" si="481"/>
        <v>0</v>
      </c>
      <c r="DK382" s="14">
        <f t="shared" ca="1" si="481"/>
        <v>0</v>
      </c>
      <c r="DL382" s="14">
        <f t="shared" ca="1" si="481"/>
        <v>0</v>
      </c>
      <c r="DM382" s="14">
        <f t="shared" ca="1" si="481"/>
        <v>0</v>
      </c>
      <c r="DN382" s="14">
        <f t="shared" ca="1" si="481"/>
        <v>0</v>
      </c>
      <c r="DO382" s="14">
        <f t="shared" ca="1" si="481"/>
        <v>0</v>
      </c>
      <c r="DP382" s="14">
        <f t="shared" ca="1" si="481"/>
        <v>0</v>
      </c>
      <c r="DQ382" s="14">
        <f t="shared" ca="1" si="481"/>
        <v>0</v>
      </c>
      <c r="DR382" s="14">
        <f t="shared" ca="1" si="481"/>
        <v>0</v>
      </c>
      <c r="DS382" s="14">
        <f t="shared" ca="1" si="481"/>
        <v>0</v>
      </c>
      <c r="DT382" s="14">
        <f t="shared" ca="1" si="481"/>
        <v>0</v>
      </c>
      <c r="DU382" s="14">
        <f t="shared" ca="1" si="481"/>
        <v>0</v>
      </c>
      <c r="DV382" s="14">
        <f t="shared" ca="1" si="481"/>
        <v>0</v>
      </c>
      <c r="DW382" s="14">
        <f t="shared" ca="1" si="481"/>
        <v>0</v>
      </c>
      <c r="DX382" s="14">
        <f t="shared" ca="1" si="481"/>
        <v>0</v>
      </c>
      <c r="DY382" s="14">
        <f t="shared" ca="1" si="481"/>
        <v>0</v>
      </c>
    </row>
    <row r="383" spans="1:129" s="5" customFormat="1" ht="11.7" customHeight="1" outlineLevel="1" x14ac:dyDescent="0.3">
      <c r="A383" s="3"/>
      <c r="B383" s="152" t="s">
        <v>594</v>
      </c>
      <c r="C383" s="152"/>
      <c r="D383" s="63"/>
      <c r="E383" s="63"/>
      <c r="F383" s="63"/>
      <c r="G383" s="964"/>
      <c r="H383" s="290">
        <f t="shared" si="465"/>
        <v>462975.28</v>
      </c>
      <c r="I383" s="168">
        <f t="shared" ref="I383:AN383" si="482">+SUM(I388,,I399)</f>
        <v>0</v>
      </c>
      <c r="J383" s="168">
        <f t="shared" si="482"/>
        <v>0</v>
      </c>
      <c r="K383" s="168">
        <f t="shared" si="482"/>
        <v>0</v>
      </c>
      <c r="L383" s="168">
        <f t="shared" si="482"/>
        <v>0</v>
      </c>
      <c r="M383" s="168">
        <f t="shared" si="482"/>
        <v>0</v>
      </c>
      <c r="N383" s="168">
        <f t="shared" si="482"/>
        <v>0</v>
      </c>
      <c r="O383" s="168">
        <f t="shared" si="482"/>
        <v>0</v>
      </c>
      <c r="P383" s="168">
        <f t="shared" si="482"/>
        <v>0</v>
      </c>
      <c r="Q383" s="168">
        <f t="shared" si="482"/>
        <v>0</v>
      </c>
      <c r="R383" s="168">
        <f t="shared" si="482"/>
        <v>0</v>
      </c>
      <c r="S383" s="168">
        <f t="shared" si="482"/>
        <v>0</v>
      </c>
      <c r="T383" s="168">
        <f t="shared" si="482"/>
        <v>0</v>
      </c>
      <c r="U383" s="168">
        <f t="shared" si="482"/>
        <v>0</v>
      </c>
      <c r="V383" s="168">
        <f t="shared" si="482"/>
        <v>0</v>
      </c>
      <c r="W383" s="168">
        <f t="shared" si="482"/>
        <v>0</v>
      </c>
      <c r="X383" s="168">
        <f t="shared" si="482"/>
        <v>0</v>
      </c>
      <c r="Y383" s="168">
        <f t="shared" si="482"/>
        <v>0</v>
      </c>
      <c r="Z383" s="168">
        <f t="shared" si="482"/>
        <v>0</v>
      </c>
      <c r="AA383" s="168">
        <f t="shared" si="482"/>
        <v>0</v>
      </c>
      <c r="AB383" s="168">
        <f t="shared" si="482"/>
        <v>0</v>
      </c>
      <c r="AC383" s="168">
        <f t="shared" si="482"/>
        <v>0</v>
      </c>
      <c r="AD383" s="168">
        <f t="shared" si="482"/>
        <v>0</v>
      </c>
      <c r="AE383" s="168">
        <f t="shared" si="482"/>
        <v>64678</v>
      </c>
      <c r="AF383" s="168">
        <f t="shared" si="482"/>
        <v>82959</v>
      </c>
      <c r="AG383" s="168">
        <f t="shared" si="482"/>
        <v>25549.279999999999</v>
      </c>
      <c r="AH383" s="168">
        <f t="shared" si="482"/>
        <v>11361</v>
      </c>
      <c r="AI383" s="168">
        <f t="shared" si="482"/>
        <v>8083</v>
      </c>
      <c r="AJ383" s="168">
        <f t="shared" si="482"/>
        <v>7295</v>
      </c>
      <c r="AK383" s="168">
        <f t="shared" si="482"/>
        <v>12500</v>
      </c>
      <c r="AL383" s="168">
        <f t="shared" si="482"/>
        <v>8500</v>
      </c>
      <c r="AM383" s="168">
        <f t="shared" si="482"/>
        <v>10000</v>
      </c>
      <c r="AN383" s="168">
        <f t="shared" si="482"/>
        <v>8350</v>
      </c>
      <c r="AO383" s="168">
        <f t="shared" ref="AO383:BT383" si="483">+SUM(AO388,,AO399)</f>
        <v>6900</v>
      </c>
      <c r="AP383" s="168">
        <f>+SUM(AP388,,AP399)</f>
        <v>16000</v>
      </c>
      <c r="AQ383" s="168">
        <f t="shared" si="483"/>
        <v>0</v>
      </c>
      <c r="AR383" s="168">
        <f t="shared" si="483"/>
        <v>0</v>
      </c>
      <c r="AS383" s="168">
        <f t="shared" si="483"/>
        <v>10800</v>
      </c>
      <c r="AT383" s="168">
        <f t="shared" si="483"/>
        <v>9000</v>
      </c>
      <c r="AU383" s="168">
        <f t="shared" si="483"/>
        <v>5000</v>
      </c>
      <c r="AV383" s="168">
        <f t="shared" si="483"/>
        <v>21000</v>
      </c>
      <c r="AW383" s="168">
        <f t="shared" si="483"/>
        <v>30700</v>
      </c>
      <c r="AX383" s="168">
        <f t="shared" si="483"/>
        <v>19500</v>
      </c>
      <c r="AY383" s="168">
        <f t="shared" si="483"/>
        <v>0</v>
      </c>
      <c r="AZ383" s="168">
        <f t="shared" si="483"/>
        <v>20800</v>
      </c>
      <c r="BA383" s="168">
        <f t="shared" si="483"/>
        <v>30000</v>
      </c>
      <c r="BB383" s="168">
        <f t="shared" si="483"/>
        <v>19000</v>
      </c>
      <c r="BC383" s="168">
        <f t="shared" si="483"/>
        <v>19000</v>
      </c>
      <c r="BD383" s="168">
        <f t="shared" si="483"/>
        <v>0</v>
      </c>
      <c r="BE383" s="168">
        <f t="shared" si="483"/>
        <v>16000</v>
      </c>
      <c r="BF383" s="168">
        <f t="shared" si="483"/>
        <v>0</v>
      </c>
      <c r="BG383" s="168">
        <f t="shared" si="483"/>
        <v>0</v>
      </c>
      <c r="BH383" s="168">
        <f t="shared" si="483"/>
        <v>0</v>
      </c>
      <c r="BI383" s="168">
        <f t="shared" si="483"/>
        <v>0</v>
      </c>
      <c r="BJ383" s="168">
        <f t="shared" si="483"/>
        <v>0</v>
      </c>
      <c r="BK383" s="168">
        <f t="shared" si="483"/>
        <v>0</v>
      </c>
      <c r="BL383" s="168">
        <f t="shared" si="483"/>
        <v>0</v>
      </c>
      <c r="BM383" s="168">
        <f t="shared" si="483"/>
        <v>0</v>
      </c>
      <c r="BN383" s="168">
        <f t="shared" si="483"/>
        <v>0</v>
      </c>
      <c r="BO383" s="168">
        <f t="shared" si="483"/>
        <v>0</v>
      </c>
      <c r="BP383" s="168">
        <f t="shared" si="483"/>
        <v>0</v>
      </c>
      <c r="BQ383" s="168">
        <f t="shared" si="483"/>
        <v>0</v>
      </c>
      <c r="BR383" s="168">
        <f t="shared" si="483"/>
        <v>0</v>
      </c>
      <c r="BS383" s="168">
        <f t="shared" si="483"/>
        <v>0</v>
      </c>
      <c r="BT383" s="168">
        <f t="shared" si="483"/>
        <v>0</v>
      </c>
      <c r="BU383" s="168">
        <f t="shared" ref="BU383:CZ383" si="484">+SUM(BU388,,BU399)</f>
        <v>0</v>
      </c>
      <c r="BV383" s="168">
        <f t="shared" si="484"/>
        <v>0</v>
      </c>
      <c r="BW383" s="168">
        <f t="shared" si="484"/>
        <v>0</v>
      </c>
      <c r="BX383" s="168">
        <f t="shared" si="484"/>
        <v>0</v>
      </c>
      <c r="BY383" s="168">
        <f t="shared" si="484"/>
        <v>0</v>
      </c>
      <c r="BZ383" s="168">
        <f t="shared" si="484"/>
        <v>0</v>
      </c>
      <c r="CA383" s="168">
        <f t="shared" si="484"/>
        <v>0</v>
      </c>
      <c r="CB383" s="168">
        <f t="shared" si="484"/>
        <v>0</v>
      </c>
      <c r="CC383" s="168">
        <f t="shared" si="484"/>
        <v>0</v>
      </c>
      <c r="CD383" s="168">
        <f t="shared" si="484"/>
        <v>0</v>
      </c>
      <c r="CE383" s="168">
        <f t="shared" si="484"/>
        <v>0</v>
      </c>
      <c r="CF383" s="168">
        <f t="shared" si="484"/>
        <v>0</v>
      </c>
      <c r="CG383" s="168">
        <f t="shared" si="484"/>
        <v>0</v>
      </c>
      <c r="CH383" s="168">
        <f t="shared" si="484"/>
        <v>0</v>
      </c>
      <c r="CI383" s="168">
        <f t="shared" si="484"/>
        <v>0</v>
      </c>
      <c r="CJ383" s="168">
        <f t="shared" si="484"/>
        <v>0</v>
      </c>
      <c r="CK383" s="168">
        <f t="shared" si="484"/>
        <v>0</v>
      </c>
      <c r="CL383" s="168">
        <f t="shared" si="484"/>
        <v>0</v>
      </c>
      <c r="CM383" s="168">
        <f t="shared" si="484"/>
        <v>0</v>
      </c>
      <c r="CN383" s="168">
        <f t="shared" si="484"/>
        <v>0</v>
      </c>
      <c r="CO383" s="168">
        <f t="shared" si="484"/>
        <v>0</v>
      </c>
      <c r="CP383" s="168">
        <f t="shared" si="484"/>
        <v>0</v>
      </c>
      <c r="CQ383" s="168">
        <f t="shared" si="484"/>
        <v>0</v>
      </c>
      <c r="CR383" s="168">
        <f t="shared" si="484"/>
        <v>0</v>
      </c>
      <c r="CS383" s="168">
        <f t="shared" si="484"/>
        <v>0</v>
      </c>
      <c r="CT383" s="168">
        <f t="shared" si="484"/>
        <v>0</v>
      </c>
      <c r="CU383" s="168">
        <f t="shared" si="484"/>
        <v>0</v>
      </c>
      <c r="CV383" s="168">
        <f t="shared" si="484"/>
        <v>0</v>
      </c>
      <c r="CW383" s="168">
        <f t="shared" si="484"/>
        <v>0</v>
      </c>
      <c r="CX383" s="168">
        <f t="shared" si="484"/>
        <v>0</v>
      </c>
      <c r="CY383" s="168">
        <f t="shared" si="484"/>
        <v>0</v>
      </c>
      <c r="CZ383" s="168">
        <f t="shared" si="484"/>
        <v>0</v>
      </c>
      <c r="DA383" s="168">
        <f t="shared" ref="DA383:DY383" si="485">+SUM(DA388,,DA399)</f>
        <v>0</v>
      </c>
      <c r="DB383" s="168">
        <f t="shared" si="485"/>
        <v>0</v>
      </c>
      <c r="DC383" s="168">
        <f t="shared" si="485"/>
        <v>0</v>
      </c>
      <c r="DD383" s="168">
        <f t="shared" si="485"/>
        <v>0</v>
      </c>
      <c r="DE383" s="168">
        <f t="shared" si="485"/>
        <v>0</v>
      </c>
      <c r="DF383" s="168">
        <f t="shared" si="485"/>
        <v>0</v>
      </c>
      <c r="DG383" s="168">
        <f t="shared" si="485"/>
        <v>0</v>
      </c>
      <c r="DH383" s="168">
        <f t="shared" si="485"/>
        <v>0</v>
      </c>
      <c r="DI383" s="168">
        <f t="shared" si="485"/>
        <v>0</v>
      </c>
      <c r="DJ383" s="168">
        <f t="shared" si="485"/>
        <v>0</v>
      </c>
      <c r="DK383" s="168">
        <f t="shared" si="485"/>
        <v>0</v>
      </c>
      <c r="DL383" s="168">
        <f t="shared" si="485"/>
        <v>0</v>
      </c>
      <c r="DM383" s="168">
        <f t="shared" si="485"/>
        <v>0</v>
      </c>
      <c r="DN383" s="168">
        <f t="shared" si="485"/>
        <v>0</v>
      </c>
      <c r="DO383" s="168">
        <f t="shared" si="485"/>
        <v>0</v>
      </c>
      <c r="DP383" s="168">
        <f t="shared" si="485"/>
        <v>0</v>
      </c>
      <c r="DQ383" s="168">
        <f t="shared" si="485"/>
        <v>0</v>
      </c>
      <c r="DR383" s="168">
        <f t="shared" si="485"/>
        <v>0</v>
      </c>
      <c r="DS383" s="168">
        <f t="shared" si="485"/>
        <v>0</v>
      </c>
      <c r="DT383" s="168">
        <f t="shared" si="485"/>
        <v>0</v>
      </c>
      <c r="DU383" s="168">
        <f t="shared" si="485"/>
        <v>0</v>
      </c>
      <c r="DV383" s="168">
        <f t="shared" si="485"/>
        <v>0</v>
      </c>
      <c r="DW383" s="168">
        <f t="shared" si="485"/>
        <v>0</v>
      </c>
      <c r="DX383" s="168">
        <f t="shared" si="485"/>
        <v>0</v>
      </c>
      <c r="DY383" s="168">
        <f t="shared" si="485"/>
        <v>0</v>
      </c>
    </row>
    <row r="384" spans="1:129" s="5" customFormat="1" ht="11.7" customHeight="1" outlineLevel="1" x14ac:dyDescent="0.3">
      <c r="A384" s="3"/>
      <c r="B384" s="149"/>
      <c r="C384" s="149"/>
      <c r="D384" s="3"/>
      <c r="E384" s="3"/>
      <c r="F384" s="3"/>
      <c r="H384" s="896"/>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c r="AQ384" s="14"/>
      <c r="AR384" s="14"/>
      <c r="AS384" s="14"/>
      <c r="AT384" s="14"/>
      <c r="AU384" s="14"/>
      <c r="AV384" s="14"/>
      <c r="AW384" s="14"/>
      <c r="AX384" s="14"/>
      <c r="AY384" s="14"/>
      <c r="AZ384" s="14"/>
      <c r="BA384" s="14"/>
      <c r="BB384" s="14"/>
      <c r="BC384" s="14"/>
      <c r="BD384" s="14"/>
      <c r="BE384" s="14"/>
      <c r="BF384" s="14"/>
      <c r="BG384" s="14"/>
      <c r="BH384" s="14"/>
      <c r="BI384" s="14"/>
      <c r="BJ384" s="14"/>
      <c r="BK384" s="14"/>
      <c r="BL384" s="14"/>
      <c r="BM384" s="14"/>
      <c r="BN384" s="14"/>
      <c r="BO384" s="14"/>
      <c r="BP384" s="14"/>
      <c r="BQ384" s="14"/>
      <c r="BR384" s="14"/>
      <c r="BS384" s="14"/>
      <c r="BT384" s="14"/>
      <c r="BU384" s="14"/>
      <c r="BV384" s="14"/>
      <c r="BW384" s="14"/>
      <c r="BX384" s="14"/>
      <c r="BY384" s="14"/>
      <c r="BZ384" s="14"/>
      <c r="CA384" s="14"/>
      <c r="CB384" s="14"/>
      <c r="CC384" s="14"/>
      <c r="CD384" s="14"/>
      <c r="CE384" s="14"/>
      <c r="CF384" s="14"/>
      <c r="CG384" s="14"/>
      <c r="CH384" s="14"/>
      <c r="CI384" s="14"/>
      <c r="CJ384" s="14"/>
      <c r="CK384" s="14"/>
      <c r="CL384" s="14"/>
      <c r="CM384" s="14"/>
      <c r="CN384" s="14"/>
      <c r="CO384" s="14"/>
      <c r="CP384" s="14"/>
      <c r="CQ384" s="14"/>
      <c r="CR384" s="14"/>
      <c r="CS384" s="14"/>
      <c r="CT384" s="14"/>
      <c r="CU384" s="14"/>
      <c r="CV384" s="14"/>
      <c r="CW384" s="14"/>
      <c r="CX384" s="14"/>
      <c r="CY384" s="14"/>
      <c r="CZ384" s="14"/>
      <c r="DA384" s="14"/>
      <c r="DB384" s="14"/>
      <c r="DC384" s="14"/>
      <c r="DD384" s="14"/>
      <c r="DE384" s="14"/>
      <c r="DF384" s="14"/>
      <c r="DG384" s="14"/>
      <c r="DH384" s="14"/>
      <c r="DI384" s="14"/>
      <c r="DJ384" s="14"/>
      <c r="DK384" s="14"/>
      <c r="DL384" s="14"/>
      <c r="DM384" s="14"/>
      <c r="DN384" s="14"/>
      <c r="DO384" s="14"/>
      <c r="DP384" s="14"/>
      <c r="DQ384" s="14"/>
      <c r="DR384" s="14"/>
      <c r="DS384" s="14"/>
      <c r="DT384" s="14"/>
      <c r="DU384" s="14"/>
      <c r="DV384" s="14"/>
      <c r="DW384" s="14"/>
      <c r="DX384" s="14"/>
      <c r="DY384" s="14"/>
    </row>
    <row r="385" spans="1:130" s="5" customFormat="1" ht="11.7" customHeight="1" outlineLevel="1" x14ac:dyDescent="0.3">
      <c r="A385" s="3"/>
      <c r="B385" s="149"/>
      <c r="C385" s="149"/>
      <c r="D385" s="3"/>
      <c r="E385" s="3"/>
      <c r="F385" s="3"/>
      <c r="G385" s="127"/>
      <c r="H385" s="127"/>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c r="AS385" s="14"/>
      <c r="AT385" s="14"/>
      <c r="AU385" s="14"/>
      <c r="AV385" s="14"/>
      <c r="AW385" s="14"/>
      <c r="AX385" s="14"/>
      <c r="AY385" s="14"/>
      <c r="AZ385" s="14"/>
      <c r="BA385" s="14"/>
      <c r="BB385" s="14"/>
      <c r="BC385" s="14"/>
      <c r="BD385" s="14"/>
      <c r="BE385" s="14"/>
      <c r="BF385" s="14"/>
      <c r="BG385" s="14"/>
      <c r="BH385" s="14"/>
      <c r="BI385" s="14"/>
      <c r="BJ385" s="14"/>
      <c r="BK385" s="14"/>
      <c r="BL385" s="14"/>
      <c r="BM385" s="14"/>
      <c r="BN385" s="14"/>
      <c r="BO385" s="14"/>
      <c r="BP385" s="14"/>
      <c r="BQ385" s="14"/>
      <c r="BR385" s="14"/>
      <c r="BS385" s="14"/>
      <c r="BT385" s="14"/>
      <c r="BU385" s="14"/>
      <c r="BV385" s="14"/>
      <c r="BW385" s="14"/>
      <c r="BX385" s="14"/>
      <c r="BY385" s="14"/>
      <c r="BZ385" s="14"/>
      <c r="CA385" s="14"/>
      <c r="CB385" s="14"/>
      <c r="CC385" s="14"/>
      <c r="CD385" s="14"/>
      <c r="CE385" s="14"/>
      <c r="CF385" s="14"/>
      <c r="CG385" s="14"/>
      <c r="CH385" s="14"/>
      <c r="CI385" s="14"/>
      <c r="CJ385" s="14"/>
      <c r="CK385" s="14"/>
      <c r="CL385" s="14"/>
      <c r="CM385" s="14"/>
      <c r="CN385" s="14"/>
      <c r="CO385" s="14"/>
      <c r="CP385" s="14"/>
      <c r="CQ385" s="14"/>
      <c r="CR385" s="14"/>
      <c r="CS385" s="14"/>
      <c r="CT385" s="14"/>
      <c r="CU385" s="14"/>
      <c r="CV385" s="14"/>
      <c r="CW385" s="14"/>
      <c r="CX385" s="14"/>
      <c r="CY385" s="14"/>
      <c r="CZ385" s="14"/>
      <c r="DA385" s="14"/>
      <c r="DB385" s="14"/>
      <c r="DC385" s="14"/>
      <c r="DD385" s="14"/>
      <c r="DE385" s="14"/>
      <c r="DF385" s="14"/>
      <c r="DG385" s="14"/>
      <c r="DH385" s="14"/>
      <c r="DI385" s="14"/>
      <c r="DJ385" s="14"/>
      <c r="DK385" s="14"/>
      <c r="DL385" s="14"/>
      <c r="DM385" s="14"/>
      <c r="DN385" s="14"/>
      <c r="DO385" s="14"/>
      <c r="DP385" s="14"/>
      <c r="DQ385" s="14"/>
      <c r="DR385" s="14"/>
      <c r="DS385" s="14"/>
      <c r="DT385" s="14"/>
      <c r="DU385" s="14"/>
      <c r="DV385" s="14"/>
      <c r="DW385" s="14"/>
      <c r="DX385" s="14"/>
      <c r="DY385" s="14"/>
    </row>
    <row r="386" spans="1:130" s="5" customFormat="1" ht="11.7" customHeight="1" outlineLevel="1" x14ac:dyDescent="0.3">
      <c r="A386" s="3"/>
      <c r="B386" s="177" t="s">
        <v>613</v>
      </c>
      <c r="C386" s="177"/>
      <c r="D386" s="3"/>
      <c r="E386" s="3"/>
      <c r="F386" s="3"/>
      <c r="G386" s="127"/>
      <c r="H386" s="127"/>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c r="AQ386" s="14"/>
      <c r="AR386" s="14"/>
      <c r="AS386" s="14"/>
      <c r="AT386" s="14"/>
      <c r="AU386" s="14"/>
      <c r="AV386" s="14"/>
      <c r="AW386" s="14"/>
      <c r="AX386" s="14"/>
      <c r="AY386" s="14"/>
      <c r="AZ386" s="14"/>
      <c r="BA386" s="14"/>
      <c r="BB386" s="14"/>
      <c r="BC386" s="14"/>
      <c r="BD386" s="14"/>
      <c r="BE386" s="14"/>
      <c r="BF386" s="14"/>
      <c r="BG386" s="14"/>
      <c r="BH386" s="14"/>
      <c r="BI386" s="14"/>
      <c r="BJ386" s="14"/>
      <c r="BK386" s="14"/>
      <c r="BL386" s="14"/>
      <c r="BM386" s="14"/>
      <c r="BN386" s="14"/>
      <c r="BO386" s="14"/>
      <c r="BP386" s="14"/>
      <c r="BQ386" s="14"/>
      <c r="BR386" s="14"/>
      <c r="BS386" s="14"/>
      <c r="BT386" s="14"/>
      <c r="BU386" s="14"/>
      <c r="BV386" s="14"/>
      <c r="BW386" s="14"/>
      <c r="BX386" s="14"/>
      <c r="BY386" s="14"/>
      <c r="BZ386" s="14"/>
      <c r="CA386" s="14"/>
      <c r="CB386" s="14"/>
      <c r="CC386" s="14"/>
      <c r="CD386" s="14"/>
      <c r="CE386" s="14"/>
      <c r="CF386" s="14"/>
      <c r="CG386" s="14"/>
      <c r="CH386" s="14"/>
      <c r="CI386" s="14"/>
      <c r="CJ386" s="14"/>
      <c r="CK386" s="14"/>
      <c r="CL386" s="14"/>
      <c r="CM386" s="14"/>
      <c r="CN386" s="14"/>
      <c r="CO386" s="14"/>
      <c r="CP386" s="14"/>
      <c r="CQ386" s="14"/>
      <c r="CR386" s="14"/>
      <c r="CS386" s="14"/>
      <c r="CT386" s="14"/>
      <c r="CU386" s="14"/>
      <c r="CV386" s="14"/>
      <c r="CW386" s="14"/>
      <c r="CX386" s="14"/>
      <c r="CY386" s="14"/>
      <c r="CZ386" s="14"/>
      <c r="DA386" s="14"/>
      <c r="DB386" s="14"/>
      <c r="DC386" s="14"/>
      <c r="DD386" s="14"/>
      <c r="DE386" s="14"/>
      <c r="DF386" s="14"/>
      <c r="DG386" s="14"/>
      <c r="DH386" s="14"/>
      <c r="DI386" s="14"/>
      <c r="DJ386" s="14"/>
      <c r="DK386" s="14"/>
      <c r="DL386" s="14"/>
      <c r="DM386" s="14"/>
      <c r="DN386" s="14"/>
      <c r="DO386" s="14"/>
      <c r="DP386" s="14"/>
      <c r="DQ386" s="14"/>
      <c r="DR386" s="14"/>
      <c r="DS386" s="14"/>
      <c r="DT386" s="14"/>
      <c r="DU386" s="14"/>
      <c r="DV386" s="14"/>
      <c r="DW386" s="14"/>
      <c r="DX386" s="14"/>
      <c r="DY386" s="14"/>
    </row>
    <row r="387" spans="1:130" s="5" customFormat="1" ht="11.7" customHeight="1" outlineLevel="1" x14ac:dyDescent="0.25">
      <c r="A387" s="3"/>
      <c r="B387" s="152" t="s">
        <v>647</v>
      </c>
      <c r="C387" s="152"/>
      <c r="D387" s="63"/>
      <c r="E387" s="63"/>
      <c r="F387" s="63"/>
      <c r="G387" s="147"/>
      <c r="H387" s="147"/>
      <c r="I387" s="294">
        <f>+H390</f>
        <v>0</v>
      </c>
      <c r="J387" s="294">
        <f t="shared" ref="J387:BU387" si="486">+I390</f>
        <v>0</v>
      </c>
      <c r="K387" s="294">
        <f t="shared" si="486"/>
        <v>0</v>
      </c>
      <c r="L387" s="294">
        <f t="shared" si="486"/>
        <v>0</v>
      </c>
      <c r="M387" s="294">
        <f t="shared" si="486"/>
        <v>0</v>
      </c>
      <c r="N387" s="294">
        <f t="shared" si="486"/>
        <v>0</v>
      </c>
      <c r="O387" s="294">
        <f t="shared" si="486"/>
        <v>0</v>
      </c>
      <c r="P387" s="294">
        <f t="shared" si="486"/>
        <v>0</v>
      </c>
      <c r="Q387" s="294">
        <f t="shared" si="486"/>
        <v>0</v>
      </c>
      <c r="R387" s="294">
        <f t="shared" si="486"/>
        <v>0</v>
      </c>
      <c r="S387" s="294">
        <f t="shared" si="486"/>
        <v>0</v>
      </c>
      <c r="T387" s="294">
        <f t="shared" si="486"/>
        <v>0</v>
      </c>
      <c r="U387" s="294">
        <f t="shared" si="486"/>
        <v>0</v>
      </c>
      <c r="V387" s="294">
        <f t="shared" si="486"/>
        <v>0</v>
      </c>
      <c r="W387" s="294">
        <f t="shared" si="486"/>
        <v>0</v>
      </c>
      <c r="X387" s="294">
        <f t="shared" si="486"/>
        <v>0</v>
      </c>
      <c r="Y387" s="294">
        <f t="shared" si="486"/>
        <v>0</v>
      </c>
      <c r="Z387" s="294">
        <f t="shared" si="486"/>
        <v>0</v>
      </c>
      <c r="AA387" s="294">
        <f t="shared" si="486"/>
        <v>0</v>
      </c>
      <c r="AB387" s="294">
        <f t="shared" si="486"/>
        <v>0</v>
      </c>
      <c r="AC387" s="294">
        <f t="shared" si="486"/>
        <v>0</v>
      </c>
      <c r="AD387" s="294">
        <f t="shared" si="486"/>
        <v>0</v>
      </c>
      <c r="AE387" s="294">
        <f t="shared" si="486"/>
        <v>0</v>
      </c>
      <c r="AF387" s="294">
        <f t="shared" si="486"/>
        <v>64678</v>
      </c>
      <c r="AG387" s="294">
        <f t="shared" si="486"/>
        <v>0</v>
      </c>
      <c r="AH387" s="294">
        <f t="shared" si="486"/>
        <v>0</v>
      </c>
      <c r="AI387" s="294">
        <f t="shared" si="486"/>
        <v>0</v>
      </c>
      <c r="AJ387" s="294">
        <f t="shared" si="486"/>
        <v>0</v>
      </c>
      <c r="AK387" s="294">
        <f t="shared" si="486"/>
        <v>0</v>
      </c>
      <c r="AL387" s="294">
        <f t="shared" si="486"/>
        <v>0</v>
      </c>
      <c r="AM387" s="294">
        <f t="shared" si="486"/>
        <v>0</v>
      </c>
      <c r="AN387" s="294">
        <f t="shared" si="486"/>
        <v>0</v>
      </c>
      <c r="AO387" s="294">
        <f t="shared" si="486"/>
        <v>0</v>
      </c>
      <c r="AP387" s="294">
        <f t="shared" si="486"/>
        <v>0</v>
      </c>
      <c r="AQ387" s="294">
        <f t="shared" si="486"/>
        <v>0</v>
      </c>
      <c r="AR387" s="294">
        <f t="shared" si="486"/>
        <v>0</v>
      </c>
      <c r="AS387" s="294">
        <f t="shared" si="486"/>
        <v>0</v>
      </c>
      <c r="AT387" s="294">
        <f t="shared" si="486"/>
        <v>0</v>
      </c>
      <c r="AU387" s="294">
        <f t="shared" si="486"/>
        <v>0</v>
      </c>
      <c r="AV387" s="294">
        <f t="shared" si="486"/>
        <v>0</v>
      </c>
      <c r="AW387" s="294">
        <f t="shared" si="486"/>
        <v>0</v>
      </c>
      <c r="AX387" s="294">
        <f t="shared" si="486"/>
        <v>0</v>
      </c>
      <c r="AY387" s="294">
        <f t="shared" si="486"/>
        <v>0</v>
      </c>
      <c r="AZ387" s="294">
        <f t="shared" si="486"/>
        <v>0</v>
      </c>
      <c r="BA387" s="294">
        <f t="shared" si="486"/>
        <v>0</v>
      </c>
      <c r="BB387" s="294">
        <f t="shared" si="486"/>
        <v>0</v>
      </c>
      <c r="BC387" s="294">
        <f t="shared" si="486"/>
        <v>0</v>
      </c>
      <c r="BD387" s="294">
        <f t="shared" si="486"/>
        <v>0</v>
      </c>
      <c r="BE387" s="294">
        <f t="shared" si="486"/>
        <v>0</v>
      </c>
      <c r="BF387" s="294">
        <f t="shared" si="486"/>
        <v>0</v>
      </c>
      <c r="BG387" s="294">
        <f t="shared" si="486"/>
        <v>0</v>
      </c>
      <c r="BH387" s="294">
        <f t="shared" si="486"/>
        <v>0</v>
      </c>
      <c r="BI387" s="294">
        <f t="shared" si="486"/>
        <v>0</v>
      </c>
      <c r="BJ387" s="294">
        <f t="shared" si="486"/>
        <v>0</v>
      </c>
      <c r="BK387" s="294">
        <f t="shared" si="486"/>
        <v>0</v>
      </c>
      <c r="BL387" s="294">
        <f t="shared" si="486"/>
        <v>0</v>
      </c>
      <c r="BM387" s="294">
        <f t="shared" si="486"/>
        <v>0</v>
      </c>
      <c r="BN387" s="294">
        <f t="shared" si="486"/>
        <v>0</v>
      </c>
      <c r="BO387" s="294">
        <f t="shared" si="486"/>
        <v>0</v>
      </c>
      <c r="BP387" s="294">
        <f t="shared" si="486"/>
        <v>0</v>
      </c>
      <c r="BQ387" s="294">
        <f t="shared" si="486"/>
        <v>0</v>
      </c>
      <c r="BR387" s="294">
        <f t="shared" si="486"/>
        <v>0</v>
      </c>
      <c r="BS387" s="294">
        <f t="shared" si="486"/>
        <v>0</v>
      </c>
      <c r="BT387" s="294">
        <f t="shared" si="486"/>
        <v>0</v>
      </c>
      <c r="BU387" s="294">
        <f t="shared" si="486"/>
        <v>0</v>
      </c>
      <c r="BV387" s="294">
        <f t="shared" ref="BV387:DY387" si="487">+BU390</f>
        <v>0</v>
      </c>
      <c r="BW387" s="294">
        <f t="shared" si="487"/>
        <v>0</v>
      </c>
      <c r="BX387" s="294">
        <f t="shared" si="487"/>
        <v>0</v>
      </c>
      <c r="BY387" s="294">
        <f t="shared" si="487"/>
        <v>0</v>
      </c>
      <c r="BZ387" s="294">
        <f t="shared" si="487"/>
        <v>0</v>
      </c>
      <c r="CA387" s="294">
        <f t="shared" si="487"/>
        <v>0</v>
      </c>
      <c r="CB387" s="294">
        <f t="shared" si="487"/>
        <v>0</v>
      </c>
      <c r="CC387" s="294">
        <f t="shared" si="487"/>
        <v>0</v>
      </c>
      <c r="CD387" s="294">
        <f t="shared" si="487"/>
        <v>0</v>
      </c>
      <c r="CE387" s="294">
        <f t="shared" si="487"/>
        <v>0</v>
      </c>
      <c r="CF387" s="294">
        <f t="shared" si="487"/>
        <v>0</v>
      </c>
      <c r="CG387" s="294">
        <f t="shared" si="487"/>
        <v>0</v>
      </c>
      <c r="CH387" s="294">
        <f t="shared" si="487"/>
        <v>0</v>
      </c>
      <c r="CI387" s="294">
        <f t="shared" si="487"/>
        <v>0</v>
      </c>
      <c r="CJ387" s="294">
        <f t="shared" si="487"/>
        <v>0</v>
      </c>
      <c r="CK387" s="294">
        <f t="shared" si="487"/>
        <v>0</v>
      </c>
      <c r="CL387" s="294">
        <f t="shared" si="487"/>
        <v>0</v>
      </c>
      <c r="CM387" s="294">
        <f t="shared" si="487"/>
        <v>0</v>
      </c>
      <c r="CN387" s="294">
        <f t="shared" si="487"/>
        <v>0</v>
      </c>
      <c r="CO387" s="294">
        <f t="shared" si="487"/>
        <v>0</v>
      </c>
      <c r="CP387" s="294">
        <f t="shared" si="487"/>
        <v>0</v>
      </c>
      <c r="CQ387" s="294">
        <f t="shared" si="487"/>
        <v>0</v>
      </c>
      <c r="CR387" s="294">
        <f t="shared" si="487"/>
        <v>0</v>
      </c>
      <c r="CS387" s="294">
        <f t="shared" si="487"/>
        <v>0</v>
      </c>
      <c r="CT387" s="294">
        <f t="shared" si="487"/>
        <v>0</v>
      </c>
      <c r="CU387" s="294">
        <f t="shared" si="487"/>
        <v>0</v>
      </c>
      <c r="CV387" s="294">
        <f t="shared" si="487"/>
        <v>0</v>
      </c>
      <c r="CW387" s="294">
        <f t="shared" si="487"/>
        <v>0</v>
      </c>
      <c r="CX387" s="294">
        <f t="shared" si="487"/>
        <v>0</v>
      </c>
      <c r="CY387" s="294">
        <f t="shared" si="487"/>
        <v>0</v>
      </c>
      <c r="CZ387" s="294">
        <f t="shared" si="487"/>
        <v>0</v>
      </c>
      <c r="DA387" s="294">
        <f t="shared" si="487"/>
        <v>0</v>
      </c>
      <c r="DB387" s="294">
        <f t="shared" si="487"/>
        <v>0</v>
      </c>
      <c r="DC387" s="294">
        <f t="shared" si="487"/>
        <v>0</v>
      </c>
      <c r="DD387" s="294">
        <f t="shared" si="487"/>
        <v>0</v>
      </c>
      <c r="DE387" s="294">
        <f t="shared" si="487"/>
        <v>0</v>
      </c>
      <c r="DF387" s="294">
        <f t="shared" si="487"/>
        <v>0</v>
      </c>
      <c r="DG387" s="294">
        <f t="shared" si="487"/>
        <v>0</v>
      </c>
      <c r="DH387" s="294">
        <f t="shared" si="487"/>
        <v>0</v>
      </c>
      <c r="DI387" s="294">
        <f t="shared" si="487"/>
        <v>0</v>
      </c>
      <c r="DJ387" s="294">
        <f t="shared" si="487"/>
        <v>0</v>
      </c>
      <c r="DK387" s="294">
        <f t="shared" si="487"/>
        <v>0</v>
      </c>
      <c r="DL387" s="294">
        <f t="shared" si="487"/>
        <v>0</v>
      </c>
      <c r="DM387" s="294">
        <f t="shared" si="487"/>
        <v>0</v>
      </c>
      <c r="DN387" s="294">
        <f t="shared" si="487"/>
        <v>0</v>
      </c>
      <c r="DO387" s="294">
        <f t="shared" si="487"/>
        <v>0</v>
      </c>
      <c r="DP387" s="294">
        <f t="shared" si="487"/>
        <v>0</v>
      </c>
      <c r="DQ387" s="294">
        <f t="shared" si="487"/>
        <v>0</v>
      </c>
      <c r="DR387" s="294">
        <f t="shared" si="487"/>
        <v>0</v>
      </c>
      <c r="DS387" s="294">
        <f t="shared" si="487"/>
        <v>0</v>
      </c>
      <c r="DT387" s="294">
        <f t="shared" si="487"/>
        <v>0</v>
      </c>
      <c r="DU387" s="294">
        <f t="shared" si="487"/>
        <v>0</v>
      </c>
      <c r="DV387" s="294">
        <f t="shared" si="487"/>
        <v>0</v>
      </c>
      <c r="DW387" s="294">
        <f t="shared" si="487"/>
        <v>0</v>
      </c>
      <c r="DX387" s="294">
        <f t="shared" si="487"/>
        <v>0</v>
      </c>
      <c r="DY387" s="294">
        <f t="shared" si="487"/>
        <v>0</v>
      </c>
    </row>
    <row r="388" spans="1:130" s="5" customFormat="1" ht="11.7" customHeight="1" outlineLevel="1" x14ac:dyDescent="0.25">
      <c r="A388" s="3"/>
      <c r="B388" s="113" t="s">
        <v>614</v>
      </c>
      <c r="C388" s="113"/>
      <c r="D388" s="3"/>
      <c r="E388" s="3"/>
      <c r="F388" s="3"/>
      <c r="G388" s="127"/>
      <c r="H388" s="308">
        <f>+SUM(I388:DY388)</f>
        <v>64678</v>
      </c>
      <c r="I388" s="300">
        <v>0</v>
      </c>
      <c r="J388" s="300">
        <v>0</v>
      </c>
      <c r="K388" s="300">
        <v>0</v>
      </c>
      <c r="L388" s="300">
        <v>0</v>
      </c>
      <c r="M388" s="300">
        <v>0</v>
      </c>
      <c r="N388" s="300">
        <v>0</v>
      </c>
      <c r="O388" s="300">
        <v>0</v>
      </c>
      <c r="P388" s="300">
        <v>0</v>
      </c>
      <c r="Q388" s="300">
        <v>0</v>
      </c>
      <c r="R388" s="300">
        <v>0</v>
      </c>
      <c r="S388" s="300">
        <v>0</v>
      </c>
      <c r="T388" s="300">
        <v>0</v>
      </c>
      <c r="U388" s="300">
        <v>0</v>
      </c>
      <c r="V388" s="300">
        <v>0</v>
      </c>
      <c r="W388" s="300">
        <v>0</v>
      </c>
      <c r="X388" s="300">
        <v>0</v>
      </c>
      <c r="Y388" s="300">
        <v>0</v>
      </c>
      <c r="Z388" s="300">
        <v>0</v>
      </c>
      <c r="AA388" s="300">
        <v>0</v>
      </c>
      <c r="AB388" s="300">
        <v>0</v>
      </c>
      <c r="AC388" s="300">
        <v>0</v>
      </c>
      <c r="AD388" s="300">
        <v>0</v>
      </c>
      <c r="AE388" s="300">
        <v>64678</v>
      </c>
      <c r="AF388" s="300">
        <v>0</v>
      </c>
      <c r="AG388" s="300">
        <v>0</v>
      </c>
      <c r="AH388" s="300">
        <v>0</v>
      </c>
      <c r="AI388" s="300">
        <v>0</v>
      </c>
      <c r="AJ388" s="300">
        <v>0</v>
      </c>
      <c r="AK388" s="300">
        <v>0</v>
      </c>
      <c r="AL388" s="300">
        <v>0</v>
      </c>
      <c r="AM388" s="300">
        <v>0</v>
      </c>
      <c r="AN388" s="300">
        <v>0</v>
      </c>
      <c r="AO388" s="300">
        <v>0</v>
      </c>
      <c r="AP388" s="300">
        <v>0</v>
      </c>
      <c r="AQ388" s="300">
        <v>0</v>
      </c>
      <c r="AR388" s="300">
        <v>0</v>
      </c>
      <c r="AS388" s="300">
        <v>0</v>
      </c>
      <c r="AT388" s="300">
        <v>0</v>
      </c>
      <c r="AU388" s="300">
        <v>0</v>
      </c>
      <c r="AV388" s="300">
        <v>0</v>
      </c>
      <c r="AW388" s="300">
        <v>0</v>
      </c>
      <c r="AX388" s="300">
        <v>0</v>
      </c>
      <c r="AY388" s="300">
        <v>0</v>
      </c>
      <c r="AZ388" s="300">
        <v>0</v>
      </c>
      <c r="BA388" s="300">
        <v>0</v>
      </c>
      <c r="BB388" s="300">
        <v>0</v>
      </c>
      <c r="BC388" s="300">
        <v>0</v>
      </c>
      <c r="BD388" s="300">
        <v>0</v>
      </c>
      <c r="BE388" s="300">
        <v>0</v>
      </c>
      <c r="BF388" s="300">
        <v>0</v>
      </c>
      <c r="BG388" s="300">
        <v>0</v>
      </c>
      <c r="BH388" s="300">
        <v>0</v>
      </c>
      <c r="BI388" s="300">
        <v>0</v>
      </c>
      <c r="BJ388" s="300">
        <v>0</v>
      </c>
      <c r="BK388" s="300">
        <v>0</v>
      </c>
      <c r="BL388" s="300">
        <v>0</v>
      </c>
      <c r="BM388" s="300">
        <v>0</v>
      </c>
      <c r="BN388" s="300">
        <v>0</v>
      </c>
      <c r="BO388" s="300">
        <v>0</v>
      </c>
      <c r="BP388" s="300">
        <v>0</v>
      </c>
      <c r="BQ388" s="300">
        <v>0</v>
      </c>
      <c r="BR388" s="300">
        <v>0</v>
      </c>
      <c r="BS388" s="300">
        <v>0</v>
      </c>
      <c r="BT388" s="300">
        <v>0</v>
      </c>
      <c r="BU388" s="300">
        <v>0</v>
      </c>
      <c r="BV388" s="300">
        <v>0</v>
      </c>
      <c r="BW388" s="300">
        <v>0</v>
      </c>
      <c r="BX388" s="300">
        <v>0</v>
      </c>
      <c r="BY388" s="300">
        <v>0</v>
      </c>
      <c r="BZ388" s="300">
        <v>0</v>
      </c>
      <c r="CA388" s="300">
        <v>0</v>
      </c>
      <c r="CB388" s="300">
        <v>0</v>
      </c>
      <c r="CC388" s="300">
        <v>0</v>
      </c>
      <c r="CD388" s="300">
        <v>0</v>
      </c>
      <c r="CE388" s="300">
        <v>0</v>
      </c>
      <c r="CF388" s="300">
        <v>0</v>
      </c>
      <c r="CG388" s="300">
        <v>0</v>
      </c>
      <c r="CH388" s="300">
        <v>0</v>
      </c>
      <c r="CI388" s="300">
        <v>0</v>
      </c>
      <c r="CJ388" s="300">
        <v>0</v>
      </c>
      <c r="CK388" s="300">
        <v>0</v>
      </c>
      <c r="CL388" s="300">
        <v>0</v>
      </c>
      <c r="CM388" s="300">
        <v>0</v>
      </c>
      <c r="CN388" s="300">
        <v>0</v>
      </c>
      <c r="CO388" s="300">
        <v>0</v>
      </c>
      <c r="CP388" s="300">
        <v>0</v>
      </c>
      <c r="CQ388" s="300">
        <v>0</v>
      </c>
      <c r="CR388" s="300">
        <v>0</v>
      </c>
      <c r="CS388" s="300">
        <v>0</v>
      </c>
      <c r="CT388" s="300">
        <v>0</v>
      </c>
      <c r="CU388" s="300">
        <v>0</v>
      </c>
      <c r="CV388" s="300">
        <v>0</v>
      </c>
      <c r="CW388" s="300">
        <v>0</v>
      </c>
      <c r="CX388" s="300">
        <v>0</v>
      </c>
      <c r="CY388" s="300">
        <v>0</v>
      </c>
      <c r="CZ388" s="300">
        <v>0</v>
      </c>
      <c r="DA388" s="300">
        <v>0</v>
      </c>
      <c r="DB388" s="300">
        <v>0</v>
      </c>
      <c r="DC388" s="300">
        <v>0</v>
      </c>
      <c r="DD388" s="300">
        <v>0</v>
      </c>
      <c r="DE388" s="300">
        <v>0</v>
      </c>
      <c r="DF388" s="300">
        <v>0</v>
      </c>
      <c r="DG388" s="300">
        <v>0</v>
      </c>
      <c r="DH388" s="300">
        <v>0</v>
      </c>
      <c r="DI388" s="300">
        <v>0</v>
      </c>
      <c r="DJ388" s="300">
        <v>0</v>
      </c>
      <c r="DK388" s="300">
        <v>0</v>
      </c>
      <c r="DL388" s="300">
        <v>0</v>
      </c>
      <c r="DM388" s="300">
        <v>0</v>
      </c>
      <c r="DN388" s="300">
        <v>0</v>
      </c>
      <c r="DO388" s="300">
        <v>0</v>
      </c>
      <c r="DP388" s="300">
        <v>0</v>
      </c>
      <c r="DQ388" s="300">
        <v>0</v>
      </c>
      <c r="DR388" s="300">
        <v>0</v>
      </c>
      <c r="DS388" s="300">
        <v>0</v>
      </c>
      <c r="DT388" s="300">
        <v>0</v>
      </c>
      <c r="DU388" s="300">
        <v>0</v>
      </c>
      <c r="DV388" s="300">
        <v>0</v>
      </c>
      <c r="DW388" s="300">
        <v>0</v>
      </c>
      <c r="DX388" s="300">
        <v>0</v>
      </c>
      <c r="DY388" s="300">
        <v>0</v>
      </c>
      <c r="DZ388" s="300"/>
    </row>
    <row r="389" spans="1:130" s="5" customFormat="1" ht="11.7" customHeight="1" outlineLevel="1" x14ac:dyDescent="0.25">
      <c r="A389" s="3"/>
      <c r="B389" s="116" t="s">
        <v>598</v>
      </c>
      <c r="C389" s="116"/>
      <c r="D389" s="63"/>
      <c r="E389" s="63"/>
      <c r="F389" s="63"/>
      <c r="G389" s="147"/>
      <c r="H389" s="308">
        <f t="shared" ref="H389" si="488">+SUM(I389:DY389)</f>
        <v>-64678</v>
      </c>
      <c r="I389" s="1012">
        <v>0</v>
      </c>
      <c r="J389" s="1012">
        <v>0</v>
      </c>
      <c r="K389" s="1012">
        <v>0</v>
      </c>
      <c r="L389" s="1012">
        <v>0</v>
      </c>
      <c r="M389" s="1012">
        <v>0</v>
      </c>
      <c r="N389" s="1012">
        <v>0</v>
      </c>
      <c r="O389" s="1012">
        <v>0</v>
      </c>
      <c r="P389" s="1012">
        <v>0</v>
      </c>
      <c r="Q389" s="1012">
        <v>0</v>
      </c>
      <c r="R389" s="1012">
        <v>0</v>
      </c>
      <c r="S389" s="1012">
        <v>0</v>
      </c>
      <c r="T389" s="1012">
        <v>0</v>
      </c>
      <c r="U389" s="1012">
        <v>0</v>
      </c>
      <c r="V389" s="1012">
        <v>0</v>
      </c>
      <c r="W389" s="1012">
        <v>0</v>
      </c>
      <c r="X389" s="1012">
        <v>0</v>
      </c>
      <c r="Y389" s="1012">
        <v>0</v>
      </c>
      <c r="Z389" s="1012">
        <v>0</v>
      </c>
      <c r="AA389" s="1012">
        <v>0</v>
      </c>
      <c r="AB389" s="1012">
        <v>0</v>
      </c>
      <c r="AC389" s="1012">
        <v>0</v>
      </c>
      <c r="AD389" s="1012">
        <v>0</v>
      </c>
      <c r="AE389" s="1012">
        <v>0</v>
      </c>
      <c r="AF389" s="1012">
        <v>-64678</v>
      </c>
      <c r="AG389" s="1012">
        <v>0</v>
      </c>
      <c r="AH389" s="1012">
        <v>0</v>
      </c>
      <c r="AI389" s="1012">
        <v>0</v>
      </c>
      <c r="AJ389" s="1012">
        <v>0</v>
      </c>
      <c r="AK389" s="1012">
        <v>0</v>
      </c>
      <c r="AL389" s="1012">
        <v>0</v>
      </c>
      <c r="AM389" s="1012">
        <v>0</v>
      </c>
      <c r="AN389" s="1012">
        <v>0</v>
      </c>
      <c r="AO389" s="1012">
        <v>0</v>
      </c>
      <c r="AP389" s="1012">
        <v>0</v>
      </c>
      <c r="AQ389" s="1012">
        <v>0</v>
      </c>
      <c r="AR389" s="1012">
        <v>0</v>
      </c>
      <c r="AS389" s="1012">
        <v>0</v>
      </c>
      <c r="AT389" s="1012">
        <v>0</v>
      </c>
      <c r="AU389" s="1012">
        <v>0</v>
      </c>
      <c r="AV389" s="1012">
        <v>0</v>
      </c>
      <c r="AW389" s="1012">
        <v>0</v>
      </c>
      <c r="AX389" s="1012">
        <v>0</v>
      </c>
      <c r="AY389" s="1012">
        <v>0</v>
      </c>
      <c r="AZ389" s="1012">
        <v>0</v>
      </c>
      <c r="BA389" s="1012">
        <v>0</v>
      </c>
      <c r="BB389" s="1012">
        <v>0</v>
      </c>
      <c r="BC389" s="1012">
        <v>0</v>
      </c>
      <c r="BD389" s="1012">
        <v>0</v>
      </c>
      <c r="BE389" s="1012">
        <v>0</v>
      </c>
      <c r="BF389" s="1012">
        <v>0</v>
      </c>
      <c r="BG389" s="1012">
        <v>0</v>
      </c>
      <c r="BH389" s="1012">
        <v>0</v>
      </c>
      <c r="BI389" s="1012">
        <v>0</v>
      </c>
      <c r="BJ389" s="1012">
        <v>0</v>
      </c>
      <c r="BK389" s="1012">
        <v>0</v>
      </c>
      <c r="BL389" s="1012">
        <v>0</v>
      </c>
      <c r="BM389" s="1012">
        <v>0</v>
      </c>
      <c r="BN389" s="1012">
        <v>0</v>
      </c>
      <c r="BO389" s="1012">
        <v>0</v>
      </c>
      <c r="BP389" s="1012">
        <v>0</v>
      </c>
      <c r="BQ389" s="1012">
        <v>0</v>
      </c>
      <c r="BR389" s="1012">
        <v>0</v>
      </c>
      <c r="BS389" s="1012">
        <v>0</v>
      </c>
      <c r="BT389" s="1012">
        <v>0</v>
      </c>
      <c r="BU389" s="1012">
        <v>0</v>
      </c>
      <c r="BV389" s="1012">
        <v>0</v>
      </c>
      <c r="BW389" s="1012">
        <v>0</v>
      </c>
      <c r="BX389" s="1012">
        <v>0</v>
      </c>
      <c r="BY389" s="1012">
        <v>0</v>
      </c>
      <c r="BZ389" s="1012">
        <v>0</v>
      </c>
      <c r="CA389" s="1012">
        <v>0</v>
      </c>
      <c r="CB389" s="1012">
        <v>0</v>
      </c>
      <c r="CC389" s="1012">
        <v>0</v>
      </c>
      <c r="CD389" s="1012">
        <v>0</v>
      </c>
      <c r="CE389" s="1012">
        <v>0</v>
      </c>
      <c r="CF389" s="1012">
        <v>0</v>
      </c>
      <c r="CG389" s="1012">
        <v>0</v>
      </c>
      <c r="CH389" s="1012">
        <v>0</v>
      </c>
      <c r="CI389" s="1012">
        <v>0</v>
      </c>
      <c r="CJ389" s="1012">
        <v>0</v>
      </c>
      <c r="CK389" s="1012">
        <v>0</v>
      </c>
      <c r="CL389" s="1012">
        <v>0</v>
      </c>
      <c r="CM389" s="1012">
        <v>0</v>
      </c>
      <c r="CN389" s="1012">
        <v>0</v>
      </c>
      <c r="CO389" s="1012">
        <v>0</v>
      </c>
      <c r="CP389" s="1012">
        <v>0</v>
      </c>
      <c r="CQ389" s="1012">
        <v>0</v>
      </c>
      <c r="CR389" s="1012">
        <v>0</v>
      </c>
      <c r="CS389" s="1012">
        <v>0</v>
      </c>
      <c r="CT389" s="1012">
        <v>0</v>
      </c>
      <c r="CU389" s="1012">
        <v>0</v>
      </c>
      <c r="CV389" s="1012">
        <v>0</v>
      </c>
      <c r="CW389" s="1012">
        <v>0</v>
      </c>
      <c r="CX389" s="1012">
        <v>0</v>
      </c>
      <c r="CY389" s="1012">
        <v>0</v>
      </c>
      <c r="CZ389" s="1012">
        <v>0</v>
      </c>
      <c r="DA389" s="1012">
        <v>0</v>
      </c>
      <c r="DB389" s="1012">
        <v>0</v>
      </c>
      <c r="DC389" s="1012">
        <v>0</v>
      </c>
      <c r="DD389" s="1012">
        <v>0</v>
      </c>
      <c r="DE389" s="1012">
        <v>0</v>
      </c>
      <c r="DF389" s="1012">
        <v>0</v>
      </c>
      <c r="DG389" s="1012">
        <v>0</v>
      </c>
      <c r="DH389" s="1012">
        <v>0</v>
      </c>
      <c r="DI389" s="1012">
        <v>0</v>
      </c>
      <c r="DJ389" s="1012">
        <v>0</v>
      </c>
      <c r="DK389" s="1012">
        <v>0</v>
      </c>
      <c r="DL389" s="1012">
        <v>0</v>
      </c>
      <c r="DM389" s="1012">
        <v>0</v>
      </c>
      <c r="DN389" s="1012">
        <v>0</v>
      </c>
      <c r="DO389" s="1012">
        <v>0</v>
      </c>
      <c r="DP389" s="1012">
        <v>0</v>
      </c>
      <c r="DQ389" s="1012">
        <v>0</v>
      </c>
      <c r="DR389" s="1012">
        <v>0</v>
      </c>
      <c r="DS389" s="1012">
        <v>0</v>
      </c>
      <c r="DT389" s="1012">
        <v>0</v>
      </c>
      <c r="DU389" s="1012">
        <v>0</v>
      </c>
      <c r="DV389" s="1012">
        <v>0</v>
      </c>
      <c r="DW389" s="1012">
        <v>0</v>
      </c>
      <c r="DX389" s="1012">
        <v>0</v>
      </c>
      <c r="DY389" s="1012">
        <v>0</v>
      </c>
      <c r="DZ389" s="300"/>
    </row>
    <row r="390" spans="1:130" s="5" customFormat="1" ht="11.7" customHeight="1" outlineLevel="1" x14ac:dyDescent="0.25">
      <c r="A390" s="3"/>
      <c r="B390" s="149" t="s">
        <v>648</v>
      </c>
      <c r="C390" s="149"/>
      <c r="D390" s="3"/>
      <c r="E390" s="3"/>
      <c r="F390" s="3"/>
      <c r="G390" s="127"/>
      <c r="H390" s="127"/>
      <c r="I390" s="293">
        <f>+SUM(I387:I389)</f>
        <v>0</v>
      </c>
      <c r="J390" s="293">
        <f t="shared" ref="J390:BU390" si="489">+SUM(J387:J389)</f>
        <v>0</v>
      </c>
      <c r="K390" s="293">
        <f t="shared" si="489"/>
        <v>0</v>
      </c>
      <c r="L390" s="293">
        <f t="shared" si="489"/>
        <v>0</v>
      </c>
      <c r="M390" s="293">
        <f t="shared" si="489"/>
        <v>0</v>
      </c>
      <c r="N390" s="293">
        <f t="shared" si="489"/>
        <v>0</v>
      </c>
      <c r="O390" s="293">
        <f t="shared" si="489"/>
        <v>0</v>
      </c>
      <c r="P390" s="293">
        <f t="shared" si="489"/>
        <v>0</v>
      </c>
      <c r="Q390" s="293">
        <f t="shared" si="489"/>
        <v>0</v>
      </c>
      <c r="R390" s="293">
        <f t="shared" si="489"/>
        <v>0</v>
      </c>
      <c r="S390" s="293">
        <f t="shared" si="489"/>
        <v>0</v>
      </c>
      <c r="T390" s="293">
        <f t="shared" si="489"/>
        <v>0</v>
      </c>
      <c r="U390" s="293">
        <f t="shared" si="489"/>
        <v>0</v>
      </c>
      <c r="V390" s="293">
        <f t="shared" si="489"/>
        <v>0</v>
      </c>
      <c r="W390" s="293">
        <f t="shared" si="489"/>
        <v>0</v>
      </c>
      <c r="X390" s="293">
        <f t="shared" si="489"/>
        <v>0</v>
      </c>
      <c r="Y390" s="293">
        <f t="shared" si="489"/>
        <v>0</v>
      </c>
      <c r="Z390" s="293">
        <f t="shared" si="489"/>
        <v>0</v>
      </c>
      <c r="AA390" s="293">
        <f t="shared" si="489"/>
        <v>0</v>
      </c>
      <c r="AB390" s="293">
        <f t="shared" si="489"/>
        <v>0</v>
      </c>
      <c r="AC390" s="293">
        <f t="shared" si="489"/>
        <v>0</v>
      </c>
      <c r="AD390" s="293">
        <f t="shared" si="489"/>
        <v>0</v>
      </c>
      <c r="AE390" s="293">
        <f t="shared" si="489"/>
        <v>64678</v>
      </c>
      <c r="AF390" s="293">
        <f t="shared" si="489"/>
        <v>0</v>
      </c>
      <c r="AG390" s="293">
        <f t="shared" si="489"/>
        <v>0</v>
      </c>
      <c r="AH390" s="293">
        <f t="shared" si="489"/>
        <v>0</v>
      </c>
      <c r="AI390" s="293">
        <f t="shared" si="489"/>
        <v>0</v>
      </c>
      <c r="AJ390" s="293">
        <f t="shared" si="489"/>
        <v>0</v>
      </c>
      <c r="AK390" s="293">
        <f t="shared" si="489"/>
        <v>0</v>
      </c>
      <c r="AL390" s="293">
        <f t="shared" si="489"/>
        <v>0</v>
      </c>
      <c r="AM390" s="293">
        <f t="shared" si="489"/>
        <v>0</v>
      </c>
      <c r="AN390" s="293">
        <f t="shared" si="489"/>
        <v>0</v>
      </c>
      <c r="AO390" s="293">
        <f t="shared" si="489"/>
        <v>0</v>
      </c>
      <c r="AP390" s="293">
        <f t="shared" si="489"/>
        <v>0</v>
      </c>
      <c r="AQ390" s="293">
        <f t="shared" si="489"/>
        <v>0</v>
      </c>
      <c r="AR390" s="293">
        <f t="shared" si="489"/>
        <v>0</v>
      </c>
      <c r="AS390" s="293">
        <f t="shared" si="489"/>
        <v>0</v>
      </c>
      <c r="AT390" s="293">
        <f t="shared" si="489"/>
        <v>0</v>
      </c>
      <c r="AU390" s="293">
        <f t="shared" si="489"/>
        <v>0</v>
      </c>
      <c r="AV390" s="293">
        <f t="shared" si="489"/>
        <v>0</v>
      </c>
      <c r="AW390" s="293">
        <f t="shared" si="489"/>
        <v>0</v>
      </c>
      <c r="AX390" s="293">
        <f t="shared" si="489"/>
        <v>0</v>
      </c>
      <c r="AY390" s="293">
        <f t="shared" si="489"/>
        <v>0</v>
      </c>
      <c r="AZ390" s="293">
        <f t="shared" si="489"/>
        <v>0</v>
      </c>
      <c r="BA390" s="293">
        <f t="shared" si="489"/>
        <v>0</v>
      </c>
      <c r="BB390" s="293">
        <f t="shared" si="489"/>
        <v>0</v>
      </c>
      <c r="BC390" s="293">
        <f t="shared" si="489"/>
        <v>0</v>
      </c>
      <c r="BD390" s="293">
        <f t="shared" si="489"/>
        <v>0</v>
      </c>
      <c r="BE390" s="293">
        <f t="shared" si="489"/>
        <v>0</v>
      </c>
      <c r="BF390" s="293">
        <f t="shared" si="489"/>
        <v>0</v>
      </c>
      <c r="BG390" s="293">
        <f t="shared" si="489"/>
        <v>0</v>
      </c>
      <c r="BH390" s="293">
        <f t="shared" si="489"/>
        <v>0</v>
      </c>
      <c r="BI390" s="293">
        <f t="shared" si="489"/>
        <v>0</v>
      </c>
      <c r="BJ390" s="293">
        <f t="shared" si="489"/>
        <v>0</v>
      </c>
      <c r="BK390" s="293">
        <f t="shared" si="489"/>
        <v>0</v>
      </c>
      <c r="BL390" s="293">
        <f t="shared" si="489"/>
        <v>0</v>
      </c>
      <c r="BM390" s="293">
        <f t="shared" si="489"/>
        <v>0</v>
      </c>
      <c r="BN390" s="293">
        <f t="shared" si="489"/>
        <v>0</v>
      </c>
      <c r="BO390" s="293">
        <f t="shared" si="489"/>
        <v>0</v>
      </c>
      <c r="BP390" s="293">
        <f t="shared" si="489"/>
        <v>0</v>
      </c>
      <c r="BQ390" s="293">
        <f t="shared" si="489"/>
        <v>0</v>
      </c>
      <c r="BR390" s="293">
        <f t="shared" si="489"/>
        <v>0</v>
      </c>
      <c r="BS390" s="293">
        <f t="shared" si="489"/>
        <v>0</v>
      </c>
      <c r="BT390" s="293">
        <f t="shared" si="489"/>
        <v>0</v>
      </c>
      <c r="BU390" s="293">
        <f t="shared" si="489"/>
        <v>0</v>
      </c>
      <c r="BV390" s="293">
        <f t="shared" ref="BV390:DY390" si="490">+SUM(BV387:BV389)</f>
        <v>0</v>
      </c>
      <c r="BW390" s="293">
        <f t="shared" si="490"/>
        <v>0</v>
      </c>
      <c r="BX390" s="293">
        <f t="shared" si="490"/>
        <v>0</v>
      </c>
      <c r="BY390" s="293">
        <f t="shared" si="490"/>
        <v>0</v>
      </c>
      <c r="BZ390" s="293">
        <f t="shared" si="490"/>
        <v>0</v>
      </c>
      <c r="CA390" s="293">
        <f t="shared" si="490"/>
        <v>0</v>
      </c>
      <c r="CB390" s="293">
        <f t="shared" si="490"/>
        <v>0</v>
      </c>
      <c r="CC390" s="293">
        <f t="shared" si="490"/>
        <v>0</v>
      </c>
      <c r="CD390" s="293">
        <f t="shared" si="490"/>
        <v>0</v>
      </c>
      <c r="CE390" s="293">
        <f t="shared" si="490"/>
        <v>0</v>
      </c>
      <c r="CF390" s="293">
        <f t="shared" si="490"/>
        <v>0</v>
      </c>
      <c r="CG390" s="293">
        <f t="shared" si="490"/>
        <v>0</v>
      </c>
      <c r="CH390" s="293">
        <f t="shared" si="490"/>
        <v>0</v>
      </c>
      <c r="CI390" s="293">
        <f t="shared" si="490"/>
        <v>0</v>
      </c>
      <c r="CJ390" s="293">
        <f t="shared" si="490"/>
        <v>0</v>
      </c>
      <c r="CK390" s="293">
        <f t="shared" si="490"/>
        <v>0</v>
      </c>
      <c r="CL390" s="293">
        <f t="shared" si="490"/>
        <v>0</v>
      </c>
      <c r="CM390" s="293">
        <f t="shared" si="490"/>
        <v>0</v>
      </c>
      <c r="CN390" s="293">
        <f t="shared" si="490"/>
        <v>0</v>
      </c>
      <c r="CO390" s="293">
        <f t="shared" si="490"/>
        <v>0</v>
      </c>
      <c r="CP390" s="293">
        <f t="shared" si="490"/>
        <v>0</v>
      </c>
      <c r="CQ390" s="293">
        <f t="shared" si="490"/>
        <v>0</v>
      </c>
      <c r="CR390" s="293">
        <f t="shared" si="490"/>
        <v>0</v>
      </c>
      <c r="CS390" s="293">
        <f t="shared" si="490"/>
        <v>0</v>
      </c>
      <c r="CT390" s="293">
        <f t="shared" si="490"/>
        <v>0</v>
      </c>
      <c r="CU390" s="293">
        <f t="shared" si="490"/>
        <v>0</v>
      </c>
      <c r="CV390" s="293">
        <f t="shared" si="490"/>
        <v>0</v>
      </c>
      <c r="CW390" s="293">
        <f t="shared" si="490"/>
        <v>0</v>
      </c>
      <c r="CX390" s="293">
        <f t="shared" si="490"/>
        <v>0</v>
      </c>
      <c r="CY390" s="293">
        <f t="shared" si="490"/>
        <v>0</v>
      </c>
      <c r="CZ390" s="293">
        <f t="shared" si="490"/>
        <v>0</v>
      </c>
      <c r="DA390" s="293">
        <f t="shared" si="490"/>
        <v>0</v>
      </c>
      <c r="DB390" s="293">
        <f t="shared" si="490"/>
        <v>0</v>
      </c>
      <c r="DC390" s="293">
        <f t="shared" si="490"/>
        <v>0</v>
      </c>
      <c r="DD390" s="293">
        <f t="shared" si="490"/>
        <v>0</v>
      </c>
      <c r="DE390" s="293">
        <f t="shared" si="490"/>
        <v>0</v>
      </c>
      <c r="DF390" s="293">
        <f t="shared" si="490"/>
        <v>0</v>
      </c>
      <c r="DG390" s="293">
        <f t="shared" si="490"/>
        <v>0</v>
      </c>
      <c r="DH390" s="293">
        <f t="shared" si="490"/>
        <v>0</v>
      </c>
      <c r="DI390" s="293">
        <f t="shared" si="490"/>
        <v>0</v>
      </c>
      <c r="DJ390" s="293">
        <f t="shared" si="490"/>
        <v>0</v>
      </c>
      <c r="DK390" s="293">
        <f t="shared" si="490"/>
        <v>0</v>
      </c>
      <c r="DL390" s="293">
        <f t="shared" si="490"/>
        <v>0</v>
      </c>
      <c r="DM390" s="293">
        <f t="shared" si="490"/>
        <v>0</v>
      </c>
      <c r="DN390" s="293">
        <f t="shared" si="490"/>
        <v>0</v>
      </c>
      <c r="DO390" s="293">
        <f t="shared" si="490"/>
        <v>0</v>
      </c>
      <c r="DP390" s="293">
        <f t="shared" si="490"/>
        <v>0</v>
      </c>
      <c r="DQ390" s="293">
        <f t="shared" si="490"/>
        <v>0</v>
      </c>
      <c r="DR390" s="293">
        <f t="shared" si="490"/>
        <v>0</v>
      </c>
      <c r="DS390" s="293">
        <f t="shared" si="490"/>
        <v>0</v>
      </c>
      <c r="DT390" s="293">
        <f t="shared" si="490"/>
        <v>0</v>
      </c>
      <c r="DU390" s="293">
        <f t="shared" si="490"/>
        <v>0</v>
      </c>
      <c r="DV390" s="293">
        <f t="shared" si="490"/>
        <v>0</v>
      </c>
      <c r="DW390" s="293">
        <f t="shared" si="490"/>
        <v>0</v>
      </c>
      <c r="DX390" s="293">
        <f t="shared" si="490"/>
        <v>0</v>
      </c>
      <c r="DY390" s="293">
        <f t="shared" si="490"/>
        <v>0</v>
      </c>
    </row>
    <row r="391" spans="1:130" s="5" customFormat="1" ht="11.7" customHeight="1" outlineLevel="1" x14ac:dyDescent="0.3">
      <c r="A391" s="3"/>
      <c r="B391" s="149"/>
      <c r="C391" s="149"/>
      <c r="D391" s="3"/>
      <c r="E391" s="3"/>
      <c r="F391" s="3"/>
      <c r="G391" s="127"/>
      <c r="H391" s="127"/>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c r="AQ391" s="14"/>
      <c r="AR391" s="14"/>
      <c r="AS391" s="14"/>
      <c r="AT391" s="14"/>
      <c r="AU391" s="14"/>
      <c r="AV391" s="14"/>
      <c r="AW391" s="14"/>
      <c r="AX391" s="14"/>
      <c r="AY391" s="14"/>
      <c r="AZ391" s="14"/>
      <c r="BA391" s="14"/>
      <c r="BB391" s="14"/>
      <c r="BC391" s="14"/>
      <c r="BD391" s="14"/>
      <c r="BE391" s="14"/>
      <c r="BF391" s="14"/>
      <c r="BG391" s="14"/>
      <c r="BH391" s="14"/>
      <c r="BI391" s="14"/>
      <c r="BJ391" s="14"/>
      <c r="BK391" s="14"/>
      <c r="BL391" s="14"/>
      <c r="BM391" s="14"/>
      <c r="BN391" s="14"/>
      <c r="BO391" s="14"/>
      <c r="BP391" s="14"/>
      <c r="BQ391" s="14"/>
      <c r="BR391" s="14"/>
      <c r="BS391" s="14"/>
      <c r="BT391" s="14"/>
      <c r="BU391" s="14"/>
      <c r="BV391" s="14"/>
      <c r="BW391" s="14"/>
      <c r="BX391" s="14"/>
      <c r="BY391" s="14"/>
      <c r="BZ391" s="14"/>
      <c r="CA391" s="14"/>
      <c r="CB391" s="14"/>
      <c r="CC391" s="14"/>
      <c r="CD391" s="14"/>
      <c r="CE391" s="14"/>
      <c r="CF391" s="14"/>
      <c r="CG391" s="14"/>
      <c r="CH391" s="14"/>
      <c r="CI391" s="14"/>
      <c r="CJ391" s="14"/>
      <c r="CK391" s="14"/>
      <c r="CL391" s="14"/>
      <c r="CM391" s="14"/>
      <c r="CN391" s="14"/>
      <c r="CO391" s="14"/>
      <c r="CP391" s="14"/>
      <c r="CQ391" s="14"/>
      <c r="CR391" s="14"/>
      <c r="CS391" s="14"/>
      <c r="CT391" s="14"/>
      <c r="CU391" s="14"/>
      <c r="CV391" s="14"/>
      <c r="CW391" s="14"/>
      <c r="CX391" s="14"/>
      <c r="CY391" s="14"/>
      <c r="CZ391" s="14"/>
      <c r="DA391" s="14"/>
      <c r="DB391" s="14"/>
      <c r="DC391" s="14"/>
      <c r="DD391" s="14"/>
      <c r="DE391" s="14"/>
      <c r="DF391" s="14"/>
      <c r="DG391" s="14"/>
      <c r="DH391" s="14"/>
      <c r="DI391" s="14"/>
      <c r="DJ391" s="14"/>
      <c r="DK391" s="14"/>
      <c r="DL391" s="14"/>
      <c r="DM391" s="14"/>
      <c r="DN391" s="14"/>
      <c r="DO391" s="14"/>
      <c r="DP391" s="14"/>
      <c r="DQ391" s="14"/>
      <c r="DR391" s="14"/>
      <c r="DS391" s="14"/>
      <c r="DT391" s="14"/>
      <c r="DU391" s="14"/>
      <c r="DV391" s="14"/>
      <c r="DW391" s="14"/>
      <c r="DX391" s="14"/>
      <c r="DY391" s="14"/>
    </row>
    <row r="392" spans="1:130" s="5" customFormat="1" ht="11.7" customHeight="1" outlineLevel="1" x14ac:dyDescent="0.3">
      <c r="A392" s="3"/>
      <c r="B392" s="152" t="s">
        <v>650</v>
      </c>
      <c r="C392" s="152"/>
      <c r="D392" s="63"/>
      <c r="E392" s="63"/>
      <c r="F392" s="63"/>
      <c r="G392" s="147"/>
      <c r="H392" s="147"/>
      <c r="I392" s="168"/>
      <c r="J392" s="168"/>
      <c r="K392" s="168"/>
      <c r="L392" s="168"/>
      <c r="M392" s="168"/>
      <c r="N392" s="168"/>
      <c r="O392" s="168"/>
      <c r="P392" s="168"/>
      <c r="Q392" s="168"/>
      <c r="R392" s="168"/>
      <c r="S392" s="168"/>
      <c r="T392" s="168"/>
      <c r="U392" s="168"/>
      <c r="V392" s="168"/>
      <c r="W392" s="168"/>
      <c r="X392" s="168"/>
      <c r="Y392" s="168"/>
      <c r="Z392" s="168"/>
      <c r="AA392" s="168"/>
      <c r="AB392" s="168"/>
      <c r="AC392" s="168"/>
      <c r="AD392" s="168"/>
      <c r="AE392" s="168"/>
      <c r="AF392" s="168"/>
      <c r="AG392" s="168"/>
      <c r="AH392" s="168"/>
      <c r="AI392" s="168"/>
      <c r="AJ392" s="168"/>
      <c r="AK392" s="168"/>
      <c r="AL392" s="168"/>
      <c r="AM392" s="168"/>
      <c r="AN392" s="168"/>
      <c r="AO392" s="168"/>
      <c r="AP392" s="168"/>
      <c r="AQ392" s="168"/>
      <c r="AR392" s="168"/>
      <c r="AS392" s="168"/>
      <c r="AT392" s="168"/>
      <c r="AU392" s="168"/>
      <c r="AV392" s="168"/>
      <c r="AW392" s="168"/>
      <c r="AX392" s="168"/>
      <c r="AY392" s="168"/>
      <c r="AZ392" s="168"/>
      <c r="BA392" s="168"/>
      <c r="BB392" s="168"/>
      <c r="BC392" s="168"/>
      <c r="BD392" s="168"/>
      <c r="BE392" s="168"/>
      <c r="BF392" s="168"/>
      <c r="BG392" s="168"/>
      <c r="BH392" s="168"/>
      <c r="BI392" s="168"/>
      <c r="BJ392" s="168"/>
      <c r="BK392" s="168"/>
      <c r="BL392" s="168"/>
      <c r="BM392" s="168"/>
      <c r="BN392" s="168"/>
      <c r="BO392" s="168"/>
      <c r="BP392" s="168"/>
      <c r="BQ392" s="168"/>
      <c r="BR392" s="168"/>
      <c r="BS392" s="168"/>
      <c r="BT392" s="168"/>
      <c r="BU392" s="168"/>
      <c r="BV392" s="168"/>
      <c r="BW392" s="168"/>
      <c r="BX392" s="168"/>
      <c r="BY392" s="168"/>
      <c r="BZ392" s="168"/>
      <c r="CA392" s="168"/>
      <c r="CB392" s="168"/>
      <c r="CC392" s="168"/>
      <c r="CD392" s="168"/>
      <c r="CE392" s="168"/>
      <c r="CF392" s="168"/>
      <c r="CG392" s="168"/>
      <c r="CH392" s="168"/>
      <c r="CI392" s="168"/>
      <c r="CJ392" s="168"/>
      <c r="CK392" s="168"/>
      <c r="CL392" s="168"/>
      <c r="CM392" s="168"/>
      <c r="CN392" s="168"/>
      <c r="CO392" s="168"/>
      <c r="CP392" s="168"/>
      <c r="CQ392" s="168"/>
      <c r="CR392" s="168"/>
      <c r="CS392" s="168"/>
      <c r="CT392" s="168"/>
      <c r="CU392" s="168"/>
      <c r="CV392" s="168"/>
      <c r="CW392" s="168"/>
      <c r="CX392" s="168"/>
      <c r="CY392" s="168"/>
      <c r="CZ392" s="168"/>
      <c r="DA392" s="168"/>
      <c r="DB392" s="168"/>
      <c r="DC392" s="168"/>
      <c r="DD392" s="168"/>
      <c r="DE392" s="168"/>
      <c r="DF392" s="168"/>
      <c r="DG392" s="168"/>
      <c r="DH392" s="168"/>
      <c r="DI392" s="168"/>
      <c r="DJ392" s="168"/>
      <c r="DK392" s="168"/>
      <c r="DL392" s="168"/>
      <c r="DM392" s="168"/>
      <c r="DN392" s="168"/>
      <c r="DO392" s="168"/>
      <c r="DP392" s="168"/>
      <c r="DQ392" s="168"/>
      <c r="DR392" s="168"/>
      <c r="DS392" s="168"/>
      <c r="DT392" s="168"/>
      <c r="DU392" s="168"/>
      <c r="DV392" s="168"/>
      <c r="DW392" s="168"/>
      <c r="DX392" s="168"/>
      <c r="DY392" s="168"/>
    </row>
    <row r="393" spans="1:130" s="5" customFormat="1" ht="11.7" customHeight="1" outlineLevel="1" x14ac:dyDescent="0.25">
      <c r="A393" s="3"/>
      <c r="B393" s="113" t="s">
        <v>615</v>
      </c>
      <c r="C393" s="113"/>
      <c r="D393" s="3"/>
      <c r="E393" s="3"/>
      <c r="F393" s="3"/>
      <c r="G393" s="127"/>
      <c r="H393" s="308">
        <f t="shared" ref="H393:H394" si="491">+SUM(I393:DY393)</f>
        <v>380.71015466471698</v>
      </c>
      <c r="I393" s="300">
        <v>0</v>
      </c>
      <c r="J393" s="300">
        <v>0</v>
      </c>
      <c r="K393" s="300">
        <v>0</v>
      </c>
      <c r="L393" s="300">
        <v>0</v>
      </c>
      <c r="M393" s="300">
        <v>0</v>
      </c>
      <c r="N393" s="300">
        <v>0</v>
      </c>
      <c r="O393" s="300">
        <v>0</v>
      </c>
      <c r="P393" s="300">
        <v>0</v>
      </c>
      <c r="Q393" s="300">
        <v>0</v>
      </c>
      <c r="R393" s="300">
        <v>0</v>
      </c>
      <c r="S393" s="300">
        <v>0</v>
      </c>
      <c r="T393" s="300">
        <v>0</v>
      </c>
      <c r="U393" s="300">
        <v>0</v>
      </c>
      <c r="V393" s="300">
        <v>0</v>
      </c>
      <c r="W393" s="300">
        <v>0</v>
      </c>
      <c r="X393" s="300">
        <v>0</v>
      </c>
      <c r="Y393" s="300">
        <v>0</v>
      </c>
      <c r="Z393" s="300">
        <v>0</v>
      </c>
      <c r="AA393" s="300">
        <v>0</v>
      </c>
      <c r="AB393" s="300">
        <v>0</v>
      </c>
      <c r="AC393" s="300">
        <v>0</v>
      </c>
      <c r="AD393" s="300">
        <v>0</v>
      </c>
      <c r="AE393" s="300">
        <v>0</v>
      </c>
      <c r="AF393" s="300">
        <v>380.71015466471698</v>
      </c>
      <c r="AG393" s="300">
        <v>0</v>
      </c>
      <c r="AH393" s="300">
        <v>0</v>
      </c>
      <c r="AI393" s="300">
        <v>0</v>
      </c>
      <c r="AJ393" s="300">
        <v>0</v>
      </c>
      <c r="AK393" s="300">
        <v>0</v>
      </c>
      <c r="AL393" s="300">
        <v>0</v>
      </c>
      <c r="AM393" s="300">
        <v>0</v>
      </c>
      <c r="AN393" s="300">
        <v>0</v>
      </c>
      <c r="AO393" s="300">
        <v>0</v>
      </c>
      <c r="AP393" s="300">
        <v>0</v>
      </c>
      <c r="AQ393" s="300">
        <v>0</v>
      </c>
      <c r="AR393" s="300">
        <v>0</v>
      </c>
      <c r="AS393" s="300">
        <v>0</v>
      </c>
      <c r="AT393" s="300">
        <v>0</v>
      </c>
      <c r="AU393" s="300">
        <v>0</v>
      </c>
      <c r="AV393" s="300">
        <v>0</v>
      </c>
      <c r="AW393" s="300">
        <v>0</v>
      </c>
      <c r="AX393" s="300">
        <v>0</v>
      </c>
      <c r="AY393" s="300">
        <v>0</v>
      </c>
      <c r="AZ393" s="300">
        <v>0</v>
      </c>
      <c r="BA393" s="300">
        <v>0</v>
      </c>
      <c r="BB393" s="300">
        <v>0</v>
      </c>
      <c r="BC393" s="300">
        <v>0</v>
      </c>
      <c r="BD393" s="300">
        <v>0</v>
      </c>
      <c r="BE393" s="300">
        <v>0</v>
      </c>
      <c r="BF393" s="300">
        <v>0</v>
      </c>
      <c r="BG393" s="300">
        <v>0</v>
      </c>
      <c r="BH393" s="300">
        <v>0</v>
      </c>
      <c r="BI393" s="300">
        <v>0</v>
      </c>
      <c r="BJ393" s="300">
        <v>0</v>
      </c>
      <c r="BK393" s="300">
        <v>0</v>
      </c>
      <c r="BL393" s="300">
        <v>0</v>
      </c>
      <c r="BM393" s="300">
        <v>0</v>
      </c>
      <c r="BN393" s="300">
        <v>0</v>
      </c>
      <c r="BO393" s="300">
        <v>0</v>
      </c>
      <c r="BP393" s="300">
        <v>0</v>
      </c>
      <c r="BQ393" s="300">
        <v>0</v>
      </c>
      <c r="BR393" s="300">
        <v>0</v>
      </c>
      <c r="BS393" s="300">
        <v>0</v>
      </c>
      <c r="BT393" s="300">
        <v>0</v>
      </c>
      <c r="BU393" s="300">
        <v>0</v>
      </c>
      <c r="BV393" s="300">
        <v>0</v>
      </c>
      <c r="BW393" s="300">
        <v>0</v>
      </c>
      <c r="BX393" s="300">
        <v>0</v>
      </c>
      <c r="BY393" s="300">
        <v>0</v>
      </c>
      <c r="BZ393" s="300">
        <v>0</v>
      </c>
      <c r="CA393" s="300">
        <v>0</v>
      </c>
      <c r="CB393" s="300">
        <v>0</v>
      </c>
      <c r="CC393" s="300">
        <v>0</v>
      </c>
      <c r="CD393" s="300">
        <v>0</v>
      </c>
      <c r="CE393" s="300">
        <v>0</v>
      </c>
      <c r="CF393" s="300">
        <v>0</v>
      </c>
      <c r="CG393" s="300">
        <v>0</v>
      </c>
      <c r="CH393" s="300">
        <v>0</v>
      </c>
      <c r="CI393" s="300">
        <v>0</v>
      </c>
      <c r="CJ393" s="300">
        <v>0</v>
      </c>
      <c r="CK393" s="300">
        <v>0</v>
      </c>
      <c r="CL393" s="300">
        <v>0</v>
      </c>
      <c r="CM393" s="300">
        <v>0</v>
      </c>
      <c r="CN393" s="300">
        <v>0</v>
      </c>
      <c r="CO393" s="300">
        <v>0</v>
      </c>
      <c r="CP393" s="300">
        <v>0</v>
      </c>
      <c r="CQ393" s="300">
        <v>0</v>
      </c>
      <c r="CR393" s="300">
        <v>0</v>
      </c>
      <c r="CS393" s="300">
        <v>0</v>
      </c>
      <c r="CT393" s="300">
        <v>0</v>
      </c>
      <c r="CU393" s="300">
        <v>0</v>
      </c>
      <c r="CV393" s="300">
        <v>0</v>
      </c>
      <c r="CW393" s="300">
        <v>0</v>
      </c>
      <c r="CX393" s="300">
        <v>0</v>
      </c>
      <c r="CY393" s="300">
        <v>0</v>
      </c>
      <c r="CZ393" s="300">
        <v>0</v>
      </c>
      <c r="DA393" s="300">
        <v>0</v>
      </c>
      <c r="DB393" s="300">
        <v>0</v>
      </c>
      <c r="DC393" s="300">
        <v>0</v>
      </c>
      <c r="DD393" s="300">
        <v>0</v>
      </c>
      <c r="DE393" s="300">
        <v>0</v>
      </c>
      <c r="DF393" s="300">
        <v>0</v>
      </c>
      <c r="DG393" s="300">
        <v>0</v>
      </c>
      <c r="DH393" s="300">
        <v>0</v>
      </c>
      <c r="DI393" s="300">
        <v>0</v>
      </c>
      <c r="DJ393" s="300">
        <v>0</v>
      </c>
      <c r="DK393" s="300">
        <v>0</v>
      </c>
      <c r="DL393" s="300">
        <v>0</v>
      </c>
      <c r="DM393" s="300">
        <v>0</v>
      </c>
      <c r="DN393" s="300">
        <v>0</v>
      </c>
      <c r="DO393" s="300">
        <v>0</v>
      </c>
      <c r="DP393" s="300">
        <v>0</v>
      </c>
      <c r="DQ393" s="300">
        <v>0</v>
      </c>
      <c r="DR393" s="300">
        <v>0</v>
      </c>
      <c r="DS393" s="300">
        <v>0</v>
      </c>
      <c r="DT393" s="300">
        <v>0</v>
      </c>
      <c r="DU393" s="300">
        <v>0</v>
      </c>
      <c r="DV393" s="300">
        <v>0</v>
      </c>
      <c r="DW393" s="300">
        <v>0</v>
      </c>
      <c r="DX393" s="300">
        <v>0</v>
      </c>
      <c r="DY393" s="300">
        <v>0</v>
      </c>
      <c r="DZ393" s="300"/>
    </row>
    <row r="394" spans="1:130" s="5" customFormat="1" ht="11.7" customHeight="1" outlineLevel="1" x14ac:dyDescent="0.25">
      <c r="A394" s="3"/>
      <c r="B394" s="116" t="s">
        <v>132</v>
      </c>
      <c r="C394" s="116"/>
      <c r="D394" s="63"/>
      <c r="E394" s="63"/>
      <c r="F394" s="63"/>
      <c r="G394" s="147"/>
      <c r="H394" s="308">
        <f t="shared" si="491"/>
        <v>-380.71015466471698</v>
      </c>
      <c r="I394" s="294">
        <f>-I393</f>
        <v>0</v>
      </c>
      <c r="J394" s="294">
        <f t="shared" ref="J394:BU394" si="492">-J393</f>
        <v>0</v>
      </c>
      <c r="K394" s="294">
        <f t="shared" si="492"/>
        <v>0</v>
      </c>
      <c r="L394" s="294">
        <f t="shared" si="492"/>
        <v>0</v>
      </c>
      <c r="M394" s="294">
        <f t="shared" si="492"/>
        <v>0</v>
      </c>
      <c r="N394" s="294">
        <f t="shared" si="492"/>
        <v>0</v>
      </c>
      <c r="O394" s="294">
        <f t="shared" si="492"/>
        <v>0</v>
      </c>
      <c r="P394" s="294">
        <f t="shared" si="492"/>
        <v>0</v>
      </c>
      <c r="Q394" s="294">
        <f t="shared" si="492"/>
        <v>0</v>
      </c>
      <c r="R394" s="294">
        <f t="shared" si="492"/>
        <v>0</v>
      </c>
      <c r="S394" s="294">
        <f t="shared" si="492"/>
        <v>0</v>
      </c>
      <c r="T394" s="294">
        <f t="shared" si="492"/>
        <v>0</v>
      </c>
      <c r="U394" s="294">
        <f t="shared" si="492"/>
        <v>0</v>
      </c>
      <c r="V394" s="294">
        <f t="shared" si="492"/>
        <v>0</v>
      </c>
      <c r="W394" s="294">
        <f t="shared" si="492"/>
        <v>0</v>
      </c>
      <c r="X394" s="294">
        <f t="shared" si="492"/>
        <v>0</v>
      </c>
      <c r="Y394" s="294">
        <f t="shared" si="492"/>
        <v>0</v>
      </c>
      <c r="Z394" s="294">
        <f t="shared" si="492"/>
        <v>0</v>
      </c>
      <c r="AA394" s="294">
        <f t="shared" si="492"/>
        <v>0</v>
      </c>
      <c r="AB394" s="294">
        <f t="shared" si="492"/>
        <v>0</v>
      </c>
      <c r="AC394" s="294">
        <f t="shared" si="492"/>
        <v>0</v>
      </c>
      <c r="AD394" s="294">
        <f t="shared" si="492"/>
        <v>0</v>
      </c>
      <c r="AE394" s="294">
        <f t="shared" si="492"/>
        <v>0</v>
      </c>
      <c r="AF394" s="294">
        <f t="shared" si="492"/>
        <v>-380.71015466471698</v>
      </c>
      <c r="AG394" s="294">
        <f t="shared" si="492"/>
        <v>0</v>
      </c>
      <c r="AH394" s="294">
        <f t="shared" si="492"/>
        <v>0</v>
      </c>
      <c r="AI394" s="294">
        <f t="shared" si="492"/>
        <v>0</v>
      </c>
      <c r="AJ394" s="294">
        <f t="shared" si="492"/>
        <v>0</v>
      </c>
      <c r="AK394" s="294">
        <f t="shared" si="492"/>
        <v>0</v>
      </c>
      <c r="AL394" s="294">
        <f t="shared" si="492"/>
        <v>0</v>
      </c>
      <c r="AM394" s="294">
        <f t="shared" si="492"/>
        <v>0</v>
      </c>
      <c r="AN394" s="294">
        <f t="shared" si="492"/>
        <v>0</v>
      </c>
      <c r="AO394" s="294">
        <f t="shared" si="492"/>
        <v>0</v>
      </c>
      <c r="AP394" s="294">
        <f t="shared" si="492"/>
        <v>0</v>
      </c>
      <c r="AQ394" s="294">
        <f t="shared" si="492"/>
        <v>0</v>
      </c>
      <c r="AR394" s="294">
        <f t="shared" si="492"/>
        <v>0</v>
      </c>
      <c r="AS394" s="294">
        <f t="shared" si="492"/>
        <v>0</v>
      </c>
      <c r="AT394" s="294">
        <f t="shared" si="492"/>
        <v>0</v>
      </c>
      <c r="AU394" s="294">
        <f t="shared" si="492"/>
        <v>0</v>
      </c>
      <c r="AV394" s="294">
        <f t="shared" si="492"/>
        <v>0</v>
      </c>
      <c r="AW394" s="294">
        <f t="shared" si="492"/>
        <v>0</v>
      </c>
      <c r="AX394" s="294">
        <f t="shared" si="492"/>
        <v>0</v>
      </c>
      <c r="AY394" s="294">
        <f t="shared" si="492"/>
        <v>0</v>
      </c>
      <c r="AZ394" s="294">
        <f t="shared" si="492"/>
        <v>0</v>
      </c>
      <c r="BA394" s="294">
        <f t="shared" si="492"/>
        <v>0</v>
      </c>
      <c r="BB394" s="294">
        <f t="shared" si="492"/>
        <v>0</v>
      </c>
      <c r="BC394" s="294">
        <f t="shared" si="492"/>
        <v>0</v>
      </c>
      <c r="BD394" s="294">
        <f t="shared" si="492"/>
        <v>0</v>
      </c>
      <c r="BE394" s="294">
        <f t="shared" si="492"/>
        <v>0</v>
      </c>
      <c r="BF394" s="294">
        <f t="shared" si="492"/>
        <v>0</v>
      </c>
      <c r="BG394" s="294">
        <f t="shared" si="492"/>
        <v>0</v>
      </c>
      <c r="BH394" s="294">
        <f t="shared" si="492"/>
        <v>0</v>
      </c>
      <c r="BI394" s="294">
        <f t="shared" si="492"/>
        <v>0</v>
      </c>
      <c r="BJ394" s="294">
        <f t="shared" si="492"/>
        <v>0</v>
      </c>
      <c r="BK394" s="294">
        <f t="shared" si="492"/>
        <v>0</v>
      </c>
      <c r="BL394" s="294">
        <f t="shared" si="492"/>
        <v>0</v>
      </c>
      <c r="BM394" s="294">
        <f t="shared" si="492"/>
        <v>0</v>
      </c>
      <c r="BN394" s="294">
        <f t="shared" si="492"/>
        <v>0</v>
      </c>
      <c r="BO394" s="294">
        <f t="shared" si="492"/>
        <v>0</v>
      </c>
      <c r="BP394" s="294">
        <f t="shared" si="492"/>
        <v>0</v>
      </c>
      <c r="BQ394" s="294">
        <f t="shared" si="492"/>
        <v>0</v>
      </c>
      <c r="BR394" s="294">
        <f t="shared" si="492"/>
        <v>0</v>
      </c>
      <c r="BS394" s="294">
        <f t="shared" si="492"/>
        <v>0</v>
      </c>
      <c r="BT394" s="294">
        <f t="shared" si="492"/>
        <v>0</v>
      </c>
      <c r="BU394" s="294">
        <f t="shared" si="492"/>
        <v>0</v>
      </c>
      <c r="BV394" s="294">
        <f t="shared" ref="BV394:DY394" si="493">-BV393</f>
        <v>0</v>
      </c>
      <c r="BW394" s="294">
        <f t="shared" si="493"/>
        <v>0</v>
      </c>
      <c r="BX394" s="294">
        <f t="shared" si="493"/>
        <v>0</v>
      </c>
      <c r="BY394" s="294">
        <f t="shared" si="493"/>
        <v>0</v>
      </c>
      <c r="BZ394" s="294">
        <f t="shared" si="493"/>
        <v>0</v>
      </c>
      <c r="CA394" s="294">
        <f t="shared" si="493"/>
        <v>0</v>
      </c>
      <c r="CB394" s="294">
        <f t="shared" si="493"/>
        <v>0</v>
      </c>
      <c r="CC394" s="294">
        <f t="shared" si="493"/>
        <v>0</v>
      </c>
      <c r="CD394" s="294">
        <f t="shared" si="493"/>
        <v>0</v>
      </c>
      <c r="CE394" s="294">
        <f t="shared" si="493"/>
        <v>0</v>
      </c>
      <c r="CF394" s="294">
        <f t="shared" si="493"/>
        <v>0</v>
      </c>
      <c r="CG394" s="294">
        <f t="shared" si="493"/>
        <v>0</v>
      </c>
      <c r="CH394" s="294">
        <f t="shared" si="493"/>
        <v>0</v>
      </c>
      <c r="CI394" s="294">
        <f t="shared" si="493"/>
        <v>0</v>
      </c>
      <c r="CJ394" s="294">
        <f t="shared" si="493"/>
        <v>0</v>
      </c>
      <c r="CK394" s="294">
        <f t="shared" si="493"/>
        <v>0</v>
      </c>
      <c r="CL394" s="294">
        <f t="shared" si="493"/>
        <v>0</v>
      </c>
      <c r="CM394" s="294">
        <f t="shared" si="493"/>
        <v>0</v>
      </c>
      <c r="CN394" s="294">
        <f t="shared" si="493"/>
        <v>0</v>
      </c>
      <c r="CO394" s="294">
        <f t="shared" si="493"/>
        <v>0</v>
      </c>
      <c r="CP394" s="294">
        <f t="shared" si="493"/>
        <v>0</v>
      </c>
      <c r="CQ394" s="294">
        <f t="shared" si="493"/>
        <v>0</v>
      </c>
      <c r="CR394" s="294">
        <f t="shared" si="493"/>
        <v>0</v>
      </c>
      <c r="CS394" s="294">
        <f t="shared" si="493"/>
        <v>0</v>
      </c>
      <c r="CT394" s="294">
        <f t="shared" si="493"/>
        <v>0</v>
      </c>
      <c r="CU394" s="294">
        <f t="shared" si="493"/>
        <v>0</v>
      </c>
      <c r="CV394" s="294">
        <f t="shared" si="493"/>
        <v>0</v>
      </c>
      <c r="CW394" s="294">
        <f t="shared" si="493"/>
        <v>0</v>
      </c>
      <c r="CX394" s="294">
        <f t="shared" si="493"/>
        <v>0</v>
      </c>
      <c r="CY394" s="294">
        <f t="shared" si="493"/>
        <v>0</v>
      </c>
      <c r="CZ394" s="294">
        <f t="shared" si="493"/>
        <v>0</v>
      </c>
      <c r="DA394" s="294">
        <f t="shared" si="493"/>
        <v>0</v>
      </c>
      <c r="DB394" s="294">
        <f t="shared" si="493"/>
        <v>0</v>
      </c>
      <c r="DC394" s="294">
        <f t="shared" si="493"/>
        <v>0</v>
      </c>
      <c r="DD394" s="294">
        <f t="shared" si="493"/>
        <v>0</v>
      </c>
      <c r="DE394" s="294">
        <f t="shared" si="493"/>
        <v>0</v>
      </c>
      <c r="DF394" s="294">
        <f t="shared" si="493"/>
        <v>0</v>
      </c>
      <c r="DG394" s="294">
        <f t="shared" si="493"/>
        <v>0</v>
      </c>
      <c r="DH394" s="294">
        <f t="shared" si="493"/>
        <v>0</v>
      </c>
      <c r="DI394" s="294">
        <f t="shared" si="493"/>
        <v>0</v>
      </c>
      <c r="DJ394" s="294">
        <f t="shared" si="493"/>
        <v>0</v>
      </c>
      <c r="DK394" s="294">
        <f t="shared" si="493"/>
        <v>0</v>
      </c>
      <c r="DL394" s="294">
        <f t="shared" si="493"/>
        <v>0</v>
      </c>
      <c r="DM394" s="294">
        <f t="shared" si="493"/>
        <v>0</v>
      </c>
      <c r="DN394" s="294">
        <f t="shared" si="493"/>
        <v>0</v>
      </c>
      <c r="DO394" s="294">
        <f t="shared" si="493"/>
        <v>0</v>
      </c>
      <c r="DP394" s="294">
        <f t="shared" si="493"/>
        <v>0</v>
      </c>
      <c r="DQ394" s="294">
        <f t="shared" si="493"/>
        <v>0</v>
      </c>
      <c r="DR394" s="294">
        <f t="shared" si="493"/>
        <v>0</v>
      </c>
      <c r="DS394" s="294">
        <f t="shared" si="493"/>
        <v>0</v>
      </c>
      <c r="DT394" s="294">
        <f t="shared" si="493"/>
        <v>0</v>
      </c>
      <c r="DU394" s="294">
        <f t="shared" si="493"/>
        <v>0</v>
      </c>
      <c r="DV394" s="294">
        <f t="shared" si="493"/>
        <v>0</v>
      </c>
      <c r="DW394" s="294">
        <f t="shared" si="493"/>
        <v>0</v>
      </c>
      <c r="DX394" s="294">
        <f t="shared" si="493"/>
        <v>0</v>
      </c>
      <c r="DY394" s="294">
        <f t="shared" si="493"/>
        <v>0</v>
      </c>
      <c r="DZ394" s="300"/>
    </row>
    <row r="395" spans="1:130" s="5" customFormat="1" ht="11.7" customHeight="1" outlineLevel="1" x14ac:dyDescent="0.3">
      <c r="A395" s="3"/>
      <c r="B395" s="149" t="s">
        <v>651</v>
      </c>
      <c r="C395" s="149"/>
      <c r="D395" s="3"/>
      <c r="E395" s="3"/>
      <c r="F395" s="3"/>
      <c r="G395" s="127"/>
      <c r="H395" s="127"/>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c r="AQ395" s="14"/>
      <c r="AR395" s="14"/>
      <c r="AS395" s="14"/>
      <c r="AT395" s="14"/>
      <c r="AU395" s="14"/>
      <c r="AV395" s="14"/>
      <c r="AW395" s="14"/>
      <c r="AX395" s="14"/>
      <c r="AY395" s="14"/>
      <c r="AZ395" s="14"/>
      <c r="BA395" s="14"/>
      <c r="BB395" s="14"/>
      <c r="BC395" s="14"/>
      <c r="BD395" s="14"/>
      <c r="BE395" s="14"/>
      <c r="BF395" s="14"/>
      <c r="BG395" s="14"/>
      <c r="BH395" s="14"/>
      <c r="BI395" s="14"/>
      <c r="BJ395" s="14"/>
      <c r="BK395" s="14"/>
      <c r="BL395" s="14"/>
      <c r="BM395" s="14"/>
      <c r="BN395" s="14"/>
      <c r="BO395" s="14"/>
      <c r="BP395" s="14"/>
      <c r="BQ395" s="14"/>
      <c r="BR395" s="14"/>
      <c r="BS395" s="14"/>
      <c r="BT395" s="14"/>
      <c r="BU395" s="14"/>
      <c r="BV395" s="14"/>
      <c r="BW395" s="14"/>
      <c r="BX395" s="14"/>
      <c r="BY395" s="14"/>
      <c r="BZ395" s="14"/>
      <c r="CA395" s="14"/>
      <c r="CB395" s="14"/>
      <c r="CC395" s="14"/>
      <c r="CD395" s="14"/>
      <c r="CE395" s="14"/>
      <c r="CF395" s="14"/>
      <c r="CG395" s="14"/>
      <c r="CH395" s="14"/>
      <c r="CI395" s="14"/>
      <c r="CJ395" s="14"/>
      <c r="CK395" s="14"/>
      <c r="CL395" s="14"/>
      <c r="CM395" s="14"/>
      <c r="CN395" s="14"/>
      <c r="CO395" s="14"/>
      <c r="CP395" s="14"/>
      <c r="CQ395" s="14"/>
      <c r="CR395" s="14"/>
      <c r="CS395" s="14"/>
      <c r="CT395" s="14"/>
      <c r="CU395" s="14"/>
      <c r="CV395" s="14"/>
      <c r="CW395" s="14"/>
      <c r="CX395" s="14"/>
      <c r="CY395" s="14"/>
      <c r="CZ395" s="14"/>
      <c r="DA395" s="14"/>
      <c r="DB395" s="14"/>
      <c r="DC395" s="14"/>
      <c r="DD395" s="14"/>
      <c r="DE395" s="14"/>
      <c r="DF395" s="14"/>
      <c r="DG395" s="14"/>
      <c r="DH395" s="14"/>
      <c r="DI395" s="14"/>
      <c r="DJ395" s="14"/>
      <c r="DK395" s="14"/>
      <c r="DL395" s="14"/>
      <c r="DM395" s="14"/>
      <c r="DN395" s="14"/>
      <c r="DO395" s="14"/>
      <c r="DP395" s="14"/>
      <c r="DQ395" s="14"/>
      <c r="DR395" s="14"/>
      <c r="DS395" s="14"/>
      <c r="DT395" s="14"/>
      <c r="DU395" s="14"/>
      <c r="DV395" s="14"/>
      <c r="DW395" s="14"/>
      <c r="DX395" s="14"/>
      <c r="DY395" s="14"/>
    </row>
    <row r="396" spans="1:130" s="5" customFormat="1" ht="11.7" customHeight="1" outlineLevel="1" x14ac:dyDescent="0.3">
      <c r="A396" s="3"/>
      <c r="B396" s="149"/>
      <c r="C396" s="149"/>
      <c r="D396" s="856"/>
      <c r="E396" s="3"/>
      <c r="F396" s="3"/>
      <c r="G396" s="127"/>
      <c r="H396" s="127"/>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c r="AQ396" s="14"/>
      <c r="AR396" s="14"/>
      <c r="AS396" s="14"/>
      <c r="AT396" s="14"/>
      <c r="AU396" s="14"/>
      <c r="AV396" s="14"/>
      <c r="AW396" s="14"/>
      <c r="AX396" s="14"/>
      <c r="AY396" s="14"/>
      <c r="AZ396" s="14"/>
      <c r="BA396" s="14"/>
      <c r="BB396" s="14"/>
      <c r="BC396" s="14"/>
      <c r="BD396" s="14"/>
      <c r="BE396" s="14"/>
      <c r="BF396" s="14"/>
      <c r="BG396" s="14"/>
      <c r="BH396" s="14"/>
      <c r="BI396" s="14"/>
      <c r="BJ396" s="14"/>
      <c r="BK396" s="14"/>
      <c r="BL396" s="14"/>
      <c r="BM396" s="14"/>
      <c r="BN396" s="14"/>
      <c r="BO396" s="14"/>
      <c r="BP396" s="14"/>
      <c r="BQ396" s="14"/>
      <c r="BR396" s="14"/>
      <c r="BS396" s="14"/>
      <c r="BT396" s="14"/>
      <c r="BU396" s="14"/>
      <c r="BV396" s="14"/>
      <c r="BW396" s="14"/>
      <c r="BX396" s="1139"/>
      <c r="BY396" s="14"/>
      <c r="BZ396" s="14"/>
      <c r="CA396" s="14"/>
      <c r="CB396" s="14"/>
      <c r="CC396" s="14"/>
      <c r="CD396" s="14"/>
      <c r="CE396" s="14"/>
      <c r="CF396" s="14"/>
      <c r="CG396" s="14"/>
      <c r="CH396" s="14"/>
      <c r="CI396" s="14"/>
      <c r="CJ396" s="14"/>
      <c r="CK396" s="14"/>
      <c r="CL396" s="14"/>
      <c r="CM396" s="14"/>
      <c r="CN396" s="14"/>
      <c r="CO396" s="14"/>
      <c r="CP396" s="14"/>
      <c r="CQ396" s="14"/>
      <c r="CR396" s="14"/>
      <c r="CS396" s="14"/>
      <c r="CT396" s="14"/>
      <c r="CU396" s="14"/>
      <c r="CV396" s="14"/>
      <c r="CW396" s="14"/>
      <c r="CX396" s="14"/>
      <c r="CY396" s="14"/>
      <c r="CZ396" s="14"/>
      <c r="DA396" s="14"/>
      <c r="DB396" s="14"/>
      <c r="DC396" s="14"/>
      <c r="DD396" s="14"/>
      <c r="DE396" s="14"/>
      <c r="DF396" s="14"/>
      <c r="DG396" s="14"/>
      <c r="DH396" s="14"/>
      <c r="DI396" s="14"/>
      <c r="DJ396" s="14"/>
      <c r="DK396" s="14"/>
      <c r="DL396" s="14"/>
      <c r="DM396" s="14"/>
      <c r="DN396" s="14"/>
      <c r="DO396" s="14"/>
      <c r="DP396" s="14"/>
      <c r="DQ396" s="14"/>
      <c r="DR396" s="14"/>
      <c r="DS396" s="14"/>
      <c r="DT396" s="14"/>
      <c r="DU396" s="14"/>
      <c r="DV396" s="14"/>
      <c r="DW396" s="14"/>
      <c r="DX396" s="14"/>
      <c r="DY396" s="14"/>
    </row>
    <row r="397" spans="1:130" s="3" customFormat="1" ht="11.7" customHeight="1" outlineLevel="1" x14ac:dyDescent="0.3">
      <c r="B397" s="177" t="s">
        <v>616</v>
      </c>
      <c r="C397" s="177"/>
      <c r="G397" s="127"/>
      <c r="H397" s="127"/>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c r="AQ397" s="14"/>
      <c r="AR397" s="14"/>
      <c r="AS397" s="14"/>
      <c r="AT397" s="14"/>
      <c r="AU397" s="14"/>
      <c r="AV397" s="14"/>
      <c r="AW397" s="14"/>
      <c r="AX397" s="14"/>
      <c r="AY397" s="14"/>
      <c r="AZ397" s="14"/>
      <c r="BA397" s="14"/>
      <c r="BB397" s="14"/>
      <c r="BC397" s="14"/>
      <c r="BD397" s="14"/>
      <c r="BE397" s="14"/>
      <c r="BF397" s="14"/>
      <c r="BG397" s="14"/>
      <c r="BH397" s="14"/>
      <c r="BI397" s="14"/>
      <c r="BJ397" s="14"/>
      <c r="BK397" s="14"/>
      <c r="BL397" s="14"/>
      <c r="BM397" s="14"/>
      <c r="BN397" s="14"/>
      <c r="BO397" s="14"/>
      <c r="BP397" s="14"/>
      <c r="BQ397" s="14"/>
      <c r="BR397" s="14"/>
      <c r="BS397" s="14"/>
      <c r="BT397" s="14"/>
      <c r="BU397" s="14"/>
      <c r="BV397" s="14"/>
      <c r="BW397" s="14"/>
      <c r="BX397" s="14"/>
      <c r="BY397" s="14"/>
      <c r="BZ397" s="14"/>
      <c r="CA397" s="14"/>
      <c r="CB397" s="14"/>
      <c r="CC397" s="14"/>
      <c r="CD397" s="14"/>
      <c r="CE397" s="14"/>
      <c r="CF397" s="14"/>
      <c r="CG397" s="14"/>
      <c r="CH397" s="14"/>
      <c r="CI397" s="14"/>
      <c r="CJ397" s="14"/>
      <c r="CK397" s="14"/>
      <c r="CL397" s="14"/>
      <c r="CM397" s="14"/>
      <c r="CN397" s="14"/>
      <c r="CO397" s="14"/>
      <c r="CP397" s="14"/>
      <c r="CQ397" s="14"/>
      <c r="CR397" s="14"/>
      <c r="CS397" s="14"/>
      <c r="CT397" s="14"/>
      <c r="CU397" s="14"/>
      <c r="CV397" s="14"/>
      <c r="CW397" s="14"/>
      <c r="CX397" s="14"/>
      <c r="CY397" s="14"/>
      <c r="CZ397" s="14"/>
      <c r="DA397" s="14"/>
      <c r="DB397" s="14"/>
      <c r="DC397" s="14"/>
      <c r="DD397" s="14"/>
      <c r="DE397" s="14"/>
      <c r="DF397" s="14"/>
      <c r="DG397" s="14"/>
      <c r="DH397" s="14"/>
      <c r="DI397" s="14"/>
      <c r="DJ397" s="14"/>
      <c r="DK397" s="14"/>
      <c r="DL397" s="14"/>
      <c r="DM397" s="14"/>
      <c r="DN397" s="14"/>
      <c r="DO397" s="14"/>
      <c r="DP397" s="14"/>
      <c r="DQ397" s="14"/>
      <c r="DR397" s="14"/>
      <c r="DS397" s="14"/>
      <c r="DT397" s="14"/>
      <c r="DU397" s="14"/>
      <c r="DV397" s="14"/>
      <c r="DW397" s="14"/>
      <c r="DX397" s="14"/>
      <c r="DY397" s="14"/>
    </row>
    <row r="398" spans="1:130" s="3" customFormat="1" ht="11.7" customHeight="1" outlineLevel="1" x14ac:dyDescent="0.25">
      <c r="B398" s="152" t="s">
        <v>617</v>
      </c>
      <c r="C398" s="152"/>
      <c r="D398" s="63"/>
      <c r="E398" s="63"/>
      <c r="F398" s="63"/>
      <c r="G398" s="147"/>
      <c r="H398" s="147"/>
      <c r="I398" s="294">
        <f>+H402</f>
        <v>0</v>
      </c>
      <c r="J398" s="294">
        <f t="shared" ref="J398" si="494">+I402</f>
        <v>0</v>
      </c>
      <c r="K398" s="294">
        <f t="shared" ref="K398" si="495">+J402</f>
        <v>0</v>
      </c>
      <c r="L398" s="294">
        <f t="shared" ref="L398" si="496">+K402</f>
        <v>0</v>
      </c>
      <c r="M398" s="294">
        <f t="shared" ref="M398" si="497">+L402</f>
        <v>0</v>
      </c>
      <c r="N398" s="294">
        <f t="shared" ref="N398" si="498">+M402</f>
        <v>0</v>
      </c>
      <c r="O398" s="294">
        <f t="shared" ref="O398" si="499">+N402</f>
        <v>0</v>
      </c>
      <c r="P398" s="294">
        <f t="shared" ref="P398" si="500">+O402</f>
        <v>0</v>
      </c>
      <c r="Q398" s="294">
        <f t="shared" ref="Q398" si="501">+P402</f>
        <v>0</v>
      </c>
      <c r="R398" s="294">
        <f t="shared" ref="R398" si="502">+Q402</f>
        <v>0</v>
      </c>
      <c r="S398" s="294">
        <f t="shared" ref="S398" si="503">+R402</f>
        <v>0</v>
      </c>
      <c r="T398" s="294">
        <f t="shared" ref="T398" si="504">+S402</f>
        <v>0</v>
      </c>
      <c r="U398" s="294">
        <f t="shared" ref="U398" si="505">+T402</f>
        <v>0</v>
      </c>
      <c r="V398" s="294">
        <f t="shared" ref="V398" si="506">+U402</f>
        <v>0</v>
      </c>
      <c r="W398" s="294">
        <f t="shared" ref="W398" si="507">+V402</f>
        <v>0</v>
      </c>
      <c r="X398" s="294">
        <f t="shared" ref="X398" si="508">+W402</f>
        <v>0</v>
      </c>
      <c r="Y398" s="294">
        <f t="shared" ref="Y398" si="509">+X402</f>
        <v>0</v>
      </c>
      <c r="Z398" s="294">
        <f t="shared" ref="Z398" si="510">+Y402</f>
        <v>0</v>
      </c>
      <c r="AA398" s="294">
        <f t="shared" ref="AA398" si="511">+Z402</f>
        <v>0</v>
      </c>
      <c r="AB398" s="294">
        <f t="shared" ref="AB398" si="512">+AA402</f>
        <v>0</v>
      </c>
      <c r="AC398" s="294">
        <f t="shared" ref="AC398" si="513">+AB402</f>
        <v>0</v>
      </c>
      <c r="AD398" s="294">
        <f t="shared" ref="AD398" si="514">+AC402</f>
        <v>0</v>
      </c>
      <c r="AE398" s="294">
        <f t="shared" ref="AE398" si="515">+AD402</f>
        <v>0</v>
      </c>
      <c r="AF398" s="294">
        <f t="shared" ref="AF398" si="516">+AE402</f>
        <v>0</v>
      </c>
      <c r="AG398" s="294">
        <f t="shared" ref="AG398" si="517">+AF402</f>
        <v>82959</v>
      </c>
      <c r="AH398" s="294">
        <f t="shared" ref="AH398" si="518">+AG402</f>
        <v>108508.28</v>
      </c>
      <c r="AI398" s="294">
        <f t="shared" ref="AI398" si="519">+AH402</f>
        <v>119869.28</v>
      </c>
      <c r="AJ398" s="294">
        <f t="shared" ref="AJ398" si="520">+AI402</f>
        <v>127952.28</v>
      </c>
      <c r="AK398" s="294">
        <f t="shared" ref="AK398" si="521">+AJ402</f>
        <v>135247.28</v>
      </c>
      <c r="AL398" s="294">
        <f t="shared" ref="AL398" si="522">+AK402</f>
        <v>147747.28</v>
      </c>
      <c r="AM398" s="294">
        <f t="shared" ref="AM398" si="523">+AL402</f>
        <v>156247.28</v>
      </c>
      <c r="AN398" s="294">
        <f t="shared" ref="AN398" si="524">+AM402</f>
        <v>166247.28</v>
      </c>
      <c r="AO398" s="294">
        <f t="shared" ref="AO398" si="525">+AN402</f>
        <v>174597.28</v>
      </c>
      <c r="AP398" s="294">
        <f t="shared" ref="AP398" si="526">+AO402</f>
        <v>181497.28</v>
      </c>
      <c r="AQ398" s="294">
        <f t="shared" ref="AQ398" si="527">+AP402</f>
        <v>197497.28</v>
      </c>
      <c r="AR398" s="294">
        <f t="shared" ref="AR398" si="528">+AQ402</f>
        <v>197497.28</v>
      </c>
      <c r="AS398" s="294">
        <f t="shared" ref="AS398" si="529">+AR402</f>
        <v>197497.28</v>
      </c>
      <c r="AT398" s="294">
        <f t="shared" ref="AT398" si="530">+AS402</f>
        <v>208297.28</v>
      </c>
      <c r="AU398" s="294">
        <f t="shared" ref="AU398" si="531">+AT402</f>
        <v>217297.28</v>
      </c>
      <c r="AV398" s="294">
        <f t="shared" ref="AV398" si="532">+AU402</f>
        <v>222297.28</v>
      </c>
      <c r="AW398" s="294">
        <f t="shared" ref="AW398" si="533">+AV402</f>
        <v>243297.28</v>
      </c>
      <c r="AX398" s="294">
        <f t="shared" ref="AX398" si="534">+AW402</f>
        <v>273997.28000000003</v>
      </c>
      <c r="AY398" s="294">
        <f t="shared" ref="AY398" si="535">+AX402</f>
        <v>293497.28000000003</v>
      </c>
      <c r="AZ398" s="294">
        <f t="shared" ref="AZ398" si="536">+AY402</f>
        <v>293497.28000000003</v>
      </c>
      <c r="BA398" s="294">
        <f t="shared" ref="BA398" si="537">+AZ402</f>
        <v>314297.28000000003</v>
      </c>
      <c r="BB398" s="294">
        <f t="shared" ref="BB398" si="538">+BA402</f>
        <v>344297.28</v>
      </c>
      <c r="BC398" s="294">
        <f t="shared" ref="BC398" si="539">+BB402</f>
        <v>363297.28000000003</v>
      </c>
      <c r="BD398" s="294">
        <f t="shared" ref="BD398" si="540">+BC402</f>
        <v>382297.28</v>
      </c>
      <c r="BE398" s="294">
        <f t="shared" ref="BE398" si="541">+BD402</f>
        <v>382297.28</v>
      </c>
      <c r="BF398" s="294">
        <f t="shared" ref="BF398" si="542">+BE402</f>
        <v>398297.28</v>
      </c>
      <c r="BG398" s="294">
        <f t="shared" ref="BG398" si="543">+BF402</f>
        <v>398297.28</v>
      </c>
      <c r="BH398" s="294">
        <f t="shared" ref="BH398" si="544">+BG402</f>
        <v>398297.28</v>
      </c>
      <c r="BI398" s="294">
        <f t="shared" ref="BI398" si="545">+BH402</f>
        <v>422001.28</v>
      </c>
      <c r="BJ398" s="294">
        <f t="shared" ref="BJ398" si="546">+BI402</f>
        <v>422001.28</v>
      </c>
      <c r="BK398" s="294">
        <f t="shared" ref="BK398" si="547">+BJ402</f>
        <v>422001.28</v>
      </c>
      <c r="BL398" s="294">
        <f t="shared" ref="BL398" si="548">+BK402</f>
        <v>422001.28</v>
      </c>
      <c r="BM398" s="294">
        <f t="shared" ref="BM398" si="549">+BL402</f>
        <v>422001.28</v>
      </c>
      <c r="BN398" s="294">
        <f t="shared" ref="BN398" si="550">+BM402</f>
        <v>422001.28</v>
      </c>
      <c r="BO398" s="294">
        <f t="shared" ref="BO398" si="551">+BN402</f>
        <v>422001.28</v>
      </c>
      <c r="BP398" s="294">
        <f t="shared" ref="BP398" si="552">+BO402</f>
        <v>422001.28</v>
      </c>
      <c r="BQ398" s="294">
        <f t="shared" ref="BQ398" si="553">+BP402</f>
        <v>422001.28</v>
      </c>
      <c r="BR398" s="294">
        <f t="shared" ref="BR398" si="554">+BQ402</f>
        <v>422001.28</v>
      </c>
      <c r="BS398" s="294">
        <f t="shared" ref="BS398" si="555">+BR402</f>
        <v>422001.28</v>
      </c>
      <c r="BT398" s="294">
        <f t="shared" ref="BT398" si="556">+BS402</f>
        <v>422001.28</v>
      </c>
      <c r="BU398" s="294">
        <f t="shared" ref="BU398" si="557">+BT402</f>
        <v>422001.28</v>
      </c>
      <c r="BV398" s="294">
        <f t="shared" ref="BV398" si="558">+BU402</f>
        <v>422001.28</v>
      </c>
      <c r="BW398" s="294">
        <f t="shared" ref="BW398" si="559">+BV402</f>
        <v>422001.28</v>
      </c>
      <c r="BX398" s="294">
        <f t="shared" ref="BX398" si="560">+BW402</f>
        <v>422001.28</v>
      </c>
      <c r="BY398" s="294">
        <f t="shared" ref="BY398" si="561">+BX402</f>
        <v>422001.28</v>
      </c>
      <c r="BZ398" s="294">
        <f t="shared" ref="BZ398" si="562">+BY402</f>
        <v>422001.28</v>
      </c>
      <c r="CA398" s="294">
        <f t="shared" ref="CA398" si="563">+BZ402</f>
        <v>422001.28</v>
      </c>
      <c r="CB398" s="294">
        <f t="shared" ref="CB398" si="564">+CA402</f>
        <v>422001.28</v>
      </c>
      <c r="CC398" s="294">
        <f t="shared" ref="CC398" si="565">+CB402</f>
        <v>422001.28</v>
      </c>
      <c r="CD398" s="294">
        <f t="shared" ref="CD398" si="566">+CC402</f>
        <v>422001.28</v>
      </c>
      <c r="CE398" s="294">
        <f t="shared" ref="CE398" si="567">+CD402</f>
        <v>422001.28</v>
      </c>
      <c r="CF398" s="294">
        <f t="shared" ref="CF398" si="568">+CE402</f>
        <v>422001.28</v>
      </c>
      <c r="CG398" s="294">
        <f t="shared" ref="CG398" si="569">+CF402</f>
        <v>0</v>
      </c>
      <c r="CH398" s="294">
        <f t="shared" ref="CH398" si="570">+CG402</f>
        <v>0</v>
      </c>
      <c r="CI398" s="294">
        <f t="shared" ref="CI398" si="571">+CH402</f>
        <v>0</v>
      </c>
      <c r="CJ398" s="294">
        <f t="shared" ref="CJ398" si="572">+CI402</f>
        <v>0</v>
      </c>
      <c r="CK398" s="294">
        <f t="shared" ref="CK398" si="573">+CJ402</f>
        <v>0</v>
      </c>
      <c r="CL398" s="294">
        <f t="shared" ref="CL398" si="574">+CK402</f>
        <v>0</v>
      </c>
      <c r="CM398" s="294">
        <f t="shared" ref="CM398" si="575">+CL402</f>
        <v>0</v>
      </c>
      <c r="CN398" s="294">
        <f t="shared" ref="CN398" si="576">+CM402</f>
        <v>0</v>
      </c>
      <c r="CO398" s="294">
        <f t="shared" ref="CO398" si="577">+CN402</f>
        <v>0</v>
      </c>
      <c r="CP398" s="294">
        <f t="shared" ref="CP398" si="578">+CO402</f>
        <v>0</v>
      </c>
      <c r="CQ398" s="294">
        <f t="shared" ref="CQ398" si="579">+CP402</f>
        <v>0</v>
      </c>
      <c r="CR398" s="294">
        <f t="shared" ref="CR398" si="580">+CQ402</f>
        <v>0</v>
      </c>
      <c r="CS398" s="294">
        <f t="shared" ref="CS398" si="581">+CR402</f>
        <v>0</v>
      </c>
      <c r="CT398" s="294">
        <f t="shared" ref="CT398" si="582">+CS402</f>
        <v>0</v>
      </c>
      <c r="CU398" s="294">
        <f t="shared" ref="CU398" si="583">+CT402</f>
        <v>0</v>
      </c>
      <c r="CV398" s="294">
        <f t="shared" ref="CV398" si="584">+CU402</f>
        <v>0</v>
      </c>
      <c r="CW398" s="294">
        <f t="shared" ref="CW398" si="585">+CV402</f>
        <v>0</v>
      </c>
      <c r="CX398" s="294">
        <f t="shared" ref="CX398" si="586">+CW402</f>
        <v>0</v>
      </c>
      <c r="CY398" s="294">
        <f t="shared" ref="CY398" si="587">+CX402</f>
        <v>0</v>
      </c>
      <c r="CZ398" s="294">
        <f t="shared" ref="CZ398" si="588">+CY402</f>
        <v>0</v>
      </c>
      <c r="DA398" s="294">
        <f t="shared" ref="DA398" si="589">+CZ402</f>
        <v>0</v>
      </c>
      <c r="DB398" s="294">
        <f t="shared" ref="DB398" si="590">+DA402</f>
        <v>0</v>
      </c>
      <c r="DC398" s="294">
        <f t="shared" ref="DC398" si="591">+DB402</f>
        <v>0</v>
      </c>
      <c r="DD398" s="294">
        <f t="shared" ref="DD398" si="592">+DC402</f>
        <v>0</v>
      </c>
      <c r="DE398" s="294">
        <f t="shared" ref="DE398" si="593">+DD402</f>
        <v>0</v>
      </c>
      <c r="DF398" s="294">
        <f t="shared" ref="DF398" si="594">+DE402</f>
        <v>0</v>
      </c>
      <c r="DG398" s="294">
        <f t="shared" ref="DG398" si="595">+DF402</f>
        <v>0</v>
      </c>
      <c r="DH398" s="294">
        <f t="shared" ref="DH398" si="596">+DG402</f>
        <v>0</v>
      </c>
      <c r="DI398" s="294">
        <f t="shared" ref="DI398" si="597">+DH402</f>
        <v>0</v>
      </c>
      <c r="DJ398" s="294">
        <f t="shared" ref="DJ398" si="598">+DI402</f>
        <v>0</v>
      </c>
      <c r="DK398" s="294">
        <f t="shared" ref="DK398" si="599">+DJ402</f>
        <v>0</v>
      </c>
      <c r="DL398" s="294">
        <f t="shared" ref="DL398" si="600">+DK402</f>
        <v>0</v>
      </c>
      <c r="DM398" s="294">
        <f t="shared" ref="DM398" si="601">+DL402</f>
        <v>0</v>
      </c>
      <c r="DN398" s="294">
        <f t="shared" ref="DN398" si="602">+DM402</f>
        <v>0</v>
      </c>
      <c r="DO398" s="294">
        <f t="shared" ref="DO398" si="603">+DN402</f>
        <v>0</v>
      </c>
      <c r="DP398" s="294">
        <f t="shared" ref="DP398" si="604">+DO402</f>
        <v>0</v>
      </c>
      <c r="DQ398" s="294">
        <f t="shared" ref="DQ398" si="605">+DP402</f>
        <v>0</v>
      </c>
      <c r="DR398" s="294">
        <f t="shared" ref="DR398" si="606">+DQ402</f>
        <v>0</v>
      </c>
      <c r="DS398" s="294">
        <f t="shared" ref="DS398" si="607">+DR402</f>
        <v>0</v>
      </c>
      <c r="DT398" s="294">
        <f t="shared" ref="DT398" si="608">+DS402</f>
        <v>0</v>
      </c>
      <c r="DU398" s="294">
        <f t="shared" ref="DU398" si="609">+DT402</f>
        <v>0</v>
      </c>
      <c r="DV398" s="294">
        <f t="shared" ref="DV398" si="610">+DU402</f>
        <v>0</v>
      </c>
      <c r="DW398" s="294">
        <f t="shared" ref="DW398" si="611">+DV402</f>
        <v>0</v>
      </c>
      <c r="DX398" s="294">
        <f t="shared" ref="DX398" si="612">+DW402</f>
        <v>0</v>
      </c>
      <c r="DY398" s="294">
        <f t="shared" ref="DY398" si="613">+DX402</f>
        <v>0</v>
      </c>
    </row>
    <row r="399" spans="1:130" s="3" customFormat="1" ht="11.7" customHeight="1" outlineLevel="1" x14ac:dyDescent="0.25">
      <c r="B399" s="113" t="s">
        <v>614</v>
      </c>
      <c r="C399" s="113"/>
      <c r="D399" s="109"/>
      <c r="G399" s="308">
        <f>+SUM(H399:H400)</f>
        <v>422001.28</v>
      </c>
      <c r="H399" s="308">
        <f>+SUM(I399:DY399)</f>
        <v>398297.28</v>
      </c>
      <c r="I399" s="300">
        <v>0</v>
      </c>
      <c r="J399" s="300">
        <v>0</v>
      </c>
      <c r="K399" s="300">
        <v>0</v>
      </c>
      <c r="L399" s="300">
        <v>0</v>
      </c>
      <c r="M399" s="300">
        <v>0</v>
      </c>
      <c r="N399" s="300">
        <v>0</v>
      </c>
      <c r="O399" s="300">
        <v>0</v>
      </c>
      <c r="P399" s="300">
        <v>0</v>
      </c>
      <c r="Q399" s="300">
        <v>0</v>
      </c>
      <c r="R399" s="300">
        <v>0</v>
      </c>
      <c r="S399" s="300">
        <v>0</v>
      </c>
      <c r="T399" s="300">
        <v>0</v>
      </c>
      <c r="U399" s="300">
        <v>0</v>
      </c>
      <c r="V399" s="300">
        <v>0</v>
      </c>
      <c r="W399" s="300">
        <v>0</v>
      </c>
      <c r="X399" s="300">
        <v>0</v>
      </c>
      <c r="Y399" s="300">
        <v>0</v>
      </c>
      <c r="Z399" s="300">
        <v>0</v>
      </c>
      <c r="AA399" s="300">
        <v>0</v>
      </c>
      <c r="AB399" s="300">
        <v>0</v>
      </c>
      <c r="AC399" s="300">
        <v>0</v>
      </c>
      <c r="AD399" s="300">
        <v>0</v>
      </c>
      <c r="AE399" s="300">
        <v>0</v>
      </c>
      <c r="AF399" s="300">
        <v>82959</v>
      </c>
      <c r="AG399" s="300">
        <f>20000+5549.28</f>
        <v>25549.279999999999</v>
      </c>
      <c r="AH399" s="300">
        <v>11361</v>
      </c>
      <c r="AI399" s="300">
        <v>8083</v>
      </c>
      <c r="AJ399" s="300">
        <v>7295</v>
      </c>
      <c r="AK399" s="300">
        <f>7500+5000</f>
        <v>12500</v>
      </c>
      <c r="AL399" s="300">
        <v>8500</v>
      </c>
      <c r="AM399" s="300">
        <v>10000</v>
      </c>
      <c r="AN399" s="300">
        <v>8350</v>
      </c>
      <c r="AO399" s="300">
        <v>6900</v>
      </c>
      <c r="AP399" s="300">
        <v>16000</v>
      </c>
      <c r="AQ399" s="300">
        <v>0</v>
      </c>
      <c r="AR399" s="300">
        <v>0</v>
      </c>
      <c r="AS399" s="300">
        <f>4600+4800+1400</f>
        <v>10800</v>
      </c>
      <c r="AT399" s="300">
        <v>9000</v>
      </c>
      <c r="AU399" s="300">
        <v>5000</v>
      </c>
      <c r="AV399" s="300">
        <f>7500+13500</f>
        <v>21000</v>
      </c>
      <c r="AW399" s="300">
        <f>20200+10500</f>
        <v>30700</v>
      </c>
      <c r="AX399" s="300">
        <v>19500</v>
      </c>
      <c r="AY399" s="300">
        <v>0</v>
      </c>
      <c r="AZ399" s="300">
        <v>20800</v>
      </c>
      <c r="BA399" s="300">
        <v>30000</v>
      </c>
      <c r="BB399" s="300">
        <v>19000</v>
      </c>
      <c r="BC399" s="300">
        <v>19000</v>
      </c>
      <c r="BD399" s="300">
        <v>0</v>
      </c>
      <c r="BE399" s="300">
        <v>16000</v>
      </c>
      <c r="BF399" s="300">
        <v>0</v>
      </c>
      <c r="BG399" s="300">
        <v>0</v>
      </c>
      <c r="BH399" s="300">
        <v>0</v>
      </c>
      <c r="BI399" s="300">
        <v>0</v>
      </c>
      <c r="BJ399" s="300">
        <v>0</v>
      </c>
      <c r="BK399" s="300">
        <v>0</v>
      </c>
      <c r="BL399" s="300">
        <v>0</v>
      </c>
      <c r="BM399" s="300">
        <v>0</v>
      </c>
      <c r="BN399" s="300">
        <v>0</v>
      </c>
      <c r="BO399" s="300">
        <v>0</v>
      </c>
      <c r="BP399" s="300">
        <v>0</v>
      </c>
      <c r="BQ399" s="300">
        <v>0</v>
      </c>
      <c r="BR399" s="300">
        <v>0</v>
      </c>
      <c r="BS399" s="300">
        <v>0</v>
      </c>
      <c r="BT399" s="300">
        <v>0</v>
      </c>
      <c r="BU399" s="300">
        <v>0</v>
      </c>
      <c r="BV399" s="300">
        <v>0</v>
      </c>
      <c r="BW399" s="300">
        <v>0</v>
      </c>
      <c r="BX399" s="300">
        <v>0</v>
      </c>
      <c r="BY399" s="300">
        <v>0</v>
      </c>
      <c r="BZ399" s="300">
        <v>0</v>
      </c>
      <c r="CA399" s="300">
        <v>0</v>
      </c>
      <c r="CB399" s="300">
        <v>0</v>
      </c>
      <c r="CC399" s="300">
        <v>0</v>
      </c>
      <c r="CD399" s="300">
        <v>0</v>
      </c>
      <c r="CE399" s="300">
        <v>0</v>
      </c>
      <c r="CF399" s="300">
        <v>0</v>
      </c>
      <c r="CG399" s="300">
        <v>0</v>
      </c>
      <c r="CH399" s="300">
        <v>0</v>
      </c>
      <c r="CI399" s="300">
        <v>0</v>
      </c>
      <c r="CJ399" s="300">
        <v>0</v>
      </c>
      <c r="CK399" s="300">
        <v>0</v>
      </c>
      <c r="CL399" s="300">
        <v>0</v>
      </c>
      <c r="CM399" s="300">
        <v>0</v>
      </c>
      <c r="CN399" s="300">
        <v>0</v>
      </c>
      <c r="CO399" s="300">
        <v>0</v>
      </c>
      <c r="CP399" s="300">
        <v>0</v>
      </c>
      <c r="CQ399" s="300">
        <v>0</v>
      </c>
      <c r="CR399" s="300">
        <v>0</v>
      </c>
      <c r="CS399" s="300">
        <v>0</v>
      </c>
      <c r="CT399" s="300">
        <v>0</v>
      </c>
      <c r="CU399" s="300">
        <v>0</v>
      </c>
      <c r="CV399" s="300">
        <v>0</v>
      </c>
      <c r="CW399" s="300">
        <v>0</v>
      </c>
      <c r="CX399" s="300">
        <v>0</v>
      </c>
      <c r="CY399" s="300">
        <v>0</v>
      </c>
      <c r="CZ399" s="300">
        <v>0</v>
      </c>
      <c r="DA399" s="300">
        <v>0</v>
      </c>
      <c r="DB399" s="300">
        <v>0</v>
      </c>
      <c r="DC399" s="300">
        <v>0</v>
      </c>
      <c r="DD399" s="300">
        <v>0</v>
      </c>
      <c r="DE399" s="300">
        <v>0</v>
      </c>
      <c r="DF399" s="300">
        <v>0</v>
      </c>
      <c r="DG399" s="300">
        <v>0</v>
      </c>
      <c r="DH399" s="300">
        <v>0</v>
      </c>
      <c r="DI399" s="300">
        <v>0</v>
      </c>
      <c r="DJ399" s="300">
        <v>0</v>
      </c>
      <c r="DK399" s="300">
        <v>0</v>
      </c>
      <c r="DL399" s="300">
        <v>0</v>
      </c>
      <c r="DM399" s="300">
        <v>0</v>
      </c>
      <c r="DN399" s="300">
        <v>0</v>
      </c>
      <c r="DO399" s="300">
        <v>0</v>
      </c>
      <c r="DP399" s="300">
        <v>0</v>
      </c>
      <c r="DQ399" s="300">
        <v>0</v>
      </c>
      <c r="DR399" s="300">
        <v>0</v>
      </c>
      <c r="DS399" s="300">
        <v>0</v>
      </c>
      <c r="DT399" s="300">
        <v>0</v>
      </c>
      <c r="DU399" s="300">
        <v>0</v>
      </c>
      <c r="DV399" s="300">
        <v>0</v>
      </c>
      <c r="DW399" s="300">
        <v>0</v>
      </c>
      <c r="DX399" s="300">
        <v>0</v>
      </c>
      <c r="DY399" s="300">
        <v>0</v>
      </c>
    </row>
    <row r="400" spans="1:130" s="3" customFormat="1" ht="11.7" customHeight="1" outlineLevel="1" x14ac:dyDescent="0.25">
      <c r="B400" s="113" t="s">
        <v>631</v>
      </c>
      <c r="C400" s="113"/>
      <c r="H400" s="308">
        <f>+SUM(I400:DY400)</f>
        <v>23704</v>
      </c>
      <c r="I400" s="300">
        <v>0</v>
      </c>
      <c r="J400" s="300">
        <v>0</v>
      </c>
      <c r="K400" s="300">
        <v>0</v>
      </c>
      <c r="L400" s="300">
        <v>0</v>
      </c>
      <c r="M400" s="300">
        <v>0</v>
      </c>
      <c r="N400" s="300">
        <v>0</v>
      </c>
      <c r="O400" s="300">
        <v>0</v>
      </c>
      <c r="P400" s="300">
        <v>0</v>
      </c>
      <c r="Q400" s="300">
        <v>0</v>
      </c>
      <c r="R400" s="300">
        <v>0</v>
      </c>
      <c r="S400" s="300">
        <v>0</v>
      </c>
      <c r="T400" s="300">
        <v>0</v>
      </c>
      <c r="U400" s="300">
        <v>0</v>
      </c>
      <c r="V400" s="300">
        <v>0</v>
      </c>
      <c r="W400" s="300">
        <v>0</v>
      </c>
      <c r="X400" s="300">
        <v>0</v>
      </c>
      <c r="Y400" s="300">
        <v>0</v>
      </c>
      <c r="Z400" s="300">
        <v>0</v>
      </c>
      <c r="AA400" s="300">
        <v>0</v>
      </c>
      <c r="AB400" s="300">
        <v>0</v>
      </c>
      <c r="AC400" s="300">
        <v>0</v>
      </c>
      <c r="AD400" s="300">
        <v>0</v>
      </c>
      <c r="AE400" s="300">
        <v>0</v>
      </c>
      <c r="AF400" s="300">
        <v>0</v>
      </c>
      <c r="AG400" s="300">
        <v>0</v>
      </c>
      <c r="AH400" s="300">
        <v>0</v>
      </c>
      <c r="AI400" s="300">
        <v>0</v>
      </c>
      <c r="AJ400" s="300">
        <v>0</v>
      </c>
      <c r="AK400" s="300">
        <v>0</v>
      </c>
      <c r="AL400" s="300">
        <v>0</v>
      </c>
      <c r="AM400" s="300">
        <v>0</v>
      </c>
      <c r="AN400" s="300">
        <v>0</v>
      </c>
      <c r="AO400" s="300">
        <v>0</v>
      </c>
      <c r="AP400" s="300">
        <v>0</v>
      </c>
      <c r="AQ400" s="300">
        <v>0</v>
      </c>
      <c r="AR400" s="300">
        <v>0</v>
      </c>
      <c r="AS400" s="300">
        <v>0</v>
      </c>
      <c r="AT400" s="300">
        <v>0</v>
      </c>
      <c r="AU400" s="300">
        <v>0</v>
      </c>
      <c r="AV400" s="300">
        <v>0</v>
      </c>
      <c r="AW400" s="300">
        <v>0</v>
      </c>
      <c r="AX400" s="300">
        <v>0</v>
      </c>
      <c r="AY400" s="300">
        <v>0</v>
      </c>
      <c r="AZ400" s="300">
        <v>0</v>
      </c>
      <c r="BA400" s="300">
        <v>0</v>
      </c>
      <c r="BB400" s="300">
        <v>0</v>
      </c>
      <c r="BC400" s="300">
        <v>0</v>
      </c>
      <c r="BD400" s="300">
        <v>0</v>
      </c>
      <c r="BE400" s="300">
        <v>0</v>
      </c>
      <c r="BF400" s="300">
        <v>0</v>
      </c>
      <c r="BG400" s="300">
        <v>0</v>
      </c>
      <c r="BH400" s="300">
        <v>23704</v>
      </c>
      <c r="BI400" s="300">
        <v>0</v>
      </c>
      <c r="BJ400" s="300">
        <v>0</v>
      </c>
      <c r="BK400" s="300">
        <v>0</v>
      </c>
      <c r="BL400" s="300">
        <v>0</v>
      </c>
      <c r="BM400" s="300">
        <v>0</v>
      </c>
      <c r="BN400" s="300">
        <v>0</v>
      </c>
      <c r="BO400" s="300">
        <v>0</v>
      </c>
      <c r="BP400" s="300">
        <v>0</v>
      </c>
      <c r="BQ400" s="300">
        <v>0</v>
      </c>
      <c r="BR400" s="300">
        <v>0</v>
      </c>
      <c r="BS400" s="300">
        <v>0</v>
      </c>
      <c r="BT400" s="300">
        <v>0</v>
      </c>
      <c r="BU400" s="300">
        <v>0</v>
      </c>
      <c r="BV400" s="300">
        <v>0</v>
      </c>
      <c r="BW400" s="300">
        <v>0</v>
      </c>
      <c r="BX400" s="300">
        <v>0</v>
      </c>
      <c r="BY400" s="300">
        <v>0</v>
      </c>
      <c r="BZ400" s="300">
        <v>0</v>
      </c>
      <c r="CA400" s="300">
        <v>0</v>
      </c>
      <c r="CB400" s="300">
        <v>0</v>
      </c>
      <c r="CC400" s="300">
        <v>0</v>
      </c>
      <c r="CD400" s="300">
        <v>0</v>
      </c>
      <c r="CE400" s="300">
        <v>0</v>
      </c>
      <c r="CF400" s="300">
        <v>0</v>
      </c>
      <c r="CG400" s="300">
        <v>0</v>
      </c>
      <c r="CH400" s="300">
        <v>0</v>
      </c>
      <c r="CI400" s="300">
        <v>0</v>
      </c>
      <c r="CJ400" s="300">
        <v>0</v>
      </c>
      <c r="CK400" s="300">
        <v>0</v>
      </c>
      <c r="CL400" s="300">
        <v>0</v>
      </c>
      <c r="CM400" s="300">
        <v>0</v>
      </c>
      <c r="CN400" s="300">
        <v>0</v>
      </c>
      <c r="CO400" s="300">
        <v>0</v>
      </c>
      <c r="CP400" s="300">
        <v>0</v>
      </c>
      <c r="CQ400" s="300">
        <v>0</v>
      </c>
      <c r="CR400" s="300">
        <v>0</v>
      </c>
      <c r="CS400" s="300">
        <v>0</v>
      </c>
      <c r="CT400" s="300">
        <v>0</v>
      </c>
      <c r="CU400" s="300">
        <v>0</v>
      </c>
      <c r="CV400" s="300">
        <v>0</v>
      </c>
      <c r="CW400" s="300">
        <v>0</v>
      </c>
      <c r="CX400" s="300">
        <v>0</v>
      </c>
      <c r="CY400" s="300">
        <v>0</v>
      </c>
      <c r="CZ400" s="300">
        <v>0</v>
      </c>
      <c r="DA400" s="300">
        <v>0</v>
      </c>
      <c r="DB400" s="300">
        <v>0</v>
      </c>
      <c r="DC400" s="300">
        <v>0</v>
      </c>
      <c r="DD400" s="300">
        <v>0</v>
      </c>
      <c r="DE400" s="300">
        <v>0</v>
      </c>
      <c r="DF400" s="300">
        <v>0</v>
      </c>
      <c r="DG400" s="300">
        <v>0</v>
      </c>
      <c r="DH400" s="300">
        <v>0</v>
      </c>
      <c r="DI400" s="300">
        <v>0</v>
      </c>
      <c r="DJ400" s="300">
        <v>0</v>
      </c>
      <c r="DK400" s="300">
        <v>0</v>
      </c>
      <c r="DL400" s="300">
        <v>0</v>
      </c>
      <c r="DM400" s="300">
        <v>0</v>
      </c>
      <c r="DN400" s="300">
        <v>0</v>
      </c>
      <c r="DO400" s="300">
        <v>0</v>
      </c>
      <c r="DP400" s="300">
        <v>0</v>
      </c>
      <c r="DQ400" s="300">
        <v>0</v>
      </c>
      <c r="DR400" s="300">
        <v>0</v>
      </c>
      <c r="DS400" s="300">
        <v>0</v>
      </c>
      <c r="DT400" s="300">
        <v>0</v>
      </c>
      <c r="DU400" s="300">
        <v>0</v>
      </c>
      <c r="DV400" s="300">
        <v>0</v>
      </c>
      <c r="DW400" s="300">
        <v>0</v>
      </c>
      <c r="DX400" s="300">
        <v>0</v>
      </c>
      <c r="DY400" s="300">
        <v>0</v>
      </c>
    </row>
    <row r="401" spans="1:129" s="3" customFormat="1" ht="11.7" customHeight="1" outlineLevel="1" x14ac:dyDescent="0.25">
      <c r="B401" s="116" t="s">
        <v>598</v>
      </c>
      <c r="C401" s="116"/>
      <c r="D401" s="63"/>
      <c r="E401" s="292">
        <f>+Inputs!$K$81</f>
        <v>45291</v>
      </c>
      <c r="F401" s="63"/>
      <c r="G401" s="63"/>
      <c r="H401" s="308">
        <f t="shared" ref="H401" si="614">+SUM(I401:DY401)</f>
        <v>-422001.28</v>
      </c>
      <c r="I401" s="294">
        <f t="shared" ref="I401:AN401" si="615">-SUM(I398:I400)*(I$7=$E$401)</f>
        <v>0</v>
      </c>
      <c r="J401" s="294">
        <f t="shared" si="615"/>
        <v>0</v>
      </c>
      <c r="K401" s="294">
        <f t="shared" si="615"/>
        <v>0</v>
      </c>
      <c r="L401" s="294">
        <f t="shared" si="615"/>
        <v>0</v>
      </c>
      <c r="M401" s="294">
        <f t="shared" si="615"/>
        <v>0</v>
      </c>
      <c r="N401" s="294">
        <f t="shared" si="615"/>
        <v>0</v>
      </c>
      <c r="O401" s="294">
        <f t="shared" si="615"/>
        <v>0</v>
      </c>
      <c r="P401" s="294">
        <f t="shared" si="615"/>
        <v>0</v>
      </c>
      <c r="Q401" s="294">
        <f t="shared" si="615"/>
        <v>0</v>
      </c>
      <c r="R401" s="294">
        <f t="shared" si="615"/>
        <v>0</v>
      </c>
      <c r="S401" s="294">
        <f t="shared" si="615"/>
        <v>0</v>
      </c>
      <c r="T401" s="294">
        <f t="shared" si="615"/>
        <v>0</v>
      </c>
      <c r="U401" s="294">
        <f t="shared" si="615"/>
        <v>0</v>
      </c>
      <c r="V401" s="294">
        <f t="shared" si="615"/>
        <v>0</v>
      </c>
      <c r="W401" s="294">
        <f t="shared" si="615"/>
        <v>0</v>
      </c>
      <c r="X401" s="294">
        <f t="shared" si="615"/>
        <v>0</v>
      </c>
      <c r="Y401" s="294">
        <f t="shared" si="615"/>
        <v>0</v>
      </c>
      <c r="Z401" s="294">
        <f t="shared" si="615"/>
        <v>0</v>
      </c>
      <c r="AA401" s="294">
        <f t="shared" si="615"/>
        <v>0</v>
      </c>
      <c r="AB401" s="294">
        <f t="shared" si="615"/>
        <v>0</v>
      </c>
      <c r="AC401" s="294">
        <f t="shared" si="615"/>
        <v>0</v>
      </c>
      <c r="AD401" s="294">
        <f t="shared" si="615"/>
        <v>0</v>
      </c>
      <c r="AE401" s="294">
        <f t="shared" si="615"/>
        <v>0</v>
      </c>
      <c r="AF401" s="294">
        <f t="shared" si="615"/>
        <v>0</v>
      </c>
      <c r="AG401" s="294">
        <f t="shared" si="615"/>
        <v>0</v>
      </c>
      <c r="AH401" s="294">
        <f t="shared" si="615"/>
        <v>0</v>
      </c>
      <c r="AI401" s="294">
        <f t="shared" si="615"/>
        <v>0</v>
      </c>
      <c r="AJ401" s="294">
        <f t="shared" si="615"/>
        <v>0</v>
      </c>
      <c r="AK401" s="294">
        <f t="shared" si="615"/>
        <v>0</v>
      </c>
      <c r="AL401" s="294">
        <f t="shared" si="615"/>
        <v>0</v>
      </c>
      <c r="AM401" s="294">
        <f t="shared" si="615"/>
        <v>0</v>
      </c>
      <c r="AN401" s="294">
        <f t="shared" si="615"/>
        <v>0</v>
      </c>
      <c r="AO401" s="294">
        <f t="shared" ref="AO401:BT401" si="616">-SUM(AO398:AO400)*(AO$7=$E$401)</f>
        <v>0</v>
      </c>
      <c r="AP401" s="294">
        <f t="shared" si="616"/>
        <v>0</v>
      </c>
      <c r="AQ401" s="294">
        <f t="shared" si="616"/>
        <v>0</v>
      </c>
      <c r="AR401" s="294">
        <f t="shared" si="616"/>
        <v>0</v>
      </c>
      <c r="AS401" s="294">
        <f t="shared" si="616"/>
        <v>0</v>
      </c>
      <c r="AT401" s="294">
        <f t="shared" si="616"/>
        <v>0</v>
      </c>
      <c r="AU401" s="294">
        <f t="shared" si="616"/>
        <v>0</v>
      </c>
      <c r="AV401" s="294">
        <f t="shared" si="616"/>
        <v>0</v>
      </c>
      <c r="AW401" s="294">
        <f t="shared" si="616"/>
        <v>0</v>
      </c>
      <c r="AX401" s="294">
        <f t="shared" si="616"/>
        <v>0</v>
      </c>
      <c r="AY401" s="294">
        <f t="shared" si="616"/>
        <v>0</v>
      </c>
      <c r="AZ401" s="294">
        <f t="shared" si="616"/>
        <v>0</v>
      </c>
      <c r="BA401" s="294">
        <f t="shared" si="616"/>
        <v>0</v>
      </c>
      <c r="BB401" s="294">
        <f t="shared" si="616"/>
        <v>0</v>
      </c>
      <c r="BC401" s="294">
        <f t="shared" si="616"/>
        <v>0</v>
      </c>
      <c r="BD401" s="294">
        <f t="shared" si="616"/>
        <v>0</v>
      </c>
      <c r="BE401" s="294">
        <f t="shared" si="616"/>
        <v>0</v>
      </c>
      <c r="BF401" s="294">
        <f t="shared" si="616"/>
        <v>0</v>
      </c>
      <c r="BG401" s="294">
        <f t="shared" si="616"/>
        <v>0</v>
      </c>
      <c r="BH401" s="294">
        <f t="shared" si="616"/>
        <v>0</v>
      </c>
      <c r="BI401" s="294">
        <f t="shared" si="616"/>
        <v>0</v>
      </c>
      <c r="BJ401" s="294">
        <f t="shared" si="616"/>
        <v>0</v>
      </c>
      <c r="BK401" s="294">
        <f t="shared" si="616"/>
        <v>0</v>
      </c>
      <c r="BL401" s="294">
        <f t="shared" si="616"/>
        <v>0</v>
      </c>
      <c r="BM401" s="294">
        <f t="shared" si="616"/>
        <v>0</v>
      </c>
      <c r="BN401" s="294">
        <f t="shared" si="616"/>
        <v>0</v>
      </c>
      <c r="BO401" s="294">
        <f t="shared" si="616"/>
        <v>0</v>
      </c>
      <c r="BP401" s="294">
        <f t="shared" si="616"/>
        <v>0</v>
      </c>
      <c r="BQ401" s="294">
        <f t="shared" si="616"/>
        <v>0</v>
      </c>
      <c r="BR401" s="294">
        <f t="shared" si="616"/>
        <v>0</v>
      </c>
      <c r="BS401" s="294">
        <f t="shared" si="616"/>
        <v>0</v>
      </c>
      <c r="BT401" s="294">
        <f t="shared" si="616"/>
        <v>0</v>
      </c>
      <c r="BU401" s="294">
        <f t="shared" ref="BU401:CZ401" si="617">-SUM(BU398:BU400)*(BU$7=$E$401)</f>
        <v>0</v>
      </c>
      <c r="BV401" s="294">
        <f t="shared" si="617"/>
        <v>0</v>
      </c>
      <c r="BW401" s="294">
        <f t="shared" si="617"/>
        <v>0</v>
      </c>
      <c r="BX401" s="294">
        <f t="shared" si="617"/>
        <v>0</v>
      </c>
      <c r="BY401" s="294">
        <f t="shared" si="617"/>
        <v>0</v>
      </c>
      <c r="BZ401" s="294">
        <f t="shared" si="617"/>
        <v>0</v>
      </c>
      <c r="CA401" s="294">
        <f t="shared" si="617"/>
        <v>0</v>
      </c>
      <c r="CB401" s="294">
        <f t="shared" si="617"/>
        <v>0</v>
      </c>
      <c r="CC401" s="294">
        <f t="shared" si="617"/>
        <v>0</v>
      </c>
      <c r="CD401" s="294">
        <f t="shared" si="617"/>
        <v>0</v>
      </c>
      <c r="CE401" s="294">
        <f t="shared" si="617"/>
        <v>0</v>
      </c>
      <c r="CF401" s="294">
        <f t="shared" si="617"/>
        <v>-422001.28</v>
      </c>
      <c r="CG401" s="294">
        <f t="shared" si="617"/>
        <v>0</v>
      </c>
      <c r="CH401" s="294">
        <f t="shared" si="617"/>
        <v>0</v>
      </c>
      <c r="CI401" s="294">
        <f t="shared" si="617"/>
        <v>0</v>
      </c>
      <c r="CJ401" s="294">
        <f t="shared" si="617"/>
        <v>0</v>
      </c>
      <c r="CK401" s="294">
        <f t="shared" si="617"/>
        <v>0</v>
      </c>
      <c r="CL401" s="294">
        <f t="shared" si="617"/>
        <v>0</v>
      </c>
      <c r="CM401" s="294">
        <f t="shared" si="617"/>
        <v>0</v>
      </c>
      <c r="CN401" s="294">
        <f t="shared" si="617"/>
        <v>0</v>
      </c>
      <c r="CO401" s="294">
        <f t="shared" si="617"/>
        <v>0</v>
      </c>
      <c r="CP401" s="294">
        <f t="shared" si="617"/>
        <v>0</v>
      </c>
      <c r="CQ401" s="294">
        <f t="shared" si="617"/>
        <v>0</v>
      </c>
      <c r="CR401" s="294">
        <f t="shared" si="617"/>
        <v>0</v>
      </c>
      <c r="CS401" s="294">
        <f t="shared" si="617"/>
        <v>0</v>
      </c>
      <c r="CT401" s="294">
        <f t="shared" si="617"/>
        <v>0</v>
      </c>
      <c r="CU401" s="294">
        <f t="shared" si="617"/>
        <v>0</v>
      </c>
      <c r="CV401" s="294">
        <f t="shared" si="617"/>
        <v>0</v>
      </c>
      <c r="CW401" s="294">
        <f t="shared" si="617"/>
        <v>0</v>
      </c>
      <c r="CX401" s="294">
        <f t="shared" si="617"/>
        <v>0</v>
      </c>
      <c r="CY401" s="294">
        <f t="shared" si="617"/>
        <v>0</v>
      </c>
      <c r="CZ401" s="294">
        <f t="shared" si="617"/>
        <v>0</v>
      </c>
      <c r="DA401" s="294">
        <f t="shared" ref="DA401:DY401" si="618">-SUM(DA398:DA400)*(DA$7=$E$401)</f>
        <v>0</v>
      </c>
      <c r="DB401" s="294">
        <f t="shared" si="618"/>
        <v>0</v>
      </c>
      <c r="DC401" s="294">
        <f t="shared" si="618"/>
        <v>0</v>
      </c>
      <c r="DD401" s="294">
        <f t="shared" si="618"/>
        <v>0</v>
      </c>
      <c r="DE401" s="294">
        <f t="shared" si="618"/>
        <v>0</v>
      </c>
      <c r="DF401" s="294">
        <f t="shared" si="618"/>
        <v>0</v>
      </c>
      <c r="DG401" s="294">
        <f t="shared" si="618"/>
        <v>0</v>
      </c>
      <c r="DH401" s="294">
        <f t="shared" si="618"/>
        <v>0</v>
      </c>
      <c r="DI401" s="294">
        <f t="shared" si="618"/>
        <v>0</v>
      </c>
      <c r="DJ401" s="294">
        <f t="shared" si="618"/>
        <v>0</v>
      </c>
      <c r="DK401" s="294">
        <f t="shared" si="618"/>
        <v>0</v>
      </c>
      <c r="DL401" s="294">
        <f t="shared" si="618"/>
        <v>0</v>
      </c>
      <c r="DM401" s="294">
        <f t="shared" si="618"/>
        <v>0</v>
      </c>
      <c r="DN401" s="294">
        <f t="shared" si="618"/>
        <v>0</v>
      </c>
      <c r="DO401" s="294">
        <f t="shared" si="618"/>
        <v>0</v>
      </c>
      <c r="DP401" s="294">
        <f t="shared" si="618"/>
        <v>0</v>
      </c>
      <c r="DQ401" s="294">
        <f t="shared" si="618"/>
        <v>0</v>
      </c>
      <c r="DR401" s="294">
        <f t="shared" si="618"/>
        <v>0</v>
      </c>
      <c r="DS401" s="294">
        <f t="shared" si="618"/>
        <v>0</v>
      </c>
      <c r="DT401" s="294">
        <f t="shared" si="618"/>
        <v>0</v>
      </c>
      <c r="DU401" s="294">
        <f t="shared" si="618"/>
        <v>0</v>
      </c>
      <c r="DV401" s="294">
        <f t="shared" si="618"/>
        <v>0</v>
      </c>
      <c r="DW401" s="294">
        <f t="shared" si="618"/>
        <v>0</v>
      </c>
      <c r="DX401" s="294">
        <f t="shared" si="618"/>
        <v>0</v>
      </c>
      <c r="DY401" s="294">
        <f t="shared" si="618"/>
        <v>0</v>
      </c>
    </row>
    <row r="402" spans="1:129" s="3" customFormat="1" ht="11.7" customHeight="1" outlineLevel="1" x14ac:dyDescent="0.25">
      <c r="B402" s="149" t="s">
        <v>618</v>
      </c>
      <c r="C402" s="149"/>
      <c r="G402" s="127"/>
      <c r="H402" s="127"/>
      <c r="I402" s="293">
        <f t="shared" ref="I402:AN402" si="619">+SUM(I398:I401)</f>
        <v>0</v>
      </c>
      <c r="J402" s="293">
        <f t="shared" si="619"/>
        <v>0</v>
      </c>
      <c r="K402" s="293">
        <f t="shared" si="619"/>
        <v>0</v>
      </c>
      <c r="L402" s="293">
        <f t="shared" si="619"/>
        <v>0</v>
      </c>
      <c r="M402" s="293">
        <f t="shared" si="619"/>
        <v>0</v>
      </c>
      <c r="N402" s="293">
        <f t="shared" si="619"/>
        <v>0</v>
      </c>
      <c r="O402" s="293">
        <f t="shared" si="619"/>
        <v>0</v>
      </c>
      <c r="P402" s="293">
        <f t="shared" si="619"/>
        <v>0</v>
      </c>
      <c r="Q402" s="293">
        <f t="shared" si="619"/>
        <v>0</v>
      </c>
      <c r="R402" s="293">
        <f t="shared" si="619"/>
        <v>0</v>
      </c>
      <c r="S402" s="293">
        <f t="shared" si="619"/>
        <v>0</v>
      </c>
      <c r="T402" s="293">
        <f t="shared" si="619"/>
        <v>0</v>
      </c>
      <c r="U402" s="293">
        <f t="shared" si="619"/>
        <v>0</v>
      </c>
      <c r="V402" s="293">
        <f t="shared" si="619"/>
        <v>0</v>
      </c>
      <c r="W402" s="293">
        <f t="shared" si="619"/>
        <v>0</v>
      </c>
      <c r="X402" s="293">
        <f t="shared" si="619"/>
        <v>0</v>
      </c>
      <c r="Y402" s="293">
        <f t="shared" si="619"/>
        <v>0</v>
      </c>
      <c r="Z402" s="293">
        <f t="shared" si="619"/>
        <v>0</v>
      </c>
      <c r="AA402" s="293">
        <f t="shared" si="619"/>
        <v>0</v>
      </c>
      <c r="AB402" s="293">
        <f t="shared" si="619"/>
        <v>0</v>
      </c>
      <c r="AC402" s="293">
        <f t="shared" si="619"/>
        <v>0</v>
      </c>
      <c r="AD402" s="293">
        <f t="shared" si="619"/>
        <v>0</v>
      </c>
      <c r="AE402" s="293">
        <f t="shared" si="619"/>
        <v>0</v>
      </c>
      <c r="AF402" s="293">
        <f t="shared" si="619"/>
        <v>82959</v>
      </c>
      <c r="AG402" s="293">
        <f t="shared" si="619"/>
        <v>108508.28</v>
      </c>
      <c r="AH402" s="293">
        <f t="shared" si="619"/>
        <v>119869.28</v>
      </c>
      <c r="AI402" s="293">
        <f t="shared" si="619"/>
        <v>127952.28</v>
      </c>
      <c r="AJ402" s="293">
        <f t="shared" si="619"/>
        <v>135247.28</v>
      </c>
      <c r="AK402" s="293">
        <f t="shared" si="619"/>
        <v>147747.28</v>
      </c>
      <c r="AL402" s="293">
        <f t="shared" si="619"/>
        <v>156247.28</v>
      </c>
      <c r="AM402" s="293">
        <f t="shared" si="619"/>
        <v>166247.28</v>
      </c>
      <c r="AN402" s="293">
        <f t="shared" si="619"/>
        <v>174597.28</v>
      </c>
      <c r="AO402" s="293">
        <f t="shared" ref="AO402:BT402" si="620">+SUM(AO398:AO401)</f>
        <v>181497.28</v>
      </c>
      <c r="AP402" s="293">
        <f t="shared" si="620"/>
        <v>197497.28</v>
      </c>
      <c r="AQ402" s="293">
        <f t="shared" si="620"/>
        <v>197497.28</v>
      </c>
      <c r="AR402" s="293">
        <f t="shared" si="620"/>
        <v>197497.28</v>
      </c>
      <c r="AS402" s="293">
        <f t="shared" si="620"/>
        <v>208297.28</v>
      </c>
      <c r="AT402" s="293">
        <f t="shared" si="620"/>
        <v>217297.28</v>
      </c>
      <c r="AU402" s="293">
        <f t="shared" si="620"/>
        <v>222297.28</v>
      </c>
      <c r="AV402" s="293">
        <f t="shared" si="620"/>
        <v>243297.28</v>
      </c>
      <c r="AW402" s="293">
        <f t="shared" si="620"/>
        <v>273997.28000000003</v>
      </c>
      <c r="AX402" s="293">
        <f t="shared" si="620"/>
        <v>293497.28000000003</v>
      </c>
      <c r="AY402" s="293">
        <f t="shared" si="620"/>
        <v>293497.28000000003</v>
      </c>
      <c r="AZ402" s="293">
        <f t="shared" si="620"/>
        <v>314297.28000000003</v>
      </c>
      <c r="BA402" s="293">
        <f t="shared" si="620"/>
        <v>344297.28</v>
      </c>
      <c r="BB402" s="293">
        <f t="shared" si="620"/>
        <v>363297.28000000003</v>
      </c>
      <c r="BC402" s="293">
        <f t="shared" si="620"/>
        <v>382297.28</v>
      </c>
      <c r="BD402" s="293">
        <f t="shared" si="620"/>
        <v>382297.28</v>
      </c>
      <c r="BE402" s="293">
        <f t="shared" si="620"/>
        <v>398297.28</v>
      </c>
      <c r="BF402" s="293">
        <f t="shared" si="620"/>
        <v>398297.28</v>
      </c>
      <c r="BG402" s="293">
        <f t="shared" si="620"/>
        <v>398297.28</v>
      </c>
      <c r="BH402" s="293">
        <f t="shared" si="620"/>
        <v>422001.28</v>
      </c>
      <c r="BI402" s="293">
        <f t="shared" si="620"/>
        <v>422001.28</v>
      </c>
      <c r="BJ402" s="293">
        <f t="shared" si="620"/>
        <v>422001.28</v>
      </c>
      <c r="BK402" s="293">
        <f t="shared" si="620"/>
        <v>422001.28</v>
      </c>
      <c r="BL402" s="293">
        <f t="shared" si="620"/>
        <v>422001.28</v>
      </c>
      <c r="BM402" s="293">
        <f t="shared" si="620"/>
        <v>422001.28</v>
      </c>
      <c r="BN402" s="293">
        <f t="shared" si="620"/>
        <v>422001.28</v>
      </c>
      <c r="BO402" s="293">
        <f t="shared" si="620"/>
        <v>422001.28</v>
      </c>
      <c r="BP402" s="293">
        <f t="shared" si="620"/>
        <v>422001.28</v>
      </c>
      <c r="BQ402" s="293">
        <f t="shared" si="620"/>
        <v>422001.28</v>
      </c>
      <c r="BR402" s="293">
        <f t="shared" si="620"/>
        <v>422001.28</v>
      </c>
      <c r="BS402" s="293">
        <f t="shared" si="620"/>
        <v>422001.28</v>
      </c>
      <c r="BT402" s="293">
        <f t="shared" si="620"/>
        <v>422001.28</v>
      </c>
      <c r="BU402" s="293">
        <f t="shared" ref="BU402:CZ402" si="621">+SUM(BU398:BU401)</f>
        <v>422001.28</v>
      </c>
      <c r="BV402" s="293">
        <f t="shared" si="621"/>
        <v>422001.28</v>
      </c>
      <c r="BW402" s="293">
        <f t="shared" si="621"/>
        <v>422001.28</v>
      </c>
      <c r="BX402" s="293">
        <f t="shared" si="621"/>
        <v>422001.28</v>
      </c>
      <c r="BY402" s="293">
        <f t="shared" si="621"/>
        <v>422001.28</v>
      </c>
      <c r="BZ402" s="293">
        <f t="shared" si="621"/>
        <v>422001.28</v>
      </c>
      <c r="CA402" s="293">
        <f t="shared" si="621"/>
        <v>422001.28</v>
      </c>
      <c r="CB402" s="293">
        <f t="shared" si="621"/>
        <v>422001.28</v>
      </c>
      <c r="CC402" s="293">
        <f t="shared" si="621"/>
        <v>422001.28</v>
      </c>
      <c r="CD402" s="293">
        <f t="shared" si="621"/>
        <v>422001.28</v>
      </c>
      <c r="CE402" s="293">
        <f t="shared" si="621"/>
        <v>422001.28</v>
      </c>
      <c r="CF402" s="293">
        <f t="shared" si="621"/>
        <v>0</v>
      </c>
      <c r="CG402" s="293">
        <f t="shared" si="621"/>
        <v>0</v>
      </c>
      <c r="CH402" s="293">
        <f t="shared" si="621"/>
        <v>0</v>
      </c>
      <c r="CI402" s="293">
        <f t="shared" si="621"/>
        <v>0</v>
      </c>
      <c r="CJ402" s="293">
        <f t="shared" si="621"/>
        <v>0</v>
      </c>
      <c r="CK402" s="293">
        <f t="shared" si="621"/>
        <v>0</v>
      </c>
      <c r="CL402" s="293">
        <f t="shared" si="621"/>
        <v>0</v>
      </c>
      <c r="CM402" s="293">
        <f t="shared" si="621"/>
        <v>0</v>
      </c>
      <c r="CN402" s="293">
        <f t="shared" si="621"/>
        <v>0</v>
      </c>
      <c r="CO402" s="293">
        <f t="shared" si="621"/>
        <v>0</v>
      </c>
      <c r="CP402" s="293">
        <f t="shared" si="621"/>
        <v>0</v>
      </c>
      <c r="CQ402" s="293">
        <f t="shared" si="621"/>
        <v>0</v>
      </c>
      <c r="CR402" s="293">
        <f t="shared" si="621"/>
        <v>0</v>
      </c>
      <c r="CS402" s="293">
        <f t="shared" si="621"/>
        <v>0</v>
      </c>
      <c r="CT402" s="293">
        <f t="shared" si="621"/>
        <v>0</v>
      </c>
      <c r="CU402" s="293">
        <f t="shared" si="621"/>
        <v>0</v>
      </c>
      <c r="CV402" s="293">
        <f t="shared" si="621"/>
        <v>0</v>
      </c>
      <c r="CW402" s="293">
        <f t="shared" si="621"/>
        <v>0</v>
      </c>
      <c r="CX402" s="293">
        <f t="shared" si="621"/>
        <v>0</v>
      </c>
      <c r="CY402" s="293">
        <f t="shared" si="621"/>
        <v>0</v>
      </c>
      <c r="CZ402" s="293">
        <f t="shared" si="621"/>
        <v>0</v>
      </c>
      <c r="DA402" s="293">
        <f t="shared" ref="DA402:DY402" si="622">+SUM(DA398:DA401)</f>
        <v>0</v>
      </c>
      <c r="DB402" s="293">
        <f t="shared" si="622"/>
        <v>0</v>
      </c>
      <c r="DC402" s="293">
        <f t="shared" si="622"/>
        <v>0</v>
      </c>
      <c r="DD402" s="293">
        <f t="shared" si="622"/>
        <v>0</v>
      </c>
      <c r="DE402" s="293">
        <f t="shared" si="622"/>
        <v>0</v>
      </c>
      <c r="DF402" s="293">
        <f t="shared" si="622"/>
        <v>0</v>
      </c>
      <c r="DG402" s="293">
        <f t="shared" si="622"/>
        <v>0</v>
      </c>
      <c r="DH402" s="293">
        <f t="shared" si="622"/>
        <v>0</v>
      </c>
      <c r="DI402" s="293">
        <f t="shared" si="622"/>
        <v>0</v>
      </c>
      <c r="DJ402" s="293">
        <f t="shared" si="622"/>
        <v>0</v>
      </c>
      <c r="DK402" s="293">
        <f t="shared" si="622"/>
        <v>0</v>
      </c>
      <c r="DL402" s="293">
        <f t="shared" si="622"/>
        <v>0</v>
      </c>
      <c r="DM402" s="293">
        <f t="shared" si="622"/>
        <v>0</v>
      </c>
      <c r="DN402" s="293">
        <f t="shared" si="622"/>
        <v>0</v>
      </c>
      <c r="DO402" s="293">
        <f t="shared" si="622"/>
        <v>0</v>
      </c>
      <c r="DP402" s="293">
        <f t="shared" si="622"/>
        <v>0</v>
      </c>
      <c r="DQ402" s="293">
        <f t="shared" si="622"/>
        <v>0</v>
      </c>
      <c r="DR402" s="293">
        <f t="shared" si="622"/>
        <v>0</v>
      </c>
      <c r="DS402" s="293">
        <f t="shared" si="622"/>
        <v>0</v>
      </c>
      <c r="DT402" s="293">
        <f t="shared" si="622"/>
        <v>0</v>
      </c>
      <c r="DU402" s="293">
        <f t="shared" si="622"/>
        <v>0</v>
      </c>
      <c r="DV402" s="293">
        <f t="shared" si="622"/>
        <v>0</v>
      </c>
      <c r="DW402" s="293">
        <f t="shared" si="622"/>
        <v>0</v>
      </c>
      <c r="DX402" s="293">
        <f t="shared" si="622"/>
        <v>0</v>
      </c>
      <c r="DY402" s="293">
        <f t="shared" si="622"/>
        <v>0</v>
      </c>
    </row>
    <row r="403" spans="1:129" s="5" customFormat="1" ht="11.7" customHeight="1" outlineLevel="1" x14ac:dyDescent="0.3">
      <c r="A403" s="3"/>
      <c r="B403" s="130"/>
      <c r="C403" s="130"/>
      <c r="D403" s="3"/>
      <c r="E403" s="3"/>
      <c r="F403" s="3"/>
      <c r="G403" s="127"/>
      <c r="H403" s="127"/>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c r="AQ403" s="14"/>
      <c r="AR403" s="14"/>
      <c r="AS403" s="14"/>
      <c r="AT403" s="14"/>
      <c r="AU403" s="14"/>
      <c r="AV403" s="14"/>
      <c r="AW403" s="14"/>
      <c r="AX403" s="14"/>
      <c r="AY403" s="14"/>
      <c r="AZ403" s="14"/>
      <c r="BA403" s="14"/>
      <c r="BB403" s="14"/>
      <c r="BC403" s="14"/>
      <c r="BD403" s="14"/>
      <c r="BE403" s="14"/>
      <c r="BF403" s="14"/>
      <c r="BG403" s="14"/>
      <c r="BH403" s="14"/>
      <c r="BI403" s="14"/>
      <c r="BJ403" s="14"/>
      <c r="BK403" s="14"/>
      <c r="BL403" s="14"/>
      <c r="BM403" s="14"/>
      <c r="BN403" s="14"/>
      <c r="BO403" s="14"/>
      <c r="BP403" s="14"/>
      <c r="BQ403" s="14"/>
      <c r="BR403" s="14"/>
      <c r="BS403" s="14"/>
      <c r="BT403" s="14"/>
      <c r="BU403" s="14"/>
      <c r="BV403" s="14"/>
      <c r="BW403" s="14"/>
      <c r="BX403" s="14"/>
      <c r="BY403" s="14"/>
      <c r="BZ403" s="14"/>
      <c r="CA403" s="14"/>
      <c r="CB403" s="14"/>
      <c r="CC403" s="14"/>
      <c r="CD403" s="14"/>
      <c r="CE403" s="14"/>
      <c r="CF403" s="14"/>
      <c r="CG403" s="14"/>
      <c r="CH403" s="14"/>
      <c r="CI403" s="14"/>
      <c r="CJ403" s="14"/>
      <c r="CK403" s="14"/>
      <c r="CL403" s="14"/>
      <c r="CM403" s="14"/>
      <c r="CN403" s="14"/>
      <c r="CO403" s="14"/>
      <c r="CP403" s="14"/>
      <c r="CQ403" s="14"/>
      <c r="CR403" s="14"/>
      <c r="CS403" s="14"/>
      <c r="CT403" s="14"/>
      <c r="CU403" s="14"/>
      <c r="CV403" s="14"/>
      <c r="CW403" s="14"/>
      <c r="CX403" s="14"/>
      <c r="CY403" s="14"/>
      <c r="CZ403" s="14"/>
      <c r="DA403" s="14"/>
      <c r="DB403" s="14"/>
      <c r="DC403" s="14"/>
      <c r="DD403" s="14"/>
      <c r="DE403" s="14"/>
      <c r="DF403" s="14"/>
      <c r="DG403" s="14"/>
      <c r="DH403" s="14"/>
      <c r="DI403" s="14"/>
      <c r="DJ403" s="14"/>
      <c r="DK403" s="14"/>
      <c r="DL403" s="14"/>
      <c r="DM403" s="14"/>
      <c r="DN403" s="14"/>
      <c r="DO403" s="14"/>
      <c r="DP403" s="14"/>
      <c r="DQ403" s="14"/>
      <c r="DR403" s="14"/>
      <c r="DS403" s="14"/>
      <c r="DT403" s="14"/>
      <c r="DU403" s="14"/>
      <c r="DV403" s="14"/>
      <c r="DW403" s="14"/>
      <c r="DX403" s="14"/>
      <c r="DY403" s="14"/>
    </row>
    <row r="404" spans="1:129" s="3" customFormat="1" ht="11.7" customHeight="1" outlineLevel="1" x14ac:dyDescent="0.25">
      <c r="B404" s="152" t="s">
        <v>619</v>
      </c>
      <c r="C404" s="91"/>
      <c r="D404" s="1095">
        <v>5.6000000000000001E-2</v>
      </c>
      <c r="E404" s="1095">
        <f>+(D404)*(30/360)</f>
        <v>4.6666666666666662E-3</v>
      </c>
      <c r="F404" s="63"/>
      <c r="G404" s="147"/>
      <c r="H404" s="147"/>
      <c r="I404" s="294"/>
      <c r="J404" s="294"/>
      <c r="K404" s="294"/>
      <c r="L404" s="294"/>
      <c r="M404" s="294"/>
      <c r="N404" s="294"/>
      <c r="O404" s="294"/>
      <c r="P404" s="294"/>
      <c r="Q404" s="294"/>
      <c r="R404" s="294"/>
      <c r="S404" s="294"/>
      <c r="T404" s="294"/>
      <c r="U404" s="294"/>
      <c r="V404" s="294"/>
      <c r="W404" s="294"/>
      <c r="X404" s="294"/>
      <c r="Y404" s="294"/>
      <c r="Z404" s="294"/>
      <c r="AA404" s="294"/>
      <c r="AB404" s="294"/>
      <c r="AC404" s="294"/>
      <c r="AD404" s="294"/>
      <c r="AE404" s="294"/>
      <c r="AF404" s="294"/>
      <c r="AG404" s="294"/>
      <c r="AH404" s="294"/>
      <c r="AI404" s="294"/>
      <c r="AJ404" s="294"/>
      <c r="AK404" s="294"/>
      <c r="AL404" s="294"/>
      <c r="AM404" s="294"/>
      <c r="AN404" s="294"/>
      <c r="AO404" s="294"/>
      <c r="AP404" s="294"/>
      <c r="AQ404" s="294"/>
      <c r="AR404" s="294"/>
      <c r="AS404" s="294"/>
      <c r="AT404" s="294"/>
      <c r="AU404" s="294"/>
      <c r="AV404" s="294"/>
      <c r="AW404" s="294"/>
      <c r="AX404" s="294"/>
      <c r="AY404" s="294"/>
      <c r="AZ404" s="294"/>
      <c r="BA404" s="294"/>
      <c r="BB404" s="294"/>
      <c r="BC404" s="294"/>
      <c r="BD404" s="294"/>
      <c r="BE404" s="294"/>
      <c r="BF404" s="294"/>
      <c r="BG404" s="294"/>
      <c r="BH404" s="294"/>
      <c r="BI404" s="294"/>
      <c r="BJ404" s="294"/>
      <c r="BK404" s="294"/>
      <c r="BL404" s="294"/>
      <c r="BM404" s="294"/>
      <c r="BN404" s="294"/>
      <c r="BO404" s="294"/>
      <c r="BP404" s="294"/>
      <c r="BQ404" s="294"/>
      <c r="BR404" s="294"/>
      <c r="BS404" s="294"/>
      <c r="BT404" s="294"/>
      <c r="BU404" s="294"/>
      <c r="BV404" s="294"/>
      <c r="BW404" s="294"/>
      <c r="BX404" s="294"/>
      <c r="BY404" s="294"/>
      <c r="BZ404" s="294"/>
      <c r="CA404" s="294"/>
      <c r="CB404" s="294"/>
      <c r="CC404" s="294"/>
      <c r="CD404" s="294"/>
      <c r="CE404" s="294"/>
      <c r="CF404" s="294"/>
      <c r="CG404" s="294"/>
      <c r="CH404" s="294"/>
      <c r="CI404" s="294"/>
      <c r="CJ404" s="294"/>
      <c r="CK404" s="294"/>
      <c r="CL404" s="294"/>
      <c r="CM404" s="294"/>
      <c r="CN404" s="294"/>
      <c r="CO404" s="294"/>
      <c r="CP404" s="294"/>
      <c r="CQ404" s="294"/>
      <c r="CR404" s="294"/>
      <c r="CS404" s="294"/>
      <c r="CT404" s="294"/>
      <c r="CU404" s="294"/>
      <c r="CV404" s="294"/>
      <c r="CW404" s="294"/>
      <c r="CX404" s="294"/>
      <c r="CY404" s="294"/>
      <c r="CZ404" s="294"/>
      <c r="DA404" s="294"/>
      <c r="DB404" s="294"/>
      <c r="DC404" s="294"/>
      <c r="DD404" s="294"/>
      <c r="DE404" s="294"/>
      <c r="DF404" s="294"/>
      <c r="DG404" s="294"/>
      <c r="DH404" s="294"/>
      <c r="DI404" s="294"/>
      <c r="DJ404" s="294"/>
      <c r="DK404" s="294"/>
      <c r="DL404" s="294"/>
      <c r="DM404" s="294"/>
      <c r="DN404" s="294"/>
      <c r="DO404" s="294"/>
      <c r="DP404" s="294"/>
      <c r="DQ404" s="294"/>
      <c r="DR404" s="294"/>
      <c r="DS404" s="294"/>
      <c r="DT404" s="294"/>
      <c r="DU404" s="294"/>
      <c r="DV404" s="294"/>
      <c r="DW404" s="294"/>
      <c r="DX404" s="294"/>
      <c r="DY404" s="294"/>
    </row>
    <row r="405" spans="1:129" s="3" customFormat="1" ht="11.7" customHeight="1" outlineLevel="1" x14ac:dyDescent="0.25">
      <c r="B405" s="113" t="s">
        <v>133</v>
      </c>
      <c r="C405" s="113"/>
      <c r="G405" s="127"/>
      <c r="H405" s="308">
        <f>+SUM(I405:DY405)</f>
        <v>45079.405230432698</v>
      </c>
      <c r="I405" s="300">
        <v>0</v>
      </c>
      <c r="J405" s="300">
        <v>0</v>
      </c>
      <c r="K405" s="300">
        <v>0</v>
      </c>
      <c r="L405" s="300">
        <v>0</v>
      </c>
      <c r="M405" s="300">
        <v>0</v>
      </c>
      <c r="N405" s="300">
        <v>0</v>
      </c>
      <c r="O405" s="300">
        <v>0</v>
      </c>
      <c r="P405" s="300">
        <v>0</v>
      </c>
      <c r="Q405" s="300">
        <v>0</v>
      </c>
      <c r="R405" s="300">
        <v>0</v>
      </c>
      <c r="S405" s="300">
        <v>0</v>
      </c>
      <c r="T405" s="300">
        <v>0</v>
      </c>
      <c r="U405" s="300">
        <v>0</v>
      </c>
      <c r="V405" s="300">
        <v>0</v>
      </c>
      <c r="W405" s="300">
        <v>0</v>
      </c>
      <c r="X405" s="300">
        <v>0</v>
      </c>
      <c r="Y405" s="300">
        <v>0</v>
      </c>
      <c r="Z405" s="300">
        <v>0</v>
      </c>
      <c r="AA405" s="300">
        <v>0</v>
      </c>
      <c r="AB405" s="300">
        <v>0</v>
      </c>
      <c r="AC405" s="300">
        <v>0</v>
      </c>
      <c r="AD405" s="300">
        <v>0</v>
      </c>
      <c r="AE405" s="300">
        <v>0</v>
      </c>
      <c r="AF405" s="300">
        <v>0</v>
      </c>
      <c r="AG405" s="300">
        <v>0</v>
      </c>
      <c r="AH405" s="300">
        <v>0</v>
      </c>
      <c r="AI405" s="300">
        <v>0</v>
      </c>
      <c r="AJ405" s="300">
        <v>0</v>
      </c>
      <c r="AK405" s="300">
        <v>0</v>
      </c>
      <c r="AL405" s="300">
        <v>0</v>
      </c>
      <c r="AM405" s="300">
        <v>0</v>
      </c>
      <c r="AN405" s="300">
        <v>0</v>
      </c>
      <c r="AO405" s="300">
        <v>0</v>
      </c>
      <c r="AP405" s="300">
        <v>0</v>
      </c>
      <c r="AQ405" s="300">
        <v>0</v>
      </c>
      <c r="AR405" s="300">
        <v>0</v>
      </c>
      <c r="AS405" s="300">
        <v>1957</v>
      </c>
      <c r="AT405" s="300">
        <v>213.15</v>
      </c>
      <c r="AU405" s="300">
        <v>141</v>
      </c>
      <c r="AV405" s="300">
        <v>128.9</v>
      </c>
      <c r="AW405" s="300">
        <v>216.9</v>
      </c>
      <c r="AX405" s="300">
        <v>147</v>
      </c>
      <c r="AY405" s="300">
        <v>173.34059975203346</v>
      </c>
      <c r="AZ405" s="300">
        <v>209.89232166040171</v>
      </c>
      <c r="BA405" s="300">
        <v>169.38839535001776</v>
      </c>
      <c r="BB405" s="300">
        <v>406.5</v>
      </c>
      <c r="BC405" s="300">
        <v>0</v>
      </c>
      <c r="BD405" s="300">
        <v>0</v>
      </c>
      <c r="BE405" s="300">
        <v>2174</v>
      </c>
      <c r="BF405" s="300">
        <v>340</v>
      </c>
      <c r="BG405" s="300">
        <v>228</v>
      </c>
      <c r="BH405" s="300">
        <v>620.34</v>
      </c>
      <c r="BI405" s="300">
        <v>620.55417169853058</v>
      </c>
      <c r="BJ405" s="300">
        <f>15571033/31539.2</f>
        <v>493.70412058644479</v>
      </c>
      <c r="BK405" s="300">
        <f>17061331/31727.74</f>
        <v>537.74176792926312</v>
      </c>
      <c r="BL405" s="300">
        <f>4778711/BL99</f>
        <v>148.51560875657972</v>
      </c>
      <c r="BM405" s="300">
        <f>20828334/BM99</f>
        <v>637.35089294402553</v>
      </c>
      <c r="BN405" s="300">
        <f>19690217/BN99</f>
        <v>595.10738864980408</v>
      </c>
      <c r="BO405" s="300">
        <f>10762268/BO99</f>
        <v>322.05716447129413</v>
      </c>
      <c r="BP405" s="300">
        <f>5174472/BP99</f>
        <v>152.92570067066609</v>
      </c>
      <c r="BQ405" s="300">
        <f>86102280/BQ99</f>
        <v>2513.3312491626098</v>
      </c>
      <c r="BR405" s="300">
        <v>0</v>
      </c>
      <c r="BS405" s="300">
        <f>36323196/BS99</f>
        <v>1043.4161979558655</v>
      </c>
      <c r="BT405" s="300">
        <f>68274263/BT99</f>
        <v>1944.5274099441256</v>
      </c>
      <c r="BU405" s="300">
        <f>106579370/BU99</f>
        <v>3035.4997211698446</v>
      </c>
      <c r="BV405" s="300">
        <f>133944059/BV99</f>
        <v>3772.0435385506148</v>
      </c>
      <c r="BW405" s="300">
        <f>128478565/BW99</f>
        <v>3611.4358822424879</v>
      </c>
      <c r="BX405" s="300">
        <f>28732817/BX99</f>
        <v>801.72933893809875</v>
      </c>
      <c r="BY405" s="300">
        <v>0</v>
      </c>
      <c r="BZ405" s="300">
        <v>0</v>
      </c>
      <c r="CA405" s="300">
        <v>0</v>
      </c>
      <c r="CB405" s="293">
        <f>+CA402*$E$404*5</f>
        <v>9846.6965333333319</v>
      </c>
      <c r="CC405" s="300">
        <v>0</v>
      </c>
      <c r="CD405" s="300">
        <v>0</v>
      </c>
      <c r="CE405" s="300">
        <v>0</v>
      </c>
      <c r="CF405" s="293">
        <f>+CE402*$E$404*4</f>
        <v>7877.3572266666661</v>
      </c>
      <c r="CG405" s="300">
        <v>0</v>
      </c>
      <c r="CH405" s="300">
        <v>0</v>
      </c>
      <c r="CI405" s="300">
        <v>0</v>
      </c>
      <c r="CJ405" s="300">
        <v>0</v>
      </c>
      <c r="CK405" s="300">
        <v>0</v>
      </c>
      <c r="CL405" s="300">
        <v>0</v>
      </c>
      <c r="CM405" s="300">
        <v>0</v>
      </c>
      <c r="CN405" s="300">
        <v>0</v>
      </c>
      <c r="CO405" s="300">
        <v>0</v>
      </c>
      <c r="CP405" s="300">
        <v>0</v>
      </c>
      <c r="CQ405" s="300">
        <v>0</v>
      </c>
      <c r="CR405" s="300">
        <v>0</v>
      </c>
      <c r="CS405" s="300">
        <v>0</v>
      </c>
      <c r="CT405" s="300">
        <v>0</v>
      </c>
      <c r="CU405" s="300">
        <v>0</v>
      </c>
      <c r="CV405" s="300">
        <v>0</v>
      </c>
      <c r="CW405" s="300">
        <v>0</v>
      </c>
      <c r="CX405" s="300">
        <v>0</v>
      </c>
      <c r="CY405" s="300">
        <v>0</v>
      </c>
      <c r="CZ405" s="300">
        <v>0</v>
      </c>
      <c r="DA405" s="300">
        <v>0</v>
      </c>
      <c r="DB405" s="300">
        <v>0</v>
      </c>
      <c r="DC405" s="300">
        <v>0</v>
      </c>
      <c r="DD405" s="300">
        <v>0</v>
      </c>
      <c r="DE405" s="300">
        <v>0</v>
      </c>
      <c r="DF405" s="300">
        <v>0</v>
      </c>
      <c r="DG405" s="300">
        <v>0</v>
      </c>
      <c r="DH405" s="300">
        <v>0</v>
      </c>
      <c r="DI405" s="300">
        <v>0</v>
      </c>
      <c r="DJ405" s="300">
        <v>0</v>
      </c>
      <c r="DK405" s="300">
        <v>0</v>
      </c>
      <c r="DL405" s="300">
        <v>0</v>
      </c>
      <c r="DM405" s="300">
        <v>0</v>
      </c>
      <c r="DN405" s="300">
        <v>0</v>
      </c>
      <c r="DO405" s="300">
        <v>0</v>
      </c>
      <c r="DP405" s="300">
        <v>0</v>
      </c>
      <c r="DQ405" s="300">
        <v>0</v>
      </c>
      <c r="DR405" s="300">
        <v>0</v>
      </c>
      <c r="DS405" s="300">
        <v>0</v>
      </c>
      <c r="DT405" s="300">
        <v>0</v>
      </c>
      <c r="DU405" s="300">
        <v>0</v>
      </c>
      <c r="DV405" s="300">
        <v>0</v>
      </c>
      <c r="DW405" s="300">
        <v>0</v>
      </c>
      <c r="DX405" s="300">
        <v>0</v>
      </c>
      <c r="DY405" s="300">
        <v>0</v>
      </c>
    </row>
    <row r="406" spans="1:129" s="3" customFormat="1" ht="11.7" customHeight="1" outlineLevel="1" x14ac:dyDescent="0.25">
      <c r="B406" s="116" t="s">
        <v>132</v>
      </c>
      <c r="C406" s="116"/>
      <c r="D406" s="63"/>
      <c r="E406" s="63"/>
      <c r="F406" s="63"/>
      <c r="G406" s="147"/>
      <c r="H406" s="308">
        <f t="shared" ref="H406" si="623">+SUM(I406:DY406)</f>
        <v>-45079.405230432698</v>
      </c>
      <c r="I406" s="294">
        <f t="shared" ref="I406:AN406" si="624">-I405</f>
        <v>0</v>
      </c>
      <c r="J406" s="294">
        <f t="shared" si="624"/>
        <v>0</v>
      </c>
      <c r="K406" s="294">
        <f t="shared" si="624"/>
        <v>0</v>
      </c>
      <c r="L406" s="294">
        <f t="shared" si="624"/>
        <v>0</v>
      </c>
      <c r="M406" s="294">
        <f t="shared" si="624"/>
        <v>0</v>
      </c>
      <c r="N406" s="294">
        <f t="shared" si="624"/>
        <v>0</v>
      </c>
      <c r="O406" s="294">
        <f t="shared" si="624"/>
        <v>0</v>
      </c>
      <c r="P406" s="294">
        <f t="shared" si="624"/>
        <v>0</v>
      </c>
      <c r="Q406" s="294">
        <f t="shared" si="624"/>
        <v>0</v>
      </c>
      <c r="R406" s="294">
        <f t="shared" si="624"/>
        <v>0</v>
      </c>
      <c r="S406" s="294">
        <f t="shared" si="624"/>
        <v>0</v>
      </c>
      <c r="T406" s="294">
        <f t="shared" si="624"/>
        <v>0</v>
      </c>
      <c r="U406" s="294">
        <f t="shared" si="624"/>
        <v>0</v>
      </c>
      <c r="V406" s="294">
        <f t="shared" si="624"/>
        <v>0</v>
      </c>
      <c r="W406" s="294">
        <f t="shared" si="624"/>
        <v>0</v>
      </c>
      <c r="X406" s="294">
        <f t="shared" si="624"/>
        <v>0</v>
      </c>
      <c r="Y406" s="294">
        <f t="shared" si="624"/>
        <v>0</v>
      </c>
      <c r="Z406" s="294">
        <f t="shared" si="624"/>
        <v>0</v>
      </c>
      <c r="AA406" s="294">
        <f t="shared" si="624"/>
        <v>0</v>
      </c>
      <c r="AB406" s="294">
        <f t="shared" si="624"/>
        <v>0</v>
      </c>
      <c r="AC406" s="294">
        <f t="shared" si="624"/>
        <v>0</v>
      </c>
      <c r="AD406" s="294">
        <f t="shared" si="624"/>
        <v>0</v>
      </c>
      <c r="AE406" s="294">
        <f t="shared" si="624"/>
        <v>0</v>
      </c>
      <c r="AF406" s="294">
        <f t="shared" si="624"/>
        <v>0</v>
      </c>
      <c r="AG406" s="294">
        <f t="shared" si="624"/>
        <v>0</v>
      </c>
      <c r="AH406" s="294">
        <f t="shared" si="624"/>
        <v>0</v>
      </c>
      <c r="AI406" s="294">
        <f t="shared" si="624"/>
        <v>0</v>
      </c>
      <c r="AJ406" s="294">
        <f t="shared" si="624"/>
        <v>0</v>
      </c>
      <c r="AK406" s="294">
        <f t="shared" si="624"/>
        <v>0</v>
      </c>
      <c r="AL406" s="294">
        <f t="shared" si="624"/>
        <v>0</v>
      </c>
      <c r="AM406" s="294">
        <f t="shared" si="624"/>
        <v>0</v>
      </c>
      <c r="AN406" s="294">
        <f t="shared" si="624"/>
        <v>0</v>
      </c>
      <c r="AO406" s="294">
        <f t="shared" ref="AO406:BT406" si="625">-AO405</f>
        <v>0</v>
      </c>
      <c r="AP406" s="294">
        <f t="shared" si="625"/>
        <v>0</v>
      </c>
      <c r="AQ406" s="294">
        <f t="shared" si="625"/>
        <v>0</v>
      </c>
      <c r="AR406" s="294">
        <f t="shared" si="625"/>
        <v>0</v>
      </c>
      <c r="AS406" s="294">
        <f t="shared" si="625"/>
        <v>-1957</v>
      </c>
      <c r="AT406" s="294">
        <f t="shared" si="625"/>
        <v>-213.15</v>
      </c>
      <c r="AU406" s="294">
        <f t="shared" si="625"/>
        <v>-141</v>
      </c>
      <c r="AV406" s="294">
        <f t="shared" si="625"/>
        <v>-128.9</v>
      </c>
      <c r="AW406" s="294">
        <f t="shared" si="625"/>
        <v>-216.9</v>
      </c>
      <c r="AX406" s="294">
        <f t="shared" si="625"/>
        <v>-147</v>
      </c>
      <c r="AY406" s="294">
        <f t="shared" si="625"/>
        <v>-173.34059975203346</v>
      </c>
      <c r="AZ406" s="294">
        <f t="shared" si="625"/>
        <v>-209.89232166040171</v>
      </c>
      <c r="BA406" s="294">
        <f t="shared" si="625"/>
        <v>-169.38839535001776</v>
      </c>
      <c r="BB406" s="294">
        <f t="shared" si="625"/>
        <v>-406.5</v>
      </c>
      <c r="BC406" s="294">
        <f t="shared" si="625"/>
        <v>0</v>
      </c>
      <c r="BD406" s="294">
        <f t="shared" si="625"/>
        <v>0</v>
      </c>
      <c r="BE406" s="294">
        <f t="shared" si="625"/>
        <v>-2174</v>
      </c>
      <c r="BF406" s="294">
        <f t="shared" si="625"/>
        <v>-340</v>
      </c>
      <c r="BG406" s="294">
        <f t="shared" si="625"/>
        <v>-228</v>
      </c>
      <c r="BH406" s="294">
        <f t="shared" si="625"/>
        <v>-620.34</v>
      </c>
      <c r="BI406" s="294">
        <f t="shared" si="625"/>
        <v>-620.55417169853058</v>
      </c>
      <c r="BJ406" s="294">
        <f t="shared" si="625"/>
        <v>-493.70412058644479</v>
      </c>
      <c r="BK406" s="294">
        <f t="shared" si="625"/>
        <v>-537.74176792926312</v>
      </c>
      <c r="BL406" s="294">
        <f t="shared" si="625"/>
        <v>-148.51560875657972</v>
      </c>
      <c r="BM406" s="294">
        <f t="shared" si="625"/>
        <v>-637.35089294402553</v>
      </c>
      <c r="BN406" s="294">
        <f t="shared" si="625"/>
        <v>-595.10738864980408</v>
      </c>
      <c r="BO406" s="294">
        <f t="shared" si="625"/>
        <v>-322.05716447129413</v>
      </c>
      <c r="BP406" s="294">
        <f t="shared" si="625"/>
        <v>-152.92570067066609</v>
      </c>
      <c r="BQ406" s="294">
        <f t="shared" si="625"/>
        <v>-2513.3312491626098</v>
      </c>
      <c r="BR406" s="294">
        <f t="shared" si="625"/>
        <v>0</v>
      </c>
      <c r="BS406" s="294">
        <f t="shared" si="625"/>
        <v>-1043.4161979558655</v>
      </c>
      <c r="BT406" s="294">
        <f t="shared" si="625"/>
        <v>-1944.5274099441256</v>
      </c>
      <c r="BU406" s="294">
        <f t="shared" ref="BU406:CZ406" si="626">-BU405</f>
        <v>-3035.4997211698446</v>
      </c>
      <c r="BV406" s="294">
        <f t="shared" si="626"/>
        <v>-3772.0435385506148</v>
      </c>
      <c r="BW406" s="294">
        <f t="shared" si="626"/>
        <v>-3611.4358822424879</v>
      </c>
      <c r="BX406" s="294">
        <f t="shared" si="626"/>
        <v>-801.72933893809875</v>
      </c>
      <c r="BY406" s="294">
        <f t="shared" si="626"/>
        <v>0</v>
      </c>
      <c r="BZ406" s="294">
        <f t="shared" si="626"/>
        <v>0</v>
      </c>
      <c r="CA406" s="294">
        <f t="shared" si="626"/>
        <v>0</v>
      </c>
      <c r="CB406" s="294">
        <f t="shared" si="626"/>
        <v>-9846.6965333333319</v>
      </c>
      <c r="CC406" s="294">
        <f t="shared" si="626"/>
        <v>0</v>
      </c>
      <c r="CD406" s="294">
        <f t="shared" si="626"/>
        <v>0</v>
      </c>
      <c r="CE406" s="294">
        <f t="shared" si="626"/>
        <v>0</v>
      </c>
      <c r="CF406" s="294">
        <f t="shared" si="626"/>
        <v>-7877.3572266666661</v>
      </c>
      <c r="CG406" s="294">
        <f t="shared" si="626"/>
        <v>0</v>
      </c>
      <c r="CH406" s="294">
        <f t="shared" si="626"/>
        <v>0</v>
      </c>
      <c r="CI406" s="294">
        <f t="shared" si="626"/>
        <v>0</v>
      </c>
      <c r="CJ406" s="294">
        <f t="shared" si="626"/>
        <v>0</v>
      </c>
      <c r="CK406" s="294">
        <f t="shared" si="626"/>
        <v>0</v>
      </c>
      <c r="CL406" s="294">
        <f t="shared" si="626"/>
        <v>0</v>
      </c>
      <c r="CM406" s="294">
        <f t="shared" si="626"/>
        <v>0</v>
      </c>
      <c r="CN406" s="294">
        <f t="shared" si="626"/>
        <v>0</v>
      </c>
      <c r="CO406" s="294">
        <f t="shared" si="626"/>
        <v>0</v>
      </c>
      <c r="CP406" s="294">
        <f t="shared" si="626"/>
        <v>0</v>
      </c>
      <c r="CQ406" s="294">
        <f t="shared" si="626"/>
        <v>0</v>
      </c>
      <c r="CR406" s="294">
        <f t="shared" si="626"/>
        <v>0</v>
      </c>
      <c r="CS406" s="294">
        <f t="shared" si="626"/>
        <v>0</v>
      </c>
      <c r="CT406" s="294">
        <f t="shared" si="626"/>
        <v>0</v>
      </c>
      <c r="CU406" s="294">
        <f t="shared" si="626"/>
        <v>0</v>
      </c>
      <c r="CV406" s="294">
        <f t="shared" si="626"/>
        <v>0</v>
      </c>
      <c r="CW406" s="294">
        <f t="shared" si="626"/>
        <v>0</v>
      </c>
      <c r="CX406" s="294">
        <f t="shared" si="626"/>
        <v>0</v>
      </c>
      <c r="CY406" s="294">
        <f t="shared" si="626"/>
        <v>0</v>
      </c>
      <c r="CZ406" s="294">
        <f t="shared" si="626"/>
        <v>0</v>
      </c>
      <c r="DA406" s="294">
        <f t="shared" ref="DA406:DY406" si="627">-DA405</f>
        <v>0</v>
      </c>
      <c r="DB406" s="294">
        <f t="shared" si="627"/>
        <v>0</v>
      </c>
      <c r="DC406" s="294">
        <f t="shared" si="627"/>
        <v>0</v>
      </c>
      <c r="DD406" s="294">
        <f t="shared" si="627"/>
        <v>0</v>
      </c>
      <c r="DE406" s="294">
        <f t="shared" si="627"/>
        <v>0</v>
      </c>
      <c r="DF406" s="294">
        <f t="shared" si="627"/>
        <v>0</v>
      </c>
      <c r="DG406" s="294">
        <f t="shared" si="627"/>
        <v>0</v>
      </c>
      <c r="DH406" s="294">
        <f t="shared" si="627"/>
        <v>0</v>
      </c>
      <c r="DI406" s="294">
        <f t="shared" si="627"/>
        <v>0</v>
      </c>
      <c r="DJ406" s="294">
        <f t="shared" si="627"/>
        <v>0</v>
      </c>
      <c r="DK406" s="294">
        <f t="shared" si="627"/>
        <v>0</v>
      </c>
      <c r="DL406" s="294">
        <f t="shared" si="627"/>
        <v>0</v>
      </c>
      <c r="DM406" s="294">
        <f t="shared" si="627"/>
        <v>0</v>
      </c>
      <c r="DN406" s="294">
        <f t="shared" si="627"/>
        <v>0</v>
      </c>
      <c r="DO406" s="294">
        <f t="shared" si="627"/>
        <v>0</v>
      </c>
      <c r="DP406" s="294">
        <f t="shared" si="627"/>
        <v>0</v>
      </c>
      <c r="DQ406" s="294">
        <f t="shared" si="627"/>
        <v>0</v>
      </c>
      <c r="DR406" s="294">
        <f t="shared" si="627"/>
        <v>0</v>
      </c>
      <c r="DS406" s="294">
        <f t="shared" si="627"/>
        <v>0</v>
      </c>
      <c r="DT406" s="294">
        <f t="shared" si="627"/>
        <v>0</v>
      </c>
      <c r="DU406" s="294">
        <f t="shared" si="627"/>
        <v>0</v>
      </c>
      <c r="DV406" s="294">
        <f t="shared" si="627"/>
        <v>0</v>
      </c>
      <c r="DW406" s="294">
        <f t="shared" si="627"/>
        <v>0</v>
      </c>
      <c r="DX406" s="294">
        <f t="shared" si="627"/>
        <v>0</v>
      </c>
      <c r="DY406" s="294">
        <f t="shared" si="627"/>
        <v>0</v>
      </c>
    </row>
    <row r="407" spans="1:129" s="3" customFormat="1" ht="11.7" customHeight="1" outlineLevel="1" x14ac:dyDescent="0.25">
      <c r="B407" s="149" t="s">
        <v>620</v>
      </c>
      <c r="C407" s="149"/>
      <c r="G407" s="127"/>
      <c r="H407" s="127"/>
      <c r="I407" s="293"/>
      <c r="J407" s="293"/>
      <c r="K407" s="293"/>
      <c r="L407" s="293"/>
      <c r="M407" s="293"/>
      <c r="N407" s="293"/>
      <c r="O407" s="293"/>
      <c r="P407" s="293"/>
      <c r="Q407" s="293"/>
      <c r="R407" s="293"/>
      <c r="S407" s="293"/>
      <c r="T407" s="293"/>
      <c r="U407" s="293"/>
      <c r="V407" s="293"/>
      <c r="W407" s="293"/>
      <c r="X407" s="293"/>
      <c r="Y407" s="293"/>
      <c r="Z407" s="293"/>
      <c r="AA407" s="293"/>
      <c r="AB407" s="293"/>
      <c r="AC407" s="293"/>
      <c r="AD407" s="293"/>
      <c r="AE407" s="293"/>
      <c r="AF407" s="293"/>
      <c r="AG407" s="293"/>
      <c r="AH407" s="293"/>
      <c r="AI407" s="293"/>
      <c r="AJ407" s="293"/>
      <c r="AK407" s="293"/>
      <c r="AL407" s="293"/>
      <c r="AM407" s="293"/>
      <c r="AN407" s="293"/>
      <c r="AO407" s="293"/>
      <c r="AP407" s="293"/>
      <c r="AQ407" s="293"/>
      <c r="AR407" s="293"/>
      <c r="AS407" s="293"/>
      <c r="AT407" s="293"/>
      <c r="AU407" s="293"/>
      <c r="AV407" s="293"/>
      <c r="AW407" s="293"/>
      <c r="AX407" s="293"/>
      <c r="AY407" s="293"/>
      <c r="AZ407" s="293"/>
      <c r="BA407" s="293"/>
      <c r="BB407" s="293"/>
      <c r="BC407" s="293"/>
      <c r="BD407" s="293"/>
      <c r="BE407" s="293"/>
      <c r="BF407" s="293"/>
      <c r="BG407" s="293"/>
      <c r="BH407" s="293"/>
      <c r="BI407" s="293"/>
      <c r="BJ407" s="293"/>
      <c r="BK407" s="293"/>
      <c r="BL407" s="293"/>
      <c r="BM407" s="293"/>
      <c r="BN407" s="293"/>
      <c r="BO407" s="293"/>
      <c r="BP407" s="293"/>
      <c r="BQ407" s="293"/>
      <c r="BR407" s="293"/>
      <c r="BS407" s="293"/>
      <c r="BT407" s="293"/>
      <c r="BU407" s="293"/>
      <c r="BV407" s="293"/>
      <c r="BW407" s="293"/>
      <c r="BX407" s="293"/>
      <c r="BY407" s="293"/>
      <c r="BZ407" s="293"/>
      <c r="CA407" s="293"/>
      <c r="CB407" s="293"/>
      <c r="CC407" s="293"/>
      <c r="CD407" s="293"/>
      <c r="CE407" s="293"/>
      <c r="CF407" s="293"/>
      <c r="CG407" s="293"/>
      <c r="CH407" s="293"/>
      <c r="CI407" s="293"/>
      <c r="CJ407" s="293"/>
      <c r="CK407" s="293"/>
      <c r="CL407" s="293"/>
      <c r="CM407" s="293"/>
      <c r="CN407" s="293"/>
      <c r="CO407" s="293"/>
      <c r="CP407" s="293"/>
      <c r="CQ407" s="293"/>
      <c r="CR407" s="293"/>
      <c r="CS407" s="293"/>
      <c r="CT407" s="293"/>
      <c r="CU407" s="293"/>
      <c r="CV407" s="293"/>
      <c r="CW407" s="293"/>
      <c r="CX407" s="293"/>
      <c r="CY407" s="293"/>
      <c r="CZ407" s="293"/>
      <c r="DA407" s="293"/>
      <c r="DB407" s="293"/>
      <c r="DC407" s="293"/>
      <c r="DD407" s="293"/>
      <c r="DE407" s="293"/>
      <c r="DF407" s="293"/>
      <c r="DG407" s="293"/>
      <c r="DH407" s="293"/>
      <c r="DI407" s="293"/>
      <c r="DJ407" s="293"/>
      <c r="DK407" s="293"/>
      <c r="DL407" s="293"/>
      <c r="DM407" s="293"/>
      <c r="DN407" s="293"/>
      <c r="DO407" s="293"/>
      <c r="DP407" s="293"/>
      <c r="DQ407" s="293"/>
      <c r="DR407" s="293"/>
      <c r="DS407" s="293"/>
      <c r="DT407" s="293"/>
      <c r="DU407" s="293"/>
      <c r="DV407" s="293"/>
      <c r="DW407" s="293"/>
      <c r="DX407" s="293"/>
      <c r="DY407" s="293"/>
    </row>
    <row r="408" spans="1:129" s="3" customFormat="1" ht="11.7" customHeight="1" outlineLevel="1" x14ac:dyDescent="0.3">
      <c r="B408" s="195"/>
      <c r="C408" s="195"/>
      <c r="G408" s="127"/>
      <c r="H408" s="127"/>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c r="AS408" s="14"/>
      <c r="AT408" s="14"/>
      <c r="AU408" s="14"/>
      <c r="AV408" s="14"/>
      <c r="AW408" s="14"/>
      <c r="AX408" s="14"/>
      <c r="AY408" s="14"/>
      <c r="AZ408" s="14"/>
      <c r="BA408" s="14"/>
      <c r="BB408" s="14"/>
      <c r="BC408" s="14"/>
      <c r="BD408" s="14"/>
      <c r="BE408" s="14"/>
      <c r="BF408" s="14"/>
      <c r="BG408" s="14"/>
      <c r="BH408" s="14"/>
      <c r="BI408" s="14"/>
      <c r="BJ408" s="14"/>
      <c r="BK408" s="14"/>
      <c r="BL408" s="14"/>
      <c r="BM408" s="14"/>
      <c r="BN408" s="14"/>
      <c r="BO408" s="14"/>
      <c r="BP408" s="14"/>
      <c r="BQ408" s="14"/>
      <c r="BR408" s="14"/>
      <c r="BS408" s="14"/>
      <c r="BT408" s="14"/>
      <c r="BU408" s="14"/>
      <c r="BV408" s="14"/>
      <c r="BW408" s="14"/>
      <c r="BX408" s="14"/>
      <c r="BY408" s="14"/>
      <c r="BZ408" s="14"/>
      <c r="CA408" s="14"/>
      <c r="CB408" s="14"/>
      <c r="CC408" s="14"/>
      <c r="CD408" s="14"/>
      <c r="CE408" s="14"/>
      <c r="CF408" s="14"/>
      <c r="CG408" s="14"/>
      <c r="CH408" s="14"/>
      <c r="CI408" s="14"/>
      <c r="CJ408" s="14"/>
      <c r="CK408" s="14"/>
      <c r="CL408" s="14"/>
      <c r="CM408" s="14"/>
      <c r="CN408" s="14"/>
      <c r="CO408" s="14"/>
      <c r="CP408" s="14"/>
      <c r="CQ408" s="14"/>
      <c r="CR408" s="14"/>
      <c r="CS408" s="14"/>
      <c r="CT408" s="14"/>
      <c r="CU408" s="14"/>
      <c r="CV408" s="14"/>
      <c r="CW408" s="14"/>
      <c r="CX408" s="14"/>
      <c r="CY408" s="14"/>
      <c r="CZ408" s="14"/>
      <c r="DA408" s="14"/>
      <c r="DB408" s="14"/>
      <c r="DC408" s="14"/>
      <c r="DD408" s="14"/>
      <c r="DE408" s="14"/>
      <c r="DF408" s="14"/>
      <c r="DG408" s="14"/>
      <c r="DH408" s="14"/>
      <c r="DI408" s="14"/>
      <c r="DJ408" s="14"/>
      <c r="DK408" s="14"/>
      <c r="DL408" s="14"/>
      <c r="DM408" s="14"/>
      <c r="DN408" s="14"/>
      <c r="DO408" s="14"/>
      <c r="DP408" s="14"/>
      <c r="DQ408" s="14"/>
      <c r="DR408" s="14"/>
      <c r="DS408" s="14"/>
      <c r="DT408" s="14"/>
      <c r="DU408" s="14"/>
      <c r="DV408" s="14"/>
      <c r="DW408" s="14"/>
      <c r="DX408" s="14"/>
      <c r="DY408" s="14"/>
    </row>
    <row r="409" spans="1:129" s="3" customFormat="1" ht="11.7" customHeight="1" outlineLevel="1" x14ac:dyDescent="0.25">
      <c r="B409" s="152" t="s">
        <v>597</v>
      </c>
      <c r="C409" s="152"/>
      <c r="D409" s="63"/>
      <c r="E409" s="63"/>
      <c r="F409" s="63"/>
      <c r="G409" s="147"/>
      <c r="H409" s="308">
        <f>+SUM(I409:DY409)</f>
        <v>-3255.119999999999</v>
      </c>
      <c r="I409" s="294">
        <f t="shared" ref="I409:BT409" si="628">+SUM(I410:I410)</f>
        <v>0</v>
      </c>
      <c r="J409" s="294">
        <f t="shared" si="628"/>
        <v>0</v>
      </c>
      <c r="K409" s="294">
        <f t="shared" si="628"/>
        <v>0</v>
      </c>
      <c r="L409" s="294">
        <f t="shared" si="628"/>
        <v>0</v>
      </c>
      <c r="M409" s="294">
        <f t="shared" si="628"/>
        <v>0</v>
      </c>
      <c r="N409" s="294">
        <f t="shared" si="628"/>
        <v>0</v>
      </c>
      <c r="O409" s="294">
        <f t="shared" si="628"/>
        <v>0</v>
      </c>
      <c r="P409" s="294">
        <f t="shared" si="628"/>
        <v>0</v>
      </c>
      <c r="Q409" s="294">
        <f t="shared" si="628"/>
        <v>0</v>
      </c>
      <c r="R409" s="294">
        <f t="shared" si="628"/>
        <v>0</v>
      </c>
      <c r="S409" s="294">
        <f t="shared" si="628"/>
        <v>0</v>
      </c>
      <c r="T409" s="294">
        <f t="shared" si="628"/>
        <v>0</v>
      </c>
      <c r="U409" s="294">
        <f t="shared" si="628"/>
        <v>0</v>
      </c>
      <c r="V409" s="294">
        <f t="shared" si="628"/>
        <v>0</v>
      </c>
      <c r="W409" s="294">
        <f t="shared" si="628"/>
        <v>0</v>
      </c>
      <c r="X409" s="294">
        <f t="shared" si="628"/>
        <v>0</v>
      </c>
      <c r="Y409" s="294">
        <f t="shared" si="628"/>
        <v>0</v>
      </c>
      <c r="Z409" s="294">
        <f t="shared" si="628"/>
        <v>0</v>
      </c>
      <c r="AA409" s="294">
        <f t="shared" si="628"/>
        <v>0</v>
      </c>
      <c r="AB409" s="294">
        <f t="shared" si="628"/>
        <v>0</v>
      </c>
      <c r="AC409" s="294">
        <f t="shared" si="628"/>
        <v>0</v>
      </c>
      <c r="AD409" s="294">
        <f t="shared" si="628"/>
        <v>0</v>
      </c>
      <c r="AE409" s="294">
        <f t="shared" si="628"/>
        <v>0</v>
      </c>
      <c r="AF409" s="294">
        <f t="shared" si="628"/>
        <v>-680.7</v>
      </c>
      <c r="AG409" s="294">
        <f t="shared" si="628"/>
        <v>-230.6</v>
      </c>
      <c r="AH409" s="294">
        <f t="shared" si="628"/>
        <v>-94.01</v>
      </c>
      <c r="AI409" s="294">
        <f t="shared" si="628"/>
        <v>-90.42</v>
      </c>
      <c r="AJ409" s="294">
        <f t="shared" si="628"/>
        <v>-84.02</v>
      </c>
      <c r="AK409" s="294">
        <f t="shared" si="628"/>
        <v>-126.17</v>
      </c>
      <c r="AL409" s="294">
        <f t="shared" si="628"/>
        <v>-93.81</v>
      </c>
      <c r="AM409" s="294">
        <f t="shared" si="628"/>
        <v>-85.67</v>
      </c>
      <c r="AN409" s="294">
        <f t="shared" si="628"/>
        <v>-0.35</v>
      </c>
      <c r="AO409" s="294">
        <f t="shared" si="628"/>
        <v>-0.35</v>
      </c>
      <c r="AP409" s="294">
        <f t="shared" si="628"/>
        <v>-0.7</v>
      </c>
      <c r="AQ409" s="294">
        <f t="shared" si="628"/>
        <v>0</v>
      </c>
      <c r="AR409" s="294">
        <f t="shared" si="628"/>
        <v>0</v>
      </c>
      <c r="AS409" s="294">
        <f t="shared" si="628"/>
        <v>-1.0499999999999998</v>
      </c>
      <c r="AT409" s="294">
        <f t="shared" si="628"/>
        <v>-72.349999999999994</v>
      </c>
      <c r="AU409" s="294">
        <f t="shared" si="628"/>
        <v>-40.299999999999997</v>
      </c>
      <c r="AV409" s="294">
        <f t="shared" si="628"/>
        <v>-168.6</v>
      </c>
      <c r="AW409" s="294">
        <f t="shared" si="628"/>
        <v>-246.28</v>
      </c>
      <c r="AX409" s="294">
        <f t="shared" si="628"/>
        <v>-156.69999999999999</v>
      </c>
      <c r="AY409" s="294">
        <f t="shared" si="628"/>
        <v>0</v>
      </c>
      <c r="AZ409" s="294">
        <f t="shared" si="628"/>
        <v>-167.1</v>
      </c>
      <c r="BA409" s="294">
        <f t="shared" si="628"/>
        <v>-241.16</v>
      </c>
      <c r="BB409" s="294">
        <f t="shared" si="628"/>
        <v>-178.1</v>
      </c>
      <c r="BC409" s="294">
        <f t="shared" si="628"/>
        <v>-152.68</v>
      </c>
      <c r="BD409" s="294">
        <f t="shared" si="628"/>
        <v>0</v>
      </c>
      <c r="BE409" s="294">
        <f t="shared" si="628"/>
        <v>-153.69999999999999</v>
      </c>
      <c r="BF409" s="294">
        <f t="shared" si="628"/>
        <v>0</v>
      </c>
      <c r="BG409" s="294">
        <f t="shared" si="628"/>
        <v>0</v>
      </c>
      <c r="BH409" s="294">
        <f t="shared" si="628"/>
        <v>-190.3</v>
      </c>
      <c r="BI409" s="294">
        <f t="shared" si="628"/>
        <v>0</v>
      </c>
      <c r="BJ409" s="294">
        <f t="shared" si="628"/>
        <v>0</v>
      </c>
      <c r="BK409" s="294">
        <f t="shared" si="628"/>
        <v>0</v>
      </c>
      <c r="BL409" s="294">
        <f t="shared" si="628"/>
        <v>0</v>
      </c>
      <c r="BM409" s="294">
        <f t="shared" si="628"/>
        <v>0</v>
      </c>
      <c r="BN409" s="294">
        <f t="shared" si="628"/>
        <v>0</v>
      </c>
      <c r="BO409" s="294">
        <f t="shared" si="628"/>
        <v>0</v>
      </c>
      <c r="BP409" s="294">
        <f t="shared" si="628"/>
        <v>0</v>
      </c>
      <c r="BQ409" s="294">
        <f t="shared" si="628"/>
        <v>0</v>
      </c>
      <c r="BR409" s="294">
        <f t="shared" si="628"/>
        <v>0</v>
      </c>
      <c r="BS409" s="294">
        <f t="shared" si="628"/>
        <v>0</v>
      </c>
      <c r="BT409" s="294">
        <f t="shared" si="628"/>
        <v>0</v>
      </c>
      <c r="BU409" s="294">
        <f t="shared" ref="BU409:DY409" si="629">+SUM(BU410:BU410)</f>
        <v>0</v>
      </c>
      <c r="BV409" s="294">
        <f t="shared" si="629"/>
        <v>0</v>
      </c>
      <c r="BW409" s="294">
        <f t="shared" si="629"/>
        <v>0</v>
      </c>
      <c r="BX409" s="294">
        <f t="shared" si="629"/>
        <v>0</v>
      </c>
      <c r="BY409" s="294">
        <f t="shared" si="629"/>
        <v>0</v>
      </c>
      <c r="BZ409" s="294">
        <f t="shared" si="629"/>
        <v>0</v>
      </c>
      <c r="CA409" s="294">
        <f t="shared" si="629"/>
        <v>0</v>
      </c>
      <c r="CB409" s="294">
        <f t="shared" si="629"/>
        <v>0</v>
      </c>
      <c r="CC409" s="294">
        <f t="shared" si="629"/>
        <v>0</v>
      </c>
      <c r="CD409" s="294">
        <f t="shared" si="629"/>
        <v>0</v>
      </c>
      <c r="CE409" s="294">
        <f t="shared" si="629"/>
        <v>0</v>
      </c>
      <c r="CF409" s="294">
        <f t="shared" si="629"/>
        <v>0</v>
      </c>
      <c r="CG409" s="294">
        <f t="shared" si="629"/>
        <v>0</v>
      </c>
      <c r="CH409" s="294">
        <f t="shared" si="629"/>
        <v>0</v>
      </c>
      <c r="CI409" s="294">
        <f t="shared" si="629"/>
        <v>0</v>
      </c>
      <c r="CJ409" s="294">
        <f t="shared" si="629"/>
        <v>0</v>
      </c>
      <c r="CK409" s="294">
        <f t="shared" si="629"/>
        <v>0</v>
      </c>
      <c r="CL409" s="294">
        <f t="shared" si="629"/>
        <v>0</v>
      </c>
      <c r="CM409" s="294">
        <f t="shared" si="629"/>
        <v>0</v>
      </c>
      <c r="CN409" s="294">
        <f t="shared" si="629"/>
        <v>0</v>
      </c>
      <c r="CO409" s="294">
        <f t="shared" si="629"/>
        <v>0</v>
      </c>
      <c r="CP409" s="294">
        <f t="shared" si="629"/>
        <v>0</v>
      </c>
      <c r="CQ409" s="294">
        <f t="shared" si="629"/>
        <v>0</v>
      </c>
      <c r="CR409" s="294">
        <f t="shared" si="629"/>
        <v>0</v>
      </c>
      <c r="CS409" s="294">
        <f t="shared" si="629"/>
        <v>0</v>
      </c>
      <c r="CT409" s="294">
        <f t="shared" si="629"/>
        <v>0</v>
      </c>
      <c r="CU409" s="294">
        <f t="shared" si="629"/>
        <v>0</v>
      </c>
      <c r="CV409" s="294">
        <f t="shared" si="629"/>
        <v>0</v>
      </c>
      <c r="CW409" s="294">
        <f t="shared" si="629"/>
        <v>0</v>
      </c>
      <c r="CX409" s="294">
        <f t="shared" si="629"/>
        <v>0</v>
      </c>
      <c r="CY409" s="294">
        <f t="shared" si="629"/>
        <v>0</v>
      </c>
      <c r="CZ409" s="294">
        <f t="shared" si="629"/>
        <v>0</v>
      </c>
      <c r="DA409" s="294">
        <f t="shared" si="629"/>
        <v>0</v>
      </c>
      <c r="DB409" s="294">
        <f t="shared" si="629"/>
        <v>0</v>
      </c>
      <c r="DC409" s="294">
        <f t="shared" si="629"/>
        <v>0</v>
      </c>
      <c r="DD409" s="294">
        <f t="shared" si="629"/>
        <v>0</v>
      </c>
      <c r="DE409" s="294">
        <f t="shared" si="629"/>
        <v>0</v>
      </c>
      <c r="DF409" s="294">
        <f t="shared" si="629"/>
        <v>0</v>
      </c>
      <c r="DG409" s="294">
        <f t="shared" si="629"/>
        <v>0</v>
      </c>
      <c r="DH409" s="294">
        <f t="shared" si="629"/>
        <v>0</v>
      </c>
      <c r="DI409" s="294">
        <f t="shared" si="629"/>
        <v>0</v>
      </c>
      <c r="DJ409" s="294">
        <f t="shared" si="629"/>
        <v>0</v>
      </c>
      <c r="DK409" s="294">
        <f t="shared" si="629"/>
        <v>0</v>
      </c>
      <c r="DL409" s="294">
        <f t="shared" si="629"/>
        <v>0</v>
      </c>
      <c r="DM409" s="294">
        <f t="shared" si="629"/>
        <v>0</v>
      </c>
      <c r="DN409" s="294">
        <f t="shared" si="629"/>
        <v>0</v>
      </c>
      <c r="DO409" s="294">
        <f t="shared" si="629"/>
        <v>0</v>
      </c>
      <c r="DP409" s="294">
        <f t="shared" si="629"/>
        <v>0</v>
      </c>
      <c r="DQ409" s="294">
        <f t="shared" si="629"/>
        <v>0</v>
      </c>
      <c r="DR409" s="294">
        <f t="shared" si="629"/>
        <v>0</v>
      </c>
      <c r="DS409" s="294">
        <f t="shared" si="629"/>
        <v>0</v>
      </c>
      <c r="DT409" s="294">
        <f t="shared" si="629"/>
        <v>0</v>
      </c>
      <c r="DU409" s="294">
        <f t="shared" si="629"/>
        <v>0</v>
      </c>
      <c r="DV409" s="294">
        <f t="shared" si="629"/>
        <v>0</v>
      </c>
      <c r="DW409" s="294">
        <f t="shared" si="629"/>
        <v>0</v>
      </c>
      <c r="DX409" s="294">
        <f t="shared" si="629"/>
        <v>0</v>
      </c>
      <c r="DY409" s="294">
        <f t="shared" si="629"/>
        <v>0</v>
      </c>
    </row>
    <row r="410" spans="1:129" s="3" customFormat="1" ht="11.7" customHeight="1" outlineLevel="1" x14ac:dyDescent="0.25">
      <c r="B410" s="113" t="s">
        <v>621</v>
      </c>
      <c r="C410" s="113"/>
      <c r="D410" s="113"/>
      <c r="G410" s="127"/>
      <c r="H410" s="308">
        <f>+SUM(I410:DY410)</f>
        <v>-3255.119999999999</v>
      </c>
      <c r="I410" s="300">
        <v>0</v>
      </c>
      <c r="J410" s="300">
        <v>0</v>
      </c>
      <c r="K410" s="300">
        <v>0</v>
      </c>
      <c r="L410" s="300">
        <v>0</v>
      </c>
      <c r="M410" s="300">
        <v>0</v>
      </c>
      <c r="N410" s="300">
        <v>0</v>
      </c>
      <c r="O410" s="300">
        <v>0</v>
      </c>
      <c r="P410" s="300">
        <v>0</v>
      </c>
      <c r="Q410" s="300">
        <v>0</v>
      </c>
      <c r="R410" s="300">
        <v>0</v>
      </c>
      <c r="S410" s="300">
        <v>0</v>
      </c>
      <c r="T410" s="300">
        <v>0</v>
      </c>
      <c r="U410" s="300">
        <v>0</v>
      </c>
      <c r="V410" s="300">
        <v>0</v>
      </c>
      <c r="W410" s="300">
        <v>0</v>
      </c>
      <c r="X410" s="300">
        <v>0</v>
      </c>
      <c r="Y410" s="300">
        <v>0</v>
      </c>
      <c r="Z410" s="300">
        <v>0</v>
      </c>
      <c r="AA410" s="300">
        <v>0</v>
      </c>
      <c r="AB410" s="300">
        <v>0</v>
      </c>
      <c r="AC410" s="300">
        <v>0</v>
      </c>
      <c r="AD410" s="300">
        <v>0</v>
      </c>
      <c r="AE410" s="300">
        <v>0</v>
      </c>
      <c r="AF410" s="300">
        <v>-680.7</v>
      </c>
      <c r="AG410" s="300">
        <v>-230.6</v>
      </c>
      <c r="AH410" s="300">
        <v>-94.01</v>
      </c>
      <c r="AI410" s="300">
        <v>-90.42</v>
      </c>
      <c r="AJ410" s="300">
        <v>-84.02</v>
      </c>
      <c r="AK410" s="300">
        <v>-126.17</v>
      </c>
      <c r="AL410" s="300">
        <v>-93.81</v>
      </c>
      <c r="AM410" s="300">
        <v>-85.67</v>
      </c>
      <c r="AN410" s="300">
        <v>-0.35</v>
      </c>
      <c r="AO410" s="300">
        <v>-0.35</v>
      </c>
      <c r="AP410" s="300">
        <v>-0.7</v>
      </c>
      <c r="AQ410" s="300">
        <v>0</v>
      </c>
      <c r="AR410" s="300">
        <v>0</v>
      </c>
      <c r="AS410" s="300">
        <f>-0.35-0.35-0.35</f>
        <v>-1.0499999999999998</v>
      </c>
      <c r="AT410" s="300">
        <f>-0.35-72</f>
        <v>-72.349999999999994</v>
      </c>
      <c r="AU410" s="300">
        <v>-40.299999999999997</v>
      </c>
      <c r="AV410" s="300">
        <f>-108.3-60.3</f>
        <v>-168.6</v>
      </c>
      <c r="AW410" s="300">
        <f>-0.34-161.6-0.34-84</f>
        <v>-246.28</v>
      </c>
      <c r="AX410" s="300">
        <v>-156.69999999999999</v>
      </c>
      <c r="AY410" s="300">
        <v>0</v>
      </c>
      <c r="AZ410" s="300">
        <v>-167.1</v>
      </c>
      <c r="BA410" s="1019">
        <v>-241.16</v>
      </c>
      <c r="BB410" s="1019">
        <v>-178.1</v>
      </c>
      <c r="BC410" s="1019">
        <v>-152.68</v>
      </c>
      <c r="BD410" s="1019">
        <v>0</v>
      </c>
      <c r="BE410" s="1019">
        <v>-153.69999999999999</v>
      </c>
      <c r="BF410" s="1019">
        <v>0</v>
      </c>
      <c r="BG410" s="1019">
        <v>0</v>
      </c>
      <c r="BH410" s="1019">
        <v>-190.3</v>
      </c>
      <c r="BI410" s="1019">
        <v>0</v>
      </c>
      <c r="BJ410" s="1019">
        <v>0</v>
      </c>
      <c r="BK410" s="1019">
        <v>0</v>
      </c>
      <c r="BL410" s="1019">
        <v>0</v>
      </c>
      <c r="BM410" s="1019">
        <v>0</v>
      </c>
      <c r="BN410" s="1019">
        <v>0</v>
      </c>
      <c r="BO410" s="1019">
        <v>0</v>
      </c>
      <c r="BP410" s="1019">
        <v>0</v>
      </c>
      <c r="BQ410" s="1019">
        <v>0</v>
      </c>
      <c r="BR410" s="1019">
        <v>0</v>
      </c>
      <c r="BS410" s="1019">
        <v>0</v>
      </c>
      <c r="BT410" s="1019">
        <v>0</v>
      </c>
      <c r="BU410" s="1019">
        <v>0</v>
      </c>
      <c r="BV410" s="1019">
        <v>0</v>
      </c>
      <c r="BW410" s="1019">
        <v>0</v>
      </c>
      <c r="BX410" s="1019">
        <v>0</v>
      </c>
      <c r="BY410" s="1019">
        <v>0</v>
      </c>
      <c r="BZ410" s="1019">
        <v>0</v>
      </c>
      <c r="CA410" s="1019">
        <v>0</v>
      </c>
      <c r="CB410" s="1019">
        <v>0</v>
      </c>
      <c r="CC410" s="1019">
        <v>0</v>
      </c>
      <c r="CD410" s="1019">
        <v>0</v>
      </c>
      <c r="CE410" s="1019">
        <v>0</v>
      </c>
      <c r="CF410" s="1019">
        <v>0</v>
      </c>
      <c r="CG410" s="1019">
        <v>0</v>
      </c>
      <c r="CH410" s="1019">
        <v>0</v>
      </c>
      <c r="CI410" s="1019">
        <v>0</v>
      </c>
      <c r="CJ410" s="1019">
        <v>0</v>
      </c>
      <c r="CK410" s="1019">
        <v>0</v>
      </c>
      <c r="CL410" s="1019">
        <v>0</v>
      </c>
      <c r="CM410" s="1019">
        <v>0</v>
      </c>
      <c r="CN410" s="1019">
        <v>0</v>
      </c>
      <c r="CO410" s="1019">
        <v>0</v>
      </c>
      <c r="CP410" s="1019">
        <v>0</v>
      </c>
      <c r="CQ410" s="1019">
        <v>0</v>
      </c>
      <c r="CR410" s="1019">
        <v>0</v>
      </c>
      <c r="CS410" s="1019">
        <v>0</v>
      </c>
      <c r="CT410" s="1019">
        <v>0</v>
      </c>
      <c r="CU410" s="1019">
        <v>0</v>
      </c>
      <c r="CV410" s="1019">
        <v>0</v>
      </c>
      <c r="CW410" s="1019">
        <v>0</v>
      </c>
      <c r="CX410" s="1019">
        <v>0</v>
      </c>
      <c r="CY410" s="1019">
        <v>0</v>
      </c>
      <c r="CZ410" s="1019">
        <v>0</v>
      </c>
      <c r="DA410" s="1019">
        <v>0</v>
      </c>
      <c r="DB410" s="1019">
        <v>0</v>
      </c>
      <c r="DC410" s="1019">
        <v>0</v>
      </c>
      <c r="DD410" s="1019">
        <v>0</v>
      </c>
      <c r="DE410" s="1019">
        <v>0</v>
      </c>
      <c r="DF410" s="1019">
        <v>0</v>
      </c>
      <c r="DG410" s="1019">
        <v>0</v>
      </c>
      <c r="DH410" s="1019">
        <v>0</v>
      </c>
      <c r="DI410" s="1019">
        <v>0</v>
      </c>
      <c r="DJ410" s="1019">
        <v>0</v>
      </c>
      <c r="DK410" s="1019">
        <v>0</v>
      </c>
      <c r="DL410" s="1019">
        <v>0</v>
      </c>
      <c r="DM410" s="1019">
        <v>0</v>
      </c>
      <c r="DN410" s="1019">
        <v>0</v>
      </c>
      <c r="DO410" s="1019">
        <v>0</v>
      </c>
      <c r="DP410" s="1019">
        <v>0</v>
      </c>
      <c r="DQ410" s="1019">
        <v>0</v>
      </c>
      <c r="DR410" s="1019">
        <v>0</v>
      </c>
      <c r="DS410" s="1019">
        <v>0</v>
      </c>
      <c r="DT410" s="1019">
        <v>0</v>
      </c>
      <c r="DU410" s="1019">
        <v>0</v>
      </c>
      <c r="DV410" s="1019">
        <v>0</v>
      </c>
      <c r="DW410" s="1019">
        <v>0</v>
      </c>
      <c r="DX410" s="1019">
        <v>0</v>
      </c>
      <c r="DY410" s="1019">
        <v>0</v>
      </c>
    </row>
    <row r="411" spans="1:129" s="5" customFormat="1" ht="11.7" customHeight="1" outlineLevel="1" x14ac:dyDescent="0.3">
      <c r="A411" s="3"/>
      <c r="B411" s="130"/>
      <c r="C411" s="130"/>
      <c r="D411" s="3"/>
      <c r="E411" s="3"/>
      <c r="F411" s="3"/>
      <c r="G411" s="127"/>
      <c r="H411" s="127"/>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c r="AS411" s="14"/>
      <c r="AT411" s="14"/>
      <c r="AU411" s="14"/>
      <c r="AV411" s="14"/>
      <c r="AW411" s="14"/>
      <c r="AX411" s="14"/>
      <c r="AY411" s="14"/>
      <c r="AZ411" s="14"/>
      <c r="BA411" s="14"/>
      <c r="BB411" s="14"/>
      <c r="BC411" s="14"/>
      <c r="BD411" s="14"/>
      <c r="BE411" s="14"/>
      <c r="BF411" s="14"/>
      <c r="BG411" s="14"/>
      <c r="BH411" s="14"/>
      <c r="BI411" s="14"/>
      <c r="BJ411" s="14"/>
      <c r="BK411" s="14"/>
      <c r="BL411" s="14"/>
      <c r="BM411" s="14"/>
      <c r="BN411" s="14"/>
      <c r="BO411" s="14"/>
      <c r="BP411" s="14"/>
      <c r="BQ411" s="14"/>
      <c r="BR411" s="14"/>
      <c r="BS411" s="14"/>
      <c r="BT411" s="14"/>
      <c r="BU411" s="14"/>
      <c r="BV411" s="14"/>
      <c r="BW411" s="14"/>
      <c r="BX411" s="14"/>
      <c r="BY411" s="14"/>
      <c r="BZ411" s="14"/>
      <c r="CA411" s="14"/>
      <c r="CB411" s="14"/>
      <c r="CC411" s="14"/>
      <c r="CD411" s="14"/>
      <c r="CE411" s="14"/>
      <c r="CF411" s="14"/>
      <c r="CG411" s="14"/>
      <c r="CH411" s="14"/>
      <c r="CI411" s="14"/>
      <c r="CJ411" s="14"/>
      <c r="CK411" s="14"/>
      <c r="CL411" s="14"/>
      <c r="CM411" s="14"/>
      <c r="CN411" s="14"/>
      <c r="CO411" s="14"/>
      <c r="CP411" s="14"/>
      <c r="CQ411" s="14"/>
      <c r="CR411" s="14"/>
      <c r="CS411" s="14"/>
      <c r="CT411" s="14"/>
      <c r="CU411" s="14"/>
      <c r="CV411" s="14"/>
      <c r="CW411" s="14"/>
      <c r="CX411" s="14"/>
      <c r="CY411" s="14"/>
      <c r="CZ411" s="14"/>
      <c r="DA411" s="14"/>
      <c r="DB411" s="14"/>
      <c r="DC411" s="14"/>
      <c r="DD411" s="14"/>
      <c r="DE411" s="14"/>
      <c r="DF411" s="14"/>
      <c r="DG411" s="14"/>
      <c r="DH411" s="14"/>
      <c r="DI411" s="14"/>
      <c r="DJ411" s="14"/>
      <c r="DK411" s="14"/>
      <c r="DL411" s="14"/>
      <c r="DM411" s="14"/>
      <c r="DN411" s="14"/>
      <c r="DO411" s="14"/>
      <c r="DP411" s="14"/>
      <c r="DQ411" s="14"/>
      <c r="DR411" s="14"/>
      <c r="DS411" s="14"/>
      <c r="DT411" s="14"/>
      <c r="DU411" s="14"/>
      <c r="DV411" s="14"/>
      <c r="DW411" s="14"/>
      <c r="DX411" s="14"/>
      <c r="DY411" s="14"/>
    </row>
    <row r="412" spans="1:129" s="5" customFormat="1" ht="11.7" customHeight="1" x14ac:dyDescent="0.3">
      <c r="A412" s="3"/>
      <c r="B412" s="130"/>
      <c r="C412" s="130"/>
      <c r="D412" s="3"/>
      <c r="E412" s="3"/>
      <c r="F412" s="3"/>
      <c r="G412" s="127"/>
      <c r="H412" s="127"/>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c r="AQ412" s="14"/>
      <c r="AR412" s="14"/>
      <c r="AS412" s="14"/>
      <c r="AT412" s="14"/>
      <c r="AU412" s="14"/>
      <c r="AV412" s="14"/>
      <c r="AW412" s="14"/>
      <c r="AX412" s="14"/>
      <c r="AY412" s="14"/>
      <c r="AZ412" s="14"/>
      <c r="BA412" s="14"/>
      <c r="BB412" s="14"/>
      <c r="BC412" s="14"/>
      <c r="BD412" s="14"/>
      <c r="BE412" s="14"/>
      <c r="BF412" s="14"/>
      <c r="BG412" s="14"/>
      <c r="BH412" s="14"/>
      <c r="BI412" s="14"/>
      <c r="BJ412" s="14"/>
      <c r="BK412" s="14"/>
      <c r="BL412" s="14"/>
      <c r="BM412" s="14"/>
      <c r="BN412" s="14"/>
      <c r="BO412" s="14"/>
      <c r="BP412" s="14"/>
      <c r="BQ412" s="14"/>
      <c r="BR412" s="14"/>
      <c r="BS412" s="14"/>
      <c r="BT412" s="14"/>
      <c r="BU412" s="14"/>
      <c r="BV412" s="14"/>
      <c r="BW412" s="14"/>
      <c r="BX412" s="14"/>
      <c r="BY412" s="14"/>
      <c r="BZ412" s="14"/>
      <c r="CA412" s="14"/>
      <c r="CB412" s="14"/>
      <c r="CC412" s="14"/>
      <c r="CD412" s="14"/>
      <c r="CE412" s="14"/>
      <c r="CF412" s="14"/>
      <c r="CG412" s="14"/>
      <c r="CH412" s="14"/>
      <c r="CI412" s="14"/>
      <c r="CJ412" s="14"/>
      <c r="CK412" s="14"/>
      <c r="CL412" s="14"/>
      <c r="CM412" s="14"/>
      <c r="CN412" s="14"/>
      <c r="CO412" s="14"/>
      <c r="CP412" s="14"/>
      <c r="CQ412" s="14"/>
      <c r="CR412" s="14"/>
      <c r="CS412" s="14"/>
      <c r="CT412" s="14"/>
      <c r="CU412" s="14"/>
      <c r="CV412" s="14"/>
      <c r="CW412" s="14"/>
      <c r="CX412" s="14"/>
      <c r="CY412" s="14"/>
      <c r="CZ412" s="14"/>
      <c r="DA412" s="14"/>
      <c r="DB412" s="14"/>
      <c r="DC412" s="14"/>
      <c r="DD412" s="14"/>
      <c r="DE412" s="14"/>
      <c r="DF412" s="14"/>
      <c r="DG412" s="14"/>
      <c r="DH412" s="14"/>
      <c r="DI412" s="14"/>
      <c r="DJ412" s="14"/>
      <c r="DK412" s="14"/>
      <c r="DL412" s="14"/>
      <c r="DM412" s="14"/>
      <c r="DN412" s="14"/>
      <c r="DO412" s="14"/>
      <c r="DP412" s="14"/>
      <c r="DQ412" s="14"/>
      <c r="DR412" s="14"/>
      <c r="DS412" s="14"/>
      <c r="DT412" s="14"/>
      <c r="DU412" s="14"/>
      <c r="DV412" s="14"/>
      <c r="DW412" s="14"/>
      <c r="DX412" s="14"/>
      <c r="DY412" s="14"/>
    </row>
    <row r="413" spans="1:129" s="5" customFormat="1" ht="11.7" customHeight="1" x14ac:dyDescent="0.3">
      <c r="A413" s="3"/>
      <c r="B413" s="313" t="s">
        <v>20</v>
      </c>
      <c r="C413" s="313"/>
      <c r="D413" s="313"/>
      <c r="E413" s="313"/>
      <c r="F413" s="313"/>
      <c r="G413" s="313"/>
      <c r="H413" s="313"/>
      <c r="I413" s="313"/>
      <c r="J413" s="313"/>
      <c r="K413" s="313"/>
      <c r="L413" s="313"/>
      <c r="M413" s="313"/>
      <c r="N413" s="313"/>
      <c r="O413" s="313"/>
      <c r="P413" s="313"/>
      <c r="Q413" s="313"/>
      <c r="R413" s="313"/>
      <c r="S413" s="313"/>
      <c r="T413" s="313"/>
      <c r="U413" s="313"/>
      <c r="V413" s="313"/>
      <c r="W413" s="313"/>
      <c r="X413" s="313"/>
      <c r="Y413" s="313"/>
      <c r="Z413" s="313"/>
      <c r="AA413" s="313"/>
      <c r="AB413" s="313"/>
      <c r="AC413" s="313"/>
      <c r="AD413" s="313"/>
      <c r="AE413" s="313"/>
      <c r="AF413" s="313"/>
      <c r="AG413" s="313"/>
      <c r="AH413" s="313"/>
      <c r="AI413" s="313"/>
      <c r="AJ413" s="313"/>
      <c r="AK413" s="313"/>
      <c r="AL413" s="313"/>
      <c r="AM413" s="313"/>
      <c r="AN413" s="313"/>
      <c r="AO413" s="313"/>
      <c r="AP413" s="313"/>
      <c r="AQ413" s="313"/>
      <c r="AR413" s="313"/>
      <c r="AS413" s="313"/>
      <c r="AT413" s="313"/>
      <c r="AU413" s="313"/>
      <c r="AV413" s="313"/>
      <c r="AW413" s="313"/>
      <c r="AX413" s="313"/>
      <c r="AY413" s="313"/>
      <c r="AZ413" s="313"/>
      <c r="BA413" s="313"/>
      <c r="BB413" s="313"/>
      <c r="BC413" s="313"/>
      <c r="BD413" s="313"/>
      <c r="BE413" s="313"/>
      <c r="BF413" s="313"/>
      <c r="BG413" s="313"/>
      <c r="BH413" s="313"/>
      <c r="BI413" s="313"/>
      <c r="BJ413" s="313"/>
      <c r="BK413" s="313"/>
      <c r="BL413" s="313"/>
      <c r="BM413" s="313"/>
      <c r="BN413" s="313"/>
      <c r="BO413" s="313"/>
      <c r="BP413" s="313"/>
      <c r="BQ413" s="313"/>
      <c r="BR413" s="313"/>
      <c r="BS413" s="313"/>
      <c r="BT413" s="313"/>
      <c r="BU413" s="313"/>
      <c r="BV413" s="313"/>
      <c r="BW413" s="313"/>
      <c r="BX413" s="313"/>
      <c r="BY413" s="313"/>
      <c r="BZ413" s="313"/>
      <c r="CA413" s="313"/>
      <c r="CB413" s="313"/>
      <c r="CC413" s="313"/>
      <c r="CD413" s="313"/>
      <c r="CE413" s="313"/>
      <c r="CF413" s="313"/>
      <c r="CG413" s="313"/>
      <c r="CH413" s="313"/>
      <c r="CI413" s="313"/>
      <c r="CJ413" s="313"/>
      <c r="CK413" s="313"/>
      <c r="CL413" s="313"/>
      <c r="CM413" s="313"/>
      <c r="CN413" s="313"/>
      <c r="CO413" s="313"/>
      <c r="CP413" s="313"/>
      <c r="CQ413" s="313"/>
      <c r="CR413" s="313"/>
      <c r="CS413" s="313"/>
      <c r="CT413" s="313"/>
      <c r="CU413" s="313"/>
      <c r="CV413" s="313"/>
      <c r="CW413" s="313"/>
      <c r="CX413" s="313"/>
      <c r="CY413" s="313"/>
      <c r="CZ413" s="313"/>
      <c r="DA413" s="313"/>
      <c r="DB413" s="313"/>
      <c r="DC413" s="313"/>
      <c r="DD413" s="313"/>
      <c r="DE413" s="313"/>
      <c r="DF413" s="313"/>
      <c r="DG413" s="313"/>
      <c r="DH413" s="313"/>
      <c r="DI413" s="313"/>
      <c r="DJ413" s="313"/>
      <c r="DK413" s="313"/>
      <c r="DL413" s="313"/>
      <c r="DM413" s="313"/>
      <c r="DN413" s="313"/>
      <c r="DO413" s="313"/>
      <c r="DP413" s="313"/>
      <c r="DQ413" s="313"/>
      <c r="DR413" s="313"/>
      <c r="DS413" s="313"/>
      <c r="DT413" s="313"/>
      <c r="DU413" s="313"/>
      <c r="DV413" s="313"/>
      <c r="DW413" s="313"/>
      <c r="DX413" s="313"/>
      <c r="DY413" s="313"/>
    </row>
    <row r="414" spans="1:129" s="3" customFormat="1" ht="11.7" customHeight="1" outlineLevel="1" x14ac:dyDescent="0.3">
      <c r="G414" s="127"/>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c r="AQ414" s="14"/>
      <c r="AR414" s="14"/>
      <c r="AS414" s="14"/>
      <c r="AT414" s="14"/>
      <c r="AU414" s="14"/>
      <c r="AV414" s="14"/>
      <c r="AW414" s="14"/>
      <c r="AX414" s="14"/>
      <c r="AY414" s="14"/>
      <c r="AZ414" s="14"/>
      <c r="BA414" s="14"/>
      <c r="BB414" s="14"/>
      <c r="BC414" s="14"/>
      <c r="BD414" s="14"/>
      <c r="BE414" s="14"/>
      <c r="BF414" s="14"/>
      <c r="BG414" s="14"/>
      <c r="BH414" s="14"/>
      <c r="BI414" s="14"/>
      <c r="BJ414" s="14"/>
      <c r="BK414" s="14"/>
      <c r="BL414" s="14"/>
      <c r="BM414" s="14"/>
      <c r="BN414" s="14"/>
      <c r="BO414" s="14"/>
      <c r="BP414" s="14"/>
      <c r="BQ414" s="14"/>
      <c r="BR414" s="14"/>
      <c r="BS414" s="14"/>
      <c r="BT414" s="14"/>
      <c r="BU414" s="14"/>
      <c r="BV414" s="14"/>
      <c r="BW414" s="14"/>
      <c r="BX414" s="14"/>
      <c r="BY414" s="14"/>
      <c r="BZ414" s="14"/>
      <c r="CA414" s="14"/>
      <c r="CB414" s="14"/>
      <c r="CC414" s="14"/>
      <c r="CD414" s="14"/>
      <c r="CE414" s="14"/>
      <c r="CF414" s="14"/>
      <c r="CG414" s="14"/>
      <c r="CH414" s="14"/>
      <c r="CI414" s="14"/>
      <c r="CJ414" s="14"/>
      <c r="CK414" s="14"/>
      <c r="CL414" s="14"/>
      <c r="CM414" s="14"/>
      <c r="CN414" s="14"/>
      <c r="CO414" s="14"/>
      <c r="CP414" s="14"/>
      <c r="CQ414" s="14"/>
      <c r="CR414" s="14"/>
      <c r="CS414" s="14"/>
      <c r="CT414" s="14"/>
      <c r="CU414" s="14"/>
      <c r="CV414" s="14"/>
      <c r="CW414" s="14"/>
      <c r="CX414" s="14"/>
      <c r="CY414" s="14"/>
      <c r="CZ414" s="14"/>
      <c r="DA414" s="14"/>
      <c r="DB414" s="14"/>
      <c r="DC414" s="14"/>
      <c r="DD414" s="14"/>
      <c r="DE414" s="14"/>
      <c r="DF414" s="14"/>
      <c r="DG414" s="14"/>
      <c r="DH414" s="14"/>
      <c r="DI414" s="14"/>
      <c r="DJ414" s="14"/>
      <c r="DK414" s="14"/>
      <c r="DL414" s="14"/>
      <c r="DM414" s="14"/>
      <c r="DN414" s="14"/>
      <c r="DO414" s="14"/>
      <c r="DP414" s="14"/>
      <c r="DQ414" s="14"/>
      <c r="DR414" s="14"/>
      <c r="DS414" s="14"/>
      <c r="DT414" s="14"/>
      <c r="DU414" s="14"/>
      <c r="DV414" s="14"/>
      <c r="DW414" s="14"/>
      <c r="DX414" s="14"/>
      <c r="DY414" s="14"/>
    </row>
    <row r="415" spans="1:129" s="111" customFormat="1" ht="11.7" customHeight="1" outlineLevel="1" x14ac:dyDescent="0.3">
      <c r="A415" s="3"/>
      <c r="B415" s="125" t="s">
        <v>103</v>
      </c>
      <c r="C415" s="125"/>
      <c r="D415" s="3"/>
      <c r="E415" s="3"/>
      <c r="F415" s="3"/>
      <c r="G415" s="3"/>
      <c r="H415" s="308">
        <f t="shared" ref="H415:H421" si="630">+SUM(I415:DY415)</f>
        <v>-551615.36953662685</v>
      </c>
      <c r="I415" s="14">
        <f>I$67</f>
        <v>-148941.6</v>
      </c>
      <c r="J415" s="14">
        <f t="shared" ref="J415:BU415" si="631">J$67</f>
        <v>-8541.0184170888751</v>
      </c>
      <c r="K415" s="14">
        <f t="shared" si="631"/>
        <v>-771.2</v>
      </c>
      <c r="L415" s="14">
        <f t="shared" si="631"/>
        <v>-2963.8068221862859</v>
      </c>
      <c r="M415" s="14">
        <f t="shared" si="631"/>
        <v>-503.53645603247571</v>
      </c>
      <c r="N415" s="14">
        <f t="shared" si="631"/>
        <v>-2606.4505945243063</v>
      </c>
      <c r="O415" s="14">
        <f t="shared" si="631"/>
        <v>0</v>
      </c>
      <c r="P415" s="14">
        <f t="shared" si="631"/>
        <v>-660.89596559726238</v>
      </c>
      <c r="Q415" s="14">
        <f t="shared" si="631"/>
        <v>-2371.1427321533956</v>
      </c>
      <c r="R415" s="14">
        <f t="shared" si="631"/>
        <v>-823.40604281012747</v>
      </c>
      <c r="S415" s="14">
        <f t="shared" si="631"/>
        <v>-1555.46</v>
      </c>
      <c r="T415" s="14">
        <f t="shared" si="631"/>
        <v>-1087.3312740467463</v>
      </c>
      <c r="U415" s="14">
        <f t="shared" si="631"/>
        <v>-225.53644334802181</v>
      </c>
      <c r="V415" s="14">
        <f t="shared" si="631"/>
        <v>-2724.8097463965332</v>
      </c>
      <c r="W415" s="14">
        <f t="shared" si="631"/>
        <v>-6344.4078985883452</v>
      </c>
      <c r="X415" s="14">
        <f t="shared" si="631"/>
        <v>-1307.5542789935589</v>
      </c>
      <c r="Y415" s="14">
        <f t="shared" si="631"/>
        <v>-7717.3486573334576</v>
      </c>
      <c r="Z415" s="14">
        <f t="shared" si="631"/>
        <v>-4061.0446828974077</v>
      </c>
      <c r="AA415" s="14">
        <f t="shared" si="631"/>
        <v>-4216.3458708520411</v>
      </c>
      <c r="AB415" s="14">
        <f t="shared" si="631"/>
        <v>-981.84470258408942</v>
      </c>
      <c r="AC415" s="14">
        <f t="shared" si="631"/>
        <v>-1321.5461440737463</v>
      </c>
      <c r="AD415" s="14">
        <f t="shared" si="631"/>
        <v>-3481.8356605773606</v>
      </c>
      <c r="AE415" s="14">
        <f t="shared" si="631"/>
        <v>-55126.119213714774</v>
      </c>
      <c r="AF415" s="14">
        <f t="shared" si="631"/>
        <v>-13483.536749733721</v>
      </c>
      <c r="AG415" s="14">
        <f t="shared" si="631"/>
        <v>-10370.059832144636</v>
      </c>
      <c r="AH415" s="14">
        <f t="shared" si="631"/>
        <v>-8372.0491953956753</v>
      </c>
      <c r="AI415" s="14">
        <f t="shared" si="631"/>
        <v>-15525.587726628564</v>
      </c>
      <c r="AJ415" s="14">
        <f t="shared" si="631"/>
        <v>-7493.1690625462552</v>
      </c>
      <c r="AK415" s="14">
        <f t="shared" si="631"/>
        <v>-7215.7254079626136</v>
      </c>
      <c r="AL415" s="14">
        <f t="shared" si="631"/>
        <v>-7835.4260072918514</v>
      </c>
      <c r="AM415" s="14">
        <f t="shared" si="631"/>
        <v>-8860.927566965187</v>
      </c>
      <c r="AN415" s="14">
        <f t="shared" si="631"/>
        <v>-9447.7831231859054</v>
      </c>
      <c r="AO415" s="14">
        <f t="shared" si="631"/>
        <v>-7035.3947436527842</v>
      </c>
      <c r="AP415" s="14">
        <f>AP$67</f>
        <v>-8576.095759093676</v>
      </c>
      <c r="AQ415" s="14">
        <f t="shared" si="631"/>
        <v>-1539.78</v>
      </c>
      <c r="AR415" s="14">
        <f t="shared" si="631"/>
        <v>-862.85</v>
      </c>
      <c r="AS415" s="14">
        <f t="shared" si="631"/>
        <v>-8358.57</v>
      </c>
      <c r="AT415" s="14">
        <f t="shared" si="631"/>
        <v>-7796.53</v>
      </c>
      <c r="AU415" s="14">
        <f t="shared" si="631"/>
        <v>-2122.9999999999995</v>
      </c>
      <c r="AV415" s="14">
        <f t="shared" si="631"/>
        <v>-12410.3</v>
      </c>
      <c r="AW415" s="14">
        <f t="shared" si="631"/>
        <v>-28072.1</v>
      </c>
      <c r="AX415" s="14">
        <f t="shared" si="631"/>
        <v>-1039</v>
      </c>
      <c r="AY415" s="14">
        <f t="shared" si="631"/>
        <v>-15511.775501065091</v>
      </c>
      <c r="AZ415" s="14">
        <f t="shared" si="631"/>
        <v>-15307.189264965129</v>
      </c>
      <c r="BA415" s="14">
        <f t="shared" si="631"/>
        <v>-26456.38547448771</v>
      </c>
      <c r="BB415" s="14">
        <f t="shared" si="631"/>
        <v>-15304.636121912592</v>
      </c>
      <c r="BC415" s="14">
        <f t="shared" si="631"/>
        <v>-1448.6248167620831</v>
      </c>
      <c r="BD415" s="14">
        <f t="shared" si="631"/>
        <v>-9973.9541640516127</v>
      </c>
      <c r="BE415" s="14">
        <f t="shared" si="631"/>
        <v>-11624.265889258984</v>
      </c>
      <c r="BF415" s="14">
        <f t="shared" si="631"/>
        <v>-2569.1468313122314</v>
      </c>
      <c r="BG415" s="14">
        <f t="shared" si="631"/>
        <v>-3711.006984235722</v>
      </c>
      <c r="BH415" s="14">
        <f t="shared" si="631"/>
        <v>-19570.939824978901</v>
      </c>
      <c r="BI415" s="14">
        <f t="shared" si="631"/>
        <v>-2207.7410474840267</v>
      </c>
      <c r="BJ415" s="14">
        <f t="shared" si="631"/>
        <v>-684.57683771306802</v>
      </c>
      <c r="BK415" s="14">
        <f t="shared" si="631"/>
        <v>-2318</v>
      </c>
      <c r="BL415" s="14">
        <f t="shared" si="631"/>
        <v>-175</v>
      </c>
      <c r="BM415" s="14">
        <f t="shared" si="631"/>
        <v>0</v>
      </c>
      <c r="BN415" s="14">
        <f t="shared" si="631"/>
        <v>0</v>
      </c>
      <c r="BO415" s="14">
        <f t="shared" si="631"/>
        <v>0</v>
      </c>
      <c r="BP415" s="14">
        <f t="shared" si="631"/>
        <v>0</v>
      </c>
      <c r="BQ415" s="14">
        <f t="shared" si="631"/>
        <v>0</v>
      </c>
      <c r="BR415" s="14">
        <f t="shared" si="631"/>
        <v>0</v>
      </c>
      <c r="BS415" s="14">
        <f t="shared" si="631"/>
        <v>0</v>
      </c>
      <c r="BT415" s="14">
        <f t="shared" si="631"/>
        <v>0</v>
      </c>
      <c r="BU415" s="14">
        <f t="shared" si="631"/>
        <v>0</v>
      </c>
      <c r="BV415" s="14">
        <f t="shared" ref="BV415:DY415" si="632">BV$67</f>
        <v>0</v>
      </c>
      <c r="BW415" s="14">
        <f t="shared" si="632"/>
        <v>0</v>
      </c>
      <c r="BX415" s="14">
        <f t="shared" si="632"/>
        <v>0</v>
      </c>
      <c r="BY415" s="14">
        <f t="shared" si="632"/>
        <v>0</v>
      </c>
      <c r="BZ415" s="14">
        <f t="shared" si="632"/>
        <v>0</v>
      </c>
      <c r="CA415" s="14">
        <f t="shared" si="632"/>
        <v>0</v>
      </c>
      <c r="CB415" s="14">
        <f t="shared" si="632"/>
        <v>0</v>
      </c>
      <c r="CC415" s="14">
        <f t="shared" si="632"/>
        <v>0</v>
      </c>
      <c r="CD415" s="14">
        <f t="shared" si="632"/>
        <v>0</v>
      </c>
      <c r="CE415" s="14">
        <f t="shared" si="632"/>
        <v>0</v>
      </c>
      <c r="CF415" s="14">
        <f t="shared" si="632"/>
        <v>0</v>
      </c>
      <c r="CG415" s="14">
        <f t="shared" si="632"/>
        <v>0</v>
      </c>
      <c r="CH415" s="14">
        <f t="shared" si="632"/>
        <v>0</v>
      </c>
      <c r="CI415" s="14">
        <f t="shared" si="632"/>
        <v>0</v>
      </c>
      <c r="CJ415" s="14">
        <f t="shared" si="632"/>
        <v>0</v>
      </c>
      <c r="CK415" s="14">
        <f t="shared" si="632"/>
        <v>0</v>
      </c>
      <c r="CL415" s="14">
        <f t="shared" si="632"/>
        <v>0</v>
      </c>
      <c r="CM415" s="14">
        <f t="shared" si="632"/>
        <v>0</v>
      </c>
      <c r="CN415" s="14">
        <f t="shared" si="632"/>
        <v>0</v>
      </c>
      <c r="CO415" s="14">
        <f t="shared" si="632"/>
        <v>0</v>
      </c>
      <c r="CP415" s="14">
        <f t="shared" si="632"/>
        <v>0</v>
      </c>
      <c r="CQ415" s="14">
        <f t="shared" si="632"/>
        <v>0</v>
      </c>
      <c r="CR415" s="14">
        <f t="shared" si="632"/>
        <v>0</v>
      </c>
      <c r="CS415" s="14">
        <f t="shared" si="632"/>
        <v>0</v>
      </c>
      <c r="CT415" s="14">
        <f t="shared" si="632"/>
        <v>0</v>
      </c>
      <c r="CU415" s="14">
        <f t="shared" si="632"/>
        <v>0</v>
      </c>
      <c r="CV415" s="14">
        <f t="shared" si="632"/>
        <v>0</v>
      </c>
      <c r="CW415" s="14">
        <f t="shared" si="632"/>
        <v>0</v>
      </c>
      <c r="CX415" s="14">
        <f t="shared" si="632"/>
        <v>0</v>
      </c>
      <c r="CY415" s="14">
        <f t="shared" si="632"/>
        <v>0</v>
      </c>
      <c r="CZ415" s="14">
        <f t="shared" si="632"/>
        <v>0</v>
      </c>
      <c r="DA415" s="14">
        <f t="shared" si="632"/>
        <v>0</v>
      </c>
      <c r="DB415" s="14">
        <f t="shared" si="632"/>
        <v>0</v>
      </c>
      <c r="DC415" s="14">
        <f t="shared" si="632"/>
        <v>0</v>
      </c>
      <c r="DD415" s="14">
        <f t="shared" si="632"/>
        <v>0</v>
      </c>
      <c r="DE415" s="14">
        <f t="shared" si="632"/>
        <v>0</v>
      </c>
      <c r="DF415" s="14">
        <f t="shared" si="632"/>
        <v>0</v>
      </c>
      <c r="DG415" s="14">
        <f t="shared" si="632"/>
        <v>0</v>
      </c>
      <c r="DH415" s="14">
        <f t="shared" si="632"/>
        <v>0</v>
      </c>
      <c r="DI415" s="14">
        <f t="shared" si="632"/>
        <v>0</v>
      </c>
      <c r="DJ415" s="14">
        <f t="shared" si="632"/>
        <v>0</v>
      </c>
      <c r="DK415" s="14">
        <f t="shared" si="632"/>
        <v>0</v>
      </c>
      <c r="DL415" s="14">
        <f t="shared" si="632"/>
        <v>0</v>
      </c>
      <c r="DM415" s="14">
        <f t="shared" si="632"/>
        <v>0</v>
      </c>
      <c r="DN415" s="14">
        <f t="shared" si="632"/>
        <v>0</v>
      </c>
      <c r="DO415" s="14">
        <f t="shared" si="632"/>
        <v>0</v>
      </c>
      <c r="DP415" s="14">
        <f t="shared" si="632"/>
        <v>0</v>
      </c>
      <c r="DQ415" s="14">
        <f t="shared" si="632"/>
        <v>0</v>
      </c>
      <c r="DR415" s="14">
        <f t="shared" si="632"/>
        <v>0</v>
      </c>
      <c r="DS415" s="14">
        <f t="shared" si="632"/>
        <v>0</v>
      </c>
      <c r="DT415" s="14">
        <f t="shared" si="632"/>
        <v>0</v>
      </c>
      <c r="DU415" s="14">
        <f t="shared" si="632"/>
        <v>0</v>
      </c>
      <c r="DV415" s="14">
        <f t="shared" si="632"/>
        <v>0</v>
      </c>
      <c r="DW415" s="14">
        <f t="shared" si="632"/>
        <v>0</v>
      </c>
      <c r="DX415" s="14">
        <f t="shared" si="632"/>
        <v>0</v>
      </c>
      <c r="DY415" s="14">
        <f t="shared" si="632"/>
        <v>0</v>
      </c>
    </row>
    <row r="416" spans="1:129" s="111" customFormat="1" ht="11.7" customHeight="1" outlineLevel="1" x14ac:dyDescent="0.3">
      <c r="A416" s="3"/>
      <c r="B416" s="125" t="s">
        <v>195</v>
      </c>
      <c r="C416" s="125"/>
      <c r="D416" s="3"/>
      <c r="E416" s="3"/>
      <c r="F416" s="3"/>
      <c r="G416" s="3"/>
      <c r="H416" s="308">
        <f t="shared" ca="1" si="630"/>
        <v>17818.530069747616</v>
      </c>
      <c r="I416" s="14">
        <f t="shared" ref="I416:AN416" si="633">+I$250*I$14</f>
        <v>0</v>
      </c>
      <c r="J416" s="14">
        <f t="shared" si="633"/>
        <v>0</v>
      </c>
      <c r="K416" s="14">
        <f t="shared" si="633"/>
        <v>0</v>
      </c>
      <c r="L416" s="14">
        <f t="shared" si="633"/>
        <v>0</v>
      </c>
      <c r="M416" s="14">
        <f t="shared" si="633"/>
        <v>0</v>
      </c>
      <c r="N416" s="14">
        <f t="shared" si="633"/>
        <v>0</v>
      </c>
      <c r="O416" s="14">
        <f t="shared" si="633"/>
        <v>0</v>
      </c>
      <c r="P416" s="14">
        <f t="shared" si="633"/>
        <v>0</v>
      </c>
      <c r="Q416" s="14">
        <f t="shared" si="633"/>
        <v>0</v>
      </c>
      <c r="R416" s="14">
        <f t="shared" si="633"/>
        <v>0</v>
      </c>
      <c r="S416" s="14">
        <f t="shared" si="633"/>
        <v>0</v>
      </c>
      <c r="T416" s="14">
        <f t="shared" si="633"/>
        <v>0</v>
      </c>
      <c r="U416" s="14">
        <f t="shared" si="633"/>
        <v>0</v>
      </c>
      <c r="V416" s="14">
        <f t="shared" si="633"/>
        <v>0</v>
      </c>
      <c r="W416" s="14">
        <f t="shared" si="633"/>
        <v>0</v>
      </c>
      <c r="X416" s="14">
        <f t="shared" si="633"/>
        <v>0</v>
      </c>
      <c r="Y416" s="14">
        <f t="shared" si="633"/>
        <v>0</v>
      </c>
      <c r="Z416" s="14">
        <f t="shared" si="633"/>
        <v>0</v>
      </c>
      <c r="AA416" s="14">
        <f t="shared" si="633"/>
        <v>0</v>
      </c>
      <c r="AB416" s="14">
        <f t="shared" si="633"/>
        <v>0</v>
      </c>
      <c r="AC416" s="14">
        <f t="shared" si="633"/>
        <v>0</v>
      </c>
      <c r="AD416" s="14">
        <f t="shared" si="633"/>
        <v>0</v>
      </c>
      <c r="AE416" s="14">
        <f t="shared" si="633"/>
        <v>0</v>
      </c>
      <c r="AF416" s="14">
        <f t="shared" si="633"/>
        <v>0</v>
      </c>
      <c r="AG416" s="14">
        <f t="shared" si="633"/>
        <v>0</v>
      </c>
      <c r="AH416" s="14">
        <f t="shared" si="633"/>
        <v>0</v>
      </c>
      <c r="AI416" s="14">
        <f t="shared" si="633"/>
        <v>0</v>
      </c>
      <c r="AJ416" s="14">
        <f t="shared" si="633"/>
        <v>0</v>
      </c>
      <c r="AK416" s="14">
        <f t="shared" si="633"/>
        <v>0</v>
      </c>
      <c r="AL416" s="14">
        <f t="shared" si="633"/>
        <v>0</v>
      </c>
      <c r="AM416" s="14">
        <f t="shared" si="633"/>
        <v>0</v>
      </c>
      <c r="AN416" s="14">
        <f t="shared" si="633"/>
        <v>0</v>
      </c>
      <c r="AO416" s="14">
        <f t="shared" ref="AO416:BT416" si="634">+AO$250*AO$14</f>
        <v>0</v>
      </c>
      <c r="AP416" s="14">
        <f t="shared" si="634"/>
        <v>0</v>
      </c>
      <c r="AQ416" s="14">
        <f t="shared" si="634"/>
        <v>0</v>
      </c>
      <c r="AR416" s="14">
        <f t="shared" si="634"/>
        <v>0</v>
      </c>
      <c r="AS416" s="14">
        <f t="shared" si="634"/>
        <v>0</v>
      </c>
      <c r="AT416" s="14">
        <f t="shared" si="634"/>
        <v>0</v>
      </c>
      <c r="AU416" s="14">
        <f t="shared" si="634"/>
        <v>0</v>
      </c>
      <c r="AV416" s="14">
        <f t="shared" si="634"/>
        <v>0</v>
      </c>
      <c r="AW416" s="14">
        <f t="shared" si="634"/>
        <v>0</v>
      </c>
      <c r="AX416" s="14">
        <f t="shared" si="634"/>
        <v>0</v>
      </c>
      <c r="AY416" s="14">
        <f t="shared" si="634"/>
        <v>0</v>
      </c>
      <c r="AZ416" s="14">
        <f t="shared" si="634"/>
        <v>0</v>
      </c>
      <c r="BA416" s="14">
        <f t="shared" si="634"/>
        <v>0</v>
      </c>
      <c r="BB416" s="14">
        <f t="shared" si="634"/>
        <v>0</v>
      </c>
      <c r="BC416" s="14">
        <f t="shared" si="634"/>
        <v>0</v>
      </c>
      <c r="BD416" s="14">
        <f t="shared" si="634"/>
        <v>0</v>
      </c>
      <c r="BE416" s="14">
        <f t="shared" si="634"/>
        <v>0</v>
      </c>
      <c r="BF416" s="14">
        <f t="shared" si="634"/>
        <v>0</v>
      </c>
      <c r="BG416" s="14">
        <f t="shared" si="634"/>
        <v>0</v>
      </c>
      <c r="BH416" s="14">
        <f t="shared" si="634"/>
        <v>0</v>
      </c>
      <c r="BI416" s="14">
        <f t="shared" si="634"/>
        <v>-609.00336305952919</v>
      </c>
      <c r="BJ416" s="14">
        <f t="shared" si="634"/>
        <v>-1340.9963791091723</v>
      </c>
      <c r="BK416" s="14">
        <f t="shared" si="634"/>
        <v>-958.55777940691689</v>
      </c>
      <c r="BL416" s="14">
        <f t="shared" si="634"/>
        <v>335.3537179090232</v>
      </c>
      <c r="BM416" s="14">
        <f t="shared" si="634"/>
        <v>-1436.5931050437064</v>
      </c>
      <c r="BN416" s="14">
        <f t="shared" si="634"/>
        <v>-7.5374978503530059</v>
      </c>
      <c r="BO416" s="14">
        <f t="shared" si="634"/>
        <v>-125.11708021543336</v>
      </c>
      <c r="BP416" s="14">
        <f t="shared" si="634"/>
        <v>899.72828166971112</v>
      </c>
      <c r="BQ416" s="14">
        <f t="shared" si="634"/>
        <v>694.11890223166768</v>
      </c>
      <c r="BR416" s="14">
        <f t="shared" si="634"/>
        <v>479.7693953962891</v>
      </c>
      <c r="BS416" s="14">
        <f t="shared" si="634"/>
        <v>766.80616917252155</v>
      </c>
      <c r="BT416" s="14">
        <f t="shared" si="634"/>
        <v>307.69992748707085</v>
      </c>
      <c r="BU416" s="14">
        <f t="shared" ref="BU416:CZ416" si="635">+BU$250*BU$14</f>
        <v>646.89048838853284</v>
      </c>
      <c r="BV416" s="14">
        <f t="shared" si="635"/>
        <v>811.09246830723328</v>
      </c>
      <c r="BW416" s="14">
        <f t="shared" si="635"/>
        <v>496.0098078789099</v>
      </c>
      <c r="BX416" s="14">
        <f t="shared" si="635"/>
        <v>214.34286124857158</v>
      </c>
      <c r="BY416" s="14">
        <f t="shared" si="635"/>
        <v>845.36106617818791</v>
      </c>
      <c r="BZ416" s="14">
        <f t="shared" ca="1" si="635"/>
        <v>2410.093058515713</v>
      </c>
      <c r="CA416" s="14">
        <f t="shared" ca="1" si="635"/>
        <v>2176.100762773825</v>
      </c>
      <c r="CB416" s="14">
        <f t="shared" ca="1" si="635"/>
        <v>2176.100762773825</v>
      </c>
      <c r="CC416" s="14">
        <f t="shared" ca="1" si="635"/>
        <v>2176.100762773825</v>
      </c>
      <c r="CD416" s="14">
        <f t="shared" ca="1" si="635"/>
        <v>2176.100762773825</v>
      </c>
      <c r="CE416" s="14">
        <f t="shared" ca="1" si="635"/>
        <v>2176.100762773825</v>
      </c>
      <c r="CF416" s="14">
        <f t="shared" ca="1" si="635"/>
        <v>2508.5653161801706</v>
      </c>
      <c r="CG416" s="14">
        <f t="shared" ca="1" si="635"/>
        <v>0</v>
      </c>
      <c r="CH416" s="14">
        <f t="shared" ca="1" si="635"/>
        <v>0</v>
      </c>
      <c r="CI416" s="14">
        <f t="shared" ca="1" si="635"/>
        <v>0</v>
      </c>
      <c r="CJ416" s="14">
        <f t="shared" ca="1" si="635"/>
        <v>0</v>
      </c>
      <c r="CK416" s="14">
        <f t="shared" ca="1" si="635"/>
        <v>0</v>
      </c>
      <c r="CL416" s="14">
        <f t="shared" ca="1" si="635"/>
        <v>0</v>
      </c>
      <c r="CM416" s="14">
        <f t="shared" ca="1" si="635"/>
        <v>0</v>
      </c>
      <c r="CN416" s="14">
        <f t="shared" ca="1" si="635"/>
        <v>0</v>
      </c>
      <c r="CO416" s="14">
        <f t="shared" ca="1" si="635"/>
        <v>0</v>
      </c>
      <c r="CP416" s="14">
        <f t="shared" ca="1" si="635"/>
        <v>0</v>
      </c>
      <c r="CQ416" s="14">
        <f t="shared" ca="1" si="635"/>
        <v>0</v>
      </c>
      <c r="CR416" s="14">
        <f t="shared" ca="1" si="635"/>
        <v>0</v>
      </c>
      <c r="CS416" s="14">
        <f t="shared" ca="1" si="635"/>
        <v>0</v>
      </c>
      <c r="CT416" s="14">
        <f t="shared" ca="1" si="635"/>
        <v>0</v>
      </c>
      <c r="CU416" s="14">
        <f t="shared" ca="1" si="635"/>
        <v>0</v>
      </c>
      <c r="CV416" s="14">
        <f t="shared" ca="1" si="635"/>
        <v>0</v>
      </c>
      <c r="CW416" s="14">
        <f t="shared" ca="1" si="635"/>
        <v>0</v>
      </c>
      <c r="CX416" s="14">
        <f t="shared" ca="1" si="635"/>
        <v>0</v>
      </c>
      <c r="CY416" s="14">
        <f t="shared" ca="1" si="635"/>
        <v>0</v>
      </c>
      <c r="CZ416" s="14">
        <f t="shared" ca="1" si="635"/>
        <v>0</v>
      </c>
      <c r="DA416" s="14">
        <f t="shared" ref="DA416:DY416" ca="1" si="636">+DA$250*DA$14</f>
        <v>0</v>
      </c>
      <c r="DB416" s="14">
        <f t="shared" ca="1" si="636"/>
        <v>0</v>
      </c>
      <c r="DC416" s="14">
        <f t="shared" ca="1" si="636"/>
        <v>0</v>
      </c>
      <c r="DD416" s="14">
        <f t="shared" ca="1" si="636"/>
        <v>0</v>
      </c>
      <c r="DE416" s="14">
        <f t="shared" ca="1" si="636"/>
        <v>0</v>
      </c>
      <c r="DF416" s="14">
        <f t="shared" ca="1" si="636"/>
        <v>0</v>
      </c>
      <c r="DG416" s="14">
        <f t="shared" ca="1" si="636"/>
        <v>0</v>
      </c>
      <c r="DH416" s="14">
        <f t="shared" ca="1" si="636"/>
        <v>0</v>
      </c>
      <c r="DI416" s="14">
        <f t="shared" ca="1" si="636"/>
        <v>0</v>
      </c>
      <c r="DJ416" s="14">
        <f t="shared" ca="1" si="636"/>
        <v>0</v>
      </c>
      <c r="DK416" s="14">
        <f t="shared" ca="1" si="636"/>
        <v>0</v>
      </c>
      <c r="DL416" s="14">
        <f t="shared" ca="1" si="636"/>
        <v>0</v>
      </c>
      <c r="DM416" s="14">
        <f t="shared" ca="1" si="636"/>
        <v>0</v>
      </c>
      <c r="DN416" s="14">
        <f t="shared" ca="1" si="636"/>
        <v>0</v>
      </c>
      <c r="DO416" s="14">
        <f t="shared" ca="1" si="636"/>
        <v>0</v>
      </c>
      <c r="DP416" s="14">
        <f t="shared" ca="1" si="636"/>
        <v>0</v>
      </c>
      <c r="DQ416" s="14">
        <f t="shared" ca="1" si="636"/>
        <v>0</v>
      </c>
      <c r="DR416" s="14">
        <f t="shared" ca="1" si="636"/>
        <v>0</v>
      </c>
      <c r="DS416" s="14">
        <f t="shared" ca="1" si="636"/>
        <v>0</v>
      </c>
      <c r="DT416" s="14">
        <f t="shared" ca="1" si="636"/>
        <v>0</v>
      </c>
      <c r="DU416" s="14">
        <f t="shared" ca="1" si="636"/>
        <v>0</v>
      </c>
      <c r="DV416" s="14">
        <f t="shared" ca="1" si="636"/>
        <v>0</v>
      </c>
      <c r="DW416" s="14">
        <f t="shared" ca="1" si="636"/>
        <v>0</v>
      </c>
      <c r="DX416" s="14">
        <f t="shared" ca="1" si="636"/>
        <v>0</v>
      </c>
      <c r="DY416" s="14">
        <f t="shared" ca="1" si="636"/>
        <v>0</v>
      </c>
    </row>
    <row r="417" spans="1:129" s="5" customFormat="1" ht="11.7" customHeight="1" outlineLevel="1" x14ac:dyDescent="0.3">
      <c r="A417" s="3"/>
      <c r="B417" s="125" t="s">
        <v>19</v>
      </c>
      <c r="C417" s="125"/>
      <c r="D417" s="111"/>
      <c r="E417" s="111"/>
      <c r="F417" s="111"/>
      <c r="G417" s="111"/>
      <c r="H417" s="308">
        <f t="shared" si="630"/>
        <v>2109.536863383219</v>
      </c>
      <c r="I417" s="14">
        <f t="shared" ref="I417:AN417" si="637">+I$333*I$14</f>
        <v>0</v>
      </c>
      <c r="J417" s="14">
        <f t="shared" si="637"/>
        <v>0</v>
      </c>
      <c r="K417" s="14">
        <f t="shared" si="637"/>
        <v>0</v>
      </c>
      <c r="L417" s="14">
        <f t="shared" si="637"/>
        <v>0</v>
      </c>
      <c r="M417" s="14">
        <f t="shared" si="637"/>
        <v>0</v>
      </c>
      <c r="N417" s="14">
        <f t="shared" si="637"/>
        <v>0</v>
      </c>
      <c r="O417" s="14">
        <f t="shared" si="637"/>
        <v>0</v>
      </c>
      <c r="P417" s="14">
        <f t="shared" si="637"/>
        <v>0</v>
      </c>
      <c r="Q417" s="14">
        <f t="shared" si="637"/>
        <v>0</v>
      </c>
      <c r="R417" s="14">
        <f t="shared" si="637"/>
        <v>0</v>
      </c>
      <c r="S417" s="14">
        <f t="shared" si="637"/>
        <v>0</v>
      </c>
      <c r="T417" s="14">
        <f t="shared" si="637"/>
        <v>0</v>
      </c>
      <c r="U417" s="14">
        <f t="shared" si="637"/>
        <v>0</v>
      </c>
      <c r="V417" s="14">
        <f t="shared" si="637"/>
        <v>0</v>
      </c>
      <c r="W417" s="14">
        <f t="shared" si="637"/>
        <v>0</v>
      </c>
      <c r="X417" s="14">
        <f t="shared" si="637"/>
        <v>0</v>
      </c>
      <c r="Y417" s="14">
        <f t="shared" si="637"/>
        <v>0</v>
      </c>
      <c r="Z417" s="14">
        <f t="shared" si="637"/>
        <v>0</v>
      </c>
      <c r="AA417" s="14">
        <f t="shared" si="637"/>
        <v>0</v>
      </c>
      <c r="AB417" s="14">
        <f t="shared" si="637"/>
        <v>0</v>
      </c>
      <c r="AC417" s="14">
        <f t="shared" si="637"/>
        <v>0</v>
      </c>
      <c r="AD417" s="14">
        <f t="shared" si="637"/>
        <v>0</v>
      </c>
      <c r="AE417" s="14">
        <f t="shared" si="637"/>
        <v>0</v>
      </c>
      <c r="AF417" s="14">
        <f t="shared" si="637"/>
        <v>0</v>
      </c>
      <c r="AG417" s="14">
        <f t="shared" si="637"/>
        <v>0</v>
      </c>
      <c r="AH417" s="14">
        <f t="shared" si="637"/>
        <v>0</v>
      </c>
      <c r="AI417" s="14">
        <f t="shared" si="637"/>
        <v>0</v>
      </c>
      <c r="AJ417" s="14">
        <f t="shared" si="637"/>
        <v>0</v>
      </c>
      <c r="AK417" s="14">
        <f t="shared" si="637"/>
        <v>0</v>
      </c>
      <c r="AL417" s="14">
        <f t="shared" si="637"/>
        <v>0</v>
      </c>
      <c r="AM417" s="14">
        <f t="shared" si="637"/>
        <v>0</v>
      </c>
      <c r="AN417" s="14">
        <f t="shared" si="637"/>
        <v>0</v>
      </c>
      <c r="AO417" s="14">
        <f t="shared" ref="AO417:BT417" si="638">+AO$333*AO$14</f>
        <v>0</v>
      </c>
      <c r="AP417" s="14">
        <f t="shared" si="638"/>
        <v>0</v>
      </c>
      <c r="AQ417" s="14">
        <f t="shared" si="638"/>
        <v>0</v>
      </c>
      <c r="AR417" s="14">
        <f t="shared" si="638"/>
        <v>0</v>
      </c>
      <c r="AS417" s="14">
        <f t="shared" si="638"/>
        <v>0</v>
      </c>
      <c r="AT417" s="14">
        <f t="shared" si="638"/>
        <v>0</v>
      </c>
      <c r="AU417" s="14">
        <f t="shared" si="638"/>
        <v>0</v>
      </c>
      <c r="AV417" s="14">
        <f t="shared" si="638"/>
        <v>0</v>
      </c>
      <c r="AW417" s="14">
        <f t="shared" si="638"/>
        <v>0</v>
      </c>
      <c r="AX417" s="14">
        <f t="shared" si="638"/>
        <v>0</v>
      </c>
      <c r="AY417" s="14">
        <f t="shared" si="638"/>
        <v>0</v>
      </c>
      <c r="AZ417" s="14">
        <f t="shared" si="638"/>
        <v>0</v>
      </c>
      <c r="BA417" s="14">
        <f t="shared" si="638"/>
        <v>0</v>
      </c>
      <c r="BB417" s="14">
        <f t="shared" si="638"/>
        <v>0</v>
      </c>
      <c r="BC417" s="14">
        <f t="shared" si="638"/>
        <v>0</v>
      </c>
      <c r="BD417" s="14">
        <f t="shared" si="638"/>
        <v>0</v>
      </c>
      <c r="BE417" s="14">
        <f t="shared" si="638"/>
        <v>0</v>
      </c>
      <c r="BF417" s="14">
        <f t="shared" si="638"/>
        <v>0</v>
      </c>
      <c r="BG417" s="14">
        <f t="shared" si="638"/>
        <v>0</v>
      </c>
      <c r="BH417" s="14">
        <f t="shared" si="638"/>
        <v>0</v>
      </c>
      <c r="BI417" s="14">
        <f t="shared" si="638"/>
        <v>0</v>
      </c>
      <c r="BJ417" s="14">
        <f t="shared" si="638"/>
        <v>0</v>
      </c>
      <c r="BK417" s="14">
        <f t="shared" si="638"/>
        <v>0</v>
      </c>
      <c r="BL417" s="14">
        <f t="shared" si="638"/>
        <v>0</v>
      </c>
      <c r="BM417" s="14">
        <f t="shared" si="638"/>
        <v>0</v>
      </c>
      <c r="BN417" s="14">
        <f t="shared" si="638"/>
        <v>0</v>
      </c>
      <c r="BO417" s="14">
        <f t="shared" si="638"/>
        <v>0</v>
      </c>
      <c r="BP417" s="14">
        <f t="shared" si="638"/>
        <v>0</v>
      </c>
      <c r="BQ417" s="14">
        <f t="shared" si="638"/>
        <v>0</v>
      </c>
      <c r="BR417" s="14">
        <f t="shared" si="638"/>
        <v>0</v>
      </c>
      <c r="BS417" s="14">
        <f t="shared" si="638"/>
        <v>0</v>
      </c>
      <c r="BT417" s="14">
        <f t="shared" si="638"/>
        <v>0</v>
      </c>
      <c r="BU417" s="14">
        <f t="shared" ref="BU417:CZ417" si="639">+BU$333*BU$14</f>
        <v>0</v>
      </c>
      <c r="BV417" s="14">
        <f t="shared" si="639"/>
        <v>0</v>
      </c>
      <c r="BW417" s="14">
        <f t="shared" si="639"/>
        <v>62.63901428736871</v>
      </c>
      <c r="BX417" s="14">
        <f t="shared" si="639"/>
        <v>31.237982563468666</v>
      </c>
      <c r="BY417" s="14">
        <f t="shared" si="639"/>
        <v>0</v>
      </c>
      <c r="BZ417" s="14">
        <f t="shared" si="639"/>
        <v>0</v>
      </c>
      <c r="CA417" s="14">
        <f t="shared" si="639"/>
        <v>53.732642047650756</v>
      </c>
      <c r="CB417" s="14">
        <f t="shared" si="639"/>
        <v>166.54951042820875</v>
      </c>
      <c r="CC417" s="14">
        <f t="shared" si="639"/>
        <v>282.3225918366698</v>
      </c>
      <c r="CD417" s="14">
        <f t="shared" si="639"/>
        <v>401.05188627303386</v>
      </c>
      <c r="CE417" s="14">
        <f t="shared" si="639"/>
        <v>522.73739373730064</v>
      </c>
      <c r="CF417" s="14">
        <f t="shared" si="639"/>
        <v>589.26584220951781</v>
      </c>
      <c r="CG417" s="14">
        <f t="shared" si="639"/>
        <v>0</v>
      </c>
      <c r="CH417" s="14">
        <f t="shared" si="639"/>
        <v>0</v>
      </c>
      <c r="CI417" s="14">
        <f t="shared" si="639"/>
        <v>0</v>
      </c>
      <c r="CJ417" s="14">
        <f t="shared" si="639"/>
        <v>0</v>
      </c>
      <c r="CK417" s="14">
        <f t="shared" si="639"/>
        <v>0</v>
      </c>
      <c r="CL417" s="14">
        <f t="shared" si="639"/>
        <v>0</v>
      </c>
      <c r="CM417" s="14">
        <f t="shared" si="639"/>
        <v>0</v>
      </c>
      <c r="CN417" s="14">
        <f t="shared" si="639"/>
        <v>0</v>
      </c>
      <c r="CO417" s="14">
        <f t="shared" si="639"/>
        <v>0</v>
      </c>
      <c r="CP417" s="14">
        <f t="shared" si="639"/>
        <v>0</v>
      </c>
      <c r="CQ417" s="14">
        <f t="shared" si="639"/>
        <v>0</v>
      </c>
      <c r="CR417" s="14">
        <f t="shared" si="639"/>
        <v>0</v>
      </c>
      <c r="CS417" s="14">
        <f t="shared" si="639"/>
        <v>0</v>
      </c>
      <c r="CT417" s="14">
        <f t="shared" si="639"/>
        <v>0</v>
      </c>
      <c r="CU417" s="14">
        <f t="shared" si="639"/>
        <v>0</v>
      </c>
      <c r="CV417" s="14">
        <f t="shared" si="639"/>
        <v>0</v>
      </c>
      <c r="CW417" s="14">
        <f t="shared" si="639"/>
        <v>0</v>
      </c>
      <c r="CX417" s="14">
        <f t="shared" si="639"/>
        <v>0</v>
      </c>
      <c r="CY417" s="14">
        <f t="shared" si="639"/>
        <v>0</v>
      </c>
      <c r="CZ417" s="14">
        <f t="shared" si="639"/>
        <v>0</v>
      </c>
      <c r="DA417" s="14">
        <f t="shared" ref="DA417:DY417" si="640">+DA$333*DA$14</f>
        <v>0</v>
      </c>
      <c r="DB417" s="14">
        <f t="shared" si="640"/>
        <v>0</v>
      </c>
      <c r="DC417" s="14">
        <f t="shared" si="640"/>
        <v>0</v>
      </c>
      <c r="DD417" s="14">
        <f t="shared" si="640"/>
        <v>0</v>
      </c>
      <c r="DE417" s="14">
        <f t="shared" si="640"/>
        <v>0</v>
      </c>
      <c r="DF417" s="14">
        <f t="shared" si="640"/>
        <v>0</v>
      </c>
      <c r="DG417" s="14">
        <f t="shared" si="640"/>
        <v>0</v>
      </c>
      <c r="DH417" s="14">
        <f t="shared" si="640"/>
        <v>0</v>
      </c>
      <c r="DI417" s="14">
        <f t="shared" si="640"/>
        <v>0</v>
      </c>
      <c r="DJ417" s="14">
        <f t="shared" si="640"/>
        <v>0</v>
      </c>
      <c r="DK417" s="14">
        <f t="shared" si="640"/>
        <v>0</v>
      </c>
      <c r="DL417" s="14">
        <f t="shared" si="640"/>
        <v>0</v>
      </c>
      <c r="DM417" s="14">
        <f t="shared" si="640"/>
        <v>0</v>
      </c>
      <c r="DN417" s="14">
        <f t="shared" si="640"/>
        <v>0</v>
      </c>
      <c r="DO417" s="14">
        <f t="shared" si="640"/>
        <v>0</v>
      </c>
      <c r="DP417" s="14">
        <f t="shared" si="640"/>
        <v>0</v>
      </c>
      <c r="DQ417" s="14">
        <f t="shared" si="640"/>
        <v>0</v>
      </c>
      <c r="DR417" s="14">
        <f t="shared" si="640"/>
        <v>0</v>
      </c>
      <c r="DS417" s="14">
        <f t="shared" si="640"/>
        <v>0</v>
      </c>
      <c r="DT417" s="14">
        <f t="shared" si="640"/>
        <v>0</v>
      </c>
      <c r="DU417" s="14">
        <f t="shared" si="640"/>
        <v>0</v>
      </c>
      <c r="DV417" s="14">
        <f t="shared" si="640"/>
        <v>0</v>
      </c>
      <c r="DW417" s="14">
        <f t="shared" si="640"/>
        <v>0</v>
      </c>
      <c r="DX417" s="14">
        <f t="shared" si="640"/>
        <v>0</v>
      </c>
      <c r="DY417" s="14">
        <f t="shared" si="640"/>
        <v>0</v>
      </c>
    </row>
    <row r="418" spans="1:129" s="3" customFormat="1" ht="11.7" customHeight="1" outlineLevel="1" x14ac:dyDescent="0.3">
      <c r="B418" s="125" t="s">
        <v>128</v>
      </c>
      <c r="C418" s="125"/>
      <c r="E418" s="159"/>
      <c r="F418" s="159"/>
      <c r="G418" s="159"/>
      <c r="H418" s="308">
        <f t="shared" ca="1" si="630"/>
        <v>0</v>
      </c>
      <c r="I418" s="14">
        <f t="shared" ref="I418:AN418" si="641">+I349</f>
        <v>0</v>
      </c>
      <c r="J418" s="14">
        <f t="shared" si="641"/>
        <v>-1390.0045312721768</v>
      </c>
      <c r="K418" s="14">
        <f t="shared" si="641"/>
        <v>-147</v>
      </c>
      <c r="L418" s="14">
        <f t="shared" si="641"/>
        <v>-563</v>
      </c>
      <c r="M418" s="14">
        <f t="shared" si="641"/>
        <v>-1.9000000000000909</v>
      </c>
      <c r="N418" s="14">
        <f t="shared" si="641"/>
        <v>0</v>
      </c>
      <c r="O418" s="14">
        <f t="shared" si="641"/>
        <v>0</v>
      </c>
      <c r="P418" s="14">
        <f t="shared" si="641"/>
        <v>0</v>
      </c>
      <c r="Q418" s="14">
        <f t="shared" si="641"/>
        <v>-56</v>
      </c>
      <c r="R418" s="14">
        <f t="shared" si="641"/>
        <v>0</v>
      </c>
      <c r="S418" s="14">
        <f t="shared" si="641"/>
        <v>-195</v>
      </c>
      <c r="T418" s="14">
        <f t="shared" si="641"/>
        <v>-56</v>
      </c>
      <c r="U418" s="14">
        <f t="shared" si="641"/>
        <v>0</v>
      </c>
      <c r="V418" s="14">
        <f t="shared" si="641"/>
        <v>0</v>
      </c>
      <c r="W418" s="14">
        <f t="shared" si="641"/>
        <v>-949.2438703730636</v>
      </c>
      <c r="X418" s="14">
        <f t="shared" si="641"/>
        <v>0</v>
      </c>
      <c r="Y418" s="14">
        <f t="shared" si="641"/>
        <v>-1092.9652448933566</v>
      </c>
      <c r="Z418" s="14">
        <f t="shared" si="641"/>
        <v>-656.10000000000036</v>
      </c>
      <c r="AA418" s="14">
        <f t="shared" si="641"/>
        <v>-661.6875145024369</v>
      </c>
      <c r="AB418" s="14">
        <f t="shared" si="641"/>
        <v>-10</v>
      </c>
      <c r="AC418" s="14">
        <f t="shared" si="641"/>
        <v>0</v>
      </c>
      <c r="AD418" s="14">
        <f t="shared" si="641"/>
        <v>-422</v>
      </c>
      <c r="AE418" s="14">
        <f t="shared" si="641"/>
        <v>-10374.485512811294</v>
      </c>
      <c r="AF418" s="14">
        <f t="shared" si="641"/>
        <v>-2393.9036623506436</v>
      </c>
      <c r="AG418" s="14">
        <f t="shared" si="641"/>
        <v>-1722.129389342339</v>
      </c>
      <c r="AH418" s="14">
        <f t="shared" si="641"/>
        <v>-1539.5927107880088</v>
      </c>
      <c r="AI418" s="14">
        <f t="shared" si="641"/>
        <v>-1776.7999999999993</v>
      </c>
      <c r="AJ418" s="14">
        <f t="shared" si="641"/>
        <v>-1301.8364830243081</v>
      </c>
      <c r="AK418" s="14">
        <f t="shared" si="641"/>
        <v>-1249.3647068895007</v>
      </c>
      <c r="AL418" s="14">
        <f t="shared" si="641"/>
        <v>-1376.3446789540576</v>
      </c>
      <c r="AM418" s="14">
        <f t="shared" si="641"/>
        <v>-1632.8484137929663</v>
      </c>
      <c r="AN418" s="14">
        <f t="shared" si="641"/>
        <v>-1414.4000000000015</v>
      </c>
      <c r="AO418" s="14">
        <f t="shared" ref="AO418:BT418" si="642">+AO349</f>
        <v>-1182.7370056997897</v>
      </c>
      <c r="AP418" s="14">
        <f t="shared" si="642"/>
        <v>15719</v>
      </c>
      <c r="AQ418" s="14">
        <f t="shared" si="642"/>
        <v>-164</v>
      </c>
      <c r="AR418" s="14">
        <f t="shared" si="642"/>
        <v>-7.7900000000008731</v>
      </c>
      <c r="AS418" s="14">
        <f t="shared" si="642"/>
        <v>-1486.2999999999993</v>
      </c>
      <c r="AT418" s="14">
        <f t="shared" si="642"/>
        <v>-1396</v>
      </c>
      <c r="AU418" s="14">
        <f t="shared" si="642"/>
        <v>-300</v>
      </c>
      <c r="AV418" s="14">
        <f t="shared" si="642"/>
        <v>-2199</v>
      </c>
      <c r="AW418" s="14">
        <f t="shared" si="642"/>
        <v>-5099</v>
      </c>
      <c r="AX418" s="14">
        <f t="shared" si="642"/>
        <v>-27</v>
      </c>
      <c r="AY418" s="14">
        <f t="shared" si="642"/>
        <v>-2749.9000000000015</v>
      </c>
      <c r="AZ418" s="14">
        <f t="shared" si="642"/>
        <v>-2479.25</v>
      </c>
      <c r="BA418" s="14">
        <f t="shared" si="642"/>
        <v>-5022.0000000000036</v>
      </c>
      <c r="BB418" s="14">
        <f t="shared" si="642"/>
        <v>-2765</v>
      </c>
      <c r="BC418" s="14">
        <f t="shared" si="642"/>
        <v>-93</v>
      </c>
      <c r="BD418" s="14">
        <f t="shared" si="642"/>
        <v>31693</v>
      </c>
      <c r="BE418" s="14">
        <f t="shared" si="642"/>
        <v>-2082</v>
      </c>
      <c r="BF418" s="14">
        <f t="shared" si="642"/>
        <v>-399</v>
      </c>
      <c r="BG418" s="14">
        <f t="shared" si="642"/>
        <v>-350</v>
      </c>
      <c r="BH418" s="14">
        <f t="shared" si="642"/>
        <v>-3436</v>
      </c>
      <c r="BI418" s="14">
        <f t="shared" si="642"/>
        <v>-673.9256425017229</v>
      </c>
      <c r="BJ418" s="14">
        <f t="shared" si="642"/>
        <v>39.170760002083625</v>
      </c>
      <c r="BK418" s="14">
        <f t="shared" si="642"/>
        <v>-45.076672306306136</v>
      </c>
      <c r="BL418" s="14">
        <f t="shared" si="642"/>
        <v>42.564922873163596</v>
      </c>
      <c r="BM418" s="14">
        <f t="shared" si="642"/>
        <v>244.7250041890893</v>
      </c>
      <c r="BN418" s="14">
        <f t="shared" si="642"/>
        <v>179.44739175056384</v>
      </c>
      <c r="BO418" s="14">
        <f t="shared" si="642"/>
        <v>181.11751378030021</v>
      </c>
      <c r="BP418" s="14">
        <f t="shared" si="642"/>
        <v>274.20880484912959</v>
      </c>
      <c r="BQ418" s="14">
        <f t="shared" si="642"/>
        <v>-45.921700727429197</v>
      </c>
      <c r="BR418" s="14">
        <f t="shared" si="642"/>
        <v>171.70441790425866</v>
      </c>
      <c r="BS418" s="14">
        <f t="shared" si="642"/>
        <v>249.1364795605532</v>
      </c>
      <c r="BT418" s="14">
        <f t="shared" si="642"/>
        <v>274.26613438277491</v>
      </c>
      <c r="BU418" s="14">
        <f t="shared" ref="BU418:CZ418" si="643">+BU349</f>
        <v>104.86112891181074</v>
      </c>
      <c r="BV418" s="14">
        <f t="shared" si="643"/>
        <v>304.34557777128975</v>
      </c>
      <c r="BW418" s="14">
        <f t="shared" si="643"/>
        <v>291.51234901004682</v>
      </c>
      <c r="BX418" s="14">
        <f t="shared" si="643"/>
        <v>-5.0701331544623827</v>
      </c>
      <c r="BY418" s="14">
        <f t="shared" si="643"/>
        <v>-25.656735020105771</v>
      </c>
      <c r="BZ418" s="14">
        <f t="shared" ca="1" si="643"/>
        <v>420.11717638297705</v>
      </c>
      <c r="CA418" s="14">
        <f t="shared" ca="1" si="643"/>
        <v>401.2999580951564</v>
      </c>
      <c r="CB418" s="14">
        <f t="shared" ca="1" si="643"/>
        <v>421.82115984515622</v>
      </c>
      <c r="CC418" s="14">
        <f t="shared" ca="1" si="643"/>
        <v>442.34236159515604</v>
      </c>
      <c r="CD418" s="14">
        <f t="shared" ca="1" si="643"/>
        <v>462.86356334515767</v>
      </c>
      <c r="CE418" s="14">
        <f t="shared" ca="1" si="643"/>
        <v>483.38476509515749</v>
      </c>
      <c r="CF418" s="14">
        <f t="shared" ca="1" si="643"/>
        <v>557.35349943642359</v>
      </c>
      <c r="CG418" s="14">
        <f t="shared" ca="1" si="643"/>
        <v>10057.991639623726</v>
      </c>
      <c r="CH418" s="14">
        <f t="shared" ca="1" si="643"/>
        <v>0</v>
      </c>
      <c r="CI418" s="14">
        <f t="shared" ca="1" si="643"/>
        <v>0</v>
      </c>
      <c r="CJ418" s="14">
        <f t="shared" ca="1" si="643"/>
        <v>0</v>
      </c>
      <c r="CK418" s="14">
        <f t="shared" ca="1" si="643"/>
        <v>0</v>
      </c>
      <c r="CL418" s="14">
        <f t="shared" ca="1" si="643"/>
        <v>0</v>
      </c>
      <c r="CM418" s="14">
        <f t="shared" ca="1" si="643"/>
        <v>0</v>
      </c>
      <c r="CN418" s="14">
        <f t="shared" ca="1" si="643"/>
        <v>0</v>
      </c>
      <c r="CO418" s="14">
        <f t="shared" ca="1" si="643"/>
        <v>0</v>
      </c>
      <c r="CP418" s="14">
        <f t="shared" ca="1" si="643"/>
        <v>0</v>
      </c>
      <c r="CQ418" s="14">
        <f t="shared" ca="1" si="643"/>
        <v>0</v>
      </c>
      <c r="CR418" s="14">
        <f t="shared" ca="1" si="643"/>
        <v>0</v>
      </c>
      <c r="CS418" s="14">
        <f t="shared" ca="1" si="643"/>
        <v>0</v>
      </c>
      <c r="CT418" s="14">
        <f t="shared" ca="1" si="643"/>
        <v>0</v>
      </c>
      <c r="CU418" s="14">
        <f t="shared" ca="1" si="643"/>
        <v>0</v>
      </c>
      <c r="CV418" s="14">
        <f t="shared" ca="1" si="643"/>
        <v>0</v>
      </c>
      <c r="CW418" s="14">
        <f t="shared" ca="1" si="643"/>
        <v>0</v>
      </c>
      <c r="CX418" s="14">
        <f t="shared" ca="1" si="643"/>
        <v>0</v>
      </c>
      <c r="CY418" s="14">
        <f t="shared" ca="1" si="643"/>
        <v>0</v>
      </c>
      <c r="CZ418" s="14">
        <f t="shared" ca="1" si="643"/>
        <v>0</v>
      </c>
      <c r="DA418" s="14">
        <f t="shared" ref="DA418:DY418" ca="1" si="644">+DA349</f>
        <v>0</v>
      </c>
      <c r="DB418" s="14">
        <f t="shared" ca="1" si="644"/>
        <v>0</v>
      </c>
      <c r="DC418" s="14">
        <f t="shared" ca="1" si="644"/>
        <v>0</v>
      </c>
      <c r="DD418" s="14">
        <f t="shared" ca="1" si="644"/>
        <v>0</v>
      </c>
      <c r="DE418" s="14">
        <f t="shared" ca="1" si="644"/>
        <v>0</v>
      </c>
      <c r="DF418" s="14">
        <f t="shared" ca="1" si="644"/>
        <v>0</v>
      </c>
      <c r="DG418" s="14">
        <f t="shared" ca="1" si="644"/>
        <v>0</v>
      </c>
      <c r="DH418" s="14">
        <f t="shared" ca="1" si="644"/>
        <v>0</v>
      </c>
      <c r="DI418" s="14">
        <f t="shared" ca="1" si="644"/>
        <v>0</v>
      </c>
      <c r="DJ418" s="14">
        <f t="shared" ca="1" si="644"/>
        <v>0</v>
      </c>
      <c r="DK418" s="14">
        <f t="shared" ca="1" si="644"/>
        <v>0</v>
      </c>
      <c r="DL418" s="14">
        <f t="shared" ca="1" si="644"/>
        <v>0</v>
      </c>
      <c r="DM418" s="14">
        <f t="shared" ca="1" si="644"/>
        <v>0</v>
      </c>
      <c r="DN418" s="14">
        <f t="shared" ca="1" si="644"/>
        <v>0</v>
      </c>
      <c r="DO418" s="14">
        <f t="shared" ca="1" si="644"/>
        <v>0</v>
      </c>
      <c r="DP418" s="14">
        <f t="shared" ca="1" si="644"/>
        <v>0</v>
      </c>
      <c r="DQ418" s="14">
        <f t="shared" ca="1" si="644"/>
        <v>0</v>
      </c>
      <c r="DR418" s="14">
        <f t="shared" ca="1" si="644"/>
        <v>0</v>
      </c>
      <c r="DS418" s="14">
        <f t="shared" ca="1" si="644"/>
        <v>0</v>
      </c>
      <c r="DT418" s="14">
        <f t="shared" ca="1" si="644"/>
        <v>0</v>
      </c>
      <c r="DU418" s="14">
        <f t="shared" ca="1" si="644"/>
        <v>0</v>
      </c>
      <c r="DV418" s="14">
        <f t="shared" ca="1" si="644"/>
        <v>0</v>
      </c>
      <c r="DW418" s="14">
        <f t="shared" ca="1" si="644"/>
        <v>0</v>
      </c>
      <c r="DX418" s="14">
        <f t="shared" ca="1" si="644"/>
        <v>0</v>
      </c>
      <c r="DY418" s="14">
        <f t="shared" ca="1" si="644"/>
        <v>0</v>
      </c>
    </row>
    <row r="419" spans="1:129" s="111" customFormat="1" ht="11.7" customHeight="1" outlineLevel="1" collapsed="1" x14ac:dyDescent="0.3">
      <c r="A419" s="3"/>
      <c r="B419" s="125" t="s">
        <v>391</v>
      </c>
      <c r="C419" s="125"/>
      <c r="D419" s="3"/>
      <c r="E419" s="3"/>
      <c r="F419" s="3"/>
      <c r="G419" s="3"/>
      <c r="H419" s="308">
        <f t="shared" ca="1" si="630"/>
        <v>635016.88859481271</v>
      </c>
      <c r="I419" s="14">
        <f>+I$357</f>
        <v>0</v>
      </c>
      <c r="J419" s="14">
        <f t="shared" ref="J419:BU419" si="645">+J$357</f>
        <v>0</v>
      </c>
      <c r="K419" s="14">
        <f t="shared" si="645"/>
        <v>0</v>
      </c>
      <c r="L419" s="14">
        <f t="shared" si="645"/>
        <v>0</v>
      </c>
      <c r="M419" s="14">
        <f t="shared" si="645"/>
        <v>0</v>
      </c>
      <c r="N419" s="14">
        <f t="shared" si="645"/>
        <v>0</v>
      </c>
      <c r="O419" s="14">
        <f t="shared" si="645"/>
        <v>0</v>
      </c>
      <c r="P419" s="14">
        <f t="shared" si="645"/>
        <v>0</v>
      </c>
      <c r="Q419" s="14">
        <f t="shared" si="645"/>
        <v>0</v>
      </c>
      <c r="R419" s="14">
        <f t="shared" si="645"/>
        <v>0</v>
      </c>
      <c r="S419" s="14">
        <f t="shared" si="645"/>
        <v>0</v>
      </c>
      <c r="T419" s="14">
        <f t="shared" si="645"/>
        <v>0</v>
      </c>
      <c r="U419" s="14">
        <f t="shared" si="645"/>
        <v>0</v>
      </c>
      <c r="V419" s="14">
        <f t="shared" si="645"/>
        <v>0</v>
      </c>
      <c r="W419" s="14">
        <f t="shared" si="645"/>
        <v>0</v>
      </c>
      <c r="X419" s="14">
        <f t="shared" si="645"/>
        <v>0</v>
      </c>
      <c r="Y419" s="14">
        <f t="shared" si="645"/>
        <v>0</v>
      </c>
      <c r="Z419" s="14">
        <f t="shared" si="645"/>
        <v>0</v>
      </c>
      <c r="AA419" s="14">
        <f t="shared" si="645"/>
        <v>0</v>
      </c>
      <c r="AB419" s="14">
        <f t="shared" si="645"/>
        <v>0</v>
      </c>
      <c r="AC419" s="14">
        <f t="shared" si="645"/>
        <v>0</v>
      </c>
      <c r="AD419" s="14">
        <f t="shared" si="645"/>
        <v>0</v>
      </c>
      <c r="AE419" s="14">
        <f t="shared" si="645"/>
        <v>0</v>
      </c>
      <c r="AF419" s="14">
        <f t="shared" si="645"/>
        <v>0</v>
      </c>
      <c r="AG419" s="14">
        <f t="shared" si="645"/>
        <v>0</v>
      </c>
      <c r="AH419" s="14">
        <f t="shared" si="645"/>
        <v>0</v>
      </c>
      <c r="AI419" s="14">
        <f t="shared" si="645"/>
        <v>0</v>
      </c>
      <c r="AJ419" s="14">
        <f t="shared" si="645"/>
        <v>0</v>
      </c>
      <c r="AK419" s="14">
        <f t="shared" si="645"/>
        <v>0</v>
      </c>
      <c r="AL419" s="14">
        <f t="shared" si="645"/>
        <v>0</v>
      </c>
      <c r="AM419" s="14">
        <f t="shared" si="645"/>
        <v>0</v>
      </c>
      <c r="AN419" s="14">
        <f t="shared" si="645"/>
        <v>0</v>
      </c>
      <c r="AO419" s="14">
        <f t="shared" si="645"/>
        <v>0</v>
      </c>
      <c r="AP419" s="14">
        <f t="shared" si="645"/>
        <v>0</v>
      </c>
      <c r="AQ419" s="14">
        <f t="shared" si="645"/>
        <v>0</v>
      </c>
      <c r="AR419" s="14">
        <f t="shared" si="645"/>
        <v>0</v>
      </c>
      <c r="AS419" s="14">
        <f t="shared" si="645"/>
        <v>0</v>
      </c>
      <c r="AT419" s="14">
        <f t="shared" si="645"/>
        <v>0</v>
      </c>
      <c r="AU419" s="14">
        <f t="shared" si="645"/>
        <v>0</v>
      </c>
      <c r="AV419" s="14">
        <f t="shared" si="645"/>
        <v>0</v>
      </c>
      <c r="AW419" s="14">
        <f t="shared" si="645"/>
        <v>0</v>
      </c>
      <c r="AX419" s="14">
        <f t="shared" si="645"/>
        <v>0</v>
      </c>
      <c r="AY419" s="14">
        <f t="shared" si="645"/>
        <v>0</v>
      </c>
      <c r="AZ419" s="14">
        <f t="shared" si="645"/>
        <v>0</v>
      </c>
      <c r="BA419" s="14">
        <f t="shared" si="645"/>
        <v>0</v>
      </c>
      <c r="BB419" s="14">
        <f t="shared" si="645"/>
        <v>0</v>
      </c>
      <c r="BC419" s="14">
        <f t="shared" si="645"/>
        <v>0</v>
      </c>
      <c r="BD419" s="14">
        <f t="shared" si="645"/>
        <v>0</v>
      </c>
      <c r="BE419" s="14">
        <f t="shared" si="645"/>
        <v>0</v>
      </c>
      <c r="BF419" s="14">
        <f t="shared" si="645"/>
        <v>0</v>
      </c>
      <c r="BG419" s="14">
        <f t="shared" si="645"/>
        <v>0</v>
      </c>
      <c r="BH419" s="14">
        <f t="shared" si="645"/>
        <v>0</v>
      </c>
      <c r="BI419" s="14">
        <f t="shared" si="645"/>
        <v>0</v>
      </c>
      <c r="BJ419" s="14">
        <f t="shared" si="645"/>
        <v>0</v>
      </c>
      <c r="BK419" s="14">
        <f t="shared" si="645"/>
        <v>0</v>
      </c>
      <c r="BL419" s="14">
        <f t="shared" si="645"/>
        <v>0</v>
      </c>
      <c r="BM419" s="14">
        <f t="shared" si="645"/>
        <v>0</v>
      </c>
      <c r="BN419" s="14">
        <f t="shared" ca="1" si="645"/>
        <v>0</v>
      </c>
      <c r="BO419" s="14">
        <f t="shared" ca="1" si="645"/>
        <v>0</v>
      </c>
      <c r="BP419" s="14">
        <f t="shared" ca="1" si="645"/>
        <v>0</v>
      </c>
      <c r="BQ419" s="14">
        <f t="shared" ca="1" si="645"/>
        <v>0</v>
      </c>
      <c r="BR419" s="14">
        <f t="shared" ca="1" si="645"/>
        <v>0</v>
      </c>
      <c r="BS419" s="14">
        <f t="shared" ca="1" si="645"/>
        <v>0</v>
      </c>
      <c r="BT419" s="14">
        <f t="shared" ca="1" si="645"/>
        <v>0</v>
      </c>
      <c r="BU419" s="14">
        <f t="shared" ca="1" si="645"/>
        <v>0</v>
      </c>
      <c r="BV419" s="14">
        <f t="shared" ref="BV419:DA419" ca="1" si="646">+BV$357</f>
        <v>0</v>
      </c>
      <c r="BW419" s="14">
        <f t="shared" ca="1" si="646"/>
        <v>0</v>
      </c>
      <c r="BX419" s="14">
        <f t="shared" ca="1" si="646"/>
        <v>0</v>
      </c>
      <c r="BY419" s="14">
        <f t="shared" ca="1" si="646"/>
        <v>0</v>
      </c>
      <c r="BZ419" s="14">
        <f t="shared" ca="1" si="646"/>
        <v>0</v>
      </c>
      <c r="CA419" s="14">
        <f t="shared" ca="1" si="646"/>
        <v>0</v>
      </c>
      <c r="CB419" s="14">
        <f t="shared" ca="1" si="646"/>
        <v>0</v>
      </c>
      <c r="CC419" s="14">
        <f t="shared" ca="1" si="646"/>
        <v>0</v>
      </c>
      <c r="CD419" s="14">
        <f t="shared" ca="1" si="646"/>
        <v>0</v>
      </c>
      <c r="CE419" s="14">
        <f t="shared" ca="1" si="646"/>
        <v>0</v>
      </c>
      <c r="CF419" s="14">
        <f t="shared" ca="1" si="646"/>
        <v>635016.88859481271</v>
      </c>
      <c r="CG419" s="14">
        <f t="shared" ca="1" si="646"/>
        <v>0</v>
      </c>
      <c r="CH419" s="14">
        <f t="shared" ca="1" si="646"/>
        <v>0</v>
      </c>
      <c r="CI419" s="14">
        <f t="shared" ca="1" si="646"/>
        <v>0</v>
      </c>
      <c r="CJ419" s="14">
        <f t="shared" ca="1" si="646"/>
        <v>0</v>
      </c>
      <c r="CK419" s="14">
        <f t="shared" ca="1" si="646"/>
        <v>0</v>
      </c>
      <c r="CL419" s="14">
        <f t="shared" ca="1" si="646"/>
        <v>0</v>
      </c>
      <c r="CM419" s="14">
        <f t="shared" ca="1" si="646"/>
        <v>0</v>
      </c>
      <c r="CN419" s="14">
        <f t="shared" ca="1" si="646"/>
        <v>0</v>
      </c>
      <c r="CO419" s="14">
        <f t="shared" ca="1" si="646"/>
        <v>0</v>
      </c>
      <c r="CP419" s="14">
        <f t="shared" ca="1" si="646"/>
        <v>0</v>
      </c>
      <c r="CQ419" s="14">
        <f t="shared" ca="1" si="646"/>
        <v>0</v>
      </c>
      <c r="CR419" s="14">
        <f t="shared" ca="1" si="646"/>
        <v>0</v>
      </c>
      <c r="CS419" s="14">
        <f t="shared" ca="1" si="646"/>
        <v>0</v>
      </c>
      <c r="CT419" s="14">
        <f t="shared" ca="1" si="646"/>
        <v>0</v>
      </c>
      <c r="CU419" s="14">
        <f t="shared" ca="1" si="646"/>
        <v>0</v>
      </c>
      <c r="CV419" s="14">
        <f t="shared" ca="1" si="646"/>
        <v>0</v>
      </c>
      <c r="CW419" s="14">
        <f t="shared" ca="1" si="646"/>
        <v>0</v>
      </c>
      <c r="CX419" s="14">
        <f t="shared" ca="1" si="646"/>
        <v>0</v>
      </c>
      <c r="CY419" s="14">
        <f t="shared" ca="1" si="646"/>
        <v>0</v>
      </c>
      <c r="CZ419" s="14">
        <f t="shared" ca="1" si="646"/>
        <v>0</v>
      </c>
      <c r="DA419" s="14">
        <f t="shared" ca="1" si="646"/>
        <v>0</v>
      </c>
      <c r="DB419" s="14">
        <f t="shared" ref="DB419:DY419" ca="1" si="647">+DB$357</f>
        <v>0</v>
      </c>
      <c r="DC419" s="14">
        <f t="shared" ca="1" si="647"/>
        <v>0</v>
      </c>
      <c r="DD419" s="14">
        <f t="shared" ca="1" si="647"/>
        <v>0</v>
      </c>
      <c r="DE419" s="14">
        <f t="shared" ca="1" si="647"/>
        <v>0</v>
      </c>
      <c r="DF419" s="14">
        <f t="shared" ca="1" si="647"/>
        <v>0</v>
      </c>
      <c r="DG419" s="14">
        <f t="shared" ca="1" si="647"/>
        <v>0</v>
      </c>
      <c r="DH419" s="14">
        <f t="shared" ca="1" si="647"/>
        <v>0</v>
      </c>
      <c r="DI419" s="14">
        <f t="shared" ca="1" si="647"/>
        <v>0</v>
      </c>
      <c r="DJ419" s="14">
        <f t="shared" ca="1" si="647"/>
        <v>0</v>
      </c>
      <c r="DK419" s="14">
        <f t="shared" ca="1" si="647"/>
        <v>0</v>
      </c>
      <c r="DL419" s="14">
        <f t="shared" ca="1" si="647"/>
        <v>0</v>
      </c>
      <c r="DM419" s="14">
        <f t="shared" ca="1" si="647"/>
        <v>0</v>
      </c>
      <c r="DN419" s="14">
        <f t="shared" ca="1" si="647"/>
        <v>0</v>
      </c>
      <c r="DO419" s="14">
        <f t="shared" ca="1" si="647"/>
        <v>0</v>
      </c>
      <c r="DP419" s="14">
        <f t="shared" ca="1" si="647"/>
        <v>0</v>
      </c>
      <c r="DQ419" s="14">
        <f t="shared" ca="1" si="647"/>
        <v>0</v>
      </c>
      <c r="DR419" s="14">
        <f t="shared" ca="1" si="647"/>
        <v>0</v>
      </c>
      <c r="DS419" s="14">
        <f t="shared" ca="1" si="647"/>
        <v>0</v>
      </c>
      <c r="DT419" s="14">
        <f t="shared" ca="1" si="647"/>
        <v>0</v>
      </c>
      <c r="DU419" s="14">
        <f t="shared" ca="1" si="647"/>
        <v>0</v>
      </c>
      <c r="DV419" s="14">
        <f t="shared" ca="1" si="647"/>
        <v>0</v>
      </c>
      <c r="DW419" s="14">
        <f t="shared" ca="1" si="647"/>
        <v>0</v>
      </c>
      <c r="DX419" s="14">
        <f t="shared" ca="1" si="647"/>
        <v>0</v>
      </c>
      <c r="DY419" s="14">
        <f t="shared" ca="1" si="647"/>
        <v>0</v>
      </c>
    </row>
    <row r="420" spans="1:129" s="3" customFormat="1" ht="11.7" customHeight="1" outlineLevel="1" thickBot="1" x14ac:dyDescent="0.35">
      <c r="B420" s="125" t="s">
        <v>127</v>
      </c>
      <c r="C420" s="125"/>
      <c r="H420" s="349">
        <f t="shared" si="630"/>
        <v>138943.30166389482</v>
      </c>
      <c r="I420" s="14">
        <f>+I$362</f>
        <v>0</v>
      </c>
      <c r="J420" s="14">
        <f t="shared" ref="J420:BU420" si="648">+J$362</f>
        <v>0</v>
      </c>
      <c r="K420" s="14">
        <f t="shared" si="648"/>
        <v>0</v>
      </c>
      <c r="L420" s="14">
        <f t="shared" si="648"/>
        <v>0</v>
      </c>
      <c r="M420" s="14">
        <f t="shared" si="648"/>
        <v>0</v>
      </c>
      <c r="N420" s="14">
        <f t="shared" si="648"/>
        <v>0</v>
      </c>
      <c r="O420" s="14">
        <f t="shared" si="648"/>
        <v>0</v>
      </c>
      <c r="P420" s="14">
        <f t="shared" si="648"/>
        <v>0</v>
      </c>
      <c r="Q420" s="14">
        <f t="shared" si="648"/>
        <v>0</v>
      </c>
      <c r="R420" s="14">
        <f t="shared" si="648"/>
        <v>0</v>
      </c>
      <c r="S420" s="14">
        <f t="shared" si="648"/>
        <v>0</v>
      </c>
      <c r="T420" s="14">
        <f t="shared" si="648"/>
        <v>0</v>
      </c>
      <c r="U420" s="14">
        <f t="shared" si="648"/>
        <v>0</v>
      </c>
      <c r="V420" s="14">
        <f t="shared" si="648"/>
        <v>0</v>
      </c>
      <c r="W420" s="14">
        <f t="shared" si="648"/>
        <v>0</v>
      </c>
      <c r="X420" s="14">
        <f t="shared" si="648"/>
        <v>0</v>
      </c>
      <c r="Y420" s="14">
        <f t="shared" si="648"/>
        <v>0</v>
      </c>
      <c r="Z420" s="14">
        <f t="shared" si="648"/>
        <v>0</v>
      </c>
      <c r="AA420" s="14">
        <f t="shared" si="648"/>
        <v>0</v>
      </c>
      <c r="AB420" s="14">
        <f t="shared" si="648"/>
        <v>0</v>
      </c>
      <c r="AC420" s="14">
        <f t="shared" si="648"/>
        <v>0</v>
      </c>
      <c r="AD420" s="14">
        <f t="shared" si="648"/>
        <v>0</v>
      </c>
      <c r="AE420" s="14">
        <f t="shared" si="648"/>
        <v>0</v>
      </c>
      <c r="AF420" s="14">
        <f t="shared" si="648"/>
        <v>0</v>
      </c>
      <c r="AG420" s="14">
        <f t="shared" si="648"/>
        <v>0</v>
      </c>
      <c r="AH420" s="14">
        <f t="shared" si="648"/>
        <v>0</v>
      </c>
      <c r="AI420" s="14">
        <f t="shared" si="648"/>
        <v>0</v>
      </c>
      <c r="AJ420" s="14">
        <f t="shared" si="648"/>
        <v>0</v>
      </c>
      <c r="AK420" s="14">
        <f t="shared" si="648"/>
        <v>0</v>
      </c>
      <c r="AL420" s="14">
        <f t="shared" si="648"/>
        <v>0</v>
      </c>
      <c r="AM420" s="14">
        <f t="shared" si="648"/>
        <v>0</v>
      </c>
      <c r="AN420" s="14">
        <f t="shared" si="648"/>
        <v>0</v>
      </c>
      <c r="AO420" s="14">
        <f t="shared" si="648"/>
        <v>0</v>
      </c>
      <c r="AP420" s="14">
        <f t="shared" si="648"/>
        <v>0</v>
      </c>
      <c r="AQ420" s="14">
        <f t="shared" si="648"/>
        <v>0</v>
      </c>
      <c r="AR420" s="14">
        <f t="shared" si="648"/>
        <v>0</v>
      </c>
      <c r="AS420" s="14">
        <f t="shared" si="648"/>
        <v>0</v>
      </c>
      <c r="AT420" s="14">
        <f t="shared" si="648"/>
        <v>0</v>
      </c>
      <c r="AU420" s="14">
        <f t="shared" si="648"/>
        <v>0</v>
      </c>
      <c r="AV420" s="14">
        <f t="shared" si="648"/>
        <v>0</v>
      </c>
      <c r="AW420" s="14">
        <f t="shared" si="648"/>
        <v>0</v>
      </c>
      <c r="AX420" s="14">
        <f t="shared" si="648"/>
        <v>0</v>
      </c>
      <c r="AY420" s="14">
        <f t="shared" si="648"/>
        <v>0</v>
      </c>
      <c r="AZ420" s="14">
        <f t="shared" si="648"/>
        <v>0</v>
      </c>
      <c r="BA420" s="14">
        <f t="shared" si="648"/>
        <v>0</v>
      </c>
      <c r="BB420" s="14">
        <f t="shared" si="648"/>
        <v>0</v>
      </c>
      <c r="BC420" s="14">
        <f t="shared" si="648"/>
        <v>0</v>
      </c>
      <c r="BD420" s="14">
        <f t="shared" si="648"/>
        <v>0</v>
      </c>
      <c r="BE420" s="14">
        <f t="shared" si="648"/>
        <v>0</v>
      </c>
      <c r="BF420" s="14">
        <f t="shared" si="648"/>
        <v>0</v>
      </c>
      <c r="BG420" s="14">
        <f t="shared" si="648"/>
        <v>0</v>
      </c>
      <c r="BH420" s="14">
        <f t="shared" si="648"/>
        <v>0</v>
      </c>
      <c r="BI420" s="14">
        <f t="shared" si="648"/>
        <v>0</v>
      </c>
      <c r="BJ420" s="14">
        <f t="shared" si="648"/>
        <v>0</v>
      </c>
      <c r="BK420" s="14">
        <f t="shared" si="648"/>
        <v>0</v>
      </c>
      <c r="BL420" s="14">
        <f t="shared" si="648"/>
        <v>0</v>
      </c>
      <c r="BM420" s="14">
        <f t="shared" si="648"/>
        <v>0</v>
      </c>
      <c r="BN420" s="14">
        <f t="shared" si="648"/>
        <v>0</v>
      </c>
      <c r="BO420" s="14">
        <f t="shared" si="648"/>
        <v>0</v>
      </c>
      <c r="BP420" s="14">
        <f t="shared" si="648"/>
        <v>0</v>
      </c>
      <c r="BQ420" s="14">
        <f t="shared" si="648"/>
        <v>0</v>
      </c>
      <c r="BR420" s="14">
        <f t="shared" si="648"/>
        <v>0</v>
      </c>
      <c r="BS420" s="14">
        <f t="shared" si="648"/>
        <v>0</v>
      </c>
      <c r="BT420" s="14">
        <f>+BT$362</f>
        <v>0</v>
      </c>
      <c r="BU420" s="14">
        <f t="shared" si="648"/>
        <v>0</v>
      </c>
      <c r="BV420" s="14">
        <f t="shared" ref="BV420:DA420" si="649">+BV$362</f>
        <v>0</v>
      </c>
      <c r="BW420" s="14">
        <f t="shared" si="649"/>
        <v>0</v>
      </c>
      <c r="BX420" s="14">
        <f t="shared" si="649"/>
        <v>0</v>
      </c>
      <c r="BY420" s="14">
        <f t="shared" si="649"/>
        <v>0</v>
      </c>
      <c r="BZ420" s="14">
        <f t="shared" si="649"/>
        <v>0</v>
      </c>
      <c r="CA420" s="14">
        <f t="shared" si="649"/>
        <v>0</v>
      </c>
      <c r="CB420" s="14">
        <f t="shared" si="649"/>
        <v>0</v>
      </c>
      <c r="CC420" s="14">
        <f t="shared" si="649"/>
        <v>0</v>
      </c>
      <c r="CD420" s="14">
        <f t="shared" si="649"/>
        <v>0</v>
      </c>
      <c r="CE420" s="14">
        <f t="shared" si="649"/>
        <v>0</v>
      </c>
      <c r="CF420" s="14">
        <f t="shared" si="649"/>
        <v>138943.30166389482</v>
      </c>
      <c r="CG420" s="14">
        <f t="shared" si="649"/>
        <v>0</v>
      </c>
      <c r="CH420" s="14">
        <f t="shared" si="649"/>
        <v>0</v>
      </c>
      <c r="CI420" s="14">
        <f t="shared" si="649"/>
        <v>0</v>
      </c>
      <c r="CJ420" s="14">
        <f t="shared" si="649"/>
        <v>0</v>
      </c>
      <c r="CK420" s="14">
        <f t="shared" si="649"/>
        <v>0</v>
      </c>
      <c r="CL420" s="14">
        <f t="shared" si="649"/>
        <v>0</v>
      </c>
      <c r="CM420" s="14">
        <f t="shared" si="649"/>
        <v>0</v>
      </c>
      <c r="CN420" s="14">
        <f t="shared" si="649"/>
        <v>0</v>
      </c>
      <c r="CO420" s="14">
        <f t="shared" si="649"/>
        <v>0</v>
      </c>
      <c r="CP420" s="14">
        <f t="shared" si="649"/>
        <v>0</v>
      </c>
      <c r="CQ420" s="14">
        <f t="shared" si="649"/>
        <v>0</v>
      </c>
      <c r="CR420" s="14">
        <f t="shared" si="649"/>
        <v>0</v>
      </c>
      <c r="CS420" s="14">
        <f t="shared" si="649"/>
        <v>0</v>
      </c>
      <c r="CT420" s="14">
        <f t="shared" si="649"/>
        <v>0</v>
      </c>
      <c r="CU420" s="14">
        <f t="shared" si="649"/>
        <v>0</v>
      </c>
      <c r="CV420" s="14">
        <f t="shared" si="649"/>
        <v>0</v>
      </c>
      <c r="CW420" s="14">
        <f t="shared" si="649"/>
        <v>0</v>
      </c>
      <c r="CX420" s="14">
        <f t="shared" si="649"/>
        <v>0</v>
      </c>
      <c r="CY420" s="14">
        <f t="shared" si="649"/>
        <v>0</v>
      </c>
      <c r="CZ420" s="14">
        <f t="shared" si="649"/>
        <v>0</v>
      </c>
      <c r="DA420" s="14">
        <f t="shared" si="649"/>
        <v>0</v>
      </c>
      <c r="DB420" s="14">
        <f t="shared" ref="DB420:DX420" si="650">+DB$362</f>
        <v>0</v>
      </c>
      <c r="DC420" s="14">
        <f t="shared" si="650"/>
        <v>0</v>
      </c>
      <c r="DD420" s="14">
        <f t="shared" si="650"/>
        <v>0</v>
      </c>
      <c r="DE420" s="14">
        <f t="shared" si="650"/>
        <v>0</v>
      </c>
      <c r="DF420" s="14">
        <f t="shared" si="650"/>
        <v>0</v>
      </c>
      <c r="DG420" s="14">
        <f t="shared" si="650"/>
        <v>0</v>
      </c>
      <c r="DH420" s="14">
        <f t="shared" si="650"/>
        <v>0</v>
      </c>
      <c r="DI420" s="14">
        <f t="shared" si="650"/>
        <v>0</v>
      </c>
      <c r="DJ420" s="14">
        <f t="shared" si="650"/>
        <v>0</v>
      </c>
      <c r="DK420" s="14">
        <f t="shared" si="650"/>
        <v>0</v>
      </c>
      <c r="DL420" s="14">
        <f t="shared" si="650"/>
        <v>0</v>
      </c>
      <c r="DM420" s="14">
        <f t="shared" si="650"/>
        <v>0</v>
      </c>
      <c r="DN420" s="14">
        <f t="shared" si="650"/>
        <v>0</v>
      </c>
      <c r="DO420" s="14">
        <f t="shared" si="650"/>
        <v>0</v>
      </c>
      <c r="DP420" s="14">
        <f t="shared" si="650"/>
        <v>0</v>
      </c>
      <c r="DQ420" s="14">
        <f t="shared" si="650"/>
        <v>0</v>
      </c>
      <c r="DR420" s="14">
        <f t="shared" si="650"/>
        <v>0</v>
      </c>
      <c r="DS420" s="14">
        <f t="shared" si="650"/>
        <v>0</v>
      </c>
      <c r="DT420" s="14">
        <f t="shared" si="650"/>
        <v>0</v>
      </c>
      <c r="DU420" s="14">
        <f t="shared" si="650"/>
        <v>0</v>
      </c>
      <c r="DV420" s="14">
        <f t="shared" si="650"/>
        <v>0</v>
      </c>
      <c r="DW420" s="14">
        <f t="shared" si="650"/>
        <v>0</v>
      </c>
      <c r="DX420" s="14">
        <f t="shared" si="650"/>
        <v>0</v>
      </c>
      <c r="DY420" s="14">
        <f>+DY$362</f>
        <v>0</v>
      </c>
    </row>
    <row r="421" spans="1:129" s="3" customFormat="1" ht="11.7" customHeight="1" outlineLevel="1" thickTop="1" thickBot="1" x14ac:dyDescent="0.35">
      <c r="B421" s="201" t="s">
        <v>502</v>
      </c>
      <c r="C421" s="201"/>
      <c r="D421" s="206"/>
      <c r="E421" s="206"/>
      <c r="F421" s="206"/>
      <c r="G421" s="206"/>
      <c r="H421" s="647">
        <f t="shared" ca="1" si="630"/>
        <v>242272.88765521182</v>
      </c>
      <c r="I421" s="174">
        <f t="shared" ref="I421:AN421" si="651">+SUM(I415:I420)</f>
        <v>-148941.6</v>
      </c>
      <c r="J421" s="174">
        <f t="shared" si="651"/>
        <v>-9931.0229483610528</v>
      </c>
      <c r="K421" s="174">
        <f t="shared" si="651"/>
        <v>-918.2</v>
      </c>
      <c r="L421" s="174">
        <f t="shared" si="651"/>
        <v>-3526.8068221862859</v>
      </c>
      <c r="M421" s="174">
        <f t="shared" si="651"/>
        <v>-505.4364560324758</v>
      </c>
      <c r="N421" s="174">
        <f t="shared" si="651"/>
        <v>-2606.4505945243063</v>
      </c>
      <c r="O421" s="174">
        <f t="shared" si="651"/>
        <v>0</v>
      </c>
      <c r="P421" s="174">
        <f t="shared" si="651"/>
        <v>-660.89596559726238</v>
      </c>
      <c r="Q421" s="174">
        <f t="shared" si="651"/>
        <v>-2427.1427321533956</v>
      </c>
      <c r="R421" s="174">
        <f t="shared" si="651"/>
        <v>-823.40604281012747</v>
      </c>
      <c r="S421" s="174">
        <f t="shared" si="651"/>
        <v>-1750.46</v>
      </c>
      <c r="T421" s="174">
        <f t="shared" si="651"/>
        <v>-1143.3312740467463</v>
      </c>
      <c r="U421" s="174">
        <f t="shared" si="651"/>
        <v>-225.53644334802181</v>
      </c>
      <c r="V421" s="174">
        <f t="shared" si="651"/>
        <v>-2724.8097463965332</v>
      </c>
      <c r="W421" s="174">
        <f t="shared" si="651"/>
        <v>-7293.6517689614084</v>
      </c>
      <c r="X421" s="174">
        <f t="shared" si="651"/>
        <v>-1307.5542789935589</v>
      </c>
      <c r="Y421" s="174">
        <f t="shared" si="651"/>
        <v>-8810.3139022268151</v>
      </c>
      <c r="Z421" s="174">
        <f t="shared" si="651"/>
        <v>-4717.1446828974076</v>
      </c>
      <c r="AA421" s="174">
        <f t="shared" si="651"/>
        <v>-4878.033385354478</v>
      </c>
      <c r="AB421" s="174">
        <f t="shared" si="651"/>
        <v>-991.84470258408942</v>
      </c>
      <c r="AC421" s="174">
        <f t="shared" si="651"/>
        <v>-1321.5461440737463</v>
      </c>
      <c r="AD421" s="174">
        <f t="shared" si="651"/>
        <v>-3903.8356605773606</v>
      </c>
      <c r="AE421" s="174">
        <f t="shared" si="651"/>
        <v>-65500.604726526071</v>
      </c>
      <c r="AF421" s="174">
        <f t="shared" si="651"/>
        <v>-15877.440412084365</v>
      </c>
      <c r="AG421" s="174">
        <f t="shared" si="651"/>
        <v>-12092.189221486975</v>
      </c>
      <c r="AH421" s="174">
        <f t="shared" si="651"/>
        <v>-9911.6419061836841</v>
      </c>
      <c r="AI421" s="174">
        <f t="shared" si="651"/>
        <v>-17302.387726628564</v>
      </c>
      <c r="AJ421" s="174">
        <f t="shared" si="651"/>
        <v>-8795.0055455705624</v>
      </c>
      <c r="AK421" s="174">
        <f t="shared" si="651"/>
        <v>-8465.0901148521152</v>
      </c>
      <c r="AL421" s="174">
        <f t="shared" si="651"/>
        <v>-9211.770686245909</v>
      </c>
      <c r="AM421" s="174">
        <f t="shared" si="651"/>
        <v>-10493.775980758153</v>
      </c>
      <c r="AN421" s="174">
        <f t="shared" si="651"/>
        <v>-10862.183123185907</v>
      </c>
      <c r="AO421" s="174">
        <f t="shared" ref="AO421:BT421" si="652">+SUM(AO415:AO420)</f>
        <v>-8218.1317493525748</v>
      </c>
      <c r="AP421" s="174">
        <f t="shared" si="652"/>
        <v>7142.904240906324</v>
      </c>
      <c r="AQ421" s="174">
        <f t="shared" si="652"/>
        <v>-1703.78</v>
      </c>
      <c r="AR421" s="174">
        <f t="shared" si="652"/>
        <v>-870.6400000000009</v>
      </c>
      <c r="AS421" s="174">
        <f>+SUM(AS415:AS420)</f>
        <v>-9844.869999999999</v>
      </c>
      <c r="AT421" s="174">
        <f t="shared" si="652"/>
        <v>-9192.5299999999988</v>
      </c>
      <c r="AU421" s="174">
        <f t="shared" si="652"/>
        <v>-2422.9999999999995</v>
      </c>
      <c r="AV421" s="174">
        <f t="shared" si="652"/>
        <v>-14609.3</v>
      </c>
      <c r="AW421" s="174">
        <f t="shared" si="652"/>
        <v>-33171.1</v>
      </c>
      <c r="AX421" s="174">
        <f t="shared" si="652"/>
        <v>-1066</v>
      </c>
      <c r="AY421" s="174">
        <f t="shared" si="652"/>
        <v>-18261.675501065092</v>
      </c>
      <c r="AZ421" s="174">
        <f t="shared" si="652"/>
        <v>-17786.439264965127</v>
      </c>
      <c r="BA421" s="174">
        <f t="shared" si="652"/>
        <v>-31478.385474487714</v>
      </c>
      <c r="BB421" s="174">
        <f t="shared" si="652"/>
        <v>-18069.63612191259</v>
      </c>
      <c r="BC421" s="174">
        <f t="shared" si="652"/>
        <v>-1541.6248167620831</v>
      </c>
      <c r="BD421" s="174">
        <f t="shared" si="652"/>
        <v>21719.045835948389</v>
      </c>
      <c r="BE421" s="174">
        <f t="shared" si="652"/>
        <v>-13706.265889258984</v>
      </c>
      <c r="BF421" s="174">
        <f t="shared" si="652"/>
        <v>-2968.1468313122314</v>
      </c>
      <c r="BG421" s="174">
        <f t="shared" si="652"/>
        <v>-4061.006984235722</v>
      </c>
      <c r="BH421" s="174">
        <f t="shared" si="652"/>
        <v>-23006.939824978901</v>
      </c>
      <c r="BI421" s="174">
        <f t="shared" si="652"/>
        <v>-3490.670053045279</v>
      </c>
      <c r="BJ421" s="174">
        <f t="shared" si="652"/>
        <v>-1986.4024568201567</v>
      </c>
      <c r="BK421" s="174">
        <f t="shared" si="652"/>
        <v>-3321.6344517132229</v>
      </c>
      <c r="BL421" s="174">
        <f t="shared" si="652"/>
        <v>202.9186407821868</v>
      </c>
      <c r="BM421" s="174">
        <f t="shared" si="652"/>
        <v>-1191.8681008546171</v>
      </c>
      <c r="BN421" s="174">
        <f t="shared" ca="1" si="652"/>
        <v>171.90989390021082</v>
      </c>
      <c r="BO421" s="174">
        <f t="shared" ca="1" si="652"/>
        <v>56.000433564866853</v>
      </c>
      <c r="BP421" s="174">
        <f t="shared" ca="1" si="652"/>
        <v>1173.9370865188407</v>
      </c>
      <c r="BQ421" s="174">
        <f t="shared" ca="1" si="652"/>
        <v>648.19720150423848</v>
      </c>
      <c r="BR421" s="174">
        <f t="shared" ca="1" si="652"/>
        <v>651.47381330054782</v>
      </c>
      <c r="BS421" s="174">
        <f t="shared" ca="1" si="652"/>
        <v>1015.9426487330747</v>
      </c>
      <c r="BT421" s="174">
        <f t="shared" ca="1" si="652"/>
        <v>581.96606186984582</v>
      </c>
      <c r="BU421" s="174">
        <f t="shared" ref="BU421:CZ421" ca="1" si="653">+SUM(BU415:BU420)</f>
        <v>751.75161730034358</v>
      </c>
      <c r="BV421" s="174">
        <f t="shared" ca="1" si="653"/>
        <v>1115.438046078523</v>
      </c>
      <c r="BW421" s="174">
        <f t="shared" ca="1" si="653"/>
        <v>850.16117117632541</v>
      </c>
      <c r="BX421" s="174">
        <f t="shared" ca="1" si="653"/>
        <v>240.51071065757787</v>
      </c>
      <c r="BY421" s="174">
        <f t="shared" ca="1" si="653"/>
        <v>819.70433115808214</v>
      </c>
      <c r="BZ421" s="174">
        <f t="shared" ca="1" si="653"/>
        <v>2830.21023489869</v>
      </c>
      <c r="CA421" s="174">
        <f t="shared" ca="1" si="653"/>
        <v>2631.133362916632</v>
      </c>
      <c r="CB421" s="174">
        <f t="shared" ca="1" si="653"/>
        <v>2764.4714330471897</v>
      </c>
      <c r="CC421" s="174">
        <f t="shared" ca="1" si="653"/>
        <v>2900.7657162056507</v>
      </c>
      <c r="CD421" s="174">
        <f t="shared" ca="1" si="653"/>
        <v>3040.0162123920163</v>
      </c>
      <c r="CE421" s="174">
        <f t="shared" ca="1" si="653"/>
        <v>3182.2229216062833</v>
      </c>
      <c r="CF421" s="174">
        <f t="shared" ca="1" si="653"/>
        <v>777615.37491653359</v>
      </c>
      <c r="CG421" s="174">
        <f t="shared" ca="1" si="653"/>
        <v>10057.991639623726</v>
      </c>
      <c r="CH421" s="174">
        <f t="shared" ca="1" si="653"/>
        <v>0</v>
      </c>
      <c r="CI421" s="174">
        <f t="shared" ca="1" si="653"/>
        <v>0</v>
      </c>
      <c r="CJ421" s="174">
        <f t="shared" ca="1" si="653"/>
        <v>0</v>
      </c>
      <c r="CK421" s="174">
        <f t="shared" ca="1" si="653"/>
        <v>0</v>
      </c>
      <c r="CL421" s="174">
        <f t="shared" ca="1" si="653"/>
        <v>0</v>
      </c>
      <c r="CM421" s="174">
        <f t="shared" ca="1" si="653"/>
        <v>0</v>
      </c>
      <c r="CN421" s="174">
        <f t="shared" ca="1" si="653"/>
        <v>0</v>
      </c>
      <c r="CO421" s="174">
        <f t="shared" ca="1" si="653"/>
        <v>0</v>
      </c>
      <c r="CP421" s="174">
        <f t="shared" ca="1" si="653"/>
        <v>0</v>
      </c>
      <c r="CQ421" s="174">
        <f t="shared" ca="1" si="653"/>
        <v>0</v>
      </c>
      <c r="CR421" s="174">
        <f t="shared" ca="1" si="653"/>
        <v>0</v>
      </c>
      <c r="CS421" s="174">
        <f t="shared" ca="1" si="653"/>
        <v>0</v>
      </c>
      <c r="CT421" s="174">
        <f t="shared" ca="1" si="653"/>
        <v>0</v>
      </c>
      <c r="CU421" s="174">
        <f t="shared" ca="1" si="653"/>
        <v>0</v>
      </c>
      <c r="CV421" s="174">
        <f t="shared" ca="1" si="653"/>
        <v>0</v>
      </c>
      <c r="CW421" s="174">
        <f t="shared" ca="1" si="653"/>
        <v>0</v>
      </c>
      <c r="CX421" s="174">
        <f t="shared" ca="1" si="653"/>
        <v>0</v>
      </c>
      <c r="CY421" s="174">
        <f t="shared" ca="1" si="653"/>
        <v>0</v>
      </c>
      <c r="CZ421" s="174">
        <f t="shared" ca="1" si="653"/>
        <v>0</v>
      </c>
      <c r="DA421" s="174">
        <f t="shared" ref="DA421:DW421" ca="1" si="654">+SUM(DA415:DA420)</f>
        <v>0</v>
      </c>
      <c r="DB421" s="174">
        <f t="shared" ca="1" si="654"/>
        <v>0</v>
      </c>
      <c r="DC421" s="174">
        <f t="shared" ca="1" si="654"/>
        <v>0</v>
      </c>
      <c r="DD421" s="174">
        <f t="shared" ca="1" si="654"/>
        <v>0</v>
      </c>
      <c r="DE421" s="174">
        <f t="shared" ca="1" si="654"/>
        <v>0</v>
      </c>
      <c r="DF421" s="174">
        <f t="shared" ca="1" si="654"/>
        <v>0</v>
      </c>
      <c r="DG421" s="174">
        <f t="shared" ca="1" si="654"/>
        <v>0</v>
      </c>
      <c r="DH421" s="174">
        <f t="shared" ca="1" si="654"/>
        <v>0</v>
      </c>
      <c r="DI421" s="174">
        <f t="shared" ca="1" si="654"/>
        <v>0</v>
      </c>
      <c r="DJ421" s="174">
        <f t="shared" ca="1" si="654"/>
        <v>0</v>
      </c>
      <c r="DK421" s="174">
        <f t="shared" ca="1" si="654"/>
        <v>0</v>
      </c>
      <c r="DL421" s="174">
        <f t="shared" ca="1" si="654"/>
        <v>0</v>
      </c>
      <c r="DM421" s="174">
        <f t="shared" ca="1" si="654"/>
        <v>0</v>
      </c>
      <c r="DN421" s="174">
        <f t="shared" ca="1" si="654"/>
        <v>0</v>
      </c>
      <c r="DO421" s="174">
        <f t="shared" ca="1" si="654"/>
        <v>0</v>
      </c>
      <c r="DP421" s="174">
        <f t="shared" ca="1" si="654"/>
        <v>0</v>
      </c>
      <c r="DQ421" s="174">
        <f t="shared" ca="1" si="654"/>
        <v>0</v>
      </c>
      <c r="DR421" s="174">
        <f t="shared" ca="1" si="654"/>
        <v>0</v>
      </c>
      <c r="DS421" s="174">
        <f t="shared" ca="1" si="654"/>
        <v>0</v>
      </c>
      <c r="DT421" s="174">
        <f t="shared" ca="1" si="654"/>
        <v>0</v>
      </c>
      <c r="DU421" s="174">
        <f t="shared" ca="1" si="654"/>
        <v>0</v>
      </c>
      <c r="DV421" s="174">
        <f t="shared" ca="1" si="654"/>
        <v>0</v>
      </c>
      <c r="DW421" s="174">
        <f t="shared" ca="1" si="654"/>
        <v>0</v>
      </c>
      <c r="DX421" s="174">
        <f t="shared" ref="DX421" ca="1" si="655">+SUM(DX415:DX420)</f>
        <v>0</v>
      </c>
      <c r="DY421" s="174">
        <f t="shared" ref="DY421" ca="1" si="656">+SUM(DY415:DY420)</f>
        <v>0</v>
      </c>
    </row>
    <row r="422" spans="1:129" s="111" customFormat="1" ht="11.7" customHeight="1" outlineLevel="1" thickTop="1" x14ac:dyDescent="0.3">
      <c r="A422" s="3"/>
      <c r="B422" s="912" t="s">
        <v>437</v>
      </c>
      <c r="C422" s="141"/>
      <c r="D422" s="3"/>
      <c r="E422" s="3"/>
      <c r="F422" s="3"/>
      <c r="G422" s="74"/>
      <c r="H422" s="914">
        <f ca="1">+MIN(I422:DY422)</f>
        <v>-570826.29179777461</v>
      </c>
      <c r="I422" s="913">
        <f>+I421</f>
        <v>-148941.6</v>
      </c>
      <c r="J422" s="913">
        <f>+J421+I422</f>
        <v>-158872.62294836107</v>
      </c>
      <c r="K422" s="913">
        <f t="shared" ref="K422:BV422" si="657">+K421+J422</f>
        <v>-159790.82294836108</v>
      </c>
      <c r="L422" s="913">
        <f t="shared" si="657"/>
        <v>-163317.62977054736</v>
      </c>
      <c r="M422" s="913">
        <f t="shared" si="657"/>
        <v>-163823.06622657983</v>
      </c>
      <c r="N422" s="913">
        <f t="shared" si="657"/>
        <v>-166429.51682110413</v>
      </c>
      <c r="O422" s="913">
        <f t="shared" si="657"/>
        <v>-166429.51682110413</v>
      </c>
      <c r="P422" s="913">
        <f t="shared" si="657"/>
        <v>-167090.4127867014</v>
      </c>
      <c r="Q422" s="913">
        <f t="shared" si="657"/>
        <v>-169517.55551885479</v>
      </c>
      <c r="R422" s="913">
        <f t="shared" si="657"/>
        <v>-170340.96156166491</v>
      </c>
      <c r="S422" s="913">
        <f t="shared" si="657"/>
        <v>-172091.4215616649</v>
      </c>
      <c r="T422" s="913">
        <f t="shared" si="657"/>
        <v>-173234.75283571164</v>
      </c>
      <c r="U422" s="913">
        <f t="shared" si="657"/>
        <v>-173460.28927905965</v>
      </c>
      <c r="V422" s="913">
        <f t="shared" si="657"/>
        <v>-176185.09902545618</v>
      </c>
      <c r="W422" s="913">
        <f t="shared" si="657"/>
        <v>-183478.75079441757</v>
      </c>
      <c r="X422" s="913">
        <f t="shared" si="657"/>
        <v>-184786.30507341115</v>
      </c>
      <c r="Y422" s="913">
        <f t="shared" si="657"/>
        <v>-193596.61897563795</v>
      </c>
      <c r="Z422" s="913">
        <f t="shared" si="657"/>
        <v>-198313.76365853535</v>
      </c>
      <c r="AA422" s="913">
        <f t="shared" si="657"/>
        <v>-203191.79704388982</v>
      </c>
      <c r="AB422" s="913">
        <f t="shared" si="657"/>
        <v>-204183.64174647391</v>
      </c>
      <c r="AC422" s="913">
        <f t="shared" si="657"/>
        <v>-205505.18789054765</v>
      </c>
      <c r="AD422" s="913">
        <f t="shared" si="657"/>
        <v>-209409.02355112502</v>
      </c>
      <c r="AE422" s="913">
        <f t="shared" si="657"/>
        <v>-274909.62827765109</v>
      </c>
      <c r="AF422" s="913">
        <f t="shared" si="657"/>
        <v>-290787.06868973543</v>
      </c>
      <c r="AG422" s="913">
        <f t="shared" si="657"/>
        <v>-302879.2579112224</v>
      </c>
      <c r="AH422" s="913">
        <f t="shared" si="657"/>
        <v>-312790.89981740608</v>
      </c>
      <c r="AI422" s="913">
        <f t="shared" si="657"/>
        <v>-330093.28754403465</v>
      </c>
      <c r="AJ422" s="913">
        <f t="shared" si="657"/>
        <v>-338888.29308960523</v>
      </c>
      <c r="AK422" s="913">
        <f t="shared" si="657"/>
        <v>-347353.38320445735</v>
      </c>
      <c r="AL422" s="913">
        <f t="shared" si="657"/>
        <v>-356565.15389070328</v>
      </c>
      <c r="AM422" s="913">
        <f t="shared" si="657"/>
        <v>-367058.92987146141</v>
      </c>
      <c r="AN422" s="913">
        <f t="shared" si="657"/>
        <v>-377921.11299464729</v>
      </c>
      <c r="AO422" s="913">
        <f t="shared" si="657"/>
        <v>-386139.24474399985</v>
      </c>
      <c r="AP422" s="913">
        <f t="shared" si="657"/>
        <v>-378996.34050309355</v>
      </c>
      <c r="AQ422" s="913">
        <f t="shared" si="657"/>
        <v>-380700.12050309358</v>
      </c>
      <c r="AR422" s="913">
        <f t="shared" si="657"/>
        <v>-381570.7605030936</v>
      </c>
      <c r="AS422" s="913">
        <f t="shared" si="657"/>
        <v>-391415.63050309359</v>
      </c>
      <c r="AT422" s="913">
        <f t="shared" si="657"/>
        <v>-400608.16050309362</v>
      </c>
      <c r="AU422" s="913">
        <f t="shared" si="657"/>
        <v>-403031.16050309362</v>
      </c>
      <c r="AV422" s="913">
        <f t="shared" si="657"/>
        <v>-417640.46050309361</v>
      </c>
      <c r="AW422" s="913">
        <f t="shared" si="657"/>
        <v>-450811.56050309358</v>
      </c>
      <c r="AX422" s="913">
        <f t="shared" si="657"/>
        <v>-451877.56050309358</v>
      </c>
      <c r="AY422" s="913">
        <f t="shared" si="657"/>
        <v>-470139.23600415868</v>
      </c>
      <c r="AZ422" s="913">
        <f t="shared" si="657"/>
        <v>-487925.67526912381</v>
      </c>
      <c r="BA422" s="913">
        <f t="shared" si="657"/>
        <v>-519404.06074361154</v>
      </c>
      <c r="BB422" s="913">
        <f t="shared" si="657"/>
        <v>-537473.69686552417</v>
      </c>
      <c r="BC422" s="913">
        <f t="shared" si="657"/>
        <v>-539015.32168228622</v>
      </c>
      <c r="BD422" s="913">
        <f t="shared" si="657"/>
        <v>-517296.27584633784</v>
      </c>
      <c r="BE422" s="913">
        <f t="shared" si="657"/>
        <v>-531002.54173559684</v>
      </c>
      <c r="BF422" s="913">
        <f t="shared" si="657"/>
        <v>-533970.68856690906</v>
      </c>
      <c r="BG422" s="913">
        <f t="shared" si="657"/>
        <v>-538031.69555114477</v>
      </c>
      <c r="BH422" s="913">
        <f t="shared" si="657"/>
        <v>-561038.63537612371</v>
      </c>
      <c r="BI422" s="913">
        <f t="shared" si="657"/>
        <v>-564529.30542916898</v>
      </c>
      <c r="BJ422" s="913">
        <f t="shared" si="657"/>
        <v>-566515.7078859891</v>
      </c>
      <c r="BK422" s="913">
        <f t="shared" si="657"/>
        <v>-569837.34233770228</v>
      </c>
      <c r="BL422" s="913">
        <f t="shared" si="657"/>
        <v>-569634.42369692004</v>
      </c>
      <c r="BM422" s="913">
        <f t="shared" si="657"/>
        <v>-570826.29179777461</v>
      </c>
      <c r="BN422" s="913">
        <f t="shared" ca="1" si="657"/>
        <v>-570654.38190387446</v>
      </c>
      <c r="BO422" s="913">
        <f t="shared" ca="1" si="657"/>
        <v>-570598.38147030957</v>
      </c>
      <c r="BP422" s="913">
        <f t="shared" ca="1" si="657"/>
        <v>-569424.44438379072</v>
      </c>
      <c r="BQ422" s="913">
        <f t="shared" ca="1" si="657"/>
        <v>-568776.24718228646</v>
      </c>
      <c r="BR422" s="913">
        <f t="shared" ca="1" si="657"/>
        <v>-568124.77336898586</v>
      </c>
      <c r="BS422" s="913">
        <f t="shared" ca="1" si="657"/>
        <v>-567108.83072025282</v>
      </c>
      <c r="BT422" s="913">
        <f t="shared" ca="1" si="657"/>
        <v>-566526.86465838295</v>
      </c>
      <c r="BU422" s="913">
        <f t="shared" ca="1" si="657"/>
        <v>-565775.11304108263</v>
      </c>
      <c r="BV422" s="913">
        <f t="shared" ca="1" si="657"/>
        <v>-564659.67499500408</v>
      </c>
      <c r="BW422" s="913">
        <f t="shared" ref="BW422:DW422" ca="1" si="658">+BW421+BV422</f>
        <v>-563809.51382382773</v>
      </c>
      <c r="BX422" s="913">
        <f t="shared" ca="1" si="658"/>
        <v>-563569.00311317015</v>
      </c>
      <c r="BY422" s="913">
        <f t="shared" ca="1" si="658"/>
        <v>-562749.29878201208</v>
      </c>
      <c r="BZ422" s="913">
        <f t="shared" ca="1" si="658"/>
        <v>-559919.08854711335</v>
      </c>
      <c r="CA422" s="913">
        <f t="shared" ca="1" si="658"/>
        <v>-557287.9551841967</v>
      </c>
      <c r="CB422" s="913">
        <f t="shared" ca="1" si="658"/>
        <v>-554523.4837511495</v>
      </c>
      <c r="CC422" s="913">
        <f t="shared" ca="1" si="658"/>
        <v>-551622.7180349438</v>
      </c>
      <c r="CD422" s="913">
        <f t="shared" ca="1" si="658"/>
        <v>-548582.70182255178</v>
      </c>
      <c r="CE422" s="913">
        <f t="shared" ca="1" si="658"/>
        <v>-545400.47890094551</v>
      </c>
      <c r="CF422" s="913">
        <f t="shared" ca="1" si="658"/>
        <v>232214.89601558808</v>
      </c>
      <c r="CG422" s="913">
        <f t="shared" ca="1" si="658"/>
        <v>242272.88765521182</v>
      </c>
      <c r="CH422" s="913">
        <f t="shared" ca="1" si="658"/>
        <v>242272.88765521182</v>
      </c>
      <c r="CI422" s="913">
        <f t="shared" ca="1" si="658"/>
        <v>242272.88765521182</v>
      </c>
      <c r="CJ422" s="913">
        <f t="shared" ca="1" si="658"/>
        <v>242272.88765521182</v>
      </c>
      <c r="CK422" s="913">
        <f t="shared" ca="1" si="658"/>
        <v>242272.88765521182</v>
      </c>
      <c r="CL422" s="913">
        <f t="shared" ca="1" si="658"/>
        <v>242272.88765521182</v>
      </c>
      <c r="CM422" s="913">
        <f t="shared" ca="1" si="658"/>
        <v>242272.88765521182</v>
      </c>
      <c r="CN422" s="913">
        <f t="shared" ca="1" si="658"/>
        <v>242272.88765521182</v>
      </c>
      <c r="CO422" s="913">
        <f t="shared" ca="1" si="658"/>
        <v>242272.88765521182</v>
      </c>
      <c r="CP422" s="913">
        <f t="shared" ca="1" si="658"/>
        <v>242272.88765521182</v>
      </c>
      <c r="CQ422" s="913">
        <f t="shared" ca="1" si="658"/>
        <v>242272.88765521182</v>
      </c>
      <c r="CR422" s="913">
        <f t="shared" ca="1" si="658"/>
        <v>242272.88765521182</v>
      </c>
      <c r="CS422" s="913">
        <f t="shared" ca="1" si="658"/>
        <v>242272.88765521182</v>
      </c>
      <c r="CT422" s="913">
        <f t="shared" ca="1" si="658"/>
        <v>242272.88765521182</v>
      </c>
      <c r="CU422" s="913">
        <f t="shared" ca="1" si="658"/>
        <v>242272.88765521182</v>
      </c>
      <c r="CV422" s="913">
        <f t="shared" ca="1" si="658"/>
        <v>242272.88765521182</v>
      </c>
      <c r="CW422" s="913">
        <f t="shared" ca="1" si="658"/>
        <v>242272.88765521182</v>
      </c>
      <c r="CX422" s="913">
        <f t="shared" ca="1" si="658"/>
        <v>242272.88765521182</v>
      </c>
      <c r="CY422" s="913">
        <f t="shared" ca="1" si="658"/>
        <v>242272.88765521182</v>
      </c>
      <c r="CZ422" s="913">
        <f t="shared" ca="1" si="658"/>
        <v>242272.88765521182</v>
      </c>
      <c r="DA422" s="913">
        <f t="shared" ca="1" si="658"/>
        <v>242272.88765521182</v>
      </c>
      <c r="DB422" s="913">
        <f t="shared" ca="1" si="658"/>
        <v>242272.88765521182</v>
      </c>
      <c r="DC422" s="913">
        <f t="shared" ca="1" si="658"/>
        <v>242272.88765521182</v>
      </c>
      <c r="DD422" s="913">
        <f t="shared" ca="1" si="658"/>
        <v>242272.88765521182</v>
      </c>
      <c r="DE422" s="913">
        <f t="shared" ca="1" si="658"/>
        <v>242272.88765521182</v>
      </c>
      <c r="DF422" s="913">
        <f t="shared" ca="1" si="658"/>
        <v>242272.88765521182</v>
      </c>
      <c r="DG422" s="913">
        <f t="shared" ca="1" si="658"/>
        <v>242272.88765521182</v>
      </c>
      <c r="DH422" s="913">
        <f t="shared" ca="1" si="658"/>
        <v>242272.88765521182</v>
      </c>
      <c r="DI422" s="913">
        <f t="shared" ca="1" si="658"/>
        <v>242272.88765521182</v>
      </c>
      <c r="DJ422" s="913">
        <f t="shared" ca="1" si="658"/>
        <v>242272.88765521182</v>
      </c>
      <c r="DK422" s="913">
        <f t="shared" ca="1" si="658"/>
        <v>242272.88765521182</v>
      </c>
      <c r="DL422" s="913">
        <f t="shared" ca="1" si="658"/>
        <v>242272.88765521182</v>
      </c>
      <c r="DM422" s="913">
        <f t="shared" ca="1" si="658"/>
        <v>242272.88765521182</v>
      </c>
      <c r="DN422" s="913">
        <f t="shared" ca="1" si="658"/>
        <v>242272.88765521182</v>
      </c>
      <c r="DO422" s="913">
        <f t="shared" ca="1" si="658"/>
        <v>242272.88765521182</v>
      </c>
      <c r="DP422" s="913">
        <f t="shared" ca="1" si="658"/>
        <v>242272.88765521182</v>
      </c>
      <c r="DQ422" s="913">
        <f t="shared" ca="1" si="658"/>
        <v>242272.88765521182</v>
      </c>
      <c r="DR422" s="913">
        <f t="shared" ca="1" si="658"/>
        <v>242272.88765521182</v>
      </c>
      <c r="DS422" s="913">
        <f t="shared" ca="1" si="658"/>
        <v>242272.88765521182</v>
      </c>
      <c r="DT422" s="913">
        <f t="shared" ca="1" si="658"/>
        <v>242272.88765521182</v>
      </c>
      <c r="DU422" s="913">
        <f t="shared" ca="1" si="658"/>
        <v>242272.88765521182</v>
      </c>
      <c r="DV422" s="913">
        <f t="shared" ca="1" si="658"/>
        <v>242272.88765521182</v>
      </c>
      <c r="DW422" s="913">
        <f t="shared" ca="1" si="658"/>
        <v>242272.88765521182</v>
      </c>
      <c r="DX422" s="913">
        <f t="shared" ref="DX422" ca="1" si="659">+DX421+DW422</f>
        <v>242272.88765521182</v>
      </c>
      <c r="DY422" s="913">
        <f t="shared" ref="DY422" ca="1" si="660">+DY421+DX422</f>
        <v>242272.88765521182</v>
      </c>
    </row>
    <row r="423" spans="1:129" s="111" customFormat="1" ht="11.7" customHeight="1" outlineLevel="1" x14ac:dyDescent="0.3">
      <c r="A423" s="3"/>
      <c r="B423" s="141"/>
      <c r="C423" s="141"/>
      <c r="D423" s="3"/>
      <c r="E423" s="3"/>
      <c r="F423" s="3"/>
      <c r="G423" s="74"/>
      <c r="H423" s="896"/>
      <c r="I423" s="713"/>
      <c r="J423" s="713"/>
      <c r="K423" s="713"/>
      <c r="L423" s="713"/>
      <c r="M423" s="713"/>
      <c r="N423" s="713"/>
      <c r="O423" s="713"/>
      <c r="P423" s="713"/>
      <c r="Q423" s="713"/>
      <c r="R423" s="713"/>
      <c r="S423" s="713"/>
      <c r="T423" s="713"/>
      <c r="U423" s="713"/>
      <c r="V423" s="713"/>
      <c r="W423" s="713"/>
      <c r="X423" s="713"/>
      <c r="Y423" s="713"/>
      <c r="Z423" s="713"/>
      <c r="AA423" s="713"/>
      <c r="AB423" s="713"/>
      <c r="AC423" s="713"/>
      <c r="AD423" s="713"/>
      <c r="AE423" s="713"/>
      <c r="AF423" s="713"/>
      <c r="AG423" s="713"/>
      <c r="AH423" s="713"/>
      <c r="AI423" s="713"/>
      <c r="AJ423" s="713"/>
      <c r="AK423" s="713"/>
      <c r="AL423" s="713"/>
      <c r="AM423" s="713"/>
      <c r="AN423" s="713"/>
      <c r="AO423" s="713"/>
      <c r="AP423" s="713"/>
      <c r="AQ423" s="713"/>
      <c r="AR423" s="713"/>
      <c r="AS423" s="713"/>
      <c r="AT423" s="713"/>
      <c r="AU423" s="713"/>
      <c r="AV423" s="713"/>
      <c r="AW423" s="713"/>
      <c r="AX423" s="713"/>
      <c r="AY423" s="713"/>
      <c r="AZ423" s="713"/>
      <c r="BA423" s="713"/>
      <c r="BB423" s="713"/>
      <c r="BC423" s="713"/>
      <c r="BD423" s="713"/>
      <c r="BE423" s="713"/>
      <c r="BF423" s="713"/>
      <c r="BG423" s="713"/>
      <c r="BH423" s="713"/>
      <c r="BI423" s="713"/>
      <c r="BJ423" s="713"/>
      <c r="BK423" s="713"/>
      <c r="BL423" s="713"/>
      <c r="BM423" s="713"/>
      <c r="BN423" s="713"/>
      <c r="BO423" s="713"/>
      <c r="BP423" s="713"/>
      <c r="BQ423" s="713"/>
      <c r="BR423" s="713"/>
      <c r="BS423" s="713"/>
      <c r="BT423" s="713"/>
      <c r="BU423" s="713"/>
      <c r="BV423" s="713"/>
      <c r="BW423" s="713"/>
      <c r="BX423" s="713"/>
      <c r="BY423" s="713"/>
      <c r="BZ423" s="713"/>
      <c r="CA423" s="713"/>
      <c r="CB423" s="713"/>
      <c r="CC423" s="713"/>
      <c r="CD423" s="713"/>
      <c r="CE423" s="713"/>
      <c r="CF423" s="713"/>
      <c r="CG423" s="713"/>
      <c r="CH423" s="713"/>
      <c r="CI423" s="713"/>
      <c r="CJ423" s="713"/>
      <c r="CK423" s="713"/>
      <c r="CL423" s="713"/>
      <c r="CM423" s="713"/>
      <c r="CN423" s="713"/>
      <c r="CO423" s="713"/>
      <c r="CP423" s="713"/>
      <c r="CQ423" s="713"/>
      <c r="CR423" s="713"/>
      <c r="CS423" s="713"/>
      <c r="CT423" s="713"/>
      <c r="CU423" s="713"/>
      <c r="CV423" s="713"/>
      <c r="CW423" s="713"/>
      <c r="CX423" s="713"/>
      <c r="CY423" s="713"/>
      <c r="CZ423" s="713"/>
      <c r="DA423" s="713"/>
      <c r="DB423" s="713"/>
      <c r="DC423" s="713"/>
      <c r="DD423" s="713"/>
      <c r="DE423" s="713"/>
      <c r="DF423" s="713"/>
      <c r="DG423" s="713"/>
      <c r="DH423" s="713"/>
      <c r="DI423" s="713"/>
      <c r="DJ423" s="713"/>
      <c r="DK423" s="713"/>
      <c r="DL423" s="713"/>
      <c r="DM423" s="713"/>
      <c r="DN423" s="713"/>
      <c r="DO423" s="713"/>
      <c r="DP423" s="713"/>
      <c r="DQ423" s="713"/>
      <c r="DR423" s="713"/>
      <c r="DS423" s="713"/>
      <c r="DT423" s="713"/>
      <c r="DU423" s="713"/>
      <c r="DV423" s="713"/>
      <c r="DW423" s="713"/>
      <c r="DX423" s="713"/>
      <c r="DY423" s="713"/>
    </row>
    <row r="424" spans="1:129" s="3" customFormat="1" ht="11.7" customHeight="1" outlineLevel="1" x14ac:dyDescent="0.3">
      <c r="G424" s="127"/>
      <c r="H424" s="127"/>
      <c r="I424" s="713"/>
      <c r="J424" s="713"/>
      <c r="K424" s="713"/>
      <c r="L424" s="713"/>
      <c r="M424" s="713"/>
      <c r="N424" s="713"/>
      <c r="O424" s="713"/>
      <c r="P424" s="713"/>
      <c r="Q424" s="713"/>
      <c r="R424" s="713"/>
      <c r="S424" s="713"/>
      <c r="T424" s="713"/>
      <c r="U424" s="713"/>
      <c r="V424" s="713"/>
      <c r="W424" s="713"/>
      <c r="X424" s="713"/>
      <c r="Y424" s="713"/>
      <c r="Z424" s="713"/>
      <c r="AA424" s="713"/>
      <c r="AB424" s="713"/>
      <c r="AC424" s="713"/>
      <c r="AD424" s="713"/>
      <c r="AE424" s="713"/>
      <c r="AF424" s="713"/>
      <c r="AG424" s="713"/>
      <c r="AH424" s="713"/>
      <c r="AI424" s="713"/>
      <c r="AJ424" s="713"/>
      <c r="AK424" s="713"/>
      <c r="AL424" s="713"/>
      <c r="AM424" s="713"/>
      <c r="AN424" s="713"/>
      <c r="AO424" s="713"/>
      <c r="AP424" s="713"/>
      <c r="AQ424" s="713"/>
      <c r="AR424" s="713"/>
      <c r="AS424" s="713"/>
      <c r="AT424" s="713"/>
      <c r="AU424" s="713"/>
      <c r="AV424" s="713"/>
      <c r="AW424" s="713"/>
      <c r="AX424" s="713"/>
      <c r="AY424" s="713"/>
      <c r="AZ424" s="713"/>
      <c r="BA424" s="713"/>
      <c r="BB424" s="713"/>
      <c r="BC424" s="713"/>
      <c r="BD424" s="713"/>
      <c r="BE424" s="713"/>
      <c r="BF424" s="713"/>
      <c r="BG424" s="713"/>
      <c r="BH424" s="713"/>
      <c r="BI424" s="713"/>
      <c r="BJ424" s="713"/>
      <c r="BK424" s="713"/>
      <c r="BL424" s="713"/>
      <c r="BM424" s="713"/>
      <c r="BN424" s="713"/>
      <c r="BO424" s="713"/>
      <c r="BP424" s="713"/>
      <c r="BQ424" s="713"/>
      <c r="BR424" s="713"/>
      <c r="BS424" s="713"/>
      <c r="BT424" s="713"/>
      <c r="BU424" s="713"/>
      <c r="BV424" s="713"/>
      <c r="BW424" s="713"/>
      <c r="BX424" s="713"/>
      <c r="BY424" s="713"/>
      <c r="BZ424" s="713"/>
      <c r="CA424" s="713"/>
      <c r="CB424" s="713"/>
      <c r="CC424" s="713"/>
      <c r="CD424" s="713"/>
      <c r="CE424" s="713"/>
      <c r="CF424" s="713"/>
      <c r="CG424" s="713"/>
      <c r="CH424" s="713"/>
      <c r="CI424" s="713"/>
      <c r="CJ424" s="713"/>
      <c r="CK424" s="713"/>
      <c r="CL424" s="713"/>
      <c r="CM424" s="713"/>
      <c r="CN424" s="713"/>
      <c r="CO424" s="713"/>
      <c r="CP424" s="713"/>
      <c r="CQ424" s="713"/>
      <c r="CR424" s="713"/>
      <c r="CS424" s="713"/>
      <c r="CT424" s="713"/>
      <c r="CU424" s="713"/>
      <c r="CV424" s="713"/>
      <c r="CW424" s="713"/>
      <c r="CX424" s="713"/>
      <c r="CY424" s="713"/>
      <c r="CZ424" s="713"/>
      <c r="DA424" s="713"/>
      <c r="DB424" s="713"/>
      <c r="DC424" s="713"/>
      <c r="DD424" s="713"/>
      <c r="DE424" s="713"/>
      <c r="DF424" s="713"/>
      <c r="DG424" s="713"/>
      <c r="DH424" s="713"/>
      <c r="DI424" s="713"/>
      <c r="DJ424" s="713"/>
      <c r="DK424" s="713"/>
      <c r="DL424" s="713"/>
      <c r="DM424" s="713"/>
      <c r="DN424" s="713"/>
      <c r="DO424" s="713"/>
      <c r="DP424" s="713"/>
      <c r="DQ424" s="713"/>
      <c r="DR424" s="713"/>
      <c r="DS424" s="713"/>
      <c r="DT424" s="713"/>
      <c r="DU424" s="713"/>
      <c r="DV424" s="713"/>
      <c r="DW424" s="713"/>
      <c r="DX424" s="713"/>
      <c r="DY424" s="713"/>
    </row>
    <row r="425" spans="1:129" s="111" customFormat="1" ht="11.7" customHeight="1" outlineLevel="1" x14ac:dyDescent="0.3">
      <c r="A425" s="3"/>
      <c r="B425" s="574" t="s">
        <v>503</v>
      </c>
      <c r="C425" s="1132"/>
      <c r="D425" s="865"/>
      <c r="E425" s="865"/>
      <c r="F425" s="865"/>
      <c r="G425" s="866"/>
      <c r="H425" s="867"/>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c r="AQ425" s="14"/>
      <c r="AR425" s="14"/>
      <c r="AS425" s="14"/>
      <c r="AT425" s="14"/>
      <c r="AU425" s="14"/>
      <c r="AV425" s="14"/>
      <c r="AW425" s="14"/>
      <c r="AX425" s="14"/>
      <c r="AY425" s="14"/>
      <c r="AZ425" s="14"/>
      <c r="BA425" s="14"/>
      <c r="BB425" s="14"/>
      <c r="BC425" s="14"/>
      <c r="BD425" s="14"/>
      <c r="BE425" s="14"/>
      <c r="BF425" s="14"/>
      <c r="BG425" s="14"/>
      <c r="BH425" s="14"/>
      <c r="BI425" s="14"/>
      <c r="BJ425" s="14"/>
      <c r="BK425" s="14"/>
      <c r="BL425" s="14"/>
      <c r="BM425" s="14"/>
      <c r="BN425" s="14"/>
      <c r="BO425" s="14"/>
      <c r="BP425" s="14"/>
      <c r="BQ425" s="14"/>
      <c r="BR425" s="14"/>
      <c r="BS425" s="14"/>
      <c r="BT425" s="14"/>
      <c r="BU425" s="14"/>
      <c r="BV425" s="14"/>
      <c r="BW425" s="14"/>
      <c r="BX425" s="14"/>
      <c r="BY425" s="14"/>
      <c r="BZ425" s="14"/>
      <c r="CA425" s="14"/>
      <c r="CB425" s="14"/>
      <c r="CC425" s="14"/>
      <c r="CD425" s="14"/>
      <c r="CE425" s="14"/>
      <c r="CF425" s="14"/>
      <c r="CG425" s="14"/>
      <c r="CH425" s="14"/>
      <c r="CI425" s="14"/>
      <c r="CJ425" s="14"/>
      <c r="CK425" s="14"/>
      <c r="CL425" s="14"/>
      <c r="CM425" s="14"/>
      <c r="CN425" s="14"/>
      <c r="CO425" s="14"/>
      <c r="CP425" s="14"/>
      <c r="CQ425" s="14"/>
      <c r="CR425" s="14"/>
      <c r="CS425" s="14"/>
      <c r="CT425" s="14"/>
      <c r="CU425" s="14"/>
      <c r="CV425" s="14"/>
      <c r="CW425" s="14"/>
      <c r="CX425" s="14"/>
      <c r="CY425" s="14"/>
      <c r="CZ425" s="14"/>
      <c r="DA425" s="14"/>
      <c r="DB425" s="14"/>
      <c r="DC425" s="14"/>
      <c r="DD425" s="14"/>
      <c r="DE425" s="14"/>
      <c r="DF425" s="14"/>
      <c r="DG425" s="14"/>
      <c r="DH425" s="14"/>
      <c r="DI425" s="14"/>
      <c r="DJ425" s="14"/>
      <c r="DK425" s="14"/>
      <c r="DL425" s="14"/>
      <c r="DM425" s="14"/>
      <c r="DN425" s="14"/>
      <c r="DO425" s="14"/>
      <c r="DP425" s="14"/>
      <c r="DQ425" s="14"/>
      <c r="DR425" s="14"/>
      <c r="DS425" s="14"/>
      <c r="DT425" s="14"/>
      <c r="DU425" s="14"/>
      <c r="DV425" s="14"/>
      <c r="DW425" s="14"/>
      <c r="DX425" s="14"/>
      <c r="DY425" s="14"/>
    </row>
    <row r="426" spans="1:129" s="3" customFormat="1" ht="11.7" customHeight="1" outlineLevel="1" x14ac:dyDescent="0.3">
      <c r="B426" s="577" t="s">
        <v>3</v>
      </c>
      <c r="C426" s="1133"/>
      <c r="D426" s="578"/>
      <c r="E426" s="575"/>
      <c r="F426" s="575"/>
      <c r="G426" s="579"/>
      <c r="H426" s="589">
        <f ca="1">+XIRR($I$421:$DY$421,$I$7:$DY$7)</f>
        <v>8.3803448081016557E-2</v>
      </c>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c r="AQ426" s="14"/>
      <c r="AR426" s="14"/>
      <c r="AS426" s="14"/>
      <c r="AT426" s="14"/>
      <c r="AU426" s="14"/>
      <c r="AV426" s="14"/>
      <c r="AW426" s="14"/>
      <c r="AX426" s="14"/>
      <c r="AY426" s="14"/>
      <c r="AZ426" s="14"/>
      <c r="BA426" s="14"/>
      <c r="BB426" s="14"/>
      <c r="BC426" s="14"/>
      <c r="BD426" s="14"/>
      <c r="BE426" s="14"/>
      <c r="BF426" s="14"/>
      <c r="BG426" s="14"/>
      <c r="BH426" s="14"/>
      <c r="BI426" s="14"/>
      <c r="BJ426" s="14"/>
      <c r="BK426" s="14"/>
      <c r="BL426" s="14"/>
      <c r="BM426" s="14"/>
      <c r="BN426" s="14"/>
      <c r="BO426" s="14"/>
      <c r="BP426" s="14"/>
      <c r="BQ426" s="14"/>
      <c r="BR426" s="14"/>
      <c r="BS426" s="14"/>
      <c r="BT426" s="14"/>
      <c r="BU426" s="14"/>
      <c r="BV426" s="14"/>
      <c r="BW426" s="14"/>
      <c r="BX426" s="14"/>
      <c r="BY426" s="14"/>
      <c r="BZ426" s="14"/>
      <c r="CA426" s="14"/>
      <c r="CB426" s="14"/>
      <c r="CC426" s="14"/>
      <c r="CD426" s="14"/>
      <c r="CE426" s="14"/>
      <c r="CF426" s="14"/>
      <c r="CG426" s="14"/>
      <c r="CH426" s="14"/>
      <c r="CI426" s="14"/>
      <c r="CJ426" s="14"/>
      <c r="CK426" s="14"/>
      <c r="CL426" s="14"/>
      <c r="CM426" s="14"/>
      <c r="CN426" s="14"/>
      <c r="CO426" s="14"/>
      <c r="CP426" s="14"/>
      <c r="CQ426" s="14"/>
      <c r="CR426" s="14"/>
      <c r="CS426" s="14"/>
      <c r="CT426" s="14"/>
      <c r="CU426" s="14"/>
      <c r="CV426" s="14"/>
      <c r="CW426" s="14"/>
      <c r="CX426" s="14"/>
      <c r="CY426" s="14"/>
      <c r="CZ426" s="14"/>
      <c r="DA426" s="14"/>
      <c r="DB426" s="14"/>
      <c r="DC426" s="14"/>
      <c r="DD426" s="14"/>
      <c r="DE426" s="14"/>
      <c r="DF426" s="14"/>
      <c r="DG426" s="14"/>
      <c r="DH426" s="14"/>
      <c r="DI426" s="14"/>
      <c r="DJ426" s="14"/>
      <c r="DK426" s="14"/>
      <c r="DL426" s="14"/>
      <c r="DM426" s="14"/>
      <c r="DN426" s="14"/>
      <c r="DO426" s="14"/>
      <c r="DP426" s="14"/>
      <c r="DQ426" s="14"/>
      <c r="DR426" s="14"/>
      <c r="DS426" s="14"/>
      <c r="DT426" s="14"/>
      <c r="DU426" s="14"/>
      <c r="DV426" s="14"/>
      <c r="DW426" s="14"/>
      <c r="DX426" s="14"/>
      <c r="DY426" s="14"/>
    </row>
    <row r="427" spans="1:129" s="3" customFormat="1" ht="11.7" customHeight="1" outlineLevel="1" x14ac:dyDescent="0.25">
      <c r="B427" s="577" t="s">
        <v>4</v>
      </c>
      <c r="C427" s="1133"/>
      <c r="D427" s="580"/>
      <c r="E427" s="575"/>
      <c r="F427" s="575"/>
      <c r="G427" s="579"/>
      <c r="H427" s="868">
        <f ca="1">+H428/H429+1</f>
        <v>1.4244248927150702</v>
      </c>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c r="AQ427" s="14"/>
      <c r="AR427" s="14"/>
      <c r="AS427" s="14"/>
      <c r="AT427" s="14"/>
      <c r="AU427" s="14"/>
      <c r="AV427" s="14"/>
      <c r="AW427" s="14"/>
      <c r="AX427" s="14"/>
      <c r="AY427" s="14"/>
      <c r="AZ427" s="14"/>
      <c r="BA427" s="14"/>
      <c r="BB427" s="14"/>
      <c r="BC427" s="14"/>
      <c r="BD427" s="14"/>
      <c r="BE427" s="14"/>
      <c r="BF427" s="14"/>
      <c r="BG427" s="14"/>
      <c r="BH427" s="14"/>
      <c r="BI427" s="14"/>
      <c r="BJ427" s="14"/>
      <c r="BK427" s="14"/>
      <c r="BL427" s="14"/>
      <c r="BM427" s="14"/>
      <c r="BN427" s="14"/>
      <c r="BO427" s="14"/>
      <c r="BP427" s="14"/>
      <c r="BQ427" s="14"/>
      <c r="BR427" s="14"/>
      <c r="BS427" s="14"/>
      <c r="BT427" s="14"/>
      <c r="BU427" s="14"/>
      <c r="BV427" s="14"/>
      <c r="BW427" s="14"/>
      <c r="BX427" s="14"/>
      <c r="BY427" s="14"/>
      <c r="BZ427" s="14"/>
      <c r="CA427" s="14"/>
      <c r="CB427" s="14"/>
      <c r="CC427" s="14"/>
      <c r="CD427" s="14"/>
      <c r="CE427" s="14"/>
      <c r="CF427" s="14"/>
      <c r="CG427" s="14"/>
      <c r="CH427" s="14"/>
      <c r="CI427" s="14"/>
      <c r="CJ427" s="14"/>
      <c r="CK427" s="14"/>
      <c r="CL427" s="14"/>
      <c r="CM427" s="14"/>
      <c r="CN427" s="14"/>
      <c r="CO427" s="14"/>
      <c r="CP427" s="14"/>
      <c r="CQ427" s="14"/>
      <c r="CR427" s="14"/>
      <c r="CS427" s="14"/>
      <c r="CT427" s="14"/>
      <c r="CU427" s="14"/>
      <c r="CV427" s="14"/>
      <c r="CW427" s="14"/>
      <c r="CX427" s="14"/>
      <c r="CY427" s="14"/>
      <c r="CZ427" s="14"/>
      <c r="DA427" s="14"/>
      <c r="DB427" s="14"/>
      <c r="DC427" s="14"/>
      <c r="DD427" s="14"/>
      <c r="DE427" s="14"/>
      <c r="DF427" s="14"/>
      <c r="DG427" s="14"/>
      <c r="DH427" s="14"/>
      <c r="DI427" s="14"/>
      <c r="DJ427" s="14"/>
      <c r="DK427" s="14"/>
      <c r="DL427" s="14"/>
      <c r="DM427" s="14"/>
      <c r="DN427" s="14"/>
      <c r="DO427" s="14"/>
      <c r="DP427" s="14"/>
      <c r="DQ427" s="14"/>
      <c r="DR427" s="14"/>
      <c r="DS427" s="14"/>
      <c r="DT427" s="14"/>
      <c r="DU427" s="14"/>
      <c r="DV427" s="14"/>
      <c r="DW427" s="14"/>
      <c r="DX427" s="14"/>
      <c r="DY427" s="14"/>
    </row>
    <row r="428" spans="1:129" s="3" customFormat="1" ht="11.7" customHeight="1" outlineLevel="1" x14ac:dyDescent="0.3">
      <c r="B428" s="577" t="s">
        <v>5</v>
      </c>
      <c r="C428" s="1133"/>
      <c r="D428" s="582"/>
      <c r="E428" s="575"/>
      <c r="F428" s="575"/>
      <c r="G428" s="579"/>
      <c r="H428" s="583">
        <f ca="1">+H421</f>
        <v>242272.88765521182</v>
      </c>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c r="AQ428" s="14"/>
      <c r="AR428" s="14"/>
      <c r="AS428" s="14"/>
      <c r="AT428" s="14"/>
      <c r="AU428" s="14"/>
      <c r="AV428" s="14"/>
      <c r="AW428" s="14"/>
      <c r="AX428" s="14"/>
      <c r="AY428" s="14"/>
      <c r="AZ428" s="14"/>
      <c r="BA428" s="14"/>
      <c r="BB428" s="14"/>
      <c r="BC428" s="14"/>
      <c r="BD428" s="14"/>
      <c r="BE428" s="14"/>
      <c r="BF428" s="14"/>
      <c r="BG428" s="14"/>
      <c r="BH428" s="14"/>
      <c r="BI428" s="14"/>
      <c r="BJ428" s="14"/>
      <c r="BK428" s="14"/>
      <c r="BL428" s="14"/>
      <c r="BM428" s="14"/>
      <c r="BN428" s="14"/>
      <c r="BO428" s="14"/>
      <c r="BP428" s="14"/>
      <c r="BQ428" s="14"/>
      <c r="BR428" s="14"/>
      <c r="BS428" s="14"/>
      <c r="BT428" s="14"/>
      <c r="BU428" s="14"/>
      <c r="BV428" s="14"/>
      <c r="BW428" s="14"/>
      <c r="BX428" s="14"/>
      <c r="BY428" s="14"/>
      <c r="BZ428" s="14"/>
      <c r="CA428" s="14"/>
      <c r="CB428" s="14"/>
      <c r="CC428" s="14"/>
      <c r="CD428" s="14"/>
      <c r="CE428" s="14"/>
      <c r="CF428" s="14"/>
      <c r="CG428" s="14"/>
      <c r="CH428" s="14"/>
      <c r="CI428" s="14"/>
      <c r="CJ428" s="14"/>
      <c r="CK428" s="14"/>
      <c r="CL428" s="14"/>
      <c r="CM428" s="14"/>
      <c r="CN428" s="14"/>
      <c r="CO428" s="14"/>
      <c r="CP428" s="14"/>
      <c r="CQ428" s="14"/>
      <c r="CR428" s="14"/>
      <c r="CS428" s="14"/>
      <c r="CT428" s="14"/>
      <c r="CU428" s="14"/>
      <c r="CV428" s="14"/>
      <c r="CW428" s="14"/>
      <c r="CX428" s="14"/>
      <c r="CY428" s="14"/>
      <c r="CZ428" s="14"/>
      <c r="DA428" s="14"/>
      <c r="DB428" s="14"/>
      <c r="DC428" s="14"/>
      <c r="DD428" s="14"/>
      <c r="DE428" s="14"/>
      <c r="DF428" s="14"/>
      <c r="DG428" s="14"/>
      <c r="DH428" s="14"/>
      <c r="DI428" s="14"/>
      <c r="DJ428" s="14"/>
      <c r="DK428" s="14"/>
      <c r="DL428" s="14"/>
      <c r="DM428" s="14"/>
      <c r="DN428" s="14"/>
      <c r="DO428" s="14"/>
      <c r="DP428" s="14"/>
      <c r="DQ428" s="14"/>
      <c r="DR428" s="14"/>
      <c r="DS428" s="14"/>
      <c r="DT428" s="14"/>
      <c r="DU428" s="14"/>
      <c r="DV428" s="14"/>
      <c r="DW428" s="14"/>
      <c r="DX428" s="14"/>
      <c r="DY428" s="14"/>
    </row>
    <row r="429" spans="1:129" s="3" customFormat="1" ht="11.7" customHeight="1" outlineLevel="1" x14ac:dyDescent="0.3">
      <c r="B429" s="584" t="s">
        <v>21</v>
      </c>
      <c r="C429" s="1134"/>
      <c r="D429" s="585"/>
      <c r="E429" s="586"/>
      <c r="F429" s="586"/>
      <c r="G429" s="587"/>
      <c r="H429" s="588">
        <f ca="1">-H422</f>
        <v>570826.29179777461</v>
      </c>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c r="AQ429" s="14"/>
      <c r="AR429" s="14"/>
      <c r="AS429" s="14"/>
      <c r="AT429" s="14"/>
      <c r="AU429" s="14"/>
      <c r="AV429" s="14"/>
      <c r="AW429" s="14"/>
      <c r="AX429" s="14"/>
      <c r="AY429" s="14"/>
      <c r="AZ429" s="14"/>
      <c r="BA429" s="14"/>
      <c r="BB429" s="14"/>
      <c r="BC429" s="14"/>
      <c r="BD429" s="14"/>
      <c r="BE429" s="14"/>
      <c r="BF429" s="14"/>
      <c r="BG429" s="14"/>
      <c r="BH429" s="14"/>
      <c r="BI429" s="14"/>
      <c r="BJ429" s="14"/>
      <c r="BK429" s="14"/>
      <c r="BL429" s="14"/>
      <c r="BM429" s="14"/>
      <c r="BN429" s="14"/>
      <c r="BO429" s="14"/>
      <c r="BP429" s="14"/>
      <c r="BQ429" s="14"/>
      <c r="BR429" s="14"/>
      <c r="BS429" s="14"/>
      <c r="BT429" s="14"/>
      <c r="BU429" s="14"/>
      <c r="BV429" s="14"/>
      <c r="BW429" s="14"/>
      <c r="BX429" s="14"/>
      <c r="BY429" s="14"/>
      <c r="BZ429" s="14"/>
      <c r="CA429" s="14"/>
      <c r="CB429" s="14"/>
      <c r="CC429" s="14"/>
      <c r="CD429" s="14"/>
      <c r="CE429" s="14"/>
      <c r="CF429" s="14"/>
      <c r="CG429" s="14"/>
      <c r="CH429" s="14"/>
      <c r="CI429" s="14"/>
      <c r="CJ429" s="14"/>
      <c r="CK429" s="14"/>
      <c r="CL429" s="14"/>
      <c r="CM429" s="14"/>
      <c r="CN429" s="14"/>
      <c r="CO429" s="14"/>
      <c r="CP429" s="14"/>
      <c r="CQ429" s="14"/>
      <c r="CR429" s="14"/>
      <c r="CS429" s="14"/>
      <c r="CT429" s="14"/>
      <c r="CU429" s="14"/>
      <c r="CV429" s="14"/>
      <c r="CW429" s="14"/>
      <c r="CX429" s="14"/>
      <c r="CY429" s="14"/>
      <c r="CZ429" s="14"/>
      <c r="DA429" s="14"/>
      <c r="DB429" s="14"/>
      <c r="DC429" s="14"/>
      <c r="DD429" s="14"/>
      <c r="DE429" s="14"/>
      <c r="DF429" s="14"/>
      <c r="DG429" s="14"/>
      <c r="DH429" s="14"/>
      <c r="DI429" s="14"/>
      <c r="DJ429" s="14"/>
      <c r="DK429" s="14"/>
      <c r="DL429" s="14"/>
      <c r="DM429" s="14"/>
      <c r="DN429" s="14"/>
      <c r="DO429" s="14"/>
      <c r="DP429" s="14"/>
      <c r="DQ429" s="14"/>
      <c r="DR429" s="14"/>
      <c r="DS429" s="14"/>
      <c r="DT429" s="14"/>
      <c r="DU429" s="14"/>
      <c r="DV429" s="14"/>
      <c r="DW429" s="14"/>
      <c r="DX429" s="14"/>
      <c r="DY429" s="14"/>
    </row>
    <row r="430" spans="1:129" s="3" customFormat="1" ht="11.7" customHeight="1" outlineLevel="1" x14ac:dyDescent="0.3">
      <c r="B430" s="149"/>
      <c r="C430" s="149"/>
      <c r="D430" s="7"/>
      <c r="G430" s="127"/>
      <c r="H430" s="127"/>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c r="AQ430" s="14"/>
      <c r="AR430" s="14"/>
      <c r="AS430" s="14"/>
      <c r="AT430" s="14"/>
      <c r="AU430" s="14"/>
      <c r="AV430" s="14"/>
      <c r="AW430" s="14"/>
      <c r="AX430" s="14"/>
      <c r="AY430" s="14"/>
      <c r="AZ430" s="14"/>
      <c r="BA430" s="14"/>
      <c r="BB430" s="14"/>
      <c r="BC430" s="14"/>
      <c r="BD430" s="14"/>
      <c r="BE430" s="14"/>
      <c r="BF430" s="14"/>
      <c r="BG430" s="14"/>
      <c r="BH430" s="14"/>
      <c r="BI430" s="14"/>
      <c r="BJ430" s="14"/>
      <c r="BK430" s="14"/>
      <c r="BL430" s="14"/>
      <c r="BM430" s="14"/>
      <c r="BN430" s="14"/>
      <c r="BO430" s="14"/>
      <c r="BP430" s="14"/>
      <c r="BQ430" s="14"/>
      <c r="BR430" s="14"/>
      <c r="BS430" s="14"/>
      <c r="BT430" s="14"/>
      <c r="BU430" s="14"/>
      <c r="BV430" s="14"/>
      <c r="BW430" s="14"/>
      <c r="BX430" s="14"/>
      <c r="BY430" s="14"/>
      <c r="BZ430" s="14"/>
      <c r="CA430" s="14"/>
      <c r="CB430" s="14"/>
      <c r="CC430" s="14"/>
      <c r="CD430" s="14"/>
      <c r="CE430" s="14"/>
      <c r="CF430" s="14"/>
      <c r="CG430" s="14"/>
      <c r="CH430" s="14"/>
      <c r="CI430" s="14"/>
      <c r="CJ430" s="14"/>
      <c r="CK430" s="14"/>
      <c r="CL430" s="14"/>
      <c r="CM430" s="14"/>
      <c r="CN430" s="14"/>
      <c r="CO430" s="14"/>
      <c r="CP430" s="14"/>
      <c r="CQ430" s="14"/>
      <c r="CR430" s="14"/>
      <c r="CS430" s="14"/>
      <c r="CT430" s="14"/>
      <c r="CU430" s="14"/>
      <c r="CV430" s="14"/>
      <c r="CW430" s="14"/>
      <c r="CX430" s="14"/>
      <c r="CY430" s="14"/>
      <c r="CZ430" s="14"/>
      <c r="DA430" s="14"/>
      <c r="DB430" s="14"/>
      <c r="DC430" s="14"/>
      <c r="DD430" s="14"/>
      <c r="DE430" s="14"/>
      <c r="DF430" s="14"/>
      <c r="DG430" s="14"/>
      <c r="DH430" s="14"/>
      <c r="DI430" s="14"/>
      <c r="DJ430" s="14"/>
      <c r="DK430" s="14"/>
      <c r="DL430" s="14"/>
      <c r="DM430" s="14"/>
      <c r="DN430" s="14"/>
      <c r="DO430" s="14"/>
      <c r="DP430" s="14"/>
      <c r="DQ430" s="14"/>
      <c r="DR430" s="14"/>
      <c r="DS430" s="14"/>
      <c r="DT430" s="14"/>
      <c r="DU430" s="14"/>
      <c r="DV430" s="14"/>
      <c r="DW430" s="14"/>
      <c r="DX430" s="14"/>
      <c r="DY430" s="14"/>
    </row>
    <row r="431" spans="1:129" s="3" customFormat="1" ht="11.7" customHeight="1" outlineLevel="1" x14ac:dyDescent="0.3">
      <c r="B431" s="149"/>
      <c r="C431" s="149"/>
      <c r="D431" s="7"/>
      <c r="G431" s="127"/>
      <c r="H431" s="127"/>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c r="AQ431" s="14"/>
      <c r="AR431" s="14"/>
      <c r="AS431" s="14"/>
      <c r="AT431" s="14"/>
      <c r="AU431" s="14"/>
      <c r="AV431" s="14"/>
      <c r="AW431" s="14"/>
      <c r="AX431" s="14"/>
      <c r="AY431" s="14"/>
      <c r="AZ431" s="14"/>
      <c r="BA431" s="14"/>
      <c r="BB431" s="14"/>
      <c r="BC431" s="14"/>
      <c r="BD431" s="14"/>
      <c r="BE431" s="14"/>
      <c r="BF431" s="14"/>
      <c r="BG431" s="14"/>
      <c r="BH431" s="14"/>
      <c r="BI431" s="14"/>
      <c r="BJ431" s="14"/>
      <c r="BK431" s="14"/>
      <c r="BL431" s="14"/>
      <c r="BM431" s="14"/>
      <c r="BN431" s="14"/>
      <c r="BO431" s="14"/>
      <c r="BP431" s="14"/>
      <c r="BQ431" s="14"/>
      <c r="BR431" s="14"/>
      <c r="BS431" s="14"/>
      <c r="BT431" s="14"/>
      <c r="BU431" s="14"/>
      <c r="BV431" s="14"/>
      <c r="BW431" s="14"/>
      <c r="BX431" s="14"/>
      <c r="BY431" s="14"/>
      <c r="BZ431" s="14"/>
      <c r="CA431" s="14"/>
      <c r="CB431" s="14"/>
      <c r="CC431" s="14"/>
      <c r="CD431" s="14"/>
      <c r="CE431" s="14"/>
      <c r="CF431" s="14"/>
      <c r="CG431" s="14"/>
      <c r="CH431" s="14"/>
      <c r="CI431" s="14"/>
      <c r="CJ431" s="14"/>
      <c r="CK431" s="14"/>
      <c r="CL431" s="14"/>
      <c r="CM431" s="14"/>
      <c r="CN431" s="14"/>
      <c r="CO431" s="14"/>
      <c r="CP431" s="14"/>
      <c r="CQ431" s="14"/>
      <c r="CR431" s="14"/>
      <c r="CS431" s="14"/>
      <c r="CT431" s="14"/>
      <c r="CU431" s="14"/>
      <c r="CV431" s="14"/>
      <c r="CW431" s="14"/>
      <c r="CX431" s="14"/>
      <c r="CY431" s="14"/>
      <c r="CZ431" s="14"/>
      <c r="DA431" s="14"/>
      <c r="DB431" s="14"/>
      <c r="DC431" s="14"/>
      <c r="DD431" s="14"/>
      <c r="DE431" s="14"/>
      <c r="DF431" s="14"/>
      <c r="DG431" s="14"/>
      <c r="DH431" s="14"/>
      <c r="DI431" s="14"/>
      <c r="DJ431" s="14"/>
      <c r="DK431" s="14"/>
      <c r="DL431" s="14"/>
      <c r="DM431" s="14"/>
      <c r="DN431" s="14"/>
      <c r="DO431" s="14"/>
      <c r="DP431" s="14"/>
      <c r="DQ431" s="14"/>
      <c r="DR431" s="14"/>
      <c r="DS431" s="14"/>
      <c r="DT431" s="14"/>
      <c r="DU431" s="14"/>
      <c r="DV431" s="14"/>
      <c r="DW431" s="14"/>
      <c r="DX431" s="14"/>
      <c r="DY431" s="14"/>
    </row>
    <row r="432" spans="1:129" s="3" customFormat="1" ht="11.7" customHeight="1" x14ac:dyDescent="0.3">
      <c r="B432" s="149"/>
      <c r="C432" s="149"/>
      <c r="D432" s="7"/>
      <c r="G432" s="127"/>
      <c r="H432" s="127"/>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c r="AS432" s="14"/>
      <c r="AT432" s="14"/>
      <c r="AU432" s="14"/>
      <c r="AV432" s="14"/>
      <c r="AW432" s="14"/>
      <c r="AX432" s="14"/>
      <c r="AY432" s="14"/>
      <c r="AZ432" s="14"/>
      <c r="BA432" s="14"/>
      <c r="BB432" s="14"/>
      <c r="BC432" s="14"/>
      <c r="BD432" s="14"/>
      <c r="BE432" s="14"/>
      <c r="BF432" s="14"/>
      <c r="BG432" s="14"/>
      <c r="BH432" s="14"/>
      <c r="BI432" s="14"/>
      <c r="BJ432" s="14"/>
      <c r="BK432" s="14"/>
      <c r="BL432" s="14"/>
      <c r="BM432" s="14"/>
      <c r="BN432" s="14"/>
      <c r="BO432" s="14"/>
      <c r="BP432" s="14"/>
      <c r="BQ432" s="14"/>
      <c r="BR432" s="14"/>
      <c r="BS432" s="14"/>
      <c r="BT432" s="14"/>
      <c r="BU432" s="14"/>
      <c r="BV432" s="14"/>
      <c r="BW432" s="14"/>
      <c r="BX432" s="14"/>
      <c r="BY432" s="14"/>
      <c r="BZ432" s="14"/>
      <c r="CA432" s="14"/>
      <c r="CB432" s="14"/>
      <c r="CC432" s="14"/>
      <c r="CD432" s="14"/>
      <c r="CE432" s="14"/>
      <c r="CF432" s="14"/>
      <c r="CG432" s="14"/>
      <c r="CH432" s="14"/>
      <c r="CI432" s="14"/>
      <c r="CJ432" s="14"/>
      <c r="CK432" s="14"/>
      <c r="CL432" s="14"/>
      <c r="CM432" s="14"/>
      <c r="CN432" s="14"/>
      <c r="CO432" s="14"/>
      <c r="CP432" s="14"/>
      <c r="CQ432" s="14"/>
      <c r="CR432" s="14"/>
      <c r="CS432" s="14"/>
      <c r="CT432" s="14"/>
      <c r="CU432" s="14"/>
      <c r="CV432" s="14"/>
      <c r="CW432" s="14"/>
      <c r="CX432" s="14"/>
      <c r="CY432" s="14"/>
      <c r="CZ432" s="14"/>
      <c r="DA432" s="14"/>
      <c r="DB432" s="14"/>
      <c r="DC432" s="14"/>
      <c r="DD432" s="14"/>
      <c r="DE432" s="14"/>
      <c r="DF432" s="14"/>
      <c r="DG432" s="14"/>
      <c r="DH432" s="14"/>
      <c r="DI432" s="14"/>
      <c r="DJ432" s="14"/>
      <c r="DK432" s="14"/>
      <c r="DL432" s="14"/>
      <c r="DM432" s="14"/>
      <c r="DN432" s="14"/>
      <c r="DO432" s="14"/>
      <c r="DP432" s="14"/>
      <c r="DQ432" s="14"/>
      <c r="DR432" s="14"/>
      <c r="DS432" s="14"/>
      <c r="DT432" s="14"/>
      <c r="DU432" s="14"/>
      <c r="DV432" s="14"/>
      <c r="DW432" s="14"/>
      <c r="DX432" s="14"/>
      <c r="DY432" s="14"/>
    </row>
    <row r="433" spans="1:129" s="3" customFormat="1" ht="11.7" customHeight="1" x14ac:dyDescent="0.3">
      <c r="B433" s="313" t="s">
        <v>22</v>
      </c>
      <c r="C433" s="313"/>
      <c r="D433" s="313"/>
      <c r="E433" s="313"/>
      <c r="F433" s="313"/>
      <c r="G433" s="313"/>
      <c r="H433" s="313"/>
      <c r="I433" s="906"/>
      <c r="J433" s="906"/>
      <c r="K433" s="906"/>
      <c r="L433" s="906"/>
      <c r="M433" s="906"/>
      <c r="N433" s="906"/>
      <c r="O433" s="906"/>
      <c r="P433" s="906"/>
      <c r="Q433" s="906"/>
      <c r="R433" s="906"/>
      <c r="S433" s="906"/>
      <c r="T433" s="906"/>
      <c r="U433" s="906"/>
      <c r="V433" s="906"/>
      <c r="W433" s="906"/>
      <c r="X433" s="906"/>
      <c r="Y433" s="906"/>
      <c r="Z433" s="906"/>
      <c r="AA433" s="906"/>
      <c r="AB433" s="906"/>
      <c r="AC433" s="906"/>
      <c r="AD433" s="906"/>
      <c r="AE433" s="906"/>
      <c r="AF433" s="906"/>
      <c r="AG433" s="906"/>
      <c r="AH433" s="906"/>
      <c r="AI433" s="906"/>
      <c r="AJ433" s="906"/>
      <c r="AK433" s="906"/>
      <c r="AL433" s="906"/>
      <c r="AM433" s="906"/>
      <c r="AN433" s="906"/>
      <c r="AO433" s="906"/>
      <c r="AP433" s="906"/>
      <c r="AQ433" s="906"/>
      <c r="AR433" s="906"/>
      <c r="AS433" s="906"/>
      <c r="AT433" s="906"/>
      <c r="AU433" s="906"/>
      <c r="AV433" s="906"/>
      <c r="AW433" s="906"/>
      <c r="AX433" s="906"/>
      <c r="AY433" s="906"/>
      <c r="AZ433" s="906"/>
      <c r="BA433" s="906"/>
      <c r="BB433" s="906"/>
      <c r="BC433" s="906"/>
      <c r="BD433" s="313"/>
      <c r="BE433" s="313"/>
      <c r="BF433" s="313"/>
      <c r="BG433" s="313"/>
      <c r="BH433" s="313"/>
      <c r="BI433" s="313"/>
      <c r="BJ433" s="313"/>
      <c r="BK433" s="313"/>
      <c r="BL433" s="313"/>
      <c r="BM433" s="313"/>
      <c r="BN433" s="313"/>
      <c r="BO433" s="313"/>
      <c r="BP433" s="313"/>
      <c r="BQ433" s="313"/>
      <c r="BR433" s="313"/>
      <c r="BS433" s="313"/>
      <c r="BT433" s="313"/>
      <c r="BU433" s="313"/>
      <c r="BV433" s="313"/>
      <c r="BW433" s="313"/>
      <c r="BX433" s="313"/>
      <c r="BY433" s="313"/>
      <c r="BZ433" s="313"/>
      <c r="CA433" s="313"/>
      <c r="CB433" s="313"/>
      <c r="CC433" s="313"/>
      <c r="CD433" s="313"/>
      <c r="CE433" s="313"/>
      <c r="CF433" s="313"/>
      <c r="CG433" s="313"/>
      <c r="CH433" s="313"/>
      <c r="CI433" s="313"/>
      <c r="CJ433" s="313"/>
      <c r="CK433" s="313"/>
      <c r="CL433" s="313"/>
      <c r="CM433" s="313"/>
      <c r="CN433" s="313"/>
      <c r="CO433" s="313"/>
      <c r="CP433" s="313"/>
      <c r="CQ433" s="313"/>
      <c r="CR433" s="313"/>
      <c r="CS433" s="313"/>
      <c r="CT433" s="313"/>
      <c r="CU433" s="313"/>
      <c r="CV433" s="313"/>
      <c r="CW433" s="313"/>
      <c r="CX433" s="313"/>
      <c r="CY433" s="313"/>
      <c r="CZ433" s="313"/>
      <c r="DA433" s="313"/>
      <c r="DB433" s="313"/>
      <c r="DC433" s="313"/>
      <c r="DD433" s="313"/>
      <c r="DE433" s="313"/>
      <c r="DF433" s="313"/>
      <c r="DG433" s="313"/>
      <c r="DH433" s="313"/>
      <c r="DI433" s="313"/>
      <c r="DJ433" s="313"/>
      <c r="DK433" s="313"/>
      <c r="DL433" s="313"/>
      <c r="DM433" s="313"/>
      <c r="DN433" s="313"/>
      <c r="DO433" s="313"/>
      <c r="DP433" s="313"/>
      <c r="DQ433" s="313"/>
      <c r="DR433" s="313"/>
      <c r="DS433" s="313"/>
      <c r="DT433" s="313"/>
      <c r="DU433" s="313"/>
      <c r="DV433" s="313"/>
      <c r="DW433" s="313"/>
      <c r="DX433" s="313"/>
      <c r="DY433" s="313"/>
    </row>
    <row r="434" spans="1:129" s="3" customFormat="1" ht="11.7" customHeight="1" outlineLevel="1" x14ac:dyDescent="0.3">
      <c r="G434" s="127"/>
      <c r="H434" s="127"/>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c r="AQ434" s="14"/>
      <c r="AR434" s="14"/>
      <c r="AS434" s="14"/>
      <c r="AT434" s="14"/>
      <c r="AU434" s="14"/>
      <c r="AV434" s="14"/>
      <c r="AW434" s="14"/>
      <c r="AX434" s="14"/>
      <c r="AY434" s="14"/>
      <c r="AZ434" s="14"/>
      <c r="BA434" s="14"/>
      <c r="BB434" s="14"/>
      <c r="BC434" s="14"/>
      <c r="BD434" s="14"/>
      <c r="BE434" s="14"/>
      <c r="BF434" s="14"/>
      <c r="BG434" s="14"/>
      <c r="BH434" s="14"/>
      <c r="BI434" s="14"/>
      <c r="BJ434" s="14"/>
      <c r="BK434" s="14"/>
      <c r="BL434" s="14"/>
      <c r="BM434" s="14"/>
      <c r="BN434" s="14"/>
      <c r="BO434" s="14"/>
      <c r="BP434" s="14"/>
      <c r="BQ434" s="14"/>
      <c r="BR434" s="14"/>
      <c r="BS434" s="14"/>
      <c r="BT434" s="14"/>
      <c r="BU434" s="14"/>
      <c r="BV434" s="14"/>
      <c r="BW434" s="14"/>
      <c r="BX434" s="14"/>
      <c r="BY434" s="14"/>
      <c r="BZ434" s="14"/>
      <c r="CA434" s="14"/>
      <c r="CB434" s="14"/>
      <c r="CC434" s="14"/>
      <c r="CD434" s="14"/>
      <c r="CE434" s="14"/>
      <c r="CF434" s="14"/>
      <c r="CG434" s="14"/>
      <c r="CH434" s="14"/>
      <c r="CI434" s="14"/>
      <c r="CJ434" s="14"/>
      <c r="CK434" s="14"/>
      <c r="CL434" s="14"/>
      <c r="CM434" s="14"/>
      <c r="CN434" s="14"/>
      <c r="CO434" s="14"/>
      <c r="CP434" s="14"/>
      <c r="CQ434" s="14"/>
      <c r="CR434" s="14"/>
      <c r="CS434" s="14"/>
      <c r="CT434" s="14"/>
      <c r="CU434" s="14"/>
      <c r="CV434" s="14"/>
      <c r="CW434" s="14"/>
      <c r="CX434" s="14"/>
      <c r="CY434" s="14"/>
      <c r="CZ434" s="14"/>
      <c r="DA434" s="14"/>
      <c r="DB434" s="14"/>
      <c r="DC434" s="14"/>
      <c r="DD434" s="14"/>
      <c r="DE434" s="14"/>
      <c r="DF434" s="14"/>
      <c r="DG434" s="14"/>
      <c r="DH434" s="14"/>
      <c r="DI434" s="14"/>
      <c r="DJ434" s="14"/>
      <c r="DK434" s="14"/>
      <c r="DL434" s="14"/>
      <c r="DM434" s="14"/>
      <c r="DN434" s="14"/>
      <c r="DO434" s="14"/>
      <c r="DP434" s="14"/>
      <c r="DQ434" s="14"/>
      <c r="DR434" s="14"/>
      <c r="DS434" s="14"/>
      <c r="DT434" s="14"/>
      <c r="DU434" s="14"/>
      <c r="DV434" s="14"/>
      <c r="DW434" s="14"/>
      <c r="DX434" s="14"/>
      <c r="DY434" s="14"/>
    </row>
    <row r="435" spans="1:129" s="111" customFormat="1" ht="11.7" customHeight="1" outlineLevel="1" x14ac:dyDescent="0.3">
      <c r="A435" s="3"/>
      <c r="B435" s="125" t="s">
        <v>103</v>
      </c>
      <c r="C435" s="125"/>
      <c r="D435" s="3"/>
      <c r="E435" s="677"/>
      <c r="F435" s="677"/>
      <c r="G435" s="677"/>
      <c r="H435" s="308">
        <f t="shared" ref="H435:H444" si="661">+SUM(I435:DY435)</f>
        <v>-551615.36953662685</v>
      </c>
      <c r="I435" s="14">
        <f>+I$67</f>
        <v>-148941.6</v>
      </c>
      <c r="J435" s="14">
        <f t="shared" ref="J435:BU435" si="662">+J$67</f>
        <v>-8541.0184170888751</v>
      </c>
      <c r="K435" s="14">
        <f t="shared" si="662"/>
        <v>-771.2</v>
      </c>
      <c r="L435" s="14">
        <f t="shared" si="662"/>
        <v>-2963.8068221862859</v>
      </c>
      <c r="M435" s="14">
        <f t="shared" si="662"/>
        <v>-503.53645603247571</v>
      </c>
      <c r="N435" s="14">
        <f t="shared" si="662"/>
        <v>-2606.4505945243063</v>
      </c>
      <c r="O435" s="14">
        <f t="shared" si="662"/>
        <v>0</v>
      </c>
      <c r="P435" s="14">
        <f t="shared" si="662"/>
        <v>-660.89596559726238</v>
      </c>
      <c r="Q435" s="14">
        <f t="shared" si="662"/>
        <v>-2371.1427321533956</v>
      </c>
      <c r="R435" s="14">
        <f t="shared" si="662"/>
        <v>-823.40604281012747</v>
      </c>
      <c r="S435" s="14">
        <f t="shared" si="662"/>
        <v>-1555.46</v>
      </c>
      <c r="T435" s="14">
        <f t="shared" si="662"/>
        <v>-1087.3312740467463</v>
      </c>
      <c r="U435" s="14">
        <f t="shared" si="662"/>
        <v>-225.53644334802181</v>
      </c>
      <c r="V435" s="14">
        <f t="shared" si="662"/>
        <v>-2724.8097463965332</v>
      </c>
      <c r="W435" s="14">
        <f t="shared" si="662"/>
        <v>-6344.4078985883452</v>
      </c>
      <c r="X435" s="14">
        <f t="shared" si="662"/>
        <v>-1307.5542789935589</v>
      </c>
      <c r="Y435" s="14">
        <f t="shared" si="662"/>
        <v>-7717.3486573334576</v>
      </c>
      <c r="Z435" s="14">
        <f t="shared" si="662"/>
        <v>-4061.0446828974077</v>
      </c>
      <c r="AA435" s="14">
        <f t="shared" si="662"/>
        <v>-4216.3458708520411</v>
      </c>
      <c r="AB435" s="14">
        <f t="shared" si="662"/>
        <v>-981.84470258408942</v>
      </c>
      <c r="AC435" s="14">
        <f t="shared" si="662"/>
        <v>-1321.5461440737463</v>
      </c>
      <c r="AD435" s="14">
        <f t="shared" si="662"/>
        <v>-3481.8356605773606</v>
      </c>
      <c r="AE435" s="14">
        <f t="shared" si="662"/>
        <v>-55126.119213714774</v>
      </c>
      <c r="AF435" s="14">
        <f t="shared" si="662"/>
        <v>-13483.536749733721</v>
      </c>
      <c r="AG435" s="14">
        <f t="shared" si="662"/>
        <v>-10370.059832144636</v>
      </c>
      <c r="AH435" s="14">
        <f t="shared" si="662"/>
        <v>-8372.0491953956753</v>
      </c>
      <c r="AI435" s="14">
        <f t="shared" si="662"/>
        <v>-15525.587726628564</v>
      </c>
      <c r="AJ435" s="14">
        <f t="shared" si="662"/>
        <v>-7493.1690625462552</v>
      </c>
      <c r="AK435" s="14">
        <f t="shared" si="662"/>
        <v>-7215.7254079626136</v>
      </c>
      <c r="AL435" s="14">
        <f t="shared" si="662"/>
        <v>-7835.4260072918514</v>
      </c>
      <c r="AM435" s="14">
        <f t="shared" si="662"/>
        <v>-8860.927566965187</v>
      </c>
      <c r="AN435" s="14">
        <f t="shared" si="662"/>
        <v>-9447.7831231859054</v>
      </c>
      <c r="AO435" s="14">
        <f t="shared" si="662"/>
        <v>-7035.3947436527842</v>
      </c>
      <c r="AP435" s="14">
        <f t="shared" si="662"/>
        <v>-8576.095759093676</v>
      </c>
      <c r="AQ435" s="14">
        <f t="shared" si="662"/>
        <v>-1539.78</v>
      </c>
      <c r="AR435" s="14">
        <f t="shared" si="662"/>
        <v>-862.85</v>
      </c>
      <c r="AS435" s="14">
        <f t="shared" si="662"/>
        <v>-8358.57</v>
      </c>
      <c r="AT435" s="14">
        <f t="shared" si="662"/>
        <v>-7796.53</v>
      </c>
      <c r="AU435" s="14">
        <f t="shared" si="662"/>
        <v>-2122.9999999999995</v>
      </c>
      <c r="AV435" s="14">
        <f t="shared" si="662"/>
        <v>-12410.3</v>
      </c>
      <c r="AW435" s="14">
        <f t="shared" si="662"/>
        <v>-28072.1</v>
      </c>
      <c r="AX435" s="14">
        <f t="shared" si="662"/>
        <v>-1039</v>
      </c>
      <c r="AY435" s="14">
        <f t="shared" si="662"/>
        <v>-15511.775501065091</v>
      </c>
      <c r="AZ435" s="14">
        <f t="shared" si="662"/>
        <v>-15307.189264965129</v>
      </c>
      <c r="BA435" s="14">
        <f t="shared" si="662"/>
        <v>-26456.38547448771</v>
      </c>
      <c r="BB435" s="14">
        <f t="shared" si="662"/>
        <v>-15304.636121912592</v>
      </c>
      <c r="BC435" s="14">
        <f t="shared" si="662"/>
        <v>-1448.6248167620831</v>
      </c>
      <c r="BD435" s="14">
        <f t="shared" si="662"/>
        <v>-9973.9541640516127</v>
      </c>
      <c r="BE435" s="14">
        <f t="shared" si="662"/>
        <v>-11624.265889258984</v>
      </c>
      <c r="BF435" s="14">
        <f t="shared" si="662"/>
        <v>-2569.1468313122314</v>
      </c>
      <c r="BG435" s="14">
        <f t="shared" si="662"/>
        <v>-3711.006984235722</v>
      </c>
      <c r="BH435" s="14">
        <f t="shared" si="662"/>
        <v>-19570.939824978901</v>
      </c>
      <c r="BI435" s="14">
        <f t="shared" si="662"/>
        <v>-2207.7410474840267</v>
      </c>
      <c r="BJ435" s="14">
        <f t="shared" si="662"/>
        <v>-684.57683771306802</v>
      </c>
      <c r="BK435" s="14">
        <f t="shared" si="662"/>
        <v>-2318</v>
      </c>
      <c r="BL435" s="14">
        <f t="shared" si="662"/>
        <v>-175</v>
      </c>
      <c r="BM435" s="14">
        <f t="shared" si="662"/>
        <v>0</v>
      </c>
      <c r="BN435" s="14">
        <f t="shared" si="662"/>
        <v>0</v>
      </c>
      <c r="BO435" s="14">
        <f t="shared" si="662"/>
        <v>0</v>
      </c>
      <c r="BP435" s="14">
        <f t="shared" si="662"/>
        <v>0</v>
      </c>
      <c r="BQ435" s="14">
        <f t="shared" si="662"/>
        <v>0</v>
      </c>
      <c r="BR435" s="14">
        <f>+BR$67</f>
        <v>0</v>
      </c>
      <c r="BS435" s="14">
        <f t="shared" si="662"/>
        <v>0</v>
      </c>
      <c r="BT435" s="14">
        <f t="shared" si="662"/>
        <v>0</v>
      </c>
      <c r="BU435" s="14">
        <f t="shared" si="662"/>
        <v>0</v>
      </c>
      <c r="BV435" s="14">
        <f t="shared" ref="BV435:DY435" si="663">+BV$67</f>
        <v>0</v>
      </c>
      <c r="BW435" s="14">
        <f t="shared" si="663"/>
        <v>0</v>
      </c>
      <c r="BX435" s="14">
        <f t="shared" si="663"/>
        <v>0</v>
      </c>
      <c r="BY435" s="14">
        <f t="shared" si="663"/>
        <v>0</v>
      </c>
      <c r="BZ435" s="14">
        <f t="shared" si="663"/>
        <v>0</v>
      </c>
      <c r="CA435" s="14">
        <f t="shared" si="663"/>
        <v>0</v>
      </c>
      <c r="CB435" s="14">
        <f t="shared" si="663"/>
        <v>0</v>
      </c>
      <c r="CC435" s="14">
        <f t="shared" si="663"/>
        <v>0</v>
      </c>
      <c r="CD435" s="14">
        <f t="shared" si="663"/>
        <v>0</v>
      </c>
      <c r="CE435" s="14">
        <f t="shared" si="663"/>
        <v>0</v>
      </c>
      <c r="CF435" s="14">
        <f t="shared" si="663"/>
        <v>0</v>
      </c>
      <c r="CG435" s="14">
        <f t="shared" si="663"/>
        <v>0</v>
      </c>
      <c r="CH435" s="14">
        <f t="shared" si="663"/>
        <v>0</v>
      </c>
      <c r="CI435" s="14">
        <f t="shared" si="663"/>
        <v>0</v>
      </c>
      <c r="CJ435" s="14">
        <f t="shared" si="663"/>
        <v>0</v>
      </c>
      <c r="CK435" s="14">
        <f t="shared" si="663"/>
        <v>0</v>
      </c>
      <c r="CL435" s="14">
        <f t="shared" si="663"/>
        <v>0</v>
      </c>
      <c r="CM435" s="14">
        <f t="shared" si="663"/>
        <v>0</v>
      </c>
      <c r="CN435" s="14">
        <f t="shared" si="663"/>
        <v>0</v>
      </c>
      <c r="CO435" s="14">
        <f t="shared" si="663"/>
        <v>0</v>
      </c>
      <c r="CP435" s="14">
        <f t="shared" si="663"/>
        <v>0</v>
      </c>
      <c r="CQ435" s="14">
        <f t="shared" si="663"/>
        <v>0</v>
      </c>
      <c r="CR435" s="14">
        <f t="shared" si="663"/>
        <v>0</v>
      </c>
      <c r="CS435" s="14">
        <f t="shared" si="663"/>
        <v>0</v>
      </c>
      <c r="CT435" s="14">
        <f t="shared" si="663"/>
        <v>0</v>
      </c>
      <c r="CU435" s="14">
        <f t="shared" si="663"/>
        <v>0</v>
      </c>
      <c r="CV435" s="14">
        <f t="shared" si="663"/>
        <v>0</v>
      </c>
      <c r="CW435" s="14">
        <f t="shared" si="663"/>
        <v>0</v>
      </c>
      <c r="CX435" s="14">
        <f t="shared" si="663"/>
        <v>0</v>
      </c>
      <c r="CY435" s="14">
        <f t="shared" si="663"/>
        <v>0</v>
      </c>
      <c r="CZ435" s="14">
        <f t="shared" si="663"/>
        <v>0</v>
      </c>
      <c r="DA435" s="14">
        <f t="shared" si="663"/>
        <v>0</v>
      </c>
      <c r="DB435" s="14">
        <f t="shared" si="663"/>
        <v>0</v>
      </c>
      <c r="DC435" s="14">
        <f t="shared" si="663"/>
        <v>0</v>
      </c>
      <c r="DD435" s="14">
        <f t="shared" si="663"/>
        <v>0</v>
      </c>
      <c r="DE435" s="14">
        <f t="shared" si="663"/>
        <v>0</v>
      </c>
      <c r="DF435" s="14">
        <f t="shared" si="663"/>
        <v>0</v>
      </c>
      <c r="DG435" s="14">
        <f t="shared" si="663"/>
        <v>0</v>
      </c>
      <c r="DH435" s="14">
        <f t="shared" si="663"/>
        <v>0</v>
      </c>
      <c r="DI435" s="14">
        <f t="shared" si="663"/>
        <v>0</v>
      </c>
      <c r="DJ435" s="14">
        <f t="shared" si="663"/>
        <v>0</v>
      </c>
      <c r="DK435" s="14">
        <f t="shared" si="663"/>
        <v>0</v>
      </c>
      <c r="DL435" s="14">
        <f t="shared" si="663"/>
        <v>0</v>
      </c>
      <c r="DM435" s="14">
        <f t="shared" si="663"/>
        <v>0</v>
      </c>
      <c r="DN435" s="14">
        <f t="shared" si="663"/>
        <v>0</v>
      </c>
      <c r="DO435" s="14">
        <f t="shared" si="663"/>
        <v>0</v>
      </c>
      <c r="DP435" s="14">
        <f t="shared" si="663"/>
        <v>0</v>
      </c>
      <c r="DQ435" s="14">
        <f t="shared" si="663"/>
        <v>0</v>
      </c>
      <c r="DR435" s="14">
        <f t="shared" si="663"/>
        <v>0</v>
      </c>
      <c r="DS435" s="14">
        <f t="shared" si="663"/>
        <v>0</v>
      </c>
      <c r="DT435" s="14">
        <f t="shared" si="663"/>
        <v>0</v>
      </c>
      <c r="DU435" s="14">
        <f t="shared" si="663"/>
        <v>0</v>
      </c>
      <c r="DV435" s="14">
        <f t="shared" si="663"/>
        <v>0</v>
      </c>
      <c r="DW435" s="14">
        <f t="shared" si="663"/>
        <v>0</v>
      </c>
      <c r="DX435" s="14">
        <f t="shared" si="663"/>
        <v>0</v>
      </c>
      <c r="DY435" s="14">
        <f t="shared" si="663"/>
        <v>0</v>
      </c>
    </row>
    <row r="436" spans="1:129" s="111" customFormat="1" ht="11.7" customHeight="1" outlineLevel="1" x14ac:dyDescent="0.3">
      <c r="A436" s="3"/>
      <c r="B436" s="125" t="s">
        <v>195</v>
      </c>
      <c r="C436" s="125"/>
      <c r="D436" s="3"/>
      <c r="E436" s="677"/>
      <c r="F436" s="677"/>
      <c r="G436" s="677"/>
      <c r="H436" s="308">
        <f t="shared" ca="1" si="661"/>
        <v>17818.530069747616</v>
      </c>
      <c r="I436" s="14">
        <f t="shared" ref="I436:AN436" si="664">+I$250*I$14</f>
        <v>0</v>
      </c>
      <c r="J436" s="14">
        <f t="shared" si="664"/>
        <v>0</v>
      </c>
      <c r="K436" s="14">
        <f t="shared" si="664"/>
        <v>0</v>
      </c>
      <c r="L436" s="14">
        <f t="shared" si="664"/>
        <v>0</v>
      </c>
      <c r="M436" s="14">
        <f t="shared" si="664"/>
        <v>0</v>
      </c>
      <c r="N436" s="14">
        <f t="shared" si="664"/>
        <v>0</v>
      </c>
      <c r="O436" s="14">
        <f t="shared" si="664"/>
        <v>0</v>
      </c>
      <c r="P436" s="14">
        <f t="shared" si="664"/>
        <v>0</v>
      </c>
      <c r="Q436" s="14">
        <f t="shared" si="664"/>
        <v>0</v>
      </c>
      <c r="R436" s="14">
        <f t="shared" si="664"/>
        <v>0</v>
      </c>
      <c r="S436" s="14">
        <f t="shared" si="664"/>
        <v>0</v>
      </c>
      <c r="T436" s="14">
        <f t="shared" si="664"/>
        <v>0</v>
      </c>
      <c r="U436" s="14">
        <f t="shared" si="664"/>
        <v>0</v>
      </c>
      <c r="V436" s="14">
        <f t="shared" si="664"/>
        <v>0</v>
      </c>
      <c r="W436" s="14">
        <f t="shared" si="664"/>
        <v>0</v>
      </c>
      <c r="X436" s="14">
        <f t="shared" si="664"/>
        <v>0</v>
      </c>
      <c r="Y436" s="14">
        <f t="shared" si="664"/>
        <v>0</v>
      </c>
      <c r="Z436" s="14">
        <f t="shared" si="664"/>
        <v>0</v>
      </c>
      <c r="AA436" s="14">
        <f t="shared" si="664"/>
        <v>0</v>
      </c>
      <c r="AB436" s="14">
        <f t="shared" si="664"/>
        <v>0</v>
      </c>
      <c r="AC436" s="14">
        <f t="shared" si="664"/>
        <v>0</v>
      </c>
      <c r="AD436" s="14">
        <f t="shared" si="664"/>
        <v>0</v>
      </c>
      <c r="AE436" s="14">
        <f t="shared" si="664"/>
        <v>0</v>
      </c>
      <c r="AF436" s="14">
        <f t="shared" si="664"/>
        <v>0</v>
      </c>
      <c r="AG436" s="14">
        <f t="shared" si="664"/>
        <v>0</v>
      </c>
      <c r="AH436" s="14">
        <f t="shared" si="664"/>
        <v>0</v>
      </c>
      <c r="AI436" s="14">
        <f t="shared" si="664"/>
        <v>0</v>
      </c>
      <c r="AJ436" s="14">
        <f t="shared" si="664"/>
        <v>0</v>
      </c>
      <c r="AK436" s="14">
        <f t="shared" si="664"/>
        <v>0</v>
      </c>
      <c r="AL436" s="14">
        <f t="shared" si="664"/>
        <v>0</v>
      </c>
      <c r="AM436" s="14">
        <f t="shared" si="664"/>
        <v>0</v>
      </c>
      <c r="AN436" s="14">
        <f t="shared" si="664"/>
        <v>0</v>
      </c>
      <c r="AO436" s="14">
        <f t="shared" ref="AO436:BT436" si="665">+AO$250*AO$14</f>
        <v>0</v>
      </c>
      <c r="AP436" s="14">
        <f t="shared" si="665"/>
        <v>0</v>
      </c>
      <c r="AQ436" s="14">
        <f t="shared" si="665"/>
        <v>0</v>
      </c>
      <c r="AR436" s="14">
        <f t="shared" si="665"/>
        <v>0</v>
      </c>
      <c r="AS436" s="14">
        <f t="shared" si="665"/>
        <v>0</v>
      </c>
      <c r="AT436" s="14">
        <f t="shared" si="665"/>
        <v>0</v>
      </c>
      <c r="AU436" s="14">
        <f t="shared" si="665"/>
        <v>0</v>
      </c>
      <c r="AV436" s="14">
        <f t="shared" si="665"/>
        <v>0</v>
      </c>
      <c r="AW436" s="14">
        <f t="shared" si="665"/>
        <v>0</v>
      </c>
      <c r="AX436" s="14">
        <f t="shared" si="665"/>
        <v>0</v>
      </c>
      <c r="AY436" s="14">
        <f t="shared" si="665"/>
        <v>0</v>
      </c>
      <c r="AZ436" s="14">
        <f t="shared" si="665"/>
        <v>0</v>
      </c>
      <c r="BA436" s="14">
        <f t="shared" si="665"/>
        <v>0</v>
      </c>
      <c r="BB436" s="14">
        <f t="shared" si="665"/>
        <v>0</v>
      </c>
      <c r="BC436" s="14">
        <f t="shared" si="665"/>
        <v>0</v>
      </c>
      <c r="BD436" s="14">
        <f t="shared" si="665"/>
        <v>0</v>
      </c>
      <c r="BE436" s="14">
        <f t="shared" si="665"/>
        <v>0</v>
      </c>
      <c r="BF436" s="14">
        <f t="shared" si="665"/>
        <v>0</v>
      </c>
      <c r="BG436" s="14">
        <f t="shared" si="665"/>
        <v>0</v>
      </c>
      <c r="BH436" s="14">
        <f t="shared" si="665"/>
        <v>0</v>
      </c>
      <c r="BI436" s="14">
        <f t="shared" si="665"/>
        <v>-609.00336305952919</v>
      </c>
      <c r="BJ436" s="14">
        <f t="shared" si="665"/>
        <v>-1340.9963791091723</v>
      </c>
      <c r="BK436" s="14">
        <f t="shared" si="665"/>
        <v>-958.55777940691689</v>
      </c>
      <c r="BL436" s="14">
        <f t="shared" si="665"/>
        <v>335.3537179090232</v>
      </c>
      <c r="BM436" s="14">
        <f t="shared" si="665"/>
        <v>-1436.5931050437064</v>
      </c>
      <c r="BN436" s="14">
        <f t="shared" si="665"/>
        <v>-7.5374978503530059</v>
      </c>
      <c r="BO436" s="14">
        <f t="shared" si="665"/>
        <v>-125.11708021543336</v>
      </c>
      <c r="BP436" s="14">
        <f t="shared" si="665"/>
        <v>899.72828166971112</v>
      </c>
      <c r="BQ436" s="14">
        <f t="shared" si="665"/>
        <v>694.11890223166768</v>
      </c>
      <c r="BR436" s="14">
        <f t="shared" si="665"/>
        <v>479.7693953962891</v>
      </c>
      <c r="BS436" s="14">
        <f t="shared" si="665"/>
        <v>766.80616917252155</v>
      </c>
      <c r="BT436" s="14">
        <f t="shared" si="665"/>
        <v>307.69992748707085</v>
      </c>
      <c r="BU436" s="14">
        <f t="shared" ref="BU436:CZ436" si="666">+BU$250*BU$14</f>
        <v>646.89048838853284</v>
      </c>
      <c r="BV436" s="14">
        <f t="shared" si="666"/>
        <v>811.09246830723328</v>
      </c>
      <c r="BW436" s="14">
        <f t="shared" si="666"/>
        <v>496.0098078789099</v>
      </c>
      <c r="BX436" s="14">
        <f t="shared" si="666"/>
        <v>214.34286124857158</v>
      </c>
      <c r="BY436" s="14">
        <f t="shared" si="666"/>
        <v>845.36106617818791</v>
      </c>
      <c r="BZ436" s="14">
        <f t="shared" ca="1" si="666"/>
        <v>2410.093058515713</v>
      </c>
      <c r="CA436" s="14">
        <f t="shared" ca="1" si="666"/>
        <v>2176.100762773825</v>
      </c>
      <c r="CB436" s="14">
        <f t="shared" ca="1" si="666"/>
        <v>2176.100762773825</v>
      </c>
      <c r="CC436" s="14">
        <f t="shared" ca="1" si="666"/>
        <v>2176.100762773825</v>
      </c>
      <c r="CD436" s="14">
        <f t="shared" ca="1" si="666"/>
        <v>2176.100762773825</v>
      </c>
      <c r="CE436" s="14">
        <f t="shared" ca="1" si="666"/>
        <v>2176.100762773825</v>
      </c>
      <c r="CF436" s="14">
        <f t="shared" ca="1" si="666"/>
        <v>2508.5653161801706</v>
      </c>
      <c r="CG436" s="14">
        <f t="shared" ca="1" si="666"/>
        <v>0</v>
      </c>
      <c r="CH436" s="14">
        <f t="shared" ca="1" si="666"/>
        <v>0</v>
      </c>
      <c r="CI436" s="14">
        <f t="shared" ca="1" si="666"/>
        <v>0</v>
      </c>
      <c r="CJ436" s="14">
        <f t="shared" ca="1" si="666"/>
        <v>0</v>
      </c>
      <c r="CK436" s="14">
        <f t="shared" ca="1" si="666"/>
        <v>0</v>
      </c>
      <c r="CL436" s="14">
        <f t="shared" ca="1" si="666"/>
        <v>0</v>
      </c>
      <c r="CM436" s="14">
        <f t="shared" ca="1" si="666"/>
        <v>0</v>
      </c>
      <c r="CN436" s="14">
        <f t="shared" ca="1" si="666"/>
        <v>0</v>
      </c>
      <c r="CO436" s="14">
        <f t="shared" ca="1" si="666"/>
        <v>0</v>
      </c>
      <c r="CP436" s="14">
        <f t="shared" ca="1" si="666"/>
        <v>0</v>
      </c>
      <c r="CQ436" s="14">
        <f t="shared" ca="1" si="666"/>
        <v>0</v>
      </c>
      <c r="CR436" s="14">
        <f t="shared" ca="1" si="666"/>
        <v>0</v>
      </c>
      <c r="CS436" s="14">
        <f t="shared" ca="1" si="666"/>
        <v>0</v>
      </c>
      <c r="CT436" s="14">
        <f t="shared" ca="1" si="666"/>
        <v>0</v>
      </c>
      <c r="CU436" s="14">
        <f t="shared" ca="1" si="666"/>
        <v>0</v>
      </c>
      <c r="CV436" s="14">
        <f t="shared" ca="1" si="666"/>
        <v>0</v>
      </c>
      <c r="CW436" s="14">
        <f t="shared" ca="1" si="666"/>
        <v>0</v>
      </c>
      <c r="CX436" s="14">
        <f t="shared" ca="1" si="666"/>
        <v>0</v>
      </c>
      <c r="CY436" s="14">
        <f t="shared" ca="1" si="666"/>
        <v>0</v>
      </c>
      <c r="CZ436" s="14">
        <f t="shared" ca="1" si="666"/>
        <v>0</v>
      </c>
      <c r="DA436" s="14">
        <f t="shared" ref="DA436:DY436" ca="1" si="667">+DA$250*DA$14</f>
        <v>0</v>
      </c>
      <c r="DB436" s="14">
        <f t="shared" ca="1" si="667"/>
        <v>0</v>
      </c>
      <c r="DC436" s="14">
        <f t="shared" ca="1" si="667"/>
        <v>0</v>
      </c>
      <c r="DD436" s="14">
        <f t="shared" ca="1" si="667"/>
        <v>0</v>
      </c>
      <c r="DE436" s="14">
        <f t="shared" ca="1" si="667"/>
        <v>0</v>
      </c>
      <c r="DF436" s="14">
        <f t="shared" ca="1" si="667"/>
        <v>0</v>
      </c>
      <c r="DG436" s="14">
        <f t="shared" ca="1" si="667"/>
        <v>0</v>
      </c>
      <c r="DH436" s="14">
        <f t="shared" ca="1" si="667"/>
        <v>0</v>
      </c>
      <c r="DI436" s="14">
        <f t="shared" ca="1" si="667"/>
        <v>0</v>
      </c>
      <c r="DJ436" s="14">
        <f t="shared" ca="1" si="667"/>
        <v>0</v>
      </c>
      <c r="DK436" s="14">
        <f t="shared" ca="1" si="667"/>
        <v>0</v>
      </c>
      <c r="DL436" s="14">
        <f t="shared" ca="1" si="667"/>
        <v>0</v>
      </c>
      <c r="DM436" s="14">
        <f t="shared" ca="1" si="667"/>
        <v>0</v>
      </c>
      <c r="DN436" s="14">
        <f t="shared" ca="1" si="667"/>
        <v>0</v>
      </c>
      <c r="DO436" s="14">
        <f t="shared" ca="1" si="667"/>
        <v>0</v>
      </c>
      <c r="DP436" s="14">
        <f t="shared" ca="1" si="667"/>
        <v>0</v>
      </c>
      <c r="DQ436" s="14">
        <f t="shared" ca="1" si="667"/>
        <v>0</v>
      </c>
      <c r="DR436" s="14">
        <f t="shared" ca="1" si="667"/>
        <v>0</v>
      </c>
      <c r="DS436" s="14">
        <f t="shared" ca="1" si="667"/>
        <v>0</v>
      </c>
      <c r="DT436" s="14">
        <f t="shared" ca="1" si="667"/>
        <v>0</v>
      </c>
      <c r="DU436" s="14">
        <f t="shared" ca="1" si="667"/>
        <v>0</v>
      </c>
      <c r="DV436" s="14">
        <f t="shared" ca="1" si="667"/>
        <v>0</v>
      </c>
      <c r="DW436" s="14">
        <f t="shared" ca="1" si="667"/>
        <v>0</v>
      </c>
      <c r="DX436" s="14">
        <f t="shared" ca="1" si="667"/>
        <v>0</v>
      </c>
      <c r="DY436" s="14">
        <f t="shared" ca="1" si="667"/>
        <v>0</v>
      </c>
    </row>
    <row r="437" spans="1:129" s="5" customFormat="1" ht="11.7" customHeight="1" outlineLevel="1" x14ac:dyDescent="0.3">
      <c r="A437" s="3"/>
      <c r="B437" s="125" t="s">
        <v>19</v>
      </c>
      <c r="C437" s="125"/>
      <c r="D437" s="111"/>
      <c r="E437" s="677"/>
      <c r="F437" s="677"/>
      <c r="G437" s="677"/>
      <c r="H437" s="308">
        <f t="shared" si="661"/>
        <v>2109.536863383219</v>
      </c>
      <c r="I437" s="14">
        <f t="shared" ref="I437:AN437" si="668">+I$333*I$14</f>
        <v>0</v>
      </c>
      <c r="J437" s="14">
        <f t="shared" si="668"/>
        <v>0</v>
      </c>
      <c r="K437" s="14">
        <f t="shared" si="668"/>
        <v>0</v>
      </c>
      <c r="L437" s="14">
        <f t="shared" si="668"/>
        <v>0</v>
      </c>
      <c r="M437" s="14">
        <f t="shared" si="668"/>
        <v>0</v>
      </c>
      <c r="N437" s="14">
        <f t="shared" si="668"/>
        <v>0</v>
      </c>
      <c r="O437" s="14">
        <f t="shared" si="668"/>
        <v>0</v>
      </c>
      <c r="P437" s="14">
        <f t="shared" si="668"/>
        <v>0</v>
      </c>
      <c r="Q437" s="14">
        <f t="shared" si="668"/>
        <v>0</v>
      </c>
      <c r="R437" s="14">
        <f t="shared" si="668"/>
        <v>0</v>
      </c>
      <c r="S437" s="14">
        <f t="shared" si="668"/>
        <v>0</v>
      </c>
      <c r="T437" s="14">
        <f t="shared" si="668"/>
        <v>0</v>
      </c>
      <c r="U437" s="14">
        <f t="shared" si="668"/>
        <v>0</v>
      </c>
      <c r="V437" s="14">
        <f t="shared" si="668"/>
        <v>0</v>
      </c>
      <c r="W437" s="14">
        <f t="shared" si="668"/>
        <v>0</v>
      </c>
      <c r="X437" s="14">
        <f t="shared" si="668"/>
        <v>0</v>
      </c>
      <c r="Y437" s="14">
        <f t="shared" si="668"/>
        <v>0</v>
      </c>
      <c r="Z437" s="14">
        <f t="shared" si="668"/>
        <v>0</v>
      </c>
      <c r="AA437" s="14">
        <f t="shared" si="668"/>
        <v>0</v>
      </c>
      <c r="AB437" s="14">
        <f t="shared" si="668"/>
        <v>0</v>
      </c>
      <c r="AC437" s="14">
        <f t="shared" si="668"/>
        <v>0</v>
      </c>
      <c r="AD437" s="14">
        <f t="shared" si="668"/>
        <v>0</v>
      </c>
      <c r="AE437" s="14">
        <f t="shared" si="668"/>
        <v>0</v>
      </c>
      <c r="AF437" s="14">
        <f t="shared" si="668"/>
        <v>0</v>
      </c>
      <c r="AG437" s="14">
        <f t="shared" si="668"/>
        <v>0</v>
      </c>
      <c r="AH437" s="14">
        <f t="shared" si="668"/>
        <v>0</v>
      </c>
      <c r="AI437" s="14">
        <f t="shared" si="668"/>
        <v>0</v>
      </c>
      <c r="AJ437" s="14">
        <f t="shared" si="668"/>
        <v>0</v>
      </c>
      <c r="AK437" s="14">
        <f t="shared" si="668"/>
        <v>0</v>
      </c>
      <c r="AL437" s="14">
        <f t="shared" si="668"/>
        <v>0</v>
      </c>
      <c r="AM437" s="14">
        <f t="shared" si="668"/>
        <v>0</v>
      </c>
      <c r="AN437" s="14">
        <f t="shared" si="668"/>
        <v>0</v>
      </c>
      <c r="AO437" s="14">
        <f t="shared" ref="AO437:BT437" si="669">+AO$333*AO$14</f>
        <v>0</v>
      </c>
      <c r="AP437" s="14">
        <f t="shared" si="669"/>
        <v>0</v>
      </c>
      <c r="AQ437" s="14">
        <f t="shared" si="669"/>
        <v>0</v>
      </c>
      <c r="AR437" s="14">
        <f t="shared" si="669"/>
        <v>0</v>
      </c>
      <c r="AS437" s="14">
        <f t="shared" si="669"/>
        <v>0</v>
      </c>
      <c r="AT437" s="14">
        <f t="shared" si="669"/>
        <v>0</v>
      </c>
      <c r="AU437" s="14">
        <f t="shared" si="669"/>
        <v>0</v>
      </c>
      <c r="AV437" s="14">
        <f t="shared" si="669"/>
        <v>0</v>
      </c>
      <c r="AW437" s="14">
        <f t="shared" si="669"/>
        <v>0</v>
      </c>
      <c r="AX437" s="14">
        <f t="shared" si="669"/>
        <v>0</v>
      </c>
      <c r="AY437" s="14">
        <f t="shared" si="669"/>
        <v>0</v>
      </c>
      <c r="AZ437" s="14">
        <f t="shared" si="669"/>
        <v>0</v>
      </c>
      <c r="BA437" s="14">
        <f t="shared" si="669"/>
        <v>0</v>
      </c>
      <c r="BB437" s="14">
        <f t="shared" si="669"/>
        <v>0</v>
      </c>
      <c r="BC437" s="14">
        <f t="shared" si="669"/>
        <v>0</v>
      </c>
      <c r="BD437" s="14">
        <f t="shared" si="669"/>
        <v>0</v>
      </c>
      <c r="BE437" s="14">
        <f t="shared" si="669"/>
        <v>0</v>
      </c>
      <c r="BF437" s="14">
        <f t="shared" si="669"/>
        <v>0</v>
      </c>
      <c r="BG437" s="14">
        <f t="shared" si="669"/>
        <v>0</v>
      </c>
      <c r="BH437" s="14">
        <f t="shared" si="669"/>
        <v>0</v>
      </c>
      <c r="BI437" s="14">
        <f t="shared" si="669"/>
        <v>0</v>
      </c>
      <c r="BJ437" s="14">
        <f t="shared" si="669"/>
        <v>0</v>
      </c>
      <c r="BK437" s="14">
        <f t="shared" si="669"/>
        <v>0</v>
      </c>
      <c r="BL437" s="14">
        <f t="shared" si="669"/>
        <v>0</v>
      </c>
      <c r="BM437" s="14">
        <f t="shared" si="669"/>
        <v>0</v>
      </c>
      <c r="BN437" s="14">
        <f t="shared" si="669"/>
        <v>0</v>
      </c>
      <c r="BO437" s="14">
        <f t="shared" si="669"/>
        <v>0</v>
      </c>
      <c r="BP437" s="14">
        <f t="shared" si="669"/>
        <v>0</v>
      </c>
      <c r="BQ437" s="14">
        <f t="shared" si="669"/>
        <v>0</v>
      </c>
      <c r="BR437" s="14">
        <f t="shared" si="669"/>
        <v>0</v>
      </c>
      <c r="BS437" s="14">
        <f t="shared" si="669"/>
        <v>0</v>
      </c>
      <c r="BT437" s="14">
        <f t="shared" si="669"/>
        <v>0</v>
      </c>
      <c r="BU437" s="14">
        <f t="shared" ref="BU437:CZ437" si="670">+BU$333*BU$14</f>
        <v>0</v>
      </c>
      <c r="BV437" s="14">
        <f t="shared" si="670"/>
        <v>0</v>
      </c>
      <c r="BW437" s="14">
        <f t="shared" si="670"/>
        <v>62.63901428736871</v>
      </c>
      <c r="BX437" s="14">
        <f t="shared" si="670"/>
        <v>31.237982563468666</v>
      </c>
      <c r="BY437" s="14">
        <f t="shared" si="670"/>
        <v>0</v>
      </c>
      <c r="BZ437" s="14">
        <f t="shared" si="670"/>
        <v>0</v>
      </c>
      <c r="CA437" s="14">
        <f t="shared" si="670"/>
        <v>53.732642047650756</v>
      </c>
      <c r="CB437" s="14">
        <f t="shared" si="670"/>
        <v>166.54951042820875</v>
      </c>
      <c r="CC437" s="14">
        <f t="shared" si="670"/>
        <v>282.3225918366698</v>
      </c>
      <c r="CD437" s="14">
        <f t="shared" si="670"/>
        <v>401.05188627303386</v>
      </c>
      <c r="CE437" s="14">
        <f t="shared" si="670"/>
        <v>522.73739373730064</v>
      </c>
      <c r="CF437" s="14">
        <f t="shared" si="670"/>
        <v>589.26584220951781</v>
      </c>
      <c r="CG437" s="14">
        <f t="shared" si="670"/>
        <v>0</v>
      </c>
      <c r="CH437" s="14">
        <f t="shared" si="670"/>
        <v>0</v>
      </c>
      <c r="CI437" s="14">
        <f t="shared" si="670"/>
        <v>0</v>
      </c>
      <c r="CJ437" s="14">
        <f t="shared" si="670"/>
        <v>0</v>
      </c>
      <c r="CK437" s="14">
        <f t="shared" si="670"/>
        <v>0</v>
      </c>
      <c r="CL437" s="14">
        <f t="shared" si="670"/>
        <v>0</v>
      </c>
      <c r="CM437" s="14">
        <f t="shared" si="670"/>
        <v>0</v>
      </c>
      <c r="CN437" s="14">
        <f t="shared" si="670"/>
        <v>0</v>
      </c>
      <c r="CO437" s="14">
        <f t="shared" si="670"/>
        <v>0</v>
      </c>
      <c r="CP437" s="14">
        <f t="shared" si="670"/>
        <v>0</v>
      </c>
      <c r="CQ437" s="14">
        <f t="shared" si="670"/>
        <v>0</v>
      </c>
      <c r="CR437" s="14">
        <f t="shared" si="670"/>
        <v>0</v>
      </c>
      <c r="CS437" s="14">
        <f t="shared" si="670"/>
        <v>0</v>
      </c>
      <c r="CT437" s="14">
        <f t="shared" si="670"/>
        <v>0</v>
      </c>
      <c r="CU437" s="14">
        <f t="shared" si="670"/>
        <v>0</v>
      </c>
      <c r="CV437" s="14">
        <f t="shared" si="670"/>
        <v>0</v>
      </c>
      <c r="CW437" s="14">
        <f t="shared" si="670"/>
        <v>0</v>
      </c>
      <c r="CX437" s="14">
        <f t="shared" si="670"/>
        <v>0</v>
      </c>
      <c r="CY437" s="14">
        <f t="shared" si="670"/>
        <v>0</v>
      </c>
      <c r="CZ437" s="14">
        <f t="shared" si="670"/>
        <v>0</v>
      </c>
      <c r="DA437" s="14">
        <f t="shared" ref="DA437:DY437" si="671">+DA$333*DA$14</f>
        <v>0</v>
      </c>
      <c r="DB437" s="14">
        <f t="shared" si="671"/>
        <v>0</v>
      </c>
      <c r="DC437" s="14">
        <f t="shared" si="671"/>
        <v>0</v>
      </c>
      <c r="DD437" s="14">
        <f t="shared" si="671"/>
        <v>0</v>
      </c>
      <c r="DE437" s="14">
        <f t="shared" si="671"/>
        <v>0</v>
      </c>
      <c r="DF437" s="14">
        <f t="shared" si="671"/>
        <v>0</v>
      </c>
      <c r="DG437" s="14">
        <f t="shared" si="671"/>
        <v>0</v>
      </c>
      <c r="DH437" s="14">
        <f t="shared" si="671"/>
        <v>0</v>
      </c>
      <c r="DI437" s="14">
        <f t="shared" si="671"/>
        <v>0</v>
      </c>
      <c r="DJ437" s="14">
        <f t="shared" si="671"/>
        <v>0</v>
      </c>
      <c r="DK437" s="14">
        <f t="shared" si="671"/>
        <v>0</v>
      </c>
      <c r="DL437" s="14">
        <f t="shared" si="671"/>
        <v>0</v>
      </c>
      <c r="DM437" s="14">
        <f t="shared" si="671"/>
        <v>0</v>
      </c>
      <c r="DN437" s="14">
        <f t="shared" si="671"/>
        <v>0</v>
      </c>
      <c r="DO437" s="14">
        <f t="shared" si="671"/>
        <v>0</v>
      </c>
      <c r="DP437" s="14">
        <f t="shared" si="671"/>
        <v>0</v>
      </c>
      <c r="DQ437" s="14">
        <f t="shared" si="671"/>
        <v>0</v>
      </c>
      <c r="DR437" s="14">
        <f t="shared" si="671"/>
        <v>0</v>
      </c>
      <c r="DS437" s="14">
        <f t="shared" si="671"/>
        <v>0</v>
      </c>
      <c r="DT437" s="14">
        <f t="shared" si="671"/>
        <v>0</v>
      </c>
      <c r="DU437" s="14">
        <f t="shared" si="671"/>
        <v>0</v>
      </c>
      <c r="DV437" s="14">
        <f t="shared" si="671"/>
        <v>0</v>
      </c>
      <c r="DW437" s="14">
        <f t="shared" si="671"/>
        <v>0</v>
      </c>
      <c r="DX437" s="14">
        <f t="shared" si="671"/>
        <v>0</v>
      </c>
      <c r="DY437" s="14">
        <f t="shared" si="671"/>
        <v>0</v>
      </c>
    </row>
    <row r="438" spans="1:129" s="3" customFormat="1" ht="11.7" customHeight="1" outlineLevel="1" x14ac:dyDescent="0.3">
      <c r="B438" s="125" t="s">
        <v>128</v>
      </c>
      <c r="C438" s="125"/>
      <c r="E438" s="677"/>
      <c r="F438" s="677"/>
      <c r="G438" s="677"/>
      <c r="H438" s="308">
        <f t="shared" ca="1" si="661"/>
        <v>0</v>
      </c>
      <c r="I438" s="14">
        <f t="shared" ref="I438:AN438" si="672">+I349</f>
        <v>0</v>
      </c>
      <c r="J438" s="14">
        <f t="shared" si="672"/>
        <v>-1390.0045312721768</v>
      </c>
      <c r="K438" s="14">
        <f t="shared" si="672"/>
        <v>-147</v>
      </c>
      <c r="L438" s="14">
        <f t="shared" si="672"/>
        <v>-563</v>
      </c>
      <c r="M438" s="14">
        <f t="shared" si="672"/>
        <v>-1.9000000000000909</v>
      </c>
      <c r="N438" s="14">
        <f t="shared" si="672"/>
        <v>0</v>
      </c>
      <c r="O438" s="14">
        <f t="shared" si="672"/>
        <v>0</v>
      </c>
      <c r="P438" s="14">
        <f t="shared" si="672"/>
        <v>0</v>
      </c>
      <c r="Q438" s="14">
        <f t="shared" si="672"/>
        <v>-56</v>
      </c>
      <c r="R438" s="14">
        <f t="shared" si="672"/>
        <v>0</v>
      </c>
      <c r="S438" s="14">
        <f t="shared" si="672"/>
        <v>-195</v>
      </c>
      <c r="T438" s="14">
        <f t="shared" si="672"/>
        <v>-56</v>
      </c>
      <c r="U438" s="14">
        <f t="shared" si="672"/>
        <v>0</v>
      </c>
      <c r="V438" s="14">
        <f t="shared" si="672"/>
        <v>0</v>
      </c>
      <c r="W438" s="14">
        <f t="shared" si="672"/>
        <v>-949.2438703730636</v>
      </c>
      <c r="X438" s="14">
        <f t="shared" si="672"/>
        <v>0</v>
      </c>
      <c r="Y438" s="14">
        <f t="shared" si="672"/>
        <v>-1092.9652448933566</v>
      </c>
      <c r="Z438" s="14">
        <f t="shared" si="672"/>
        <v>-656.10000000000036</v>
      </c>
      <c r="AA438" s="14">
        <f t="shared" si="672"/>
        <v>-661.6875145024369</v>
      </c>
      <c r="AB438" s="14">
        <f t="shared" si="672"/>
        <v>-10</v>
      </c>
      <c r="AC438" s="14">
        <f t="shared" si="672"/>
        <v>0</v>
      </c>
      <c r="AD438" s="14">
        <f t="shared" si="672"/>
        <v>-422</v>
      </c>
      <c r="AE438" s="14">
        <f t="shared" si="672"/>
        <v>-10374.485512811294</v>
      </c>
      <c r="AF438" s="14">
        <f t="shared" si="672"/>
        <v>-2393.9036623506436</v>
      </c>
      <c r="AG438" s="14">
        <f t="shared" si="672"/>
        <v>-1722.129389342339</v>
      </c>
      <c r="AH438" s="14">
        <f t="shared" si="672"/>
        <v>-1539.5927107880088</v>
      </c>
      <c r="AI438" s="14">
        <f t="shared" si="672"/>
        <v>-1776.7999999999993</v>
      </c>
      <c r="AJ438" s="14">
        <f t="shared" si="672"/>
        <v>-1301.8364830243081</v>
      </c>
      <c r="AK438" s="14">
        <f t="shared" si="672"/>
        <v>-1249.3647068895007</v>
      </c>
      <c r="AL438" s="14">
        <f t="shared" si="672"/>
        <v>-1376.3446789540576</v>
      </c>
      <c r="AM438" s="14">
        <f t="shared" si="672"/>
        <v>-1632.8484137929663</v>
      </c>
      <c r="AN438" s="14">
        <f t="shared" si="672"/>
        <v>-1414.4000000000015</v>
      </c>
      <c r="AO438" s="14">
        <f t="shared" ref="AO438:BT438" si="673">+AO349</f>
        <v>-1182.7370056997897</v>
      </c>
      <c r="AP438" s="14">
        <f t="shared" si="673"/>
        <v>15719</v>
      </c>
      <c r="AQ438" s="14">
        <f t="shared" si="673"/>
        <v>-164</v>
      </c>
      <c r="AR438" s="14">
        <f t="shared" si="673"/>
        <v>-7.7900000000008731</v>
      </c>
      <c r="AS438" s="14">
        <f t="shared" si="673"/>
        <v>-1486.2999999999993</v>
      </c>
      <c r="AT438" s="14">
        <f t="shared" si="673"/>
        <v>-1396</v>
      </c>
      <c r="AU438" s="14">
        <f t="shared" si="673"/>
        <v>-300</v>
      </c>
      <c r="AV438" s="14">
        <f t="shared" si="673"/>
        <v>-2199</v>
      </c>
      <c r="AW438" s="14">
        <f t="shared" si="673"/>
        <v>-5099</v>
      </c>
      <c r="AX438" s="14">
        <f t="shared" si="673"/>
        <v>-27</v>
      </c>
      <c r="AY438" s="14">
        <f t="shared" si="673"/>
        <v>-2749.9000000000015</v>
      </c>
      <c r="AZ438" s="14">
        <f t="shared" si="673"/>
        <v>-2479.25</v>
      </c>
      <c r="BA438" s="14">
        <f t="shared" si="673"/>
        <v>-5022.0000000000036</v>
      </c>
      <c r="BB438" s="14">
        <f t="shared" si="673"/>
        <v>-2765</v>
      </c>
      <c r="BC438" s="14">
        <f t="shared" si="673"/>
        <v>-93</v>
      </c>
      <c r="BD438" s="14">
        <f t="shared" si="673"/>
        <v>31693</v>
      </c>
      <c r="BE438" s="14">
        <f t="shared" si="673"/>
        <v>-2082</v>
      </c>
      <c r="BF438" s="14">
        <f t="shared" si="673"/>
        <v>-399</v>
      </c>
      <c r="BG438" s="14">
        <f t="shared" si="673"/>
        <v>-350</v>
      </c>
      <c r="BH438" s="14">
        <f t="shared" si="673"/>
        <v>-3436</v>
      </c>
      <c r="BI438" s="14">
        <f t="shared" si="673"/>
        <v>-673.9256425017229</v>
      </c>
      <c r="BJ438" s="14">
        <f t="shared" si="673"/>
        <v>39.170760002083625</v>
      </c>
      <c r="BK438" s="14">
        <f t="shared" si="673"/>
        <v>-45.076672306306136</v>
      </c>
      <c r="BL438" s="14">
        <f t="shared" si="673"/>
        <v>42.564922873163596</v>
      </c>
      <c r="BM438" s="14">
        <f t="shared" si="673"/>
        <v>244.7250041890893</v>
      </c>
      <c r="BN438" s="14">
        <f t="shared" si="673"/>
        <v>179.44739175056384</v>
      </c>
      <c r="BO438" s="14">
        <f t="shared" si="673"/>
        <v>181.11751378030021</v>
      </c>
      <c r="BP438" s="14">
        <f t="shared" si="673"/>
        <v>274.20880484912959</v>
      </c>
      <c r="BQ438" s="14">
        <f t="shared" si="673"/>
        <v>-45.921700727429197</v>
      </c>
      <c r="BR438" s="14">
        <f t="shared" si="673"/>
        <v>171.70441790425866</v>
      </c>
      <c r="BS438" s="14">
        <f t="shared" si="673"/>
        <v>249.1364795605532</v>
      </c>
      <c r="BT438" s="14">
        <f t="shared" si="673"/>
        <v>274.26613438277491</v>
      </c>
      <c r="BU438" s="14">
        <f t="shared" ref="BU438:CZ438" si="674">+BU349</f>
        <v>104.86112891181074</v>
      </c>
      <c r="BV438" s="14">
        <f t="shared" si="674"/>
        <v>304.34557777128975</v>
      </c>
      <c r="BW438" s="14">
        <f t="shared" si="674"/>
        <v>291.51234901004682</v>
      </c>
      <c r="BX438" s="14">
        <f t="shared" si="674"/>
        <v>-5.0701331544623827</v>
      </c>
      <c r="BY438" s="14">
        <f t="shared" si="674"/>
        <v>-25.656735020105771</v>
      </c>
      <c r="BZ438" s="14">
        <f t="shared" ca="1" si="674"/>
        <v>420.11717638297705</v>
      </c>
      <c r="CA438" s="14">
        <f t="shared" ca="1" si="674"/>
        <v>401.2999580951564</v>
      </c>
      <c r="CB438" s="14">
        <f t="shared" ca="1" si="674"/>
        <v>421.82115984515622</v>
      </c>
      <c r="CC438" s="14">
        <f t="shared" ca="1" si="674"/>
        <v>442.34236159515604</v>
      </c>
      <c r="CD438" s="14">
        <f t="shared" ca="1" si="674"/>
        <v>462.86356334515767</v>
      </c>
      <c r="CE438" s="14">
        <f t="shared" ca="1" si="674"/>
        <v>483.38476509515749</v>
      </c>
      <c r="CF438" s="14">
        <f t="shared" ca="1" si="674"/>
        <v>557.35349943642359</v>
      </c>
      <c r="CG438" s="14">
        <f t="shared" ca="1" si="674"/>
        <v>10057.991639623726</v>
      </c>
      <c r="CH438" s="14">
        <f t="shared" ca="1" si="674"/>
        <v>0</v>
      </c>
      <c r="CI438" s="14">
        <f t="shared" ca="1" si="674"/>
        <v>0</v>
      </c>
      <c r="CJ438" s="14">
        <f t="shared" ca="1" si="674"/>
        <v>0</v>
      </c>
      <c r="CK438" s="14">
        <f t="shared" ca="1" si="674"/>
        <v>0</v>
      </c>
      <c r="CL438" s="14">
        <f t="shared" ca="1" si="674"/>
        <v>0</v>
      </c>
      <c r="CM438" s="14">
        <f t="shared" ca="1" si="674"/>
        <v>0</v>
      </c>
      <c r="CN438" s="14">
        <f t="shared" ca="1" si="674"/>
        <v>0</v>
      </c>
      <c r="CO438" s="14">
        <f t="shared" ca="1" si="674"/>
        <v>0</v>
      </c>
      <c r="CP438" s="14">
        <f t="shared" ca="1" si="674"/>
        <v>0</v>
      </c>
      <c r="CQ438" s="14">
        <f t="shared" ca="1" si="674"/>
        <v>0</v>
      </c>
      <c r="CR438" s="14">
        <f t="shared" ca="1" si="674"/>
        <v>0</v>
      </c>
      <c r="CS438" s="14">
        <f t="shared" ca="1" si="674"/>
        <v>0</v>
      </c>
      <c r="CT438" s="14">
        <f t="shared" ca="1" si="674"/>
        <v>0</v>
      </c>
      <c r="CU438" s="14">
        <f t="shared" ca="1" si="674"/>
        <v>0</v>
      </c>
      <c r="CV438" s="14">
        <f t="shared" ca="1" si="674"/>
        <v>0</v>
      </c>
      <c r="CW438" s="14">
        <f t="shared" ca="1" si="674"/>
        <v>0</v>
      </c>
      <c r="CX438" s="14">
        <f t="shared" ca="1" si="674"/>
        <v>0</v>
      </c>
      <c r="CY438" s="14">
        <f t="shared" ca="1" si="674"/>
        <v>0</v>
      </c>
      <c r="CZ438" s="14">
        <f t="shared" ca="1" si="674"/>
        <v>0</v>
      </c>
      <c r="DA438" s="14">
        <f t="shared" ref="DA438:DY438" ca="1" si="675">+DA349</f>
        <v>0</v>
      </c>
      <c r="DB438" s="14">
        <f t="shared" ca="1" si="675"/>
        <v>0</v>
      </c>
      <c r="DC438" s="14">
        <f t="shared" ca="1" si="675"/>
        <v>0</v>
      </c>
      <c r="DD438" s="14">
        <f t="shared" ca="1" si="675"/>
        <v>0</v>
      </c>
      <c r="DE438" s="14">
        <f t="shared" ca="1" si="675"/>
        <v>0</v>
      </c>
      <c r="DF438" s="14">
        <f t="shared" ca="1" si="675"/>
        <v>0</v>
      </c>
      <c r="DG438" s="14">
        <f t="shared" ca="1" si="675"/>
        <v>0</v>
      </c>
      <c r="DH438" s="14">
        <f t="shared" ca="1" si="675"/>
        <v>0</v>
      </c>
      <c r="DI438" s="14">
        <f t="shared" ca="1" si="675"/>
        <v>0</v>
      </c>
      <c r="DJ438" s="14">
        <f t="shared" ca="1" si="675"/>
        <v>0</v>
      </c>
      <c r="DK438" s="14">
        <f t="shared" ca="1" si="675"/>
        <v>0</v>
      </c>
      <c r="DL438" s="14">
        <f t="shared" ca="1" si="675"/>
        <v>0</v>
      </c>
      <c r="DM438" s="14">
        <f t="shared" ca="1" si="675"/>
        <v>0</v>
      </c>
      <c r="DN438" s="14">
        <f t="shared" ca="1" si="675"/>
        <v>0</v>
      </c>
      <c r="DO438" s="14">
        <f t="shared" ca="1" si="675"/>
        <v>0</v>
      </c>
      <c r="DP438" s="14">
        <f t="shared" ca="1" si="675"/>
        <v>0</v>
      </c>
      <c r="DQ438" s="14">
        <f t="shared" ca="1" si="675"/>
        <v>0</v>
      </c>
      <c r="DR438" s="14">
        <f t="shared" ca="1" si="675"/>
        <v>0</v>
      </c>
      <c r="DS438" s="14">
        <f t="shared" ca="1" si="675"/>
        <v>0</v>
      </c>
      <c r="DT438" s="14">
        <f t="shared" ca="1" si="675"/>
        <v>0</v>
      </c>
      <c r="DU438" s="14">
        <f t="shared" ca="1" si="675"/>
        <v>0</v>
      </c>
      <c r="DV438" s="14">
        <f t="shared" ca="1" si="675"/>
        <v>0</v>
      </c>
      <c r="DW438" s="14">
        <f t="shared" ca="1" si="675"/>
        <v>0</v>
      </c>
      <c r="DX438" s="14">
        <f t="shared" ca="1" si="675"/>
        <v>0</v>
      </c>
      <c r="DY438" s="14">
        <f t="shared" ca="1" si="675"/>
        <v>0</v>
      </c>
    </row>
    <row r="439" spans="1:129" s="111" customFormat="1" ht="11.7" customHeight="1" outlineLevel="1" collapsed="1" x14ac:dyDescent="0.3">
      <c r="A439" s="3"/>
      <c r="B439" s="125" t="s">
        <v>391</v>
      </c>
      <c r="C439" s="125"/>
      <c r="D439" s="3"/>
      <c r="E439" s="677"/>
      <c r="F439" s="677"/>
      <c r="G439" s="677"/>
      <c r="H439" s="308">
        <f t="shared" ca="1" si="661"/>
        <v>635016.88859481271</v>
      </c>
      <c r="I439" s="14">
        <f>+I$357</f>
        <v>0</v>
      </c>
      <c r="J439" s="14">
        <f t="shared" ref="J439:BU439" si="676">+J$357</f>
        <v>0</v>
      </c>
      <c r="K439" s="14">
        <f t="shared" si="676"/>
        <v>0</v>
      </c>
      <c r="L439" s="14">
        <f t="shared" si="676"/>
        <v>0</v>
      </c>
      <c r="M439" s="14">
        <f t="shared" si="676"/>
        <v>0</v>
      </c>
      <c r="N439" s="14">
        <f t="shared" si="676"/>
        <v>0</v>
      </c>
      <c r="O439" s="14">
        <f t="shared" si="676"/>
        <v>0</v>
      </c>
      <c r="P439" s="14">
        <f t="shared" si="676"/>
        <v>0</v>
      </c>
      <c r="Q439" s="14">
        <f t="shared" si="676"/>
        <v>0</v>
      </c>
      <c r="R439" s="14">
        <f t="shared" si="676"/>
        <v>0</v>
      </c>
      <c r="S439" s="14">
        <f t="shared" si="676"/>
        <v>0</v>
      </c>
      <c r="T439" s="14">
        <f t="shared" si="676"/>
        <v>0</v>
      </c>
      <c r="U439" s="14">
        <f t="shared" si="676"/>
        <v>0</v>
      </c>
      <c r="V439" s="14">
        <f t="shared" si="676"/>
        <v>0</v>
      </c>
      <c r="W439" s="14">
        <f t="shared" si="676"/>
        <v>0</v>
      </c>
      <c r="X439" s="14">
        <f t="shared" si="676"/>
        <v>0</v>
      </c>
      <c r="Y439" s="14">
        <f t="shared" si="676"/>
        <v>0</v>
      </c>
      <c r="Z439" s="14">
        <f t="shared" si="676"/>
        <v>0</v>
      </c>
      <c r="AA439" s="14">
        <f t="shared" si="676"/>
        <v>0</v>
      </c>
      <c r="AB439" s="14">
        <f t="shared" si="676"/>
        <v>0</v>
      </c>
      <c r="AC439" s="14">
        <f t="shared" si="676"/>
        <v>0</v>
      </c>
      <c r="AD439" s="14">
        <f t="shared" si="676"/>
        <v>0</v>
      </c>
      <c r="AE439" s="14">
        <f t="shared" si="676"/>
        <v>0</v>
      </c>
      <c r="AF439" s="14">
        <f t="shared" si="676"/>
        <v>0</v>
      </c>
      <c r="AG439" s="14">
        <f t="shared" si="676"/>
        <v>0</v>
      </c>
      <c r="AH439" s="14">
        <f t="shared" si="676"/>
        <v>0</v>
      </c>
      <c r="AI439" s="14">
        <f t="shared" si="676"/>
        <v>0</v>
      </c>
      <c r="AJ439" s="14">
        <f t="shared" si="676"/>
        <v>0</v>
      </c>
      <c r="AK439" s="14">
        <f t="shared" si="676"/>
        <v>0</v>
      </c>
      <c r="AL439" s="14">
        <f t="shared" si="676"/>
        <v>0</v>
      </c>
      <c r="AM439" s="14">
        <f t="shared" si="676"/>
        <v>0</v>
      </c>
      <c r="AN439" s="14">
        <f t="shared" si="676"/>
        <v>0</v>
      </c>
      <c r="AO439" s="14">
        <f t="shared" si="676"/>
        <v>0</v>
      </c>
      <c r="AP439" s="14">
        <f t="shared" si="676"/>
        <v>0</v>
      </c>
      <c r="AQ439" s="14">
        <f t="shared" si="676"/>
        <v>0</v>
      </c>
      <c r="AR439" s="14">
        <f t="shared" si="676"/>
        <v>0</v>
      </c>
      <c r="AS439" s="14">
        <f t="shared" si="676"/>
        <v>0</v>
      </c>
      <c r="AT439" s="14">
        <f t="shared" si="676"/>
        <v>0</v>
      </c>
      <c r="AU439" s="14">
        <f t="shared" si="676"/>
        <v>0</v>
      </c>
      <c r="AV439" s="14">
        <f t="shared" si="676"/>
        <v>0</v>
      </c>
      <c r="AW439" s="14">
        <f t="shared" si="676"/>
        <v>0</v>
      </c>
      <c r="AX439" s="14">
        <f t="shared" si="676"/>
        <v>0</v>
      </c>
      <c r="AY439" s="14">
        <f t="shared" si="676"/>
        <v>0</v>
      </c>
      <c r="AZ439" s="14">
        <f t="shared" si="676"/>
        <v>0</v>
      </c>
      <c r="BA439" s="14">
        <f t="shared" si="676"/>
        <v>0</v>
      </c>
      <c r="BB439" s="14">
        <f t="shared" si="676"/>
        <v>0</v>
      </c>
      <c r="BC439" s="14">
        <f t="shared" si="676"/>
        <v>0</v>
      </c>
      <c r="BD439" s="14">
        <f t="shared" si="676"/>
        <v>0</v>
      </c>
      <c r="BE439" s="14">
        <f t="shared" si="676"/>
        <v>0</v>
      </c>
      <c r="BF439" s="14">
        <f t="shared" si="676"/>
        <v>0</v>
      </c>
      <c r="BG439" s="14">
        <f t="shared" si="676"/>
        <v>0</v>
      </c>
      <c r="BH439" s="14">
        <f t="shared" si="676"/>
        <v>0</v>
      </c>
      <c r="BI439" s="14">
        <f t="shared" si="676"/>
        <v>0</v>
      </c>
      <c r="BJ439" s="14">
        <f t="shared" si="676"/>
        <v>0</v>
      </c>
      <c r="BK439" s="14">
        <f t="shared" si="676"/>
        <v>0</v>
      </c>
      <c r="BL439" s="14">
        <f t="shared" si="676"/>
        <v>0</v>
      </c>
      <c r="BM439" s="14">
        <f t="shared" si="676"/>
        <v>0</v>
      </c>
      <c r="BN439" s="14">
        <f t="shared" ca="1" si="676"/>
        <v>0</v>
      </c>
      <c r="BO439" s="14">
        <f t="shared" ca="1" si="676"/>
        <v>0</v>
      </c>
      <c r="BP439" s="14">
        <f t="shared" ca="1" si="676"/>
        <v>0</v>
      </c>
      <c r="BQ439" s="14">
        <f t="shared" ca="1" si="676"/>
        <v>0</v>
      </c>
      <c r="BR439" s="14">
        <f t="shared" ca="1" si="676"/>
        <v>0</v>
      </c>
      <c r="BS439" s="14">
        <f t="shared" ca="1" si="676"/>
        <v>0</v>
      </c>
      <c r="BT439" s="14">
        <f t="shared" ca="1" si="676"/>
        <v>0</v>
      </c>
      <c r="BU439" s="14">
        <f t="shared" ca="1" si="676"/>
        <v>0</v>
      </c>
      <c r="BV439" s="14">
        <f t="shared" ref="BV439:DA439" ca="1" si="677">+BV$357</f>
        <v>0</v>
      </c>
      <c r="BW439" s="14">
        <f t="shared" ca="1" si="677"/>
        <v>0</v>
      </c>
      <c r="BX439" s="14">
        <f t="shared" ca="1" si="677"/>
        <v>0</v>
      </c>
      <c r="BY439" s="14">
        <f t="shared" ca="1" si="677"/>
        <v>0</v>
      </c>
      <c r="BZ439" s="14">
        <f t="shared" ca="1" si="677"/>
        <v>0</v>
      </c>
      <c r="CA439" s="14">
        <f t="shared" ca="1" si="677"/>
        <v>0</v>
      </c>
      <c r="CB439" s="14">
        <f t="shared" ca="1" si="677"/>
        <v>0</v>
      </c>
      <c r="CC439" s="14">
        <f t="shared" ca="1" si="677"/>
        <v>0</v>
      </c>
      <c r="CD439" s="14">
        <f t="shared" ca="1" si="677"/>
        <v>0</v>
      </c>
      <c r="CE439" s="14">
        <f t="shared" ca="1" si="677"/>
        <v>0</v>
      </c>
      <c r="CF439" s="14">
        <f t="shared" ca="1" si="677"/>
        <v>635016.88859481271</v>
      </c>
      <c r="CG439" s="14">
        <f t="shared" ca="1" si="677"/>
        <v>0</v>
      </c>
      <c r="CH439" s="14">
        <f t="shared" ca="1" si="677"/>
        <v>0</v>
      </c>
      <c r="CI439" s="14">
        <f t="shared" ca="1" si="677"/>
        <v>0</v>
      </c>
      <c r="CJ439" s="14">
        <f t="shared" ca="1" si="677"/>
        <v>0</v>
      </c>
      <c r="CK439" s="14">
        <f t="shared" ca="1" si="677"/>
        <v>0</v>
      </c>
      <c r="CL439" s="14">
        <f t="shared" ca="1" si="677"/>
        <v>0</v>
      </c>
      <c r="CM439" s="14">
        <f t="shared" ca="1" si="677"/>
        <v>0</v>
      </c>
      <c r="CN439" s="14">
        <f t="shared" ca="1" si="677"/>
        <v>0</v>
      </c>
      <c r="CO439" s="14">
        <f t="shared" ca="1" si="677"/>
        <v>0</v>
      </c>
      <c r="CP439" s="14">
        <f t="shared" ca="1" si="677"/>
        <v>0</v>
      </c>
      <c r="CQ439" s="14">
        <f t="shared" ca="1" si="677"/>
        <v>0</v>
      </c>
      <c r="CR439" s="14">
        <f t="shared" ca="1" si="677"/>
        <v>0</v>
      </c>
      <c r="CS439" s="14">
        <f t="shared" ca="1" si="677"/>
        <v>0</v>
      </c>
      <c r="CT439" s="14">
        <f t="shared" ca="1" si="677"/>
        <v>0</v>
      </c>
      <c r="CU439" s="14">
        <f t="shared" ca="1" si="677"/>
        <v>0</v>
      </c>
      <c r="CV439" s="14">
        <f t="shared" ca="1" si="677"/>
        <v>0</v>
      </c>
      <c r="CW439" s="14">
        <f t="shared" ca="1" si="677"/>
        <v>0</v>
      </c>
      <c r="CX439" s="14">
        <f t="shared" ca="1" si="677"/>
        <v>0</v>
      </c>
      <c r="CY439" s="14">
        <f t="shared" ca="1" si="677"/>
        <v>0</v>
      </c>
      <c r="CZ439" s="14">
        <f t="shared" ca="1" si="677"/>
        <v>0</v>
      </c>
      <c r="DA439" s="14">
        <f t="shared" ca="1" si="677"/>
        <v>0</v>
      </c>
      <c r="DB439" s="14">
        <f t="shared" ref="DB439:DY439" ca="1" si="678">+DB$357</f>
        <v>0</v>
      </c>
      <c r="DC439" s="14">
        <f t="shared" ca="1" si="678"/>
        <v>0</v>
      </c>
      <c r="DD439" s="14">
        <f t="shared" ca="1" si="678"/>
        <v>0</v>
      </c>
      <c r="DE439" s="14">
        <f t="shared" ca="1" si="678"/>
        <v>0</v>
      </c>
      <c r="DF439" s="14">
        <f t="shared" ca="1" si="678"/>
        <v>0</v>
      </c>
      <c r="DG439" s="14">
        <f t="shared" ca="1" si="678"/>
        <v>0</v>
      </c>
      <c r="DH439" s="14">
        <f t="shared" ca="1" si="678"/>
        <v>0</v>
      </c>
      <c r="DI439" s="14">
        <f t="shared" ca="1" si="678"/>
        <v>0</v>
      </c>
      <c r="DJ439" s="14">
        <f t="shared" ca="1" si="678"/>
        <v>0</v>
      </c>
      <c r="DK439" s="14">
        <f t="shared" ca="1" si="678"/>
        <v>0</v>
      </c>
      <c r="DL439" s="14">
        <f t="shared" ca="1" si="678"/>
        <v>0</v>
      </c>
      <c r="DM439" s="14">
        <f t="shared" ca="1" si="678"/>
        <v>0</v>
      </c>
      <c r="DN439" s="14">
        <f t="shared" ca="1" si="678"/>
        <v>0</v>
      </c>
      <c r="DO439" s="14">
        <f t="shared" ca="1" si="678"/>
        <v>0</v>
      </c>
      <c r="DP439" s="14">
        <f t="shared" ca="1" si="678"/>
        <v>0</v>
      </c>
      <c r="DQ439" s="14">
        <f t="shared" ca="1" si="678"/>
        <v>0</v>
      </c>
      <c r="DR439" s="14">
        <f t="shared" ca="1" si="678"/>
        <v>0</v>
      </c>
      <c r="DS439" s="14">
        <f t="shared" ca="1" si="678"/>
        <v>0</v>
      </c>
      <c r="DT439" s="14">
        <f t="shared" ca="1" si="678"/>
        <v>0</v>
      </c>
      <c r="DU439" s="14">
        <f t="shared" ca="1" si="678"/>
        <v>0</v>
      </c>
      <c r="DV439" s="14">
        <f t="shared" ca="1" si="678"/>
        <v>0</v>
      </c>
      <c r="DW439" s="14">
        <f t="shared" ca="1" si="678"/>
        <v>0</v>
      </c>
      <c r="DX439" s="14">
        <f t="shared" ca="1" si="678"/>
        <v>0</v>
      </c>
      <c r="DY439" s="14">
        <f t="shared" ca="1" si="678"/>
        <v>0</v>
      </c>
    </row>
    <row r="440" spans="1:129" s="3" customFormat="1" ht="11.7" customHeight="1" outlineLevel="1" x14ac:dyDescent="0.3">
      <c r="B440" s="125" t="s">
        <v>127</v>
      </c>
      <c r="C440" s="125"/>
      <c r="E440" s="677"/>
      <c r="F440" s="677"/>
      <c r="G440" s="677"/>
      <c r="H440" s="290">
        <f t="shared" si="661"/>
        <v>138943.30166389482</v>
      </c>
      <c r="I440" s="14">
        <f>+I$362</f>
        <v>0</v>
      </c>
      <c r="J440" s="14">
        <f t="shared" ref="J440:BU440" si="679">+J$362</f>
        <v>0</v>
      </c>
      <c r="K440" s="14">
        <f t="shared" si="679"/>
        <v>0</v>
      </c>
      <c r="L440" s="14">
        <f t="shared" si="679"/>
        <v>0</v>
      </c>
      <c r="M440" s="14">
        <f t="shared" si="679"/>
        <v>0</v>
      </c>
      <c r="N440" s="14">
        <f t="shared" si="679"/>
        <v>0</v>
      </c>
      <c r="O440" s="14">
        <f t="shared" si="679"/>
        <v>0</v>
      </c>
      <c r="P440" s="14">
        <f t="shared" si="679"/>
        <v>0</v>
      </c>
      <c r="Q440" s="14">
        <f t="shared" si="679"/>
        <v>0</v>
      </c>
      <c r="R440" s="14">
        <f t="shared" si="679"/>
        <v>0</v>
      </c>
      <c r="S440" s="14">
        <f t="shared" si="679"/>
        <v>0</v>
      </c>
      <c r="T440" s="14">
        <f t="shared" si="679"/>
        <v>0</v>
      </c>
      <c r="U440" s="14">
        <f t="shared" si="679"/>
        <v>0</v>
      </c>
      <c r="V440" s="14">
        <f t="shared" si="679"/>
        <v>0</v>
      </c>
      <c r="W440" s="14">
        <f t="shared" si="679"/>
        <v>0</v>
      </c>
      <c r="X440" s="14">
        <f t="shared" si="679"/>
        <v>0</v>
      </c>
      <c r="Y440" s="14">
        <f t="shared" si="679"/>
        <v>0</v>
      </c>
      <c r="Z440" s="14">
        <f t="shared" si="679"/>
        <v>0</v>
      </c>
      <c r="AA440" s="14">
        <f t="shared" si="679"/>
        <v>0</v>
      </c>
      <c r="AB440" s="14">
        <f t="shared" si="679"/>
        <v>0</v>
      </c>
      <c r="AC440" s="14">
        <f t="shared" si="679"/>
        <v>0</v>
      </c>
      <c r="AD440" s="14">
        <f t="shared" si="679"/>
        <v>0</v>
      </c>
      <c r="AE440" s="14">
        <f t="shared" si="679"/>
        <v>0</v>
      </c>
      <c r="AF440" s="14">
        <f t="shared" si="679"/>
        <v>0</v>
      </c>
      <c r="AG440" s="14">
        <f t="shared" si="679"/>
        <v>0</v>
      </c>
      <c r="AH440" s="14">
        <f t="shared" si="679"/>
        <v>0</v>
      </c>
      <c r="AI440" s="14">
        <f t="shared" si="679"/>
        <v>0</v>
      </c>
      <c r="AJ440" s="14">
        <f t="shared" si="679"/>
        <v>0</v>
      </c>
      <c r="AK440" s="14">
        <f t="shared" si="679"/>
        <v>0</v>
      </c>
      <c r="AL440" s="14">
        <f t="shared" si="679"/>
        <v>0</v>
      </c>
      <c r="AM440" s="14">
        <f t="shared" si="679"/>
        <v>0</v>
      </c>
      <c r="AN440" s="14">
        <f t="shared" si="679"/>
        <v>0</v>
      </c>
      <c r="AO440" s="14">
        <f t="shared" si="679"/>
        <v>0</v>
      </c>
      <c r="AP440" s="14">
        <f t="shared" si="679"/>
        <v>0</v>
      </c>
      <c r="AQ440" s="14">
        <f t="shared" si="679"/>
        <v>0</v>
      </c>
      <c r="AR440" s="14">
        <f t="shared" si="679"/>
        <v>0</v>
      </c>
      <c r="AS440" s="14">
        <f t="shared" si="679"/>
        <v>0</v>
      </c>
      <c r="AT440" s="14">
        <f t="shared" si="679"/>
        <v>0</v>
      </c>
      <c r="AU440" s="14">
        <f t="shared" si="679"/>
        <v>0</v>
      </c>
      <c r="AV440" s="14">
        <f t="shared" si="679"/>
        <v>0</v>
      </c>
      <c r="AW440" s="14">
        <f t="shared" si="679"/>
        <v>0</v>
      </c>
      <c r="AX440" s="14">
        <f t="shared" si="679"/>
        <v>0</v>
      </c>
      <c r="AY440" s="14">
        <f t="shared" si="679"/>
        <v>0</v>
      </c>
      <c r="AZ440" s="14">
        <f t="shared" si="679"/>
        <v>0</v>
      </c>
      <c r="BA440" s="14">
        <f t="shared" si="679"/>
        <v>0</v>
      </c>
      <c r="BB440" s="14">
        <f t="shared" si="679"/>
        <v>0</v>
      </c>
      <c r="BC440" s="14">
        <f t="shared" si="679"/>
        <v>0</v>
      </c>
      <c r="BD440" s="14">
        <f t="shared" si="679"/>
        <v>0</v>
      </c>
      <c r="BE440" s="14">
        <f t="shared" si="679"/>
        <v>0</v>
      </c>
      <c r="BF440" s="14">
        <f t="shared" si="679"/>
        <v>0</v>
      </c>
      <c r="BG440" s="14">
        <f t="shared" si="679"/>
        <v>0</v>
      </c>
      <c r="BH440" s="14">
        <f t="shared" si="679"/>
        <v>0</v>
      </c>
      <c r="BI440" s="14">
        <f t="shared" si="679"/>
        <v>0</v>
      </c>
      <c r="BJ440" s="14">
        <f t="shared" si="679"/>
        <v>0</v>
      </c>
      <c r="BK440" s="14">
        <f t="shared" si="679"/>
        <v>0</v>
      </c>
      <c r="BL440" s="14">
        <f t="shared" si="679"/>
        <v>0</v>
      </c>
      <c r="BM440" s="14">
        <f t="shared" si="679"/>
        <v>0</v>
      </c>
      <c r="BN440" s="14">
        <f t="shared" si="679"/>
        <v>0</v>
      </c>
      <c r="BO440" s="14">
        <f t="shared" si="679"/>
        <v>0</v>
      </c>
      <c r="BP440" s="14">
        <f t="shared" si="679"/>
        <v>0</v>
      </c>
      <c r="BQ440" s="14">
        <f t="shared" si="679"/>
        <v>0</v>
      </c>
      <c r="BR440" s="14">
        <f>+BR$362</f>
        <v>0</v>
      </c>
      <c r="BS440" s="14">
        <f t="shared" si="679"/>
        <v>0</v>
      </c>
      <c r="BT440" s="14">
        <f>+BT$362</f>
        <v>0</v>
      </c>
      <c r="BU440" s="14">
        <f t="shared" si="679"/>
        <v>0</v>
      </c>
      <c r="BV440" s="14">
        <f t="shared" ref="BV440:DA440" si="680">+BV$362</f>
        <v>0</v>
      </c>
      <c r="BW440" s="14">
        <f t="shared" si="680"/>
        <v>0</v>
      </c>
      <c r="BX440" s="14">
        <f t="shared" si="680"/>
        <v>0</v>
      </c>
      <c r="BY440" s="14">
        <f t="shared" si="680"/>
        <v>0</v>
      </c>
      <c r="BZ440" s="14">
        <f t="shared" si="680"/>
        <v>0</v>
      </c>
      <c r="CA440" s="14">
        <f t="shared" si="680"/>
        <v>0</v>
      </c>
      <c r="CB440" s="14">
        <f t="shared" si="680"/>
        <v>0</v>
      </c>
      <c r="CC440" s="14">
        <f t="shared" si="680"/>
        <v>0</v>
      </c>
      <c r="CD440" s="14">
        <f t="shared" si="680"/>
        <v>0</v>
      </c>
      <c r="CE440" s="14">
        <f t="shared" si="680"/>
        <v>0</v>
      </c>
      <c r="CF440" s="14">
        <f t="shared" si="680"/>
        <v>138943.30166389482</v>
      </c>
      <c r="CG440" s="14">
        <f t="shared" si="680"/>
        <v>0</v>
      </c>
      <c r="CH440" s="14">
        <f t="shared" si="680"/>
        <v>0</v>
      </c>
      <c r="CI440" s="14">
        <f t="shared" si="680"/>
        <v>0</v>
      </c>
      <c r="CJ440" s="14">
        <f t="shared" si="680"/>
        <v>0</v>
      </c>
      <c r="CK440" s="14">
        <f t="shared" si="680"/>
        <v>0</v>
      </c>
      <c r="CL440" s="14">
        <f t="shared" si="680"/>
        <v>0</v>
      </c>
      <c r="CM440" s="14">
        <f t="shared" si="680"/>
        <v>0</v>
      </c>
      <c r="CN440" s="14">
        <f t="shared" si="680"/>
        <v>0</v>
      </c>
      <c r="CO440" s="14">
        <f t="shared" si="680"/>
        <v>0</v>
      </c>
      <c r="CP440" s="14">
        <f t="shared" si="680"/>
        <v>0</v>
      </c>
      <c r="CQ440" s="14">
        <f t="shared" si="680"/>
        <v>0</v>
      </c>
      <c r="CR440" s="14">
        <f t="shared" si="680"/>
        <v>0</v>
      </c>
      <c r="CS440" s="14">
        <f t="shared" si="680"/>
        <v>0</v>
      </c>
      <c r="CT440" s="14">
        <f t="shared" si="680"/>
        <v>0</v>
      </c>
      <c r="CU440" s="14">
        <f t="shared" si="680"/>
        <v>0</v>
      </c>
      <c r="CV440" s="14">
        <f t="shared" si="680"/>
        <v>0</v>
      </c>
      <c r="CW440" s="14">
        <f t="shared" si="680"/>
        <v>0</v>
      </c>
      <c r="CX440" s="14">
        <f t="shared" si="680"/>
        <v>0</v>
      </c>
      <c r="CY440" s="14">
        <f t="shared" si="680"/>
        <v>0</v>
      </c>
      <c r="CZ440" s="14">
        <f t="shared" si="680"/>
        <v>0</v>
      </c>
      <c r="DA440" s="14">
        <f t="shared" si="680"/>
        <v>0</v>
      </c>
      <c r="DB440" s="14">
        <f t="shared" ref="DB440:DY440" si="681">+DB$362</f>
        <v>0</v>
      </c>
      <c r="DC440" s="14">
        <f t="shared" si="681"/>
        <v>0</v>
      </c>
      <c r="DD440" s="14">
        <f t="shared" si="681"/>
        <v>0</v>
      </c>
      <c r="DE440" s="14">
        <f t="shared" si="681"/>
        <v>0</v>
      </c>
      <c r="DF440" s="14">
        <f t="shared" si="681"/>
        <v>0</v>
      </c>
      <c r="DG440" s="14">
        <f t="shared" si="681"/>
        <v>0</v>
      </c>
      <c r="DH440" s="14">
        <f t="shared" si="681"/>
        <v>0</v>
      </c>
      <c r="DI440" s="14">
        <f t="shared" si="681"/>
        <v>0</v>
      </c>
      <c r="DJ440" s="14">
        <f t="shared" si="681"/>
        <v>0</v>
      </c>
      <c r="DK440" s="14">
        <f t="shared" si="681"/>
        <v>0</v>
      </c>
      <c r="DL440" s="14">
        <f t="shared" si="681"/>
        <v>0</v>
      </c>
      <c r="DM440" s="14">
        <f t="shared" si="681"/>
        <v>0</v>
      </c>
      <c r="DN440" s="14">
        <f t="shared" si="681"/>
        <v>0</v>
      </c>
      <c r="DO440" s="14">
        <f t="shared" si="681"/>
        <v>0</v>
      </c>
      <c r="DP440" s="14">
        <f t="shared" si="681"/>
        <v>0</v>
      </c>
      <c r="DQ440" s="14">
        <f t="shared" si="681"/>
        <v>0</v>
      </c>
      <c r="DR440" s="14">
        <f t="shared" si="681"/>
        <v>0</v>
      </c>
      <c r="DS440" s="14">
        <f t="shared" si="681"/>
        <v>0</v>
      </c>
      <c r="DT440" s="14">
        <f t="shared" si="681"/>
        <v>0</v>
      </c>
      <c r="DU440" s="14">
        <f t="shared" si="681"/>
        <v>0</v>
      </c>
      <c r="DV440" s="14">
        <f t="shared" si="681"/>
        <v>0</v>
      </c>
      <c r="DW440" s="14">
        <f t="shared" si="681"/>
        <v>0</v>
      </c>
      <c r="DX440" s="14">
        <f t="shared" si="681"/>
        <v>0</v>
      </c>
      <c r="DY440" s="14">
        <f t="shared" si="681"/>
        <v>0</v>
      </c>
    </row>
    <row r="441" spans="1:129" s="3" customFormat="1" ht="11.7" customHeight="1" outlineLevel="1" x14ac:dyDescent="0.3">
      <c r="B441" s="125" t="s">
        <v>131</v>
      </c>
      <c r="C441" s="125"/>
      <c r="E441" s="677"/>
      <c r="F441" s="677"/>
      <c r="G441" s="677"/>
      <c r="H441" s="290">
        <f t="shared" si="661"/>
        <v>486679.28</v>
      </c>
      <c r="I441" s="14">
        <f t="shared" ref="I441:AN441" si="682">+SUM(I388,I399:I400)</f>
        <v>0</v>
      </c>
      <c r="J441" s="14">
        <f t="shared" si="682"/>
        <v>0</v>
      </c>
      <c r="K441" s="14">
        <f t="shared" si="682"/>
        <v>0</v>
      </c>
      <c r="L441" s="14">
        <f t="shared" si="682"/>
        <v>0</v>
      </c>
      <c r="M441" s="14">
        <f t="shared" si="682"/>
        <v>0</v>
      </c>
      <c r="N441" s="14">
        <f t="shared" si="682"/>
        <v>0</v>
      </c>
      <c r="O441" s="14">
        <f t="shared" si="682"/>
        <v>0</v>
      </c>
      <c r="P441" s="14">
        <f t="shared" si="682"/>
        <v>0</v>
      </c>
      <c r="Q441" s="14">
        <f t="shared" si="682"/>
        <v>0</v>
      </c>
      <c r="R441" s="14">
        <f t="shared" si="682"/>
        <v>0</v>
      </c>
      <c r="S441" s="14">
        <f t="shared" si="682"/>
        <v>0</v>
      </c>
      <c r="T441" s="14">
        <f t="shared" si="682"/>
        <v>0</v>
      </c>
      <c r="U441" s="14">
        <f t="shared" si="682"/>
        <v>0</v>
      </c>
      <c r="V441" s="14">
        <f t="shared" si="682"/>
        <v>0</v>
      </c>
      <c r="W441" s="14">
        <f t="shared" si="682"/>
        <v>0</v>
      </c>
      <c r="X441" s="14">
        <f t="shared" si="682"/>
        <v>0</v>
      </c>
      <c r="Y441" s="14">
        <f t="shared" si="682"/>
        <v>0</v>
      </c>
      <c r="Z441" s="14">
        <f t="shared" si="682"/>
        <v>0</v>
      </c>
      <c r="AA441" s="14">
        <f t="shared" si="682"/>
        <v>0</v>
      </c>
      <c r="AB441" s="14">
        <f t="shared" si="682"/>
        <v>0</v>
      </c>
      <c r="AC441" s="14">
        <f t="shared" si="682"/>
        <v>0</v>
      </c>
      <c r="AD441" s="14">
        <f t="shared" si="682"/>
        <v>0</v>
      </c>
      <c r="AE441" s="14">
        <f t="shared" si="682"/>
        <v>64678</v>
      </c>
      <c r="AF441" s="14">
        <f t="shared" si="682"/>
        <v>82959</v>
      </c>
      <c r="AG441" s="14">
        <f t="shared" si="682"/>
        <v>25549.279999999999</v>
      </c>
      <c r="AH441" s="14">
        <f t="shared" si="682"/>
        <v>11361</v>
      </c>
      <c r="AI441" s="14">
        <f t="shared" si="682"/>
        <v>8083</v>
      </c>
      <c r="AJ441" s="14">
        <f t="shared" si="682"/>
        <v>7295</v>
      </c>
      <c r="AK441" s="14">
        <f t="shared" si="682"/>
        <v>12500</v>
      </c>
      <c r="AL441" s="14">
        <f t="shared" si="682"/>
        <v>8500</v>
      </c>
      <c r="AM441" s="14">
        <f t="shared" si="682"/>
        <v>10000</v>
      </c>
      <c r="AN441" s="14">
        <f t="shared" si="682"/>
        <v>8350</v>
      </c>
      <c r="AO441" s="14">
        <f t="shared" ref="AO441:BT441" si="683">+SUM(AO388,AO399:AO400)</f>
        <v>6900</v>
      </c>
      <c r="AP441" s="14">
        <f t="shared" si="683"/>
        <v>16000</v>
      </c>
      <c r="AQ441" s="14">
        <f t="shared" si="683"/>
        <v>0</v>
      </c>
      <c r="AR441" s="14">
        <f t="shared" si="683"/>
        <v>0</v>
      </c>
      <c r="AS441" s="14">
        <f t="shared" si="683"/>
        <v>10800</v>
      </c>
      <c r="AT441" s="14">
        <f t="shared" si="683"/>
        <v>9000</v>
      </c>
      <c r="AU441" s="14">
        <f t="shared" si="683"/>
        <v>5000</v>
      </c>
      <c r="AV441" s="14">
        <f t="shared" si="683"/>
        <v>21000</v>
      </c>
      <c r="AW441" s="14">
        <f t="shared" si="683"/>
        <v>30700</v>
      </c>
      <c r="AX441" s="14">
        <f t="shared" si="683"/>
        <v>19500</v>
      </c>
      <c r="AY441" s="14">
        <f t="shared" si="683"/>
        <v>0</v>
      </c>
      <c r="AZ441" s="14">
        <f t="shared" si="683"/>
        <v>20800</v>
      </c>
      <c r="BA441" s="14">
        <f t="shared" si="683"/>
        <v>30000</v>
      </c>
      <c r="BB441" s="14">
        <f t="shared" si="683"/>
        <v>19000</v>
      </c>
      <c r="BC441" s="14">
        <f t="shared" si="683"/>
        <v>19000</v>
      </c>
      <c r="BD441" s="14">
        <f t="shared" si="683"/>
        <v>0</v>
      </c>
      <c r="BE441" s="14">
        <f t="shared" si="683"/>
        <v>16000</v>
      </c>
      <c r="BF441" s="14">
        <f t="shared" si="683"/>
        <v>0</v>
      </c>
      <c r="BG441" s="14">
        <f t="shared" si="683"/>
        <v>0</v>
      </c>
      <c r="BH441" s="14">
        <f t="shared" si="683"/>
        <v>23704</v>
      </c>
      <c r="BI441" s="14">
        <f t="shared" si="683"/>
        <v>0</v>
      </c>
      <c r="BJ441" s="14">
        <f t="shared" si="683"/>
        <v>0</v>
      </c>
      <c r="BK441" s="14">
        <f t="shared" si="683"/>
        <v>0</v>
      </c>
      <c r="BL441" s="14">
        <f t="shared" si="683"/>
        <v>0</v>
      </c>
      <c r="BM441" s="14">
        <f t="shared" si="683"/>
        <v>0</v>
      </c>
      <c r="BN441" s="14">
        <f t="shared" si="683"/>
        <v>0</v>
      </c>
      <c r="BO441" s="14">
        <f t="shared" si="683"/>
        <v>0</v>
      </c>
      <c r="BP441" s="14">
        <f t="shared" si="683"/>
        <v>0</v>
      </c>
      <c r="BQ441" s="14">
        <f t="shared" si="683"/>
        <v>0</v>
      </c>
      <c r="BR441" s="14">
        <f t="shared" si="683"/>
        <v>0</v>
      </c>
      <c r="BS441" s="14">
        <f t="shared" si="683"/>
        <v>0</v>
      </c>
      <c r="BT441" s="14">
        <f t="shared" si="683"/>
        <v>0</v>
      </c>
      <c r="BU441" s="14">
        <f t="shared" ref="BU441:CZ441" si="684">+SUM(BU388,BU399:BU400)</f>
        <v>0</v>
      </c>
      <c r="BV441" s="14">
        <f t="shared" si="684"/>
        <v>0</v>
      </c>
      <c r="BW441" s="14">
        <f t="shared" si="684"/>
        <v>0</v>
      </c>
      <c r="BX441" s="14">
        <f t="shared" si="684"/>
        <v>0</v>
      </c>
      <c r="BY441" s="14">
        <f t="shared" si="684"/>
        <v>0</v>
      </c>
      <c r="BZ441" s="14">
        <f t="shared" si="684"/>
        <v>0</v>
      </c>
      <c r="CA441" s="14">
        <f t="shared" si="684"/>
        <v>0</v>
      </c>
      <c r="CB441" s="14">
        <f t="shared" si="684"/>
        <v>0</v>
      </c>
      <c r="CC441" s="14">
        <f t="shared" si="684"/>
        <v>0</v>
      </c>
      <c r="CD441" s="14">
        <f t="shared" si="684"/>
        <v>0</v>
      </c>
      <c r="CE441" s="14">
        <f t="shared" si="684"/>
        <v>0</v>
      </c>
      <c r="CF441" s="14">
        <f t="shared" si="684"/>
        <v>0</v>
      </c>
      <c r="CG441" s="14">
        <f t="shared" si="684"/>
        <v>0</v>
      </c>
      <c r="CH441" s="14">
        <f t="shared" si="684"/>
        <v>0</v>
      </c>
      <c r="CI441" s="14">
        <f t="shared" si="684"/>
        <v>0</v>
      </c>
      <c r="CJ441" s="14">
        <f t="shared" si="684"/>
        <v>0</v>
      </c>
      <c r="CK441" s="14">
        <f t="shared" si="684"/>
        <v>0</v>
      </c>
      <c r="CL441" s="14">
        <f t="shared" si="684"/>
        <v>0</v>
      </c>
      <c r="CM441" s="14">
        <f t="shared" si="684"/>
        <v>0</v>
      </c>
      <c r="CN441" s="14">
        <f t="shared" si="684"/>
        <v>0</v>
      </c>
      <c r="CO441" s="14">
        <f t="shared" si="684"/>
        <v>0</v>
      </c>
      <c r="CP441" s="14">
        <f t="shared" si="684"/>
        <v>0</v>
      </c>
      <c r="CQ441" s="14">
        <f t="shared" si="684"/>
        <v>0</v>
      </c>
      <c r="CR441" s="14">
        <f t="shared" si="684"/>
        <v>0</v>
      </c>
      <c r="CS441" s="14">
        <f t="shared" si="684"/>
        <v>0</v>
      </c>
      <c r="CT441" s="14">
        <f t="shared" si="684"/>
        <v>0</v>
      </c>
      <c r="CU441" s="14">
        <f t="shared" si="684"/>
        <v>0</v>
      </c>
      <c r="CV441" s="14">
        <f t="shared" si="684"/>
        <v>0</v>
      </c>
      <c r="CW441" s="14">
        <f t="shared" si="684"/>
        <v>0</v>
      </c>
      <c r="CX441" s="14">
        <f t="shared" si="684"/>
        <v>0</v>
      </c>
      <c r="CY441" s="14">
        <f t="shared" si="684"/>
        <v>0</v>
      </c>
      <c r="CZ441" s="14">
        <f t="shared" si="684"/>
        <v>0</v>
      </c>
      <c r="DA441" s="14">
        <f t="shared" ref="DA441:DY441" si="685">+SUM(DA388,DA399:DA400)</f>
        <v>0</v>
      </c>
      <c r="DB441" s="14">
        <f t="shared" si="685"/>
        <v>0</v>
      </c>
      <c r="DC441" s="14">
        <f t="shared" si="685"/>
        <v>0</v>
      </c>
      <c r="DD441" s="14">
        <f t="shared" si="685"/>
        <v>0</v>
      </c>
      <c r="DE441" s="14">
        <f t="shared" si="685"/>
        <v>0</v>
      </c>
      <c r="DF441" s="14">
        <f t="shared" si="685"/>
        <v>0</v>
      </c>
      <c r="DG441" s="14">
        <f t="shared" si="685"/>
        <v>0</v>
      </c>
      <c r="DH441" s="14">
        <f t="shared" si="685"/>
        <v>0</v>
      </c>
      <c r="DI441" s="14">
        <f t="shared" si="685"/>
        <v>0</v>
      </c>
      <c r="DJ441" s="14">
        <f t="shared" si="685"/>
        <v>0</v>
      </c>
      <c r="DK441" s="14">
        <f t="shared" si="685"/>
        <v>0</v>
      </c>
      <c r="DL441" s="14">
        <f t="shared" si="685"/>
        <v>0</v>
      </c>
      <c r="DM441" s="14">
        <f t="shared" si="685"/>
        <v>0</v>
      </c>
      <c r="DN441" s="14">
        <f t="shared" si="685"/>
        <v>0</v>
      </c>
      <c r="DO441" s="14">
        <f t="shared" si="685"/>
        <v>0</v>
      </c>
      <c r="DP441" s="14">
        <f t="shared" si="685"/>
        <v>0</v>
      </c>
      <c r="DQ441" s="14">
        <f t="shared" si="685"/>
        <v>0</v>
      </c>
      <c r="DR441" s="14">
        <f t="shared" si="685"/>
        <v>0</v>
      </c>
      <c r="DS441" s="14">
        <f t="shared" si="685"/>
        <v>0</v>
      </c>
      <c r="DT441" s="14">
        <f t="shared" si="685"/>
        <v>0</v>
      </c>
      <c r="DU441" s="14">
        <f t="shared" si="685"/>
        <v>0</v>
      </c>
      <c r="DV441" s="14">
        <f t="shared" si="685"/>
        <v>0</v>
      </c>
      <c r="DW441" s="14">
        <f t="shared" si="685"/>
        <v>0</v>
      </c>
      <c r="DX441" s="14">
        <f t="shared" si="685"/>
        <v>0</v>
      </c>
      <c r="DY441" s="14">
        <f t="shared" si="685"/>
        <v>0</v>
      </c>
    </row>
    <row r="442" spans="1:129" s="3" customFormat="1" ht="11.7" customHeight="1" outlineLevel="1" x14ac:dyDescent="0.3">
      <c r="B442" s="125" t="s">
        <v>180</v>
      </c>
      <c r="C442" s="125"/>
      <c r="E442" s="677"/>
      <c r="F442" s="677"/>
      <c r="G442" s="677"/>
      <c r="H442" s="290">
        <f t="shared" si="661"/>
        <v>-486679.28</v>
      </c>
      <c r="I442" s="14">
        <f t="shared" ref="I442:AN442" si="686">+SUM(I389,,I401)</f>
        <v>0</v>
      </c>
      <c r="J442" s="14">
        <f t="shared" si="686"/>
        <v>0</v>
      </c>
      <c r="K442" s="14">
        <f t="shared" si="686"/>
        <v>0</v>
      </c>
      <c r="L442" s="14">
        <f t="shared" si="686"/>
        <v>0</v>
      </c>
      <c r="M442" s="14">
        <f t="shared" si="686"/>
        <v>0</v>
      </c>
      <c r="N442" s="14">
        <f t="shared" si="686"/>
        <v>0</v>
      </c>
      <c r="O442" s="14">
        <f t="shared" si="686"/>
        <v>0</v>
      </c>
      <c r="P442" s="14">
        <f t="shared" si="686"/>
        <v>0</v>
      </c>
      <c r="Q442" s="14">
        <f t="shared" si="686"/>
        <v>0</v>
      </c>
      <c r="R442" s="14">
        <f t="shared" si="686"/>
        <v>0</v>
      </c>
      <c r="S442" s="14">
        <f t="shared" si="686"/>
        <v>0</v>
      </c>
      <c r="T442" s="14">
        <f t="shared" si="686"/>
        <v>0</v>
      </c>
      <c r="U442" s="14">
        <f t="shared" si="686"/>
        <v>0</v>
      </c>
      <c r="V442" s="14">
        <f t="shared" si="686"/>
        <v>0</v>
      </c>
      <c r="W442" s="14">
        <f t="shared" si="686"/>
        <v>0</v>
      </c>
      <c r="X442" s="14">
        <f t="shared" si="686"/>
        <v>0</v>
      </c>
      <c r="Y442" s="14">
        <f t="shared" si="686"/>
        <v>0</v>
      </c>
      <c r="Z442" s="14">
        <f t="shared" si="686"/>
        <v>0</v>
      </c>
      <c r="AA442" s="14">
        <f t="shared" si="686"/>
        <v>0</v>
      </c>
      <c r="AB442" s="14">
        <f t="shared" si="686"/>
        <v>0</v>
      </c>
      <c r="AC442" s="14">
        <f t="shared" si="686"/>
        <v>0</v>
      </c>
      <c r="AD442" s="14">
        <f t="shared" si="686"/>
        <v>0</v>
      </c>
      <c r="AE442" s="14">
        <f t="shared" si="686"/>
        <v>0</v>
      </c>
      <c r="AF442" s="14">
        <f t="shared" si="686"/>
        <v>-64678</v>
      </c>
      <c r="AG442" s="14">
        <f t="shared" si="686"/>
        <v>0</v>
      </c>
      <c r="AH442" s="14">
        <f t="shared" si="686"/>
        <v>0</v>
      </c>
      <c r="AI442" s="14">
        <f t="shared" si="686"/>
        <v>0</v>
      </c>
      <c r="AJ442" s="14">
        <f t="shared" si="686"/>
        <v>0</v>
      </c>
      <c r="AK442" s="14">
        <f t="shared" si="686"/>
        <v>0</v>
      </c>
      <c r="AL442" s="14">
        <f t="shared" si="686"/>
        <v>0</v>
      </c>
      <c r="AM442" s="14">
        <f t="shared" si="686"/>
        <v>0</v>
      </c>
      <c r="AN442" s="14">
        <f t="shared" si="686"/>
        <v>0</v>
      </c>
      <c r="AO442" s="14">
        <f t="shared" ref="AO442:BT442" si="687">+SUM(AO389,,AO401)</f>
        <v>0</v>
      </c>
      <c r="AP442" s="14">
        <f t="shared" si="687"/>
        <v>0</v>
      </c>
      <c r="AQ442" s="14">
        <f t="shared" si="687"/>
        <v>0</v>
      </c>
      <c r="AR442" s="14">
        <f t="shared" si="687"/>
        <v>0</v>
      </c>
      <c r="AS442" s="14">
        <f t="shared" si="687"/>
        <v>0</v>
      </c>
      <c r="AT442" s="14">
        <f t="shared" si="687"/>
        <v>0</v>
      </c>
      <c r="AU442" s="14">
        <f t="shared" si="687"/>
        <v>0</v>
      </c>
      <c r="AV442" s="14">
        <f t="shared" si="687"/>
        <v>0</v>
      </c>
      <c r="AW442" s="14">
        <f t="shared" si="687"/>
        <v>0</v>
      </c>
      <c r="AX442" s="14">
        <f t="shared" si="687"/>
        <v>0</v>
      </c>
      <c r="AY442" s="14">
        <f t="shared" si="687"/>
        <v>0</v>
      </c>
      <c r="AZ442" s="14">
        <f t="shared" si="687"/>
        <v>0</v>
      </c>
      <c r="BA442" s="14">
        <f t="shared" si="687"/>
        <v>0</v>
      </c>
      <c r="BB442" s="14">
        <f t="shared" si="687"/>
        <v>0</v>
      </c>
      <c r="BC442" s="14">
        <f t="shared" si="687"/>
        <v>0</v>
      </c>
      <c r="BD442" s="14">
        <f t="shared" si="687"/>
        <v>0</v>
      </c>
      <c r="BE442" s="14">
        <f t="shared" si="687"/>
        <v>0</v>
      </c>
      <c r="BF442" s="14">
        <f t="shared" si="687"/>
        <v>0</v>
      </c>
      <c r="BG442" s="14">
        <f t="shared" si="687"/>
        <v>0</v>
      </c>
      <c r="BH442" s="14">
        <f t="shared" si="687"/>
        <v>0</v>
      </c>
      <c r="BI442" s="14">
        <f t="shared" si="687"/>
        <v>0</v>
      </c>
      <c r="BJ442" s="14">
        <f t="shared" si="687"/>
        <v>0</v>
      </c>
      <c r="BK442" s="14">
        <f t="shared" si="687"/>
        <v>0</v>
      </c>
      <c r="BL442" s="14">
        <f t="shared" si="687"/>
        <v>0</v>
      </c>
      <c r="BM442" s="14">
        <f t="shared" si="687"/>
        <v>0</v>
      </c>
      <c r="BN442" s="14">
        <f t="shared" si="687"/>
        <v>0</v>
      </c>
      <c r="BO442" s="14">
        <f t="shared" si="687"/>
        <v>0</v>
      </c>
      <c r="BP442" s="14">
        <f t="shared" si="687"/>
        <v>0</v>
      </c>
      <c r="BQ442" s="14">
        <f t="shared" si="687"/>
        <v>0</v>
      </c>
      <c r="BR442" s="14">
        <f t="shared" si="687"/>
        <v>0</v>
      </c>
      <c r="BS442" s="14">
        <f t="shared" si="687"/>
        <v>0</v>
      </c>
      <c r="BT442" s="14">
        <f t="shared" si="687"/>
        <v>0</v>
      </c>
      <c r="BU442" s="14">
        <f t="shared" ref="BU442:CZ442" si="688">+SUM(BU389,,BU401)</f>
        <v>0</v>
      </c>
      <c r="BV442" s="14">
        <f t="shared" si="688"/>
        <v>0</v>
      </c>
      <c r="BW442" s="14">
        <f t="shared" si="688"/>
        <v>0</v>
      </c>
      <c r="BX442" s="14">
        <f t="shared" si="688"/>
        <v>0</v>
      </c>
      <c r="BY442" s="14">
        <f t="shared" si="688"/>
        <v>0</v>
      </c>
      <c r="BZ442" s="14">
        <f t="shared" si="688"/>
        <v>0</v>
      </c>
      <c r="CA442" s="14">
        <f t="shared" si="688"/>
        <v>0</v>
      </c>
      <c r="CB442" s="14">
        <f t="shared" si="688"/>
        <v>0</v>
      </c>
      <c r="CC442" s="14">
        <f t="shared" si="688"/>
        <v>0</v>
      </c>
      <c r="CD442" s="14">
        <f t="shared" si="688"/>
        <v>0</v>
      </c>
      <c r="CE442" s="14">
        <f t="shared" si="688"/>
        <v>0</v>
      </c>
      <c r="CF442" s="14">
        <f t="shared" si="688"/>
        <v>-422001.28</v>
      </c>
      <c r="CG442" s="14">
        <f t="shared" si="688"/>
        <v>0</v>
      </c>
      <c r="CH442" s="14">
        <f t="shared" si="688"/>
        <v>0</v>
      </c>
      <c r="CI442" s="14">
        <f t="shared" si="688"/>
        <v>0</v>
      </c>
      <c r="CJ442" s="14">
        <f t="shared" si="688"/>
        <v>0</v>
      </c>
      <c r="CK442" s="14">
        <f t="shared" si="688"/>
        <v>0</v>
      </c>
      <c r="CL442" s="14">
        <f t="shared" si="688"/>
        <v>0</v>
      </c>
      <c r="CM442" s="14">
        <f t="shared" si="688"/>
        <v>0</v>
      </c>
      <c r="CN442" s="14">
        <f t="shared" si="688"/>
        <v>0</v>
      </c>
      <c r="CO442" s="14">
        <f t="shared" si="688"/>
        <v>0</v>
      </c>
      <c r="CP442" s="14">
        <f t="shared" si="688"/>
        <v>0</v>
      </c>
      <c r="CQ442" s="14">
        <f t="shared" si="688"/>
        <v>0</v>
      </c>
      <c r="CR442" s="14">
        <f t="shared" si="688"/>
        <v>0</v>
      </c>
      <c r="CS442" s="14">
        <f t="shared" si="688"/>
        <v>0</v>
      </c>
      <c r="CT442" s="14">
        <f t="shared" si="688"/>
        <v>0</v>
      </c>
      <c r="CU442" s="14">
        <f t="shared" si="688"/>
        <v>0</v>
      </c>
      <c r="CV442" s="14">
        <f t="shared" si="688"/>
        <v>0</v>
      </c>
      <c r="CW442" s="14">
        <f t="shared" si="688"/>
        <v>0</v>
      </c>
      <c r="CX442" s="14">
        <f t="shared" si="688"/>
        <v>0</v>
      </c>
      <c r="CY442" s="14">
        <f t="shared" si="688"/>
        <v>0</v>
      </c>
      <c r="CZ442" s="14">
        <f t="shared" si="688"/>
        <v>0</v>
      </c>
      <c r="DA442" s="14">
        <f t="shared" ref="DA442:DY442" si="689">+SUM(DA389,,DA401)</f>
        <v>0</v>
      </c>
      <c r="DB442" s="14">
        <f t="shared" si="689"/>
        <v>0</v>
      </c>
      <c r="DC442" s="14">
        <f t="shared" si="689"/>
        <v>0</v>
      </c>
      <c r="DD442" s="14">
        <f t="shared" si="689"/>
        <v>0</v>
      </c>
      <c r="DE442" s="14">
        <f t="shared" si="689"/>
        <v>0</v>
      </c>
      <c r="DF442" s="14">
        <f t="shared" si="689"/>
        <v>0</v>
      </c>
      <c r="DG442" s="14">
        <f t="shared" si="689"/>
        <v>0</v>
      </c>
      <c r="DH442" s="14">
        <f t="shared" si="689"/>
        <v>0</v>
      </c>
      <c r="DI442" s="14">
        <f t="shared" si="689"/>
        <v>0</v>
      </c>
      <c r="DJ442" s="14">
        <f t="shared" si="689"/>
        <v>0</v>
      </c>
      <c r="DK442" s="14">
        <f t="shared" si="689"/>
        <v>0</v>
      </c>
      <c r="DL442" s="14">
        <f t="shared" si="689"/>
        <v>0</v>
      </c>
      <c r="DM442" s="14">
        <f t="shared" si="689"/>
        <v>0</v>
      </c>
      <c r="DN442" s="14">
        <f t="shared" si="689"/>
        <v>0</v>
      </c>
      <c r="DO442" s="14">
        <f t="shared" si="689"/>
        <v>0</v>
      </c>
      <c r="DP442" s="14">
        <f t="shared" si="689"/>
        <v>0</v>
      </c>
      <c r="DQ442" s="14">
        <f t="shared" si="689"/>
        <v>0</v>
      </c>
      <c r="DR442" s="14">
        <f t="shared" si="689"/>
        <v>0</v>
      </c>
      <c r="DS442" s="14">
        <f t="shared" si="689"/>
        <v>0</v>
      </c>
      <c r="DT442" s="14">
        <f t="shared" si="689"/>
        <v>0</v>
      </c>
      <c r="DU442" s="14">
        <f t="shared" si="689"/>
        <v>0</v>
      </c>
      <c r="DV442" s="14">
        <f t="shared" si="689"/>
        <v>0</v>
      </c>
      <c r="DW442" s="14">
        <f t="shared" si="689"/>
        <v>0</v>
      </c>
      <c r="DX442" s="14">
        <f t="shared" si="689"/>
        <v>0</v>
      </c>
      <c r="DY442" s="14">
        <f t="shared" si="689"/>
        <v>0</v>
      </c>
    </row>
    <row r="443" spans="1:129" s="3" customFormat="1" ht="11.7" customHeight="1" outlineLevel="1" thickBot="1" x14ac:dyDescent="0.35">
      <c r="B443" s="125" t="s">
        <v>430</v>
      </c>
      <c r="C443" s="125"/>
      <c r="E443" s="728"/>
      <c r="F443" s="728"/>
      <c r="G443" s="728"/>
      <c r="H443" s="351">
        <f t="shared" si="661"/>
        <v>-48715.235385097425</v>
      </c>
      <c r="I443" s="14">
        <f t="shared" ref="I443:AN443" si="690">+SUM(I394,,I406,I409)</f>
        <v>0</v>
      </c>
      <c r="J443" s="14">
        <f t="shared" si="690"/>
        <v>0</v>
      </c>
      <c r="K443" s="14">
        <f t="shared" si="690"/>
        <v>0</v>
      </c>
      <c r="L443" s="14">
        <f t="shared" si="690"/>
        <v>0</v>
      </c>
      <c r="M443" s="14">
        <f t="shared" si="690"/>
        <v>0</v>
      </c>
      <c r="N443" s="14">
        <f t="shared" si="690"/>
        <v>0</v>
      </c>
      <c r="O443" s="14">
        <f t="shared" si="690"/>
        <v>0</v>
      </c>
      <c r="P443" s="14">
        <f t="shared" si="690"/>
        <v>0</v>
      </c>
      <c r="Q443" s="14">
        <f t="shared" si="690"/>
        <v>0</v>
      </c>
      <c r="R443" s="14">
        <f t="shared" si="690"/>
        <v>0</v>
      </c>
      <c r="S443" s="14">
        <f t="shared" si="690"/>
        <v>0</v>
      </c>
      <c r="T443" s="14">
        <f t="shared" si="690"/>
        <v>0</v>
      </c>
      <c r="U443" s="14">
        <f t="shared" si="690"/>
        <v>0</v>
      </c>
      <c r="V443" s="14">
        <f t="shared" si="690"/>
        <v>0</v>
      </c>
      <c r="W443" s="14">
        <f t="shared" si="690"/>
        <v>0</v>
      </c>
      <c r="X443" s="14">
        <f t="shared" si="690"/>
        <v>0</v>
      </c>
      <c r="Y443" s="14">
        <f t="shared" si="690"/>
        <v>0</v>
      </c>
      <c r="Z443" s="14">
        <f t="shared" si="690"/>
        <v>0</v>
      </c>
      <c r="AA443" s="14">
        <f t="shared" si="690"/>
        <v>0</v>
      </c>
      <c r="AB443" s="14">
        <f t="shared" si="690"/>
        <v>0</v>
      </c>
      <c r="AC443" s="14">
        <f t="shared" si="690"/>
        <v>0</v>
      </c>
      <c r="AD443" s="14">
        <f t="shared" si="690"/>
        <v>0</v>
      </c>
      <c r="AE443" s="14">
        <f t="shared" si="690"/>
        <v>0</v>
      </c>
      <c r="AF443" s="14">
        <f t="shared" si="690"/>
        <v>-1061.4101546647171</v>
      </c>
      <c r="AG443" s="14">
        <f t="shared" si="690"/>
        <v>-230.6</v>
      </c>
      <c r="AH443" s="14">
        <f t="shared" si="690"/>
        <v>-94.01</v>
      </c>
      <c r="AI443" s="14">
        <f t="shared" si="690"/>
        <v>-90.42</v>
      </c>
      <c r="AJ443" s="14">
        <f t="shared" si="690"/>
        <v>-84.02</v>
      </c>
      <c r="AK443" s="14">
        <f t="shared" si="690"/>
        <v>-126.17</v>
      </c>
      <c r="AL443" s="14">
        <f t="shared" si="690"/>
        <v>-93.81</v>
      </c>
      <c r="AM443" s="14">
        <f t="shared" si="690"/>
        <v>-85.67</v>
      </c>
      <c r="AN443" s="14">
        <f t="shared" si="690"/>
        <v>-0.35</v>
      </c>
      <c r="AO443" s="14">
        <f t="shared" ref="AO443:BT443" si="691">+SUM(AO394,,AO406,AO409)</f>
        <v>-0.35</v>
      </c>
      <c r="AP443" s="14">
        <f t="shared" si="691"/>
        <v>-0.7</v>
      </c>
      <c r="AQ443" s="14">
        <f t="shared" si="691"/>
        <v>0</v>
      </c>
      <c r="AR443" s="14">
        <f t="shared" si="691"/>
        <v>0</v>
      </c>
      <c r="AS443" s="14">
        <f t="shared" si="691"/>
        <v>-1958.05</v>
      </c>
      <c r="AT443" s="14">
        <f t="shared" si="691"/>
        <v>-285.5</v>
      </c>
      <c r="AU443" s="14">
        <f t="shared" si="691"/>
        <v>-181.3</v>
      </c>
      <c r="AV443" s="14">
        <f t="shared" si="691"/>
        <v>-297.5</v>
      </c>
      <c r="AW443" s="14">
        <f t="shared" si="691"/>
        <v>-463.18</v>
      </c>
      <c r="AX443" s="14">
        <f t="shared" si="691"/>
        <v>-303.7</v>
      </c>
      <c r="AY443" s="14">
        <f t="shared" si="691"/>
        <v>-173.34059975203346</v>
      </c>
      <c r="AZ443" s="14">
        <f t="shared" si="691"/>
        <v>-376.99232166040167</v>
      </c>
      <c r="BA443" s="14">
        <f t="shared" si="691"/>
        <v>-410.54839535001776</v>
      </c>
      <c r="BB443" s="14">
        <f t="shared" si="691"/>
        <v>-584.6</v>
      </c>
      <c r="BC443" s="14">
        <f t="shared" si="691"/>
        <v>-152.68</v>
      </c>
      <c r="BD443" s="14">
        <f t="shared" si="691"/>
        <v>0</v>
      </c>
      <c r="BE443" s="14">
        <f t="shared" si="691"/>
        <v>-2327.6999999999998</v>
      </c>
      <c r="BF443" s="14">
        <f t="shared" si="691"/>
        <v>-340</v>
      </c>
      <c r="BG443" s="14">
        <f t="shared" si="691"/>
        <v>-228</v>
      </c>
      <c r="BH443" s="14">
        <f t="shared" si="691"/>
        <v>-810.6400000000001</v>
      </c>
      <c r="BI443" s="14">
        <f t="shared" si="691"/>
        <v>-620.55417169853058</v>
      </c>
      <c r="BJ443" s="14">
        <f t="shared" si="691"/>
        <v>-493.70412058644479</v>
      </c>
      <c r="BK443" s="14">
        <f t="shared" si="691"/>
        <v>-537.74176792926312</v>
      </c>
      <c r="BL443" s="14">
        <f t="shared" si="691"/>
        <v>-148.51560875657972</v>
      </c>
      <c r="BM443" s="14">
        <f t="shared" si="691"/>
        <v>-637.35089294402553</v>
      </c>
      <c r="BN443" s="14">
        <f t="shared" si="691"/>
        <v>-595.10738864980408</v>
      </c>
      <c r="BO443" s="14">
        <f t="shared" si="691"/>
        <v>-322.05716447129413</v>
      </c>
      <c r="BP443" s="14">
        <f t="shared" si="691"/>
        <v>-152.92570067066609</v>
      </c>
      <c r="BQ443" s="14">
        <f t="shared" si="691"/>
        <v>-2513.3312491626098</v>
      </c>
      <c r="BR443" s="14">
        <f t="shared" si="691"/>
        <v>0</v>
      </c>
      <c r="BS443" s="14">
        <f t="shared" si="691"/>
        <v>-1043.4161979558655</v>
      </c>
      <c r="BT443" s="14">
        <f t="shared" si="691"/>
        <v>-1944.5274099441256</v>
      </c>
      <c r="BU443" s="14">
        <f t="shared" ref="BU443:CZ443" si="692">+SUM(BU394,,BU406,BU409)</f>
        <v>-3035.4997211698446</v>
      </c>
      <c r="BV443" s="14">
        <f t="shared" si="692"/>
        <v>-3772.0435385506148</v>
      </c>
      <c r="BW443" s="14">
        <f t="shared" si="692"/>
        <v>-3611.4358822424879</v>
      </c>
      <c r="BX443" s="14">
        <f t="shared" si="692"/>
        <v>-801.72933893809875</v>
      </c>
      <c r="BY443" s="14">
        <f t="shared" si="692"/>
        <v>0</v>
      </c>
      <c r="BZ443" s="14">
        <f t="shared" si="692"/>
        <v>0</v>
      </c>
      <c r="CA443" s="14">
        <f t="shared" si="692"/>
        <v>0</v>
      </c>
      <c r="CB443" s="14">
        <f t="shared" si="692"/>
        <v>-9846.6965333333319</v>
      </c>
      <c r="CC443" s="14">
        <f t="shared" si="692"/>
        <v>0</v>
      </c>
      <c r="CD443" s="14">
        <f t="shared" si="692"/>
        <v>0</v>
      </c>
      <c r="CE443" s="14">
        <f t="shared" si="692"/>
        <v>0</v>
      </c>
      <c r="CF443" s="14">
        <f t="shared" si="692"/>
        <v>-7877.3572266666661</v>
      </c>
      <c r="CG443" s="14">
        <f t="shared" si="692"/>
        <v>0</v>
      </c>
      <c r="CH443" s="14">
        <f t="shared" si="692"/>
        <v>0</v>
      </c>
      <c r="CI443" s="14">
        <f t="shared" si="692"/>
        <v>0</v>
      </c>
      <c r="CJ443" s="14">
        <f t="shared" si="692"/>
        <v>0</v>
      </c>
      <c r="CK443" s="14">
        <f t="shared" si="692"/>
        <v>0</v>
      </c>
      <c r="CL443" s="14">
        <f t="shared" si="692"/>
        <v>0</v>
      </c>
      <c r="CM443" s="14">
        <f t="shared" si="692"/>
        <v>0</v>
      </c>
      <c r="CN443" s="14">
        <f t="shared" si="692"/>
        <v>0</v>
      </c>
      <c r="CO443" s="14">
        <f t="shared" si="692"/>
        <v>0</v>
      </c>
      <c r="CP443" s="14">
        <f t="shared" si="692"/>
        <v>0</v>
      </c>
      <c r="CQ443" s="14">
        <f t="shared" si="692"/>
        <v>0</v>
      </c>
      <c r="CR443" s="14">
        <f t="shared" si="692"/>
        <v>0</v>
      </c>
      <c r="CS443" s="14">
        <f t="shared" si="692"/>
        <v>0</v>
      </c>
      <c r="CT443" s="14">
        <f t="shared" si="692"/>
        <v>0</v>
      </c>
      <c r="CU443" s="14">
        <f t="shared" si="692"/>
        <v>0</v>
      </c>
      <c r="CV443" s="14">
        <f t="shared" si="692"/>
        <v>0</v>
      </c>
      <c r="CW443" s="14">
        <f t="shared" si="692"/>
        <v>0</v>
      </c>
      <c r="CX443" s="14">
        <f t="shared" si="692"/>
        <v>0</v>
      </c>
      <c r="CY443" s="14">
        <f t="shared" si="692"/>
        <v>0</v>
      </c>
      <c r="CZ443" s="14">
        <f t="shared" si="692"/>
        <v>0</v>
      </c>
      <c r="DA443" s="14">
        <f t="shared" ref="DA443:DY443" si="693">+SUM(DA394,,DA406,DA409)</f>
        <v>0</v>
      </c>
      <c r="DB443" s="14">
        <f t="shared" si="693"/>
        <v>0</v>
      </c>
      <c r="DC443" s="14">
        <f t="shared" si="693"/>
        <v>0</v>
      </c>
      <c r="DD443" s="14">
        <f t="shared" si="693"/>
        <v>0</v>
      </c>
      <c r="DE443" s="14">
        <f t="shared" si="693"/>
        <v>0</v>
      </c>
      <c r="DF443" s="14">
        <f t="shared" si="693"/>
        <v>0</v>
      </c>
      <c r="DG443" s="14">
        <f t="shared" si="693"/>
        <v>0</v>
      </c>
      <c r="DH443" s="14">
        <f t="shared" si="693"/>
        <v>0</v>
      </c>
      <c r="DI443" s="14">
        <f t="shared" si="693"/>
        <v>0</v>
      </c>
      <c r="DJ443" s="14">
        <f t="shared" si="693"/>
        <v>0</v>
      </c>
      <c r="DK443" s="14">
        <f t="shared" si="693"/>
        <v>0</v>
      </c>
      <c r="DL443" s="14">
        <f t="shared" si="693"/>
        <v>0</v>
      </c>
      <c r="DM443" s="14">
        <f t="shared" si="693"/>
        <v>0</v>
      </c>
      <c r="DN443" s="14">
        <f t="shared" si="693"/>
        <v>0</v>
      </c>
      <c r="DO443" s="14">
        <f t="shared" si="693"/>
        <v>0</v>
      </c>
      <c r="DP443" s="14">
        <f t="shared" si="693"/>
        <v>0</v>
      </c>
      <c r="DQ443" s="14">
        <f t="shared" si="693"/>
        <v>0</v>
      </c>
      <c r="DR443" s="14">
        <f t="shared" si="693"/>
        <v>0</v>
      </c>
      <c r="DS443" s="14">
        <f t="shared" si="693"/>
        <v>0</v>
      </c>
      <c r="DT443" s="14">
        <f t="shared" si="693"/>
        <v>0</v>
      </c>
      <c r="DU443" s="14">
        <f t="shared" si="693"/>
        <v>0</v>
      </c>
      <c r="DV443" s="14">
        <f t="shared" si="693"/>
        <v>0</v>
      </c>
      <c r="DW443" s="14">
        <f t="shared" si="693"/>
        <v>0</v>
      </c>
      <c r="DX443" s="14">
        <f t="shared" si="693"/>
        <v>0</v>
      </c>
      <c r="DY443" s="14">
        <f t="shared" si="693"/>
        <v>0</v>
      </c>
    </row>
    <row r="444" spans="1:129" s="3" customFormat="1" ht="11.7" customHeight="1" outlineLevel="1" thickTop="1" thickBot="1" x14ac:dyDescent="0.35">
      <c r="B444" s="201" t="s">
        <v>455</v>
      </c>
      <c r="C444" s="201"/>
      <c r="D444" s="206"/>
      <c r="E444" s="729"/>
      <c r="F444" s="729"/>
      <c r="G444" s="729"/>
      <c r="H444" s="351">
        <f t="shared" ca="1" si="661"/>
        <v>193557.65227011411</v>
      </c>
      <c r="I444" s="174">
        <f>+SUM(I435:I443)</f>
        <v>-148941.6</v>
      </c>
      <c r="J444" s="174">
        <f>+SUM(J435:J443)</f>
        <v>-9931.0229483610528</v>
      </c>
      <c r="K444" s="174">
        <f t="shared" ref="K444:AN444" si="694">+SUM(K435:K443)</f>
        <v>-918.2</v>
      </c>
      <c r="L444" s="174">
        <f t="shared" si="694"/>
        <v>-3526.8068221862859</v>
      </c>
      <c r="M444" s="174">
        <f t="shared" si="694"/>
        <v>-505.4364560324758</v>
      </c>
      <c r="N444" s="174">
        <f t="shared" si="694"/>
        <v>-2606.4505945243063</v>
      </c>
      <c r="O444" s="174">
        <f t="shared" si="694"/>
        <v>0</v>
      </c>
      <c r="P444" s="174">
        <f t="shared" si="694"/>
        <v>-660.89596559726238</v>
      </c>
      <c r="Q444" s="174">
        <f t="shared" si="694"/>
        <v>-2427.1427321533956</v>
      </c>
      <c r="R444" s="174">
        <f t="shared" si="694"/>
        <v>-823.40604281012747</v>
      </c>
      <c r="S444" s="174">
        <f t="shared" si="694"/>
        <v>-1750.46</v>
      </c>
      <c r="T444" s="174">
        <f t="shared" si="694"/>
        <v>-1143.3312740467463</v>
      </c>
      <c r="U444" s="174">
        <f t="shared" si="694"/>
        <v>-225.53644334802181</v>
      </c>
      <c r="V444" s="174">
        <f t="shared" si="694"/>
        <v>-2724.8097463965332</v>
      </c>
      <c r="W444" s="174">
        <f t="shared" si="694"/>
        <v>-7293.6517689614084</v>
      </c>
      <c r="X444" s="174">
        <f t="shared" si="694"/>
        <v>-1307.5542789935589</v>
      </c>
      <c r="Y444" s="174">
        <f t="shared" si="694"/>
        <v>-8810.3139022268151</v>
      </c>
      <c r="Z444" s="174">
        <f t="shared" si="694"/>
        <v>-4717.1446828974076</v>
      </c>
      <c r="AA444" s="174">
        <f t="shared" si="694"/>
        <v>-4878.033385354478</v>
      </c>
      <c r="AB444" s="174">
        <f t="shared" si="694"/>
        <v>-991.84470258408942</v>
      </c>
      <c r="AC444" s="174">
        <f t="shared" si="694"/>
        <v>-1321.5461440737463</v>
      </c>
      <c r="AD444" s="174">
        <f t="shared" si="694"/>
        <v>-3903.8356605773606</v>
      </c>
      <c r="AE444" s="174">
        <f t="shared" si="694"/>
        <v>-822.60472652607132</v>
      </c>
      <c r="AF444" s="174">
        <f t="shared" si="694"/>
        <v>1342.1494332509146</v>
      </c>
      <c r="AG444" s="174">
        <f t="shared" si="694"/>
        <v>13226.490778513024</v>
      </c>
      <c r="AH444" s="174">
        <f t="shared" si="694"/>
        <v>1355.3480938163159</v>
      </c>
      <c r="AI444" s="174">
        <f t="shared" si="694"/>
        <v>-9309.8077266285636</v>
      </c>
      <c r="AJ444" s="174">
        <f t="shared" si="694"/>
        <v>-1584.0255455705624</v>
      </c>
      <c r="AK444" s="174">
        <f t="shared" si="694"/>
        <v>3908.7398851478847</v>
      </c>
      <c r="AL444" s="174">
        <f t="shared" si="694"/>
        <v>-805.58068624590896</v>
      </c>
      <c r="AM444" s="174">
        <f t="shared" si="694"/>
        <v>-579.44598075815327</v>
      </c>
      <c r="AN444" s="174">
        <f t="shared" si="694"/>
        <v>-2512.5331231859068</v>
      </c>
      <c r="AO444" s="174">
        <f t="shared" ref="AO444:BT444" si="695">+SUM(AO435:AO443)</f>
        <v>-1318.4817493525748</v>
      </c>
      <c r="AP444" s="174">
        <f t="shared" si="695"/>
        <v>23142.204240906325</v>
      </c>
      <c r="AQ444" s="174">
        <f t="shared" si="695"/>
        <v>-1703.78</v>
      </c>
      <c r="AR444" s="174">
        <f t="shared" si="695"/>
        <v>-870.6400000000009</v>
      </c>
      <c r="AS444" s="174">
        <f t="shared" si="695"/>
        <v>-1002.9199999999989</v>
      </c>
      <c r="AT444" s="174">
        <f t="shared" si="695"/>
        <v>-478.02999999999884</v>
      </c>
      <c r="AU444" s="174">
        <f t="shared" si="695"/>
        <v>2395.7000000000003</v>
      </c>
      <c r="AV444" s="174">
        <f>+SUM(AV435:AV443)</f>
        <v>6093.2000000000007</v>
      </c>
      <c r="AW444" s="174">
        <f t="shared" si="695"/>
        <v>-2934.2799999999984</v>
      </c>
      <c r="AX444" s="174">
        <f t="shared" si="695"/>
        <v>18130.3</v>
      </c>
      <c r="AY444" s="174">
        <f t="shared" si="695"/>
        <v>-18435.016100817127</v>
      </c>
      <c r="AZ444" s="174">
        <f t="shared" si="695"/>
        <v>2636.5684133744712</v>
      </c>
      <c r="BA444" s="174">
        <f t="shared" si="695"/>
        <v>-1888.9338698377312</v>
      </c>
      <c r="BB444" s="174">
        <f t="shared" si="695"/>
        <v>345.76387808740981</v>
      </c>
      <c r="BC444" s="174">
        <f t="shared" si="695"/>
        <v>17305.695183237916</v>
      </c>
      <c r="BD444" s="174">
        <f t="shared" si="695"/>
        <v>21719.045835948389</v>
      </c>
      <c r="BE444" s="174">
        <f t="shared" si="695"/>
        <v>-33.965889258984134</v>
      </c>
      <c r="BF444" s="174">
        <f t="shared" si="695"/>
        <v>-3308.1468313122314</v>
      </c>
      <c r="BG444" s="174">
        <f t="shared" si="695"/>
        <v>-4289.0069842357225</v>
      </c>
      <c r="BH444" s="174">
        <f t="shared" si="695"/>
        <v>-113.57982497890112</v>
      </c>
      <c r="BI444" s="174">
        <f t="shared" si="695"/>
        <v>-4111.2242247438098</v>
      </c>
      <c r="BJ444" s="174">
        <f t="shared" si="695"/>
        <v>-2480.1065774066014</v>
      </c>
      <c r="BK444" s="174">
        <f t="shared" si="695"/>
        <v>-3859.3762196424859</v>
      </c>
      <c r="BL444" s="174">
        <f t="shared" si="695"/>
        <v>54.403032025607075</v>
      </c>
      <c r="BM444" s="174">
        <f t="shared" si="695"/>
        <v>-1829.2189937986427</v>
      </c>
      <c r="BN444" s="174">
        <f t="shared" ca="1" si="695"/>
        <v>-423.19749474959326</v>
      </c>
      <c r="BO444" s="174">
        <f t="shared" ca="1" si="695"/>
        <v>-266.05673090642728</v>
      </c>
      <c r="BP444" s="174">
        <f t="shared" ca="1" si="695"/>
        <v>1021.0113858481747</v>
      </c>
      <c r="BQ444" s="174">
        <f t="shared" ca="1" si="695"/>
        <v>-1865.1340476583714</v>
      </c>
      <c r="BR444" s="174">
        <f ca="1">+SUM(BR435:BR443)</f>
        <v>651.47381330054782</v>
      </c>
      <c r="BS444" s="174">
        <f t="shared" ca="1" si="695"/>
        <v>-27.47354922279078</v>
      </c>
      <c r="BT444" s="174">
        <f t="shared" ca="1" si="695"/>
        <v>-1362.5613480742797</v>
      </c>
      <c r="BU444" s="174">
        <f t="shared" ref="BU444:CZ444" ca="1" si="696">+SUM(BU435:BU443)</f>
        <v>-2283.7481038695009</v>
      </c>
      <c r="BV444" s="174">
        <f t="shared" ca="1" si="696"/>
        <v>-2656.605492472092</v>
      </c>
      <c r="BW444" s="174">
        <f t="shared" ca="1" si="696"/>
        <v>-2761.2747110661626</v>
      </c>
      <c r="BX444" s="174">
        <f t="shared" ca="1" si="696"/>
        <v>-561.21862828052087</v>
      </c>
      <c r="BY444" s="174">
        <f t="shared" ca="1" si="696"/>
        <v>819.70433115808214</v>
      </c>
      <c r="BZ444" s="174">
        <f t="shared" ca="1" si="696"/>
        <v>2830.21023489869</v>
      </c>
      <c r="CA444" s="174">
        <f t="shared" ca="1" si="696"/>
        <v>2631.133362916632</v>
      </c>
      <c r="CB444" s="174">
        <f t="shared" ca="1" si="696"/>
        <v>-7082.2251002861422</v>
      </c>
      <c r="CC444" s="174">
        <f t="shared" ca="1" si="696"/>
        <v>2900.7657162056507</v>
      </c>
      <c r="CD444" s="174">
        <f t="shared" ca="1" si="696"/>
        <v>3040.0162123920163</v>
      </c>
      <c r="CE444" s="174">
        <f t="shared" ca="1" si="696"/>
        <v>3182.2229216062833</v>
      </c>
      <c r="CF444" s="174">
        <f t="shared" ca="1" si="696"/>
        <v>347736.73768986692</v>
      </c>
      <c r="CG444" s="174">
        <f t="shared" ca="1" si="696"/>
        <v>10057.991639623726</v>
      </c>
      <c r="CH444" s="174">
        <f t="shared" ca="1" si="696"/>
        <v>0</v>
      </c>
      <c r="CI444" s="174">
        <f t="shared" ca="1" si="696"/>
        <v>0</v>
      </c>
      <c r="CJ444" s="174">
        <f t="shared" ca="1" si="696"/>
        <v>0</v>
      </c>
      <c r="CK444" s="174">
        <f t="shared" ca="1" si="696"/>
        <v>0</v>
      </c>
      <c r="CL444" s="174">
        <f t="shared" ca="1" si="696"/>
        <v>0</v>
      </c>
      <c r="CM444" s="174">
        <f t="shared" ca="1" si="696"/>
        <v>0</v>
      </c>
      <c r="CN444" s="174">
        <f t="shared" ca="1" si="696"/>
        <v>0</v>
      </c>
      <c r="CO444" s="174">
        <f t="shared" ca="1" si="696"/>
        <v>0</v>
      </c>
      <c r="CP444" s="174">
        <f t="shared" ca="1" si="696"/>
        <v>0</v>
      </c>
      <c r="CQ444" s="174">
        <f t="shared" ca="1" si="696"/>
        <v>0</v>
      </c>
      <c r="CR444" s="174">
        <f t="shared" ca="1" si="696"/>
        <v>0</v>
      </c>
      <c r="CS444" s="174">
        <f t="shared" ca="1" si="696"/>
        <v>0</v>
      </c>
      <c r="CT444" s="174">
        <f t="shared" ca="1" si="696"/>
        <v>0</v>
      </c>
      <c r="CU444" s="174">
        <f t="shared" ca="1" si="696"/>
        <v>0</v>
      </c>
      <c r="CV444" s="174">
        <f t="shared" ca="1" si="696"/>
        <v>0</v>
      </c>
      <c r="CW444" s="174">
        <f t="shared" ca="1" si="696"/>
        <v>0</v>
      </c>
      <c r="CX444" s="174">
        <f t="shared" ca="1" si="696"/>
        <v>0</v>
      </c>
      <c r="CY444" s="174">
        <f t="shared" ca="1" si="696"/>
        <v>0</v>
      </c>
      <c r="CZ444" s="174">
        <f t="shared" ca="1" si="696"/>
        <v>0</v>
      </c>
      <c r="DA444" s="174">
        <f t="shared" ref="DA444:DW444" ca="1" si="697">+SUM(DA435:DA443)</f>
        <v>0</v>
      </c>
      <c r="DB444" s="174">
        <f t="shared" ca="1" si="697"/>
        <v>0</v>
      </c>
      <c r="DC444" s="174">
        <f t="shared" ca="1" si="697"/>
        <v>0</v>
      </c>
      <c r="DD444" s="174">
        <f t="shared" ca="1" si="697"/>
        <v>0</v>
      </c>
      <c r="DE444" s="174">
        <f t="shared" ca="1" si="697"/>
        <v>0</v>
      </c>
      <c r="DF444" s="174">
        <f t="shared" ca="1" si="697"/>
        <v>0</v>
      </c>
      <c r="DG444" s="174">
        <f t="shared" ca="1" si="697"/>
        <v>0</v>
      </c>
      <c r="DH444" s="174">
        <f t="shared" ca="1" si="697"/>
        <v>0</v>
      </c>
      <c r="DI444" s="174">
        <f t="shared" ca="1" si="697"/>
        <v>0</v>
      </c>
      <c r="DJ444" s="174">
        <f t="shared" ca="1" si="697"/>
        <v>0</v>
      </c>
      <c r="DK444" s="174">
        <f t="shared" ca="1" si="697"/>
        <v>0</v>
      </c>
      <c r="DL444" s="174">
        <f t="shared" ca="1" si="697"/>
        <v>0</v>
      </c>
      <c r="DM444" s="174">
        <f t="shared" ca="1" si="697"/>
        <v>0</v>
      </c>
      <c r="DN444" s="174">
        <f t="shared" ca="1" si="697"/>
        <v>0</v>
      </c>
      <c r="DO444" s="174">
        <f t="shared" ca="1" si="697"/>
        <v>0</v>
      </c>
      <c r="DP444" s="174">
        <f t="shared" ca="1" si="697"/>
        <v>0</v>
      </c>
      <c r="DQ444" s="174">
        <f t="shared" ca="1" si="697"/>
        <v>0</v>
      </c>
      <c r="DR444" s="174">
        <f t="shared" ca="1" si="697"/>
        <v>0</v>
      </c>
      <c r="DS444" s="174">
        <f t="shared" ca="1" si="697"/>
        <v>0</v>
      </c>
      <c r="DT444" s="174">
        <f t="shared" ca="1" si="697"/>
        <v>0</v>
      </c>
      <c r="DU444" s="174">
        <f t="shared" ca="1" si="697"/>
        <v>0</v>
      </c>
      <c r="DV444" s="174">
        <f t="shared" ca="1" si="697"/>
        <v>0</v>
      </c>
      <c r="DW444" s="174">
        <f t="shared" ca="1" si="697"/>
        <v>0</v>
      </c>
      <c r="DX444" s="174">
        <f t="shared" ref="DX444" ca="1" si="698">+SUM(DX435:DX443)</f>
        <v>0</v>
      </c>
      <c r="DY444" s="174">
        <f t="shared" ref="DY444" ca="1" si="699">+SUM(DY435:DY443)</f>
        <v>0</v>
      </c>
    </row>
    <row r="445" spans="1:129" s="111" customFormat="1" ht="11.7" customHeight="1" outlineLevel="1" thickTop="1" x14ac:dyDescent="0.3">
      <c r="A445" s="3"/>
      <c r="B445" s="912" t="s">
        <v>437</v>
      </c>
      <c r="C445" s="141"/>
      <c r="D445" s="3"/>
      <c r="E445" s="3"/>
      <c r="F445" s="3"/>
      <c r="G445" s="74"/>
      <c r="H445" s="914">
        <f ca="1">+MIN(I445:DY445)</f>
        <v>-210231.62827765109</v>
      </c>
      <c r="I445" s="14">
        <f>+I444</f>
        <v>-148941.6</v>
      </c>
      <c r="J445" s="14">
        <f>+J444+I445</f>
        <v>-158872.62294836107</v>
      </c>
      <c r="K445" s="14">
        <f t="shared" ref="K445:BV445" si="700">+K444+J445</f>
        <v>-159790.82294836108</v>
      </c>
      <c r="L445" s="14">
        <f t="shared" si="700"/>
        <v>-163317.62977054736</v>
      </c>
      <c r="M445" s="14">
        <f t="shared" si="700"/>
        <v>-163823.06622657983</v>
      </c>
      <c r="N445" s="14">
        <f t="shared" si="700"/>
        <v>-166429.51682110413</v>
      </c>
      <c r="O445" s="14">
        <f t="shared" si="700"/>
        <v>-166429.51682110413</v>
      </c>
      <c r="P445" s="14">
        <f t="shared" si="700"/>
        <v>-167090.4127867014</v>
      </c>
      <c r="Q445" s="14">
        <f t="shared" si="700"/>
        <v>-169517.55551885479</v>
      </c>
      <c r="R445" s="14">
        <f t="shared" si="700"/>
        <v>-170340.96156166491</v>
      </c>
      <c r="S445" s="14">
        <f t="shared" si="700"/>
        <v>-172091.4215616649</v>
      </c>
      <c r="T445" s="14">
        <f t="shared" si="700"/>
        <v>-173234.75283571164</v>
      </c>
      <c r="U445" s="14">
        <f t="shared" si="700"/>
        <v>-173460.28927905965</v>
      </c>
      <c r="V445" s="14">
        <f t="shared" si="700"/>
        <v>-176185.09902545618</v>
      </c>
      <c r="W445" s="14">
        <f t="shared" si="700"/>
        <v>-183478.75079441757</v>
      </c>
      <c r="X445" s="14">
        <f t="shared" si="700"/>
        <v>-184786.30507341115</v>
      </c>
      <c r="Y445" s="14">
        <f t="shared" si="700"/>
        <v>-193596.61897563795</v>
      </c>
      <c r="Z445" s="14">
        <f t="shared" si="700"/>
        <v>-198313.76365853535</v>
      </c>
      <c r="AA445" s="14">
        <f t="shared" si="700"/>
        <v>-203191.79704388982</v>
      </c>
      <c r="AB445" s="14">
        <f t="shared" si="700"/>
        <v>-204183.64174647391</v>
      </c>
      <c r="AC445" s="14">
        <f t="shared" si="700"/>
        <v>-205505.18789054765</v>
      </c>
      <c r="AD445" s="14">
        <f t="shared" si="700"/>
        <v>-209409.02355112502</v>
      </c>
      <c r="AE445" s="14">
        <f t="shared" si="700"/>
        <v>-210231.62827765109</v>
      </c>
      <c r="AF445" s="14">
        <f t="shared" si="700"/>
        <v>-208889.47884440018</v>
      </c>
      <c r="AG445" s="14">
        <f t="shared" si="700"/>
        <v>-195662.98806588716</v>
      </c>
      <c r="AH445" s="14">
        <f t="shared" si="700"/>
        <v>-194307.63997207084</v>
      </c>
      <c r="AI445" s="14">
        <f t="shared" si="700"/>
        <v>-203617.4476986994</v>
      </c>
      <c r="AJ445" s="14">
        <f t="shared" si="700"/>
        <v>-205201.47324426996</v>
      </c>
      <c r="AK445" s="14">
        <f t="shared" si="700"/>
        <v>-201292.73335912207</v>
      </c>
      <c r="AL445" s="14">
        <f t="shared" si="700"/>
        <v>-202098.31404536797</v>
      </c>
      <c r="AM445" s="14">
        <f t="shared" si="700"/>
        <v>-202677.76002612611</v>
      </c>
      <c r="AN445" s="14">
        <f t="shared" si="700"/>
        <v>-205190.29314931203</v>
      </c>
      <c r="AO445" s="14">
        <f t="shared" si="700"/>
        <v>-206508.77489866459</v>
      </c>
      <c r="AP445" s="14">
        <f t="shared" si="700"/>
        <v>-183366.57065775828</v>
      </c>
      <c r="AQ445" s="14">
        <f t="shared" si="700"/>
        <v>-185070.35065775827</v>
      </c>
      <c r="AR445" s="14">
        <f t="shared" si="700"/>
        <v>-185940.99065775829</v>
      </c>
      <c r="AS445" s="14">
        <f t="shared" si="700"/>
        <v>-186943.9106577583</v>
      </c>
      <c r="AT445" s="14">
        <f t="shared" si="700"/>
        <v>-187421.9406577583</v>
      </c>
      <c r="AU445" s="14">
        <f t="shared" si="700"/>
        <v>-185026.24065775829</v>
      </c>
      <c r="AV445" s="14">
        <f t="shared" si="700"/>
        <v>-178933.04065775828</v>
      </c>
      <c r="AW445" s="14">
        <f t="shared" si="700"/>
        <v>-181867.32065775828</v>
      </c>
      <c r="AX445" s="14">
        <f t="shared" si="700"/>
        <v>-163737.02065775829</v>
      </c>
      <c r="AY445" s="14">
        <f t="shared" si="700"/>
        <v>-182172.03675857541</v>
      </c>
      <c r="AZ445" s="14">
        <f t="shared" si="700"/>
        <v>-179535.46834520093</v>
      </c>
      <c r="BA445" s="14">
        <f t="shared" si="700"/>
        <v>-181424.40221503866</v>
      </c>
      <c r="BB445" s="14">
        <f t="shared" si="700"/>
        <v>-181078.63833695126</v>
      </c>
      <c r="BC445" s="14">
        <f t="shared" si="700"/>
        <v>-163772.94315371334</v>
      </c>
      <c r="BD445" s="14">
        <f t="shared" si="700"/>
        <v>-142053.89731776493</v>
      </c>
      <c r="BE445" s="14">
        <f t="shared" si="700"/>
        <v>-142087.86320702391</v>
      </c>
      <c r="BF445" s="14">
        <f t="shared" si="700"/>
        <v>-145396.01003833616</v>
      </c>
      <c r="BG445" s="14">
        <f t="shared" si="700"/>
        <v>-149685.01702257188</v>
      </c>
      <c r="BH445" s="14">
        <f t="shared" si="700"/>
        <v>-149798.59684755077</v>
      </c>
      <c r="BI445" s="14">
        <f t="shared" si="700"/>
        <v>-153909.82107229458</v>
      </c>
      <c r="BJ445" s="14">
        <f t="shared" si="700"/>
        <v>-156389.92764970119</v>
      </c>
      <c r="BK445" s="14">
        <f t="shared" si="700"/>
        <v>-160249.30386934368</v>
      </c>
      <c r="BL445" s="14">
        <f t="shared" si="700"/>
        <v>-160194.90083731807</v>
      </c>
      <c r="BM445" s="14">
        <f t="shared" si="700"/>
        <v>-162024.11983111672</v>
      </c>
      <c r="BN445" s="14">
        <f t="shared" ca="1" si="700"/>
        <v>-162447.31732586632</v>
      </c>
      <c r="BO445" s="14">
        <f t="shared" ca="1" si="700"/>
        <v>-162713.37405677274</v>
      </c>
      <c r="BP445" s="14">
        <f t="shared" ca="1" si="700"/>
        <v>-161692.36267092457</v>
      </c>
      <c r="BQ445" s="14">
        <f t="shared" ca="1" si="700"/>
        <v>-163557.49671858293</v>
      </c>
      <c r="BR445" s="14">
        <f t="shared" ca="1" si="700"/>
        <v>-162906.02290528239</v>
      </c>
      <c r="BS445" s="14">
        <f t="shared" ca="1" si="700"/>
        <v>-162933.49645450516</v>
      </c>
      <c r="BT445" s="14">
        <f t="shared" ca="1" si="700"/>
        <v>-164296.05780257945</v>
      </c>
      <c r="BU445" s="14">
        <f t="shared" ca="1" si="700"/>
        <v>-166579.80590644895</v>
      </c>
      <c r="BV445" s="14">
        <f t="shared" ca="1" si="700"/>
        <v>-169236.41139892105</v>
      </c>
      <c r="BW445" s="14">
        <f t="shared" ref="BW445:DW445" ca="1" si="701">+BW444+BV445</f>
        <v>-171997.6861099872</v>
      </c>
      <c r="BX445" s="14">
        <f t="shared" ca="1" si="701"/>
        <v>-172558.90473826774</v>
      </c>
      <c r="BY445" s="14">
        <f t="shared" ca="1" si="701"/>
        <v>-171739.20040710966</v>
      </c>
      <c r="BZ445" s="14">
        <f t="shared" ca="1" si="701"/>
        <v>-168908.99017221096</v>
      </c>
      <c r="CA445" s="14">
        <f t="shared" ca="1" si="701"/>
        <v>-166277.85680929435</v>
      </c>
      <c r="CB445" s="14">
        <f t="shared" ca="1" si="701"/>
        <v>-173360.08190958048</v>
      </c>
      <c r="CC445" s="14">
        <f t="shared" ca="1" si="701"/>
        <v>-170459.31619337483</v>
      </c>
      <c r="CD445" s="14">
        <f t="shared" ca="1" si="701"/>
        <v>-167419.29998098282</v>
      </c>
      <c r="CE445" s="14">
        <f t="shared" ca="1" si="701"/>
        <v>-164237.07705937655</v>
      </c>
      <c r="CF445" s="14">
        <f t="shared" ca="1" si="701"/>
        <v>183499.66063049037</v>
      </c>
      <c r="CG445" s="14">
        <f t="shared" ca="1" si="701"/>
        <v>193557.65227011411</v>
      </c>
      <c r="CH445" s="14">
        <f t="shared" ca="1" si="701"/>
        <v>193557.65227011411</v>
      </c>
      <c r="CI445" s="14">
        <f t="shared" ca="1" si="701"/>
        <v>193557.65227011411</v>
      </c>
      <c r="CJ445" s="14">
        <f t="shared" ca="1" si="701"/>
        <v>193557.65227011411</v>
      </c>
      <c r="CK445" s="14">
        <f t="shared" ca="1" si="701"/>
        <v>193557.65227011411</v>
      </c>
      <c r="CL445" s="14">
        <f t="shared" ca="1" si="701"/>
        <v>193557.65227011411</v>
      </c>
      <c r="CM445" s="14">
        <f t="shared" ca="1" si="701"/>
        <v>193557.65227011411</v>
      </c>
      <c r="CN445" s="14">
        <f t="shared" ca="1" si="701"/>
        <v>193557.65227011411</v>
      </c>
      <c r="CO445" s="14">
        <f t="shared" ca="1" si="701"/>
        <v>193557.65227011411</v>
      </c>
      <c r="CP445" s="14">
        <f t="shared" ca="1" si="701"/>
        <v>193557.65227011411</v>
      </c>
      <c r="CQ445" s="14">
        <f t="shared" ca="1" si="701"/>
        <v>193557.65227011411</v>
      </c>
      <c r="CR445" s="14">
        <f t="shared" ca="1" si="701"/>
        <v>193557.65227011411</v>
      </c>
      <c r="CS445" s="14">
        <f t="shared" ca="1" si="701"/>
        <v>193557.65227011411</v>
      </c>
      <c r="CT445" s="14">
        <f t="shared" ca="1" si="701"/>
        <v>193557.65227011411</v>
      </c>
      <c r="CU445" s="14">
        <f t="shared" ca="1" si="701"/>
        <v>193557.65227011411</v>
      </c>
      <c r="CV445" s="14">
        <f t="shared" ca="1" si="701"/>
        <v>193557.65227011411</v>
      </c>
      <c r="CW445" s="14">
        <f t="shared" ca="1" si="701"/>
        <v>193557.65227011411</v>
      </c>
      <c r="CX445" s="14">
        <f t="shared" ca="1" si="701"/>
        <v>193557.65227011411</v>
      </c>
      <c r="CY445" s="14">
        <f t="shared" ca="1" si="701"/>
        <v>193557.65227011411</v>
      </c>
      <c r="CZ445" s="14">
        <f t="shared" ca="1" si="701"/>
        <v>193557.65227011411</v>
      </c>
      <c r="DA445" s="14">
        <f t="shared" ca="1" si="701"/>
        <v>193557.65227011411</v>
      </c>
      <c r="DB445" s="14">
        <f t="shared" ca="1" si="701"/>
        <v>193557.65227011411</v>
      </c>
      <c r="DC445" s="14">
        <f t="shared" ca="1" si="701"/>
        <v>193557.65227011411</v>
      </c>
      <c r="DD445" s="14">
        <f t="shared" ca="1" si="701"/>
        <v>193557.65227011411</v>
      </c>
      <c r="DE445" s="14">
        <f t="shared" ca="1" si="701"/>
        <v>193557.65227011411</v>
      </c>
      <c r="DF445" s="14">
        <f t="shared" ca="1" si="701"/>
        <v>193557.65227011411</v>
      </c>
      <c r="DG445" s="14">
        <f t="shared" ca="1" si="701"/>
        <v>193557.65227011411</v>
      </c>
      <c r="DH445" s="14">
        <f t="shared" ca="1" si="701"/>
        <v>193557.65227011411</v>
      </c>
      <c r="DI445" s="14">
        <f t="shared" ca="1" si="701"/>
        <v>193557.65227011411</v>
      </c>
      <c r="DJ445" s="14">
        <f t="shared" ca="1" si="701"/>
        <v>193557.65227011411</v>
      </c>
      <c r="DK445" s="14">
        <f t="shared" ca="1" si="701"/>
        <v>193557.65227011411</v>
      </c>
      <c r="DL445" s="14">
        <f t="shared" ca="1" si="701"/>
        <v>193557.65227011411</v>
      </c>
      <c r="DM445" s="14">
        <f t="shared" ca="1" si="701"/>
        <v>193557.65227011411</v>
      </c>
      <c r="DN445" s="14">
        <f t="shared" ca="1" si="701"/>
        <v>193557.65227011411</v>
      </c>
      <c r="DO445" s="14">
        <f t="shared" ca="1" si="701"/>
        <v>193557.65227011411</v>
      </c>
      <c r="DP445" s="14">
        <f t="shared" ca="1" si="701"/>
        <v>193557.65227011411</v>
      </c>
      <c r="DQ445" s="14">
        <f t="shared" ca="1" si="701"/>
        <v>193557.65227011411</v>
      </c>
      <c r="DR445" s="14">
        <f t="shared" ca="1" si="701"/>
        <v>193557.65227011411</v>
      </c>
      <c r="DS445" s="14">
        <f t="shared" ca="1" si="701"/>
        <v>193557.65227011411</v>
      </c>
      <c r="DT445" s="14">
        <f t="shared" ca="1" si="701"/>
        <v>193557.65227011411</v>
      </c>
      <c r="DU445" s="14">
        <f t="shared" ca="1" si="701"/>
        <v>193557.65227011411</v>
      </c>
      <c r="DV445" s="14">
        <f t="shared" ca="1" si="701"/>
        <v>193557.65227011411</v>
      </c>
      <c r="DW445" s="14">
        <f t="shared" ca="1" si="701"/>
        <v>193557.65227011411</v>
      </c>
      <c r="DX445" s="14">
        <f t="shared" ref="DX445" ca="1" si="702">+DX444+DW445</f>
        <v>193557.65227011411</v>
      </c>
      <c r="DY445" s="14">
        <f t="shared" ref="DY445" ca="1" si="703">+DY444+DX445</f>
        <v>193557.65227011411</v>
      </c>
    </row>
    <row r="446" spans="1:129" s="111" customFormat="1" ht="11.7" customHeight="1" outlineLevel="1" x14ac:dyDescent="0.3">
      <c r="A446" s="3"/>
      <c r="B446" s="125"/>
      <c r="C446" s="125"/>
      <c r="D446" s="3"/>
      <c r="E446" s="3"/>
      <c r="F446" s="3"/>
      <c r="G446" s="74"/>
      <c r="H446" s="7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c r="AT446" s="14"/>
      <c r="AU446" s="14"/>
      <c r="AV446" s="14"/>
      <c r="AW446" s="14"/>
      <c r="AX446" s="14"/>
      <c r="AY446" s="14"/>
      <c r="AZ446" s="14"/>
      <c r="BA446" s="14"/>
      <c r="BB446" s="14"/>
      <c r="BC446" s="14"/>
      <c r="BD446" s="14"/>
      <c r="BE446" s="14"/>
      <c r="BF446" s="14"/>
      <c r="BG446" s="14"/>
      <c r="BH446" s="14"/>
      <c r="BI446" s="14"/>
      <c r="BJ446" s="14"/>
      <c r="BK446" s="14"/>
      <c r="BL446" s="14"/>
      <c r="BM446" s="14"/>
      <c r="BN446" s="14"/>
      <c r="BO446" s="14"/>
      <c r="BP446" s="14"/>
      <c r="BQ446" s="14"/>
      <c r="BR446" s="14"/>
      <c r="BS446" s="14"/>
      <c r="BT446" s="14"/>
      <c r="BU446" s="14"/>
      <c r="BV446" s="14"/>
      <c r="BW446" s="14"/>
      <c r="BX446" s="14"/>
      <c r="BY446" s="14"/>
      <c r="BZ446" s="14"/>
      <c r="CA446" s="14"/>
      <c r="CB446" s="14"/>
      <c r="CC446" s="14"/>
      <c r="CD446" s="14"/>
      <c r="CE446" s="14"/>
      <c r="CF446" s="14"/>
      <c r="CG446" s="14"/>
      <c r="CH446" s="14"/>
      <c r="CI446" s="14"/>
      <c r="CJ446" s="14"/>
      <c r="CK446" s="14"/>
      <c r="CL446" s="14"/>
      <c r="CM446" s="14"/>
      <c r="CN446" s="14"/>
      <c r="CO446" s="14"/>
      <c r="CP446" s="14"/>
      <c r="CQ446" s="14"/>
      <c r="CR446" s="14"/>
      <c r="CS446" s="14"/>
      <c r="CT446" s="14"/>
      <c r="CU446" s="14"/>
      <c r="CV446" s="14"/>
      <c r="CW446" s="14"/>
      <c r="CX446" s="14"/>
      <c r="CY446" s="14"/>
      <c r="CZ446" s="14"/>
      <c r="DA446" s="14"/>
      <c r="DB446" s="14"/>
      <c r="DC446" s="14"/>
      <c r="DD446" s="14"/>
      <c r="DE446" s="14"/>
      <c r="DF446" s="14"/>
      <c r="DG446" s="14"/>
      <c r="DH446" s="14"/>
      <c r="DI446" s="14"/>
      <c r="DJ446" s="14"/>
      <c r="DK446" s="14"/>
      <c r="DL446" s="14"/>
      <c r="DM446" s="14"/>
      <c r="DN446" s="14"/>
      <c r="DO446" s="14"/>
      <c r="DP446" s="14"/>
      <c r="DQ446" s="14"/>
      <c r="DR446" s="14"/>
      <c r="DS446" s="14"/>
      <c r="DT446" s="14"/>
      <c r="DU446" s="14"/>
      <c r="DV446" s="14"/>
      <c r="DW446" s="14"/>
      <c r="DX446" s="14"/>
      <c r="DY446" s="14"/>
    </row>
    <row r="447" spans="1:129" s="111" customFormat="1" ht="11.7" customHeight="1" outlineLevel="1" x14ac:dyDescent="0.3">
      <c r="A447" s="3"/>
      <c r="B447" s="574" t="s">
        <v>457</v>
      </c>
      <c r="C447" s="1132"/>
      <c r="D447" s="865"/>
      <c r="E447" s="865"/>
      <c r="F447" s="865"/>
      <c r="G447" s="866"/>
      <c r="H447" s="866"/>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c r="AT447" s="14"/>
      <c r="AU447" s="14"/>
      <c r="AV447" s="14"/>
      <c r="AW447" s="14"/>
      <c r="AX447" s="14"/>
      <c r="AY447" s="14"/>
      <c r="AZ447" s="14"/>
      <c r="BA447" s="14"/>
      <c r="BB447" s="14"/>
      <c r="BC447" s="14"/>
      <c r="BD447" s="14"/>
      <c r="BE447" s="14"/>
      <c r="BF447" s="14"/>
      <c r="BG447" s="14"/>
      <c r="BH447" s="14"/>
      <c r="BI447" s="14"/>
      <c r="BJ447" s="14"/>
      <c r="BK447" s="14"/>
      <c r="BL447" s="14"/>
      <c r="BM447" s="14"/>
      <c r="BN447" s="14"/>
      <c r="BO447" s="14"/>
      <c r="BP447" s="14"/>
      <c r="BQ447" s="14"/>
      <c r="BR447" s="14"/>
      <c r="BS447" s="14"/>
      <c r="BT447" s="14"/>
      <c r="BU447" s="14"/>
      <c r="BV447" s="14"/>
      <c r="BW447" s="14"/>
      <c r="BX447" s="14"/>
      <c r="BY447" s="14"/>
      <c r="BZ447" s="14"/>
      <c r="CA447" s="14"/>
      <c r="CB447" s="14"/>
      <c r="CC447" s="14"/>
      <c r="CD447" s="14"/>
      <c r="CE447" s="14"/>
      <c r="CF447" s="14"/>
      <c r="CG447" s="14"/>
      <c r="CH447" s="14"/>
      <c r="CI447" s="14"/>
      <c r="CJ447" s="14"/>
      <c r="CK447" s="14"/>
      <c r="CL447" s="14"/>
      <c r="CM447" s="14"/>
      <c r="CN447" s="14"/>
      <c r="CO447" s="14"/>
      <c r="CP447" s="14"/>
      <c r="CQ447" s="14"/>
      <c r="CR447" s="14"/>
      <c r="CS447" s="14"/>
      <c r="CT447" s="14"/>
      <c r="CU447" s="14"/>
      <c r="CV447" s="14"/>
      <c r="CW447" s="14"/>
      <c r="CX447" s="14"/>
      <c r="CY447" s="14"/>
      <c r="CZ447" s="14"/>
      <c r="DA447" s="14"/>
      <c r="DB447" s="14"/>
      <c r="DC447" s="14"/>
      <c r="DD447" s="14"/>
      <c r="DE447" s="14"/>
      <c r="DF447" s="14"/>
      <c r="DG447" s="14"/>
      <c r="DH447" s="14"/>
      <c r="DI447" s="14"/>
      <c r="DJ447" s="14"/>
      <c r="DK447" s="14"/>
      <c r="DL447" s="14"/>
      <c r="DM447" s="14"/>
      <c r="DN447" s="14"/>
      <c r="DO447" s="14"/>
      <c r="DP447" s="14"/>
      <c r="DQ447" s="14"/>
      <c r="DR447" s="14"/>
      <c r="DS447" s="14"/>
      <c r="DT447" s="14"/>
      <c r="DU447" s="14"/>
      <c r="DV447" s="14"/>
      <c r="DW447" s="14"/>
      <c r="DX447" s="14"/>
      <c r="DY447" s="14"/>
    </row>
    <row r="448" spans="1:129" s="3" customFormat="1" ht="11.7" customHeight="1" outlineLevel="1" x14ac:dyDescent="0.3">
      <c r="B448" s="577" t="s">
        <v>3</v>
      </c>
      <c r="C448" s="1133"/>
      <c r="D448" s="578"/>
      <c r="E448" s="575"/>
      <c r="F448" s="575"/>
      <c r="G448" s="579"/>
      <c r="H448" s="589">
        <f ca="1">+XIRR($I$444:$DY$444,$I$7:$DY$7)</f>
        <v>0.12530249953269956</v>
      </c>
      <c r="I448" s="14"/>
      <c r="J448" s="702"/>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c r="AT448" s="14"/>
      <c r="AU448" s="14"/>
      <c r="AV448" s="14"/>
      <c r="AW448" s="14"/>
      <c r="AX448" s="14"/>
      <c r="AY448" s="14"/>
      <c r="AZ448" s="14"/>
      <c r="BA448" s="14"/>
      <c r="BB448" s="14"/>
      <c r="BC448" s="14"/>
      <c r="BD448" s="14"/>
      <c r="BE448" s="14"/>
      <c r="BF448" s="14"/>
      <c r="BG448" s="14"/>
      <c r="BH448" s="14"/>
      <c r="BI448" s="14"/>
      <c r="BJ448" s="14"/>
      <c r="BK448" s="14"/>
      <c r="BL448" s="14"/>
      <c r="BM448" s="14"/>
      <c r="BN448" s="14"/>
      <c r="BO448" s="14"/>
      <c r="BP448" s="14"/>
      <c r="BQ448" s="14"/>
      <c r="BR448" s="14"/>
      <c r="BS448" s="14"/>
      <c r="BT448" s="14"/>
      <c r="BU448" s="14"/>
      <c r="BV448" s="14"/>
      <c r="BW448" s="14"/>
      <c r="BX448" s="14"/>
      <c r="BY448" s="14"/>
      <c r="BZ448" s="14"/>
      <c r="CA448" s="14"/>
      <c r="CB448" s="14"/>
      <c r="CC448" s="14"/>
      <c r="CD448" s="14"/>
      <c r="CE448" s="14"/>
      <c r="CF448" s="14"/>
      <c r="CG448" s="14"/>
      <c r="CH448" s="14"/>
      <c r="CI448" s="14"/>
      <c r="CJ448" s="14"/>
      <c r="CK448" s="14"/>
      <c r="CL448" s="14"/>
      <c r="CM448" s="14"/>
      <c r="CN448" s="14"/>
      <c r="CO448" s="14"/>
      <c r="CP448" s="14"/>
      <c r="CQ448" s="14"/>
      <c r="CR448" s="14"/>
      <c r="CS448" s="14"/>
      <c r="CT448" s="14"/>
      <c r="CU448" s="14"/>
      <c r="CV448" s="14"/>
      <c r="CW448" s="14"/>
      <c r="CX448" s="14"/>
      <c r="CY448" s="14"/>
      <c r="CZ448" s="14"/>
      <c r="DA448" s="14"/>
      <c r="DB448" s="14"/>
      <c r="DC448" s="14"/>
      <c r="DD448" s="14"/>
      <c r="DE448" s="14"/>
      <c r="DF448" s="14"/>
      <c r="DG448" s="14"/>
      <c r="DH448" s="14"/>
      <c r="DI448" s="14"/>
      <c r="DJ448" s="14"/>
      <c r="DK448" s="14"/>
      <c r="DL448" s="14"/>
      <c r="DM448" s="14"/>
      <c r="DN448" s="14"/>
      <c r="DO448" s="14"/>
      <c r="DP448" s="14"/>
      <c r="DQ448" s="14"/>
      <c r="DR448" s="14"/>
      <c r="DS448" s="14"/>
      <c r="DT448" s="14"/>
      <c r="DU448" s="14"/>
      <c r="DV448" s="14"/>
      <c r="DW448" s="14"/>
      <c r="DX448" s="14"/>
      <c r="DY448" s="14"/>
    </row>
    <row r="449" spans="2:129" s="3" customFormat="1" ht="11.7" customHeight="1" outlineLevel="1" x14ac:dyDescent="0.25">
      <c r="B449" s="577" t="s">
        <v>4</v>
      </c>
      <c r="C449" s="1133"/>
      <c r="D449" s="580"/>
      <c r="E449" s="575"/>
      <c r="F449" s="575"/>
      <c r="G449" s="579"/>
      <c r="H449" s="581">
        <f ca="1">+H450/H451+1</f>
        <v>1.9206875951818447</v>
      </c>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c r="AT449" s="14"/>
      <c r="AU449" s="14"/>
      <c r="AV449" s="14"/>
      <c r="AW449" s="14"/>
      <c r="AX449" s="14"/>
      <c r="AY449" s="14"/>
      <c r="AZ449" s="14"/>
      <c r="BA449" s="14"/>
      <c r="BB449" s="14"/>
      <c r="BC449" s="14"/>
      <c r="BD449" s="14"/>
      <c r="BE449" s="14"/>
      <c r="BF449" s="14"/>
      <c r="BG449" s="14"/>
      <c r="BH449" s="14"/>
      <c r="BI449" s="14"/>
      <c r="BJ449" s="14"/>
      <c r="BK449" s="14"/>
      <c r="BL449" s="14"/>
      <c r="BM449" s="14"/>
      <c r="BN449" s="14"/>
      <c r="BO449" s="14"/>
      <c r="BP449" s="14"/>
      <c r="BQ449" s="14"/>
      <c r="BR449" s="14"/>
      <c r="BS449" s="14"/>
      <c r="BT449" s="14"/>
      <c r="BU449" s="14"/>
      <c r="BV449" s="14"/>
      <c r="BW449" s="14"/>
      <c r="BX449" s="14"/>
      <c r="BY449" s="14"/>
      <c r="BZ449" s="14"/>
      <c r="CA449" s="14"/>
      <c r="CB449" s="14"/>
      <c r="CC449" s="14"/>
      <c r="CD449" s="14"/>
      <c r="CE449" s="14"/>
      <c r="CF449" s="14"/>
      <c r="CG449" s="14"/>
      <c r="CH449" s="14"/>
      <c r="CI449" s="14"/>
      <c r="CJ449" s="14"/>
      <c r="CK449" s="14"/>
      <c r="CL449" s="14"/>
      <c r="CM449" s="14"/>
      <c r="CN449" s="14"/>
      <c r="CO449" s="14"/>
      <c r="CP449" s="14"/>
      <c r="CQ449" s="14"/>
      <c r="CR449" s="14"/>
      <c r="CS449" s="14"/>
      <c r="CT449" s="14"/>
      <c r="CU449" s="14"/>
      <c r="CV449" s="14"/>
      <c r="CW449" s="14"/>
      <c r="CX449" s="14"/>
      <c r="CY449" s="14"/>
      <c r="CZ449" s="14"/>
      <c r="DA449" s="14"/>
      <c r="DB449" s="14"/>
      <c r="DC449" s="14"/>
      <c r="DD449" s="14"/>
      <c r="DE449" s="14"/>
      <c r="DF449" s="14"/>
      <c r="DG449" s="14"/>
      <c r="DH449" s="14"/>
      <c r="DI449" s="14"/>
      <c r="DJ449" s="14"/>
      <c r="DK449" s="14"/>
      <c r="DL449" s="14"/>
      <c r="DM449" s="14"/>
      <c r="DN449" s="14"/>
      <c r="DO449" s="14"/>
      <c r="DP449" s="14"/>
      <c r="DQ449" s="14"/>
      <c r="DR449" s="14"/>
      <c r="DS449" s="14"/>
      <c r="DT449" s="14"/>
      <c r="DU449" s="14"/>
      <c r="DV449" s="14"/>
      <c r="DW449" s="14"/>
      <c r="DX449" s="14"/>
      <c r="DY449" s="14"/>
    </row>
    <row r="450" spans="2:129" s="3" customFormat="1" ht="11.7" customHeight="1" outlineLevel="1" x14ac:dyDescent="0.3">
      <c r="B450" s="577" t="s">
        <v>5</v>
      </c>
      <c r="C450" s="1133"/>
      <c r="D450" s="582"/>
      <c r="E450" s="575"/>
      <c r="F450" s="575"/>
      <c r="G450" s="579"/>
      <c r="H450" s="583">
        <f ca="1">+H444</f>
        <v>193557.65227011411</v>
      </c>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c r="AT450" s="14"/>
      <c r="AU450" s="14"/>
      <c r="AV450" s="14"/>
      <c r="AW450" s="14"/>
      <c r="AX450" s="14"/>
      <c r="AY450" s="14"/>
      <c r="AZ450" s="14"/>
      <c r="BA450" s="14"/>
      <c r="BB450" s="14"/>
      <c r="BC450" s="14"/>
      <c r="BD450" s="14"/>
      <c r="BE450" s="14"/>
      <c r="BF450" s="14"/>
      <c r="BG450" s="14"/>
      <c r="BH450" s="14"/>
      <c r="BI450" s="14"/>
      <c r="BJ450" s="14"/>
      <c r="BK450" s="14"/>
      <c r="BL450" s="14"/>
      <c r="BM450" s="14"/>
      <c r="BN450" s="14"/>
      <c r="BO450" s="14"/>
      <c r="BP450" s="14"/>
      <c r="BQ450" s="14"/>
      <c r="BR450" s="14"/>
      <c r="BS450" s="14"/>
      <c r="BT450" s="14"/>
      <c r="BU450" s="14"/>
      <c r="BV450" s="14"/>
      <c r="BW450" s="14"/>
      <c r="BX450" s="14"/>
      <c r="BY450" s="14"/>
      <c r="BZ450" s="14"/>
      <c r="CA450" s="14"/>
      <c r="CB450" s="14"/>
      <c r="CC450" s="14"/>
      <c r="CD450" s="14"/>
      <c r="CE450" s="14"/>
      <c r="CF450" s="14"/>
      <c r="CG450" s="14"/>
      <c r="CH450" s="14"/>
      <c r="CI450" s="14"/>
      <c r="CJ450" s="14"/>
      <c r="CK450" s="14"/>
      <c r="CL450" s="14"/>
      <c r="CM450" s="14"/>
      <c r="CN450" s="14"/>
      <c r="CO450" s="14"/>
      <c r="CP450" s="14"/>
      <c r="CQ450" s="14"/>
      <c r="CR450" s="14"/>
      <c r="CS450" s="14"/>
      <c r="CT450" s="14"/>
      <c r="CU450" s="14"/>
      <c r="CV450" s="14"/>
      <c r="CW450" s="14"/>
      <c r="CX450" s="14"/>
      <c r="CY450" s="14"/>
      <c r="CZ450" s="14"/>
      <c r="DA450" s="14"/>
      <c r="DB450" s="14"/>
      <c r="DC450" s="14"/>
      <c r="DD450" s="14"/>
      <c r="DE450" s="14"/>
      <c r="DF450" s="14"/>
      <c r="DG450" s="14"/>
      <c r="DH450" s="14"/>
      <c r="DI450" s="14"/>
      <c r="DJ450" s="14"/>
      <c r="DK450" s="14"/>
      <c r="DL450" s="14"/>
      <c r="DM450" s="14"/>
      <c r="DN450" s="14"/>
      <c r="DO450" s="14"/>
      <c r="DP450" s="14"/>
      <c r="DQ450" s="14"/>
      <c r="DR450" s="14"/>
      <c r="DS450" s="14"/>
      <c r="DT450" s="14"/>
      <c r="DU450" s="14"/>
      <c r="DV450" s="14"/>
      <c r="DW450" s="14"/>
      <c r="DX450" s="14"/>
      <c r="DY450" s="14"/>
    </row>
    <row r="451" spans="2:129" s="3" customFormat="1" ht="11.7" customHeight="1" outlineLevel="1" x14ac:dyDescent="0.3">
      <c r="B451" s="584" t="s">
        <v>21</v>
      </c>
      <c r="C451" s="1134"/>
      <c r="D451" s="585"/>
      <c r="E451" s="586"/>
      <c r="F451" s="586"/>
      <c r="G451" s="587"/>
      <c r="H451" s="588">
        <f ca="1">-H445</f>
        <v>210231.62827765109</v>
      </c>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c r="AT451" s="14"/>
      <c r="AU451" s="14"/>
      <c r="AV451" s="14"/>
      <c r="AW451" s="14"/>
      <c r="AX451" s="14"/>
      <c r="AY451" s="14"/>
      <c r="AZ451" s="14"/>
      <c r="BA451" s="14"/>
      <c r="BB451" s="14"/>
      <c r="BC451" s="14"/>
      <c r="BD451" s="14"/>
      <c r="BE451" s="14"/>
      <c r="BF451" s="14"/>
      <c r="BG451" s="14"/>
      <c r="BH451" s="14"/>
      <c r="BI451" s="14"/>
      <c r="BJ451" s="14"/>
      <c r="BK451" s="14"/>
      <c r="BL451" s="14"/>
      <c r="BM451" s="14"/>
      <c r="BN451" s="14"/>
      <c r="BO451" s="14"/>
      <c r="BP451" s="14"/>
      <c r="BQ451" s="14"/>
      <c r="BR451" s="14"/>
      <c r="BS451" s="14"/>
      <c r="BT451" s="14"/>
      <c r="BU451" s="14"/>
      <c r="BV451" s="14"/>
      <c r="BW451" s="14"/>
      <c r="BX451" s="14"/>
      <c r="BY451" s="14"/>
      <c r="BZ451" s="14"/>
      <c r="CA451" s="14"/>
      <c r="CB451" s="14"/>
      <c r="CC451" s="14"/>
      <c r="CD451" s="14"/>
      <c r="CE451" s="14"/>
      <c r="CF451" s="14"/>
      <c r="CG451" s="14"/>
      <c r="CH451" s="14"/>
      <c r="CI451" s="14"/>
      <c r="CJ451" s="14"/>
      <c r="CK451" s="14"/>
      <c r="CL451" s="14"/>
      <c r="CM451" s="14"/>
      <c r="CN451" s="14"/>
      <c r="CO451" s="14"/>
      <c r="CP451" s="14"/>
      <c r="CQ451" s="14"/>
      <c r="CR451" s="14"/>
      <c r="CS451" s="14"/>
      <c r="CT451" s="14"/>
      <c r="CU451" s="14"/>
      <c r="CV451" s="14"/>
      <c r="CW451" s="14"/>
      <c r="CX451" s="14"/>
      <c r="CY451" s="14"/>
      <c r="CZ451" s="14"/>
      <c r="DA451" s="14"/>
      <c r="DB451" s="14"/>
      <c r="DC451" s="14"/>
      <c r="DD451" s="14"/>
      <c r="DE451" s="14"/>
      <c r="DF451" s="14"/>
      <c r="DG451" s="14"/>
      <c r="DH451" s="14"/>
      <c r="DI451" s="14"/>
      <c r="DJ451" s="14"/>
      <c r="DK451" s="14"/>
      <c r="DL451" s="14"/>
      <c r="DM451" s="14"/>
      <c r="DN451" s="14"/>
      <c r="DO451" s="14"/>
      <c r="DP451" s="14"/>
      <c r="DQ451" s="14"/>
      <c r="DR451" s="14"/>
      <c r="DS451" s="14"/>
      <c r="DT451" s="14"/>
      <c r="DU451" s="14"/>
      <c r="DV451" s="14"/>
      <c r="DW451" s="14"/>
      <c r="DX451" s="14"/>
      <c r="DY451" s="14"/>
    </row>
    <row r="452" spans="2:129" s="3" customFormat="1" ht="11.7" customHeight="1" outlineLevel="1" x14ac:dyDescent="0.3">
      <c r="B452" s="149"/>
      <c r="C452" s="149"/>
      <c r="D452" s="7"/>
      <c r="G452" s="127"/>
      <c r="H452" s="127"/>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c r="AT452" s="14"/>
      <c r="AU452" s="14"/>
      <c r="AV452" s="14"/>
      <c r="AW452" s="14"/>
      <c r="AX452" s="14"/>
      <c r="AY452" s="14"/>
      <c r="AZ452" s="14"/>
      <c r="BA452" s="14"/>
      <c r="BB452" s="14"/>
      <c r="BC452" s="14"/>
      <c r="BD452" s="14"/>
      <c r="BE452" s="14"/>
      <c r="BF452" s="14"/>
      <c r="BG452" s="14"/>
      <c r="BH452" s="14"/>
      <c r="BI452" s="14"/>
      <c r="BJ452" s="14"/>
      <c r="BK452" s="14"/>
      <c r="BL452" s="14"/>
      <c r="BM452" s="14"/>
      <c r="BN452" s="14"/>
      <c r="BO452" s="14"/>
      <c r="BP452" s="14"/>
      <c r="BQ452" s="14"/>
      <c r="BR452" s="14"/>
      <c r="BS452" s="14"/>
      <c r="BT452" s="14"/>
      <c r="BU452" s="14"/>
      <c r="BV452" s="14"/>
      <c r="BW452" s="14"/>
      <c r="BX452" s="14"/>
      <c r="BY452" s="14"/>
      <c r="BZ452" s="14"/>
      <c r="CA452" s="14"/>
      <c r="CB452" s="14"/>
      <c r="CC452" s="14"/>
      <c r="CD452" s="14"/>
      <c r="CE452" s="14"/>
      <c r="CF452" s="14"/>
      <c r="CG452" s="14"/>
      <c r="CH452" s="14"/>
      <c r="CI452" s="14"/>
      <c r="CJ452" s="14"/>
      <c r="CK452" s="14"/>
      <c r="CL452" s="14"/>
      <c r="CM452" s="14"/>
      <c r="CN452" s="14"/>
      <c r="CO452" s="14"/>
      <c r="CP452" s="14"/>
      <c r="CQ452" s="14"/>
      <c r="CR452" s="14"/>
      <c r="CS452" s="14"/>
      <c r="CT452" s="14"/>
      <c r="CU452" s="14"/>
      <c r="CV452" s="14"/>
      <c r="CW452" s="14"/>
      <c r="CX452" s="14"/>
      <c r="CY452" s="14"/>
      <c r="CZ452" s="14"/>
      <c r="DA452" s="14"/>
      <c r="DB452" s="14"/>
      <c r="DC452" s="14"/>
      <c r="DD452" s="14"/>
      <c r="DE452" s="14"/>
      <c r="DF452" s="14"/>
      <c r="DG452" s="14"/>
      <c r="DH452" s="14"/>
      <c r="DI452" s="14"/>
      <c r="DJ452" s="14"/>
      <c r="DK452" s="14"/>
      <c r="DL452" s="14"/>
      <c r="DM452" s="14"/>
      <c r="DN452" s="14"/>
      <c r="DO452" s="14"/>
      <c r="DP452" s="14"/>
      <c r="DQ452" s="14"/>
      <c r="DR452" s="14"/>
      <c r="DS452" s="14"/>
      <c r="DT452" s="14"/>
      <c r="DU452" s="14"/>
      <c r="DV452" s="14"/>
      <c r="DW452" s="14"/>
      <c r="DX452" s="14"/>
      <c r="DY452" s="14"/>
    </row>
    <row r="453" spans="2:129" s="3" customFormat="1" ht="11.7" customHeight="1" outlineLevel="1" x14ac:dyDescent="0.3">
      <c r="B453" s="149"/>
      <c r="C453" s="149"/>
      <c r="D453" s="7"/>
      <c r="G453" s="127"/>
      <c r="H453" s="127"/>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c r="AT453" s="14"/>
      <c r="AU453" s="14"/>
      <c r="AV453" s="14"/>
      <c r="AW453" s="14"/>
      <c r="AX453" s="14"/>
      <c r="AY453" s="14"/>
      <c r="AZ453" s="14"/>
      <c r="BA453" s="14"/>
      <c r="BB453" s="14"/>
      <c r="BC453" s="14"/>
      <c r="BD453" s="14"/>
      <c r="BE453" s="14"/>
      <c r="BF453" s="14"/>
      <c r="BG453" s="14"/>
      <c r="BH453" s="14"/>
      <c r="BI453" s="14"/>
      <c r="BJ453" s="14"/>
      <c r="BK453" s="14"/>
      <c r="BL453" s="14"/>
      <c r="BM453" s="14"/>
      <c r="BN453" s="14"/>
      <c r="BO453" s="14"/>
      <c r="BP453" s="14"/>
      <c r="BQ453" s="14"/>
      <c r="BR453" s="14"/>
      <c r="BS453" s="14"/>
      <c r="BT453" s="14"/>
      <c r="BU453" s="14"/>
      <c r="BV453" s="14"/>
      <c r="BW453" s="14"/>
      <c r="BX453" s="14"/>
      <c r="BY453" s="14"/>
      <c r="BZ453" s="14"/>
      <c r="CA453" s="14"/>
      <c r="CB453" s="14"/>
      <c r="CC453" s="14"/>
      <c r="CD453" s="14"/>
      <c r="CE453" s="14"/>
      <c r="CF453" s="14"/>
      <c r="CG453" s="14"/>
      <c r="CH453" s="14"/>
      <c r="CI453" s="14"/>
      <c r="CJ453" s="14"/>
      <c r="CK453" s="14"/>
      <c r="CL453" s="14"/>
      <c r="CM453" s="14"/>
      <c r="CN453" s="14"/>
      <c r="CO453" s="14"/>
      <c r="CP453" s="14"/>
      <c r="CQ453" s="14"/>
      <c r="CR453" s="14"/>
      <c r="CS453" s="14"/>
      <c r="CT453" s="14"/>
      <c r="CU453" s="14"/>
      <c r="CV453" s="14"/>
      <c r="CW453" s="14"/>
      <c r="CX453" s="14"/>
      <c r="CY453" s="14"/>
      <c r="CZ453" s="14"/>
      <c r="DA453" s="14"/>
      <c r="DB453" s="14"/>
      <c r="DC453" s="14"/>
      <c r="DD453" s="14"/>
      <c r="DE453" s="14"/>
      <c r="DF453" s="14"/>
      <c r="DG453" s="14"/>
      <c r="DH453" s="14"/>
      <c r="DI453" s="14"/>
      <c r="DJ453" s="14"/>
      <c r="DK453" s="14"/>
      <c r="DL453" s="14"/>
      <c r="DM453" s="14"/>
      <c r="DN453" s="14"/>
      <c r="DO453" s="14"/>
      <c r="DP453" s="14"/>
      <c r="DQ453" s="14"/>
      <c r="DR453" s="14"/>
      <c r="DS453" s="14"/>
      <c r="DT453" s="14"/>
      <c r="DU453" s="14"/>
      <c r="DV453" s="14"/>
      <c r="DW453" s="14"/>
      <c r="DX453" s="14"/>
      <c r="DY453" s="14"/>
    </row>
    <row r="454" spans="2:129" ht="11.7" customHeight="1" x14ac:dyDescent="0.3">
      <c r="B454" s="313" t="s">
        <v>499</v>
      </c>
      <c r="C454" s="313"/>
      <c r="D454" s="313"/>
      <c r="E454" s="313"/>
      <c r="F454" s="313"/>
      <c r="G454" s="313"/>
      <c r="H454" s="313"/>
      <c r="I454" s="313"/>
      <c r="J454" s="313"/>
      <c r="K454" s="313"/>
      <c r="L454" s="313"/>
      <c r="M454" s="313"/>
      <c r="N454" s="313"/>
      <c r="O454" s="313"/>
      <c r="P454" s="313"/>
      <c r="Q454" s="313"/>
      <c r="R454" s="313"/>
      <c r="S454" s="313"/>
      <c r="T454" s="313"/>
      <c r="U454" s="313"/>
      <c r="V454" s="313"/>
      <c r="W454" s="313"/>
      <c r="X454" s="313"/>
      <c r="Y454" s="313"/>
      <c r="Z454" s="313"/>
      <c r="AA454" s="313"/>
      <c r="AB454" s="313"/>
      <c r="AC454" s="313"/>
      <c r="AD454" s="313"/>
      <c r="AE454" s="313"/>
      <c r="AF454" s="313"/>
      <c r="AG454" s="313"/>
      <c r="AH454" s="313"/>
      <c r="AI454" s="313"/>
      <c r="AJ454" s="313"/>
      <c r="AK454" s="313"/>
      <c r="AL454" s="313"/>
      <c r="AM454" s="313"/>
      <c r="AN454" s="313"/>
      <c r="AO454" s="313"/>
      <c r="AP454" s="313"/>
      <c r="AQ454" s="313"/>
      <c r="AR454" s="313"/>
      <c r="AS454" s="313"/>
      <c r="AT454" s="313"/>
      <c r="AU454" s="313"/>
      <c r="AV454" s="313"/>
      <c r="AW454" s="313"/>
      <c r="AX454" s="313"/>
      <c r="AY454" s="313"/>
      <c r="AZ454" s="313"/>
      <c r="BA454" s="313"/>
      <c r="BB454" s="313"/>
      <c r="BC454" s="313"/>
      <c r="BD454" s="313"/>
      <c r="BE454" s="313"/>
      <c r="BF454" s="313"/>
      <c r="BG454" s="313"/>
      <c r="BH454" s="313"/>
      <c r="BI454" s="313"/>
      <c r="BJ454" s="313"/>
      <c r="BK454" s="313"/>
      <c r="BL454" s="313"/>
      <c r="BM454" s="313"/>
      <c r="BN454" s="313"/>
      <c r="BO454" s="313"/>
      <c r="BP454" s="313"/>
      <c r="BQ454" s="313"/>
      <c r="BR454" s="313"/>
      <c r="BS454" s="313"/>
      <c r="BT454" s="313"/>
      <c r="BU454" s="313"/>
      <c r="BV454" s="313"/>
      <c r="BW454" s="313"/>
      <c r="BX454" s="313"/>
      <c r="BY454" s="313"/>
      <c r="BZ454" s="313"/>
      <c r="CA454" s="313"/>
      <c r="CB454" s="313"/>
      <c r="CC454" s="313"/>
      <c r="CD454" s="313"/>
      <c r="CE454" s="313"/>
      <c r="CF454" s="313"/>
      <c r="CG454" s="313"/>
      <c r="CH454" s="313"/>
      <c r="CI454" s="313"/>
      <c r="CJ454" s="313"/>
      <c r="CK454" s="313"/>
      <c r="CL454" s="313"/>
      <c r="CM454" s="313"/>
      <c r="CN454" s="313"/>
      <c r="CO454" s="313"/>
      <c r="CP454" s="313"/>
      <c r="CQ454" s="313"/>
      <c r="CR454" s="313"/>
      <c r="CS454" s="313"/>
      <c r="CT454" s="313"/>
      <c r="CU454" s="313"/>
      <c r="CV454" s="313"/>
      <c r="CW454" s="313"/>
      <c r="CX454" s="313"/>
      <c r="CY454" s="313"/>
      <c r="CZ454" s="313"/>
      <c r="DA454" s="313"/>
      <c r="DB454" s="313"/>
      <c r="DC454" s="313"/>
      <c r="DD454" s="313"/>
      <c r="DE454" s="313"/>
      <c r="DF454" s="313"/>
      <c r="DG454" s="313"/>
      <c r="DH454" s="313"/>
      <c r="DI454" s="313"/>
      <c r="DJ454" s="313"/>
      <c r="DK454" s="313"/>
      <c r="DL454" s="313"/>
      <c r="DM454" s="313"/>
      <c r="DN454" s="313"/>
      <c r="DO454" s="313"/>
      <c r="DP454" s="313"/>
      <c r="DQ454" s="313"/>
      <c r="DR454" s="313"/>
      <c r="DS454" s="313"/>
      <c r="DT454" s="313"/>
      <c r="DU454" s="313"/>
      <c r="DV454" s="313"/>
      <c r="DW454" s="313"/>
      <c r="DX454" s="313"/>
      <c r="DY454" s="313"/>
    </row>
    <row r="455" spans="2:129" ht="11.7" customHeight="1" x14ac:dyDescent="0.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row>
    <row r="456" spans="2:129" ht="11.7" customHeight="1" x14ac:dyDescent="0.3">
      <c r="B456" s="340" t="s">
        <v>652</v>
      </c>
      <c r="C456" s="340"/>
      <c r="D456" s="340"/>
      <c r="E456" s="340"/>
      <c r="F456" s="340"/>
      <c r="G456" s="340"/>
      <c r="H456" s="340"/>
      <c r="I456" s="340"/>
      <c r="J456" s="340"/>
      <c r="K456" s="340"/>
      <c r="L456" s="340"/>
      <c r="M456" s="340"/>
      <c r="N456" s="340"/>
      <c r="O456" s="340"/>
      <c r="P456" s="340"/>
      <c r="Q456" s="340"/>
      <c r="R456" s="340"/>
      <c r="S456" s="340"/>
      <c r="T456" s="340"/>
      <c r="U456" s="340"/>
      <c r="V456" s="340"/>
      <c r="W456" s="340"/>
      <c r="X456" s="340"/>
      <c r="Y456" s="340"/>
      <c r="Z456" s="340"/>
      <c r="AA456" s="340"/>
      <c r="AB456" s="340"/>
      <c r="AC456" s="340"/>
      <c r="AD456" s="340"/>
      <c r="AE456" s="340"/>
      <c r="AF456" s="340"/>
      <c r="AG456" s="340"/>
      <c r="AH456" s="340"/>
      <c r="AI456" s="340"/>
      <c r="AJ456" s="340"/>
      <c r="AK456" s="340"/>
      <c r="AL456" s="340"/>
      <c r="AM456" s="340"/>
      <c r="AN456" s="340"/>
      <c r="AO456" s="340"/>
      <c r="AP456" s="340"/>
      <c r="AQ456" s="340"/>
      <c r="AR456" s="340"/>
      <c r="AS456" s="340"/>
      <c r="AT456" s="340"/>
      <c r="AU456" s="340"/>
      <c r="AV456" s="340"/>
      <c r="AW456" s="340"/>
      <c r="AX456" s="340"/>
      <c r="AY456" s="340"/>
      <c r="AZ456" s="340"/>
      <c r="BA456" s="340"/>
      <c r="BB456" s="340"/>
      <c r="BC456" s="340"/>
      <c r="BD456" s="340"/>
      <c r="BE456" s="340"/>
      <c r="BF456" s="340"/>
      <c r="BG456" s="340"/>
      <c r="BH456" s="340"/>
      <c r="BI456" s="340"/>
      <c r="BJ456" s="340"/>
      <c r="BK456" s="340"/>
      <c r="BL456" s="340"/>
      <c r="BM456" s="340"/>
      <c r="BN456" s="340"/>
      <c r="BO456" s="340"/>
      <c r="BP456" s="340"/>
      <c r="BQ456" s="340"/>
      <c r="BR456" s="340"/>
      <c r="BS456" s="340"/>
      <c r="BT456" s="340"/>
      <c r="BU456" s="340"/>
      <c r="BV456" s="340"/>
      <c r="BW456" s="340"/>
      <c r="BX456" s="340"/>
      <c r="BY456" s="340"/>
      <c r="BZ456" s="340"/>
      <c r="CA456" s="340"/>
      <c r="CB456" s="340"/>
      <c r="CC456" s="340"/>
      <c r="CD456" s="340"/>
      <c r="CE456" s="340"/>
      <c r="CF456" s="340"/>
      <c r="CG456" s="340"/>
      <c r="CH456" s="340"/>
      <c r="CI456" s="340"/>
      <c r="CJ456" s="340"/>
      <c r="CK456" s="340"/>
      <c r="CL456" s="340"/>
      <c r="CM456" s="340"/>
      <c r="CN456" s="340"/>
      <c r="CO456" s="340"/>
      <c r="CP456" s="340"/>
      <c r="CQ456" s="340"/>
      <c r="CR456" s="340"/>
      <c r="CS456" s="340"/>
      <c r="CT456" s="340"/>
      <c r="CU456" s="340"/>
      <c r="CV456" s="340"/>
      <c r="CW456" s="340"/>
      <c r="CX456" s="340"/>
      <c r="CY456" s="340"/>
      <c r="CZ456" s="340"/>
      <c r="DA456" s="340"/>
      <c r="DB456" s="340"/>
      <c r="DC456" s="340"/>
      <c r="DD456" s="340"/>
      <c r="DE456" s="340"/>
      <c r="DF456" s="340"/>
      <c r="DG456" s="340"/>
      <c r="DH456" s="340"/>
      <c r="DI456" s="340"/>
      <c r="DJ456" s="340"/>
      <c r="DK456" s="340"/>
      <c r="DL456" s="340"/>
      <c r="DM456" s="340"/>
      <c r="DN456" s="340"/>
      <c r="DO456" s="340"/>
      <c r="DP456" s="340"/>
      <c r="DQ456" s="340"/>
      <c r="DR456" s="340"/>
      <c r="DS456" s="340"/>
      <c r="DT456" s="340"/>
      <c r="DU456" s="340"/>
      <c r="DV456" s="340"/>
      <c r="DW456" s="340"/>
      <c r="DX456" s="340"/>
      <c r="DY456" s="340"/>
    </row>
    <row r="457" spans="2:129" ht="11.7" customHeight="1" outlineLevel="1" x14ac:dyDescent="0.3">
      <c r="B457" s="270"/>
      <c r="C457" s="270"/>
      <c r="D457" s="3"/>
      <c r="E457" s="3"/>
    </row>
    <row r="458" spans="2:129" ht="11.7" customHeight="1" outlineLevel="1" x14ac:dyDescent="0.3">
      <c r="B458" s="270" t="s">
        <v>515</v>
      </c>
      <c r="C458" s="270"/>
      <c r="E458" s="3"/>
    </row>
    <row r="459" spans="2:129" ht="11.7" customHeight="1" outlineLevel="1" x14ac:dyDescent="0.3">
      <c r="B459" s="125" t="s">
        <v>1</v>
      </c>
      <c r="C459" s="125"/>
      <c r="E459" s="3"/>
      <c r="I459" s="1019">
        <v>-181500</v>
      </c>
      <c r="J459" s="1019">
        <v>0</v>
      </c>
      <c r="K459" s="1019">
        <v>0</v>
      </c>
      <c r="L459" s="1019">
        <v>0</v>
      </c>
      <c r="M459" s="1019">
        <v>0</v>
      </c>
      <c r="N459" s="1019">
        <v>0</v>
      </c>
      <c r="O459" s="1019">
        <v>0</v>
      </c>
      <c r="P459" s="1019">
        <v>0</v>
      </c>
      <c r="Q459" s="1019">
        <v>0</v>
      </c>
      <c r="R459" s="1019">
        <v>0</v>
      </c>
      <c r="S459" s="1019">
        <v>0</v>
      </c>
      <c r="T459" s="1019">
        <v>0</v>
      </c>
      <c r="U459" s="1019">
        <v>0</v>
      </c>
      <c r="V459" s="1019">
        <v>0</v>
      </c>
      <c r="W459" s="1019">
        <v>-40465.438438150901</v>
      </c>
      <c r="X459" s="1019">
        <v>0</v>
      </c>
      <c r="Y459" s="1019">
        <v>0</v>
      </c>
      <c r="Z459" s="1019">
        <v>0</v>
      </c>
      <c r="AA459" s="1019">
        <v>0</v>
      </c>
      <c r="AB459" s="1019">
        <v>0</v>
      </c>
      <c r="AC459" s="1019">
        <v>0</v>
      </c>
      <c r="AD459" s="1019">
        <v>0</v>
      </c>
      <c r="AE459" s="1019">
        <v>0</v>
      </c>
      <c r="AF459" s="1019">
        <v>0</v>
      </c>
      <c r="AG459" s="1019">
        <v>0</v>
      </c>
      <c r="AH459" s="1019">
        <v>0</v>
      </c>
      <c r="AI459" s="1019">
        <v>0</v>
      </c>
      <c r="AJ459" s="1019">
        <v>0</v>
      </c>
      <c r="AK459" s="1019">
        <v>0</v>
      </c>
      <c r="AL459" s="1019">
        <v>0</v>
      </c>
      <c r="AM459" s="1019">
        <v>0</v>
      </c>
      <c r="AN459" s="1019">
        <v>0</v>
      </c>
      <c r="AO459" s="1019">
        <v>0</v>
      </c>
      <c r="AP459" s="1019">
        <v>0</v>
      </c>
      <c r="AQ459" s="1019">
        <v>0</v>
      </c>
      <c r="AR459" s="1019">
        <v>0</v>
      </c>
      <c r="AS459" s="1019">
        <v>0</v>
      </c>
      <c r="AT459" s="1019">
        <v>0</v>
      </c>
      <c r="AU459" s="1019">
        <v>0</v>
      </c>
      <c r="AV459" s="1019">
        <v>0</v>
      </c>
      <c r="AW459" s="1019">
        <v>0</v>
      </c>
      <c r="AX459" s="1019">
        <v>0</v>
      </c>
      <c r="AY459" s="1019">
        <v>0</v>
      </c>
      <c r="AZ459" s="1019">
        <v>0</v>
      </c>
      <c r="BA459" s="1019">
        <v>0</v>
      </c>
      <c r="BB459" s="1019">
        <v>0</v>
      </c>
      <c r="BC459" s="1019">
        <v>0</v>
      </c>
      <c r="BD459" s="1019">
        <v>0</v>
      </c>
      <c r="BE459" s="1019">
        <v>0</v>
      </c>
      <c r="BF459" s="1019">
        <v>0</v>
      </c>
      <c r="BG459" s="1019">
        <v>0</v>
      </c>
      <c r="BH459" s="1019">
        <v>0</v>
      </c>
      <c r="BI459" s="1019">
        <v>0</v>
      </c>
      <c r="BJ459" s="1019">
        <v>0</v>
      </c>
      <c r="BK459" s="1019">
        <v>0</v>
      </c>
      <c r="BL459" s="1019">
        <v>0</v>
      </c>
      <c r="BM459" s="1019">
        <v>0</v>
      </c>
      <c r="BN459" s="1019">
        <v>0</v>
      </c>
      <c r="BO459" s="1019">
        <v>0</v>
      </c>
      <c r="BP459" s="1019">
        <v>0</v>
      </c>
      <c r="BQ459" s="1019">
        <v>0</v>
      </c>
      <c r="BR459" s="1019">
        <v>0</v>
      </c>
      <c r="BS459" s="1019">
        <v>0</v>
      </c>
      <c r="BT459" s="1019">
        <v>0</v>
      </c>
      <c r="BU459" s="1019">
        <v>0</v>
      </c>
      <c r="BV459" s="1019">
        <v>0</v>
      </c>
      <c r="BW459" s="1019">
        <v>0</v>
      </c>
      <c r="BX459" s="1019">
        <v>0</v>
      </c>
      <c r="BY459" s="1019">
        <v>0</v>
      </c>
      <c r="BZ459" s="1019">
        <v>0</v>
      </c>
      <c r="CA459" s="1019">
        <v>0</v>
      </c>
      <c r="CB459" s="1019">
        <v>0</v>
      </c>
      <c r="CC459" s="1019">
        <v>0</v>
      </c>
      <c r="CD459" s="1019">
        <v>0</v>
      </c>
      <c r="CE459" s="1019">
        <v>0</v>
      </c>
      <c r="CF459" s="1019">
        <v>0</v>
      </c>
      <c r="CG459" s="1019">
        <v>0</v>
      </c>
      <c r="CH459" s="1019">
        <v>0</v>
      </c>
      <c r="CI459" s="1019">
        <v>0</v>
      </c>
      <c r="CJ459" s="1019">
        <v>0</v>
      </c>
      <c r="CK459" s="1019">
        <v>0</v>
      </c>
      <c r="CL459" s="1019">
        <v>0</v>
      </c>
      <c r="CM459" s="1019">
        <v>0</v>
      </c>
      <c r="CN459" s="1019">
        <v>0</v>
      </c>
      <c r="CO459" s="1019">
        <v>0</v>
      </c>
      <c r="CP459" s="1019">
        <v>0</v>
      </c>
      <c r="CQ459" s="1019">
        <v>0</v>
      </c>
      <c r="CR459" s="1019">
        <v>0</v>
      </c>
      <c r="CS459" s="1019">
        <v>0</v>
      </c>
      <c r="CT459" s="1019">
        <v>0</v>
      </c>
      <c r="CU459" s="1019">
        <v>0</v>
      </c>
      <c r="CV459" s="1019">
        <v>0</v>
      </c>
      <c r="CW459" s="1019">
        <v>0</v>
      </c>
      <c r="CX459" s="1019">
        <v>0</v>
      </c>
      <c r="CY459" s="1019">
        <v>0</v>
      </c>
      <c r="CZ459" s="1019">
        <v>0</v>
      </c>
      <c r="DA459" s="1019">
        <v>0</v>
      </c>
      <c r="DB459" s="1019">
        <v>0</v>
      </c>
      <c r="DC459" s="1019">
        <v>0</v>
      </c>
      <c r="DD459" s="1019">
        <v>0</v>
      </c>
      <c r="DE459" s="1019">
        <v>0</v>
      </c>
      <c r="DF459" s="1019">
        <v>0</v>
      </c>
      <c r="DG459" s="1019">
        <v>0</v>
      </c>
      <c r="DH459" s="1019">
        <v>0</v>
      </c>
      <c r="DI459" s="1019">
        <v>0</v>
      </c>
      <c r="DJ459" s="1019">
        <v>0</v>
      </c>
      <c r="DK459" s="1019">
        <v>0</v>
      </c>
      <c r="DL459" s="1019">
        <v>0</v>
      </c>
      <c r="DM459" s="1019">
        <v>0</v>
      </c>
      <c r="DN459" s="1019">
        <v>0</v>
      </c>
      <c r="DO459" s="1019">
        <v>0</v>
      </c>
      <c r="DP459" s="1019">
        <v>0</v>
      </c>
      <c r="DQ459" s="1019">
        <v>0</v>
      </c>
      <c r="DR459" s="1019">
        <v>0</v>
      </c>
      <c r="DS459" s="1019">
        <v>0</v>
      </c>
      <c r="DT459" s="1019">
        <v>0</v>
      </c>
      <c r="DU459" s="1019">
        <v>0</v>
      </c>
      <c r="DV459" s="1019">
        <v>0</v>
      </c>
      <c r="DW459" s="1019">
        <v>0</v>
      </c>
      <c r="DX459" s="1019">
        <v>0</v>
      </c>
      <c r="DY459" s="1019">
        <v>0</v>
      </c>
    </row>
    <row r="460" spans="2:129" ht="11.7" customHeight="1" outlineLevel="1" x14ac:dyDescent="0.3">
      <c r="B460" s="125" t="s">
        <v>653</v>
      </c>
      <c r="C460" s="125"/>
      <c r="D460" s="1095">
        <v>0.99146683637811472</v>
      </c>
      <c r="E460" s="3"/>
      <c r="H460" s="290">
        <f t="shared" ref="H460:H465" si="704">+SUM(I460:DY460)</f>
        <v>-220071.37103355466</v>
      </c>
      <c r="I460" s="14">
        <f>+I$459*$D$460</f>
        <v>-179951.23080262783</v>
      </c>
      <c r="J460" s="14">
        <f t="shared" ref="J460:BU460" si="705">+J$459*$D$460</f>
        <v>0</v>
      </c>
      <c r="K460" s="14">
        <f t="shared" si="705"/>
        <v>0</v>
      </c>
      <c r="L460" s="14">
        <f t="shared" si="705"/>
        <v>0</v>
      </c>
      <c r="M460" s="14">
        <f t="shared" si="705"/>
        <v>0</v>
      </c>
      <c r="N460" s="14">
        <f t="shared" si="705"/>
        <v>0</v>
      </c>
      <c r="O460" s="14">
        <f t="shared" si="705"/>
        <v>0</v>
      </c>
      <c r="P460" s="14">
        <f t="shared" si="705"/>
        <v>0</v>
      </c>
      <c r="Q460" s="14">
        <f t="shared" si="705"/>
        <v>0</v>
      </c>
      <c r="R460" s="14">
        <f t="shared" si="705"/>
        <v>0</v>
      </c>
      <c r="S460" s="14">
        <f t="shared" si="705"/>
        <v>0</v>
      </c>
      <c r="T460" s="14">
        <f t="shared" si="705"/>
        <v>0</v>
      </c>
      <c r="U460" s="14">
        <f t="shared" si="705"/>
        <v>0</v>
      </c>
      <c r="V460" s="14">
        <f t="shared" si="705"/>
        <v>0</v>
      </c>
      <c r="W460" s="14">
        <f t="shared" si="705"/>
        <v>-40120.140230926831</v>
      </c>
      <c r="X460" s="14">
        <f t="shared" si="705"/>
        <v>0</v>
      </c>
      <c r="Y460" s="14">
        <f t="shared" si="705"/>
        <v>0</v>
      </c>
      <c r="Z460" s="14">
        <f t="shared" si="705"/>
        <v>0</v>
      </c>
      <c r="AA460" s="14">
        <f t="shared" si="705"/>
        <v>0</v>
      </c>
      <c r="AB460" s="14">
        <f t="shared" si="705"/>
        <v>0</v>
      </c>
      <c r="AC460" s="14">
        <f t="shared" si="705"/>
        <v>0</v>
      </c>
      <c r="AD460" s="14">
        <f t="shared" si="705"/>
        <v>0</v>
      </c>
      <c r="AE460" s="14">
        <f t="shared" si="705"/>
        <v>0</v>
      </c>
      <c r="AF460" s="14">
        <f t="shared" si="705"/>
        <v>0</v>
      </c>
      <c r="AG460" s="14">
        <f t="shared" si="705"/>
        <v>0</v>
      </c>
      <c r="AH460" s="14">
        <f t="shared" si="705"/>
        <v>0</v>
      </c>
      <c r="AI460" s="14">
        <f t="shared" si="705"/>
        <v>0</v>
      </c>
      <c r="AJ460" s="14">
        <f t="shared" si="705"/>
        <v>0</v>
      </c>
      <c r="AK460" s="14">
        <f t="shared" si="705"/>
        <v>0</v>
      </c>
      <c r="AL460" s="14">
        <f t="shared" si="705"/>
        <v>0</v>
      </c>
      <c r="AM460" s="14">
        <f t="shared" si="705"/>
        <v>0</v>
      </c>
      <c r="AN460" s="14">
        <f t="shared" si="705"/>
        <v>0</v>
      </c>
      <c r="AO460" s="14">
        <f t="shared" si="705"/>
        <v>0</v>
      </c>
      <c r="AP460" s="14">
        <f t="shared" si="705"/>
        <v>0</v>
      </c>
      <c r="AQ460" s="14">
        <f t="shared" si="705"/>
        <v>0</v>
      </c>
      <c r="AR460" s="14">
        <f t="shared" si="705"/>
        <v>0</v>
      </c>
      <c r="AS460" s="14">
        <f t="shared" si="705"/>
        <v>0</v>
      </c>
      <c r="AT460" s="14">
        <f t="shared" si="705"/>
        <v>0</v>
      </c>
      <c r="AU460" s="14">
        <f t="shared" si="705"/>
        <v>0</v>
      </c>
      <c r="AV460" s="14">
        <f t="shared" si="705"/>
        <v>0</v>
      </c>
      <c r="AW460" s="14">
        <f t="shared" si="705"/>
        <v>0</v>
      </c>
      <c r="AX460" s="14">
        <f t="shared" si="705"/>
        <v>0</v>
      </c>
      <c r="AY460" s="14">
        <f t="shared" si="705"/>
        <v>0</v>
      </c>
      <c r="AZ460" s="14">
        <f t="shared" si="705"/>
        <v>0</v>
      </c>
      <c r="BA460" s="14">
        <f t="shared" si="705"/>
        <v>0</v>
      </c>
      <c r="BB460" s="14">
        <f t="shared" si="705"/>
        <v>0</v>
      </c>
      <c r="BC460" s="14">
        <f t="shared" si="705"/>
        <v>0</v>
      </c>
      <c r="BD460" s="14">
        <f t="shared" si="705"/>
        <v>0</v>
      </c>
      <c r="BE460" s="14">
        <f t="shared" si="705"/>
        <v>0</v>
      </c>
      <c r="BF460" s="14">
        <f t="shared" si="705"/>
        <v>0</v>
      </c>
      <c r="BG460" s="14">
        <f t="shared" si="705"/>
        <v>0</v>
      </c>
      <c r="BH460" s="14">
        <f t="shared" si="705"/>
        <v>0</v>
      </c>
      <c r="BI460" s="14">
        <f t="shared" si="705"/>
        <v>0</v>
      </c>
      <c r="BJ460" s="14">
        <f t="shared" si="705"/>
        <v>0</v>
      </c>
      <c r="BK460" s="14">
        <f t="shared" si="705"/>
        <v>0</v>
      </c>
      <c r="BL460" s="14">
        <f t="shared" si="705"/>
        <v>0</v>
      </c>
      <c r="BM460" s="14">
        <f t="shared" si="705"/>
        <v>0</v>
      </c>
      <c r="BN460" s="14">
        <f t="shared" si="705"/>
        <v>0</v>
      </c>
      <c r="BO460" s="14">
        <f t="shared" si="705"/>
        <v>0</v>
      </c>
      <c r="BP460" s="14">
        <f t="shared" si="705"/>
        <v>0</v>
      </c>
      <c r="BQ460" s="14">
        <f t="shared" si="705"/>
        <v>0</v>
      </c>
      <c r="BR460" s="14">
        <f t="shared" si="705"/>
        <v>0</v>
      </c>
      <c r="BS460" s="14">
        <f t="shared" si="705"/>
        <v>0</v>
      </c>
      <c r="BT460" s="14">
        <f t="shared" si="705"/>
        <v>0</v>
      </c>
      <c r="BU460" s="14">
        <f t="shared" si="705"/>
        <v>0</v>
      </c>
      <c r="BV460" s="14">
        <f t="shared" ref="BV460:DY460" si="706">+BV$459*$D$460</f>
        <v>0</v>
      </c>
      <c r="BW460" s="14">
        <f t="shared" si="706"/>
        <v>0</v>
      </c>
      <c r="BX460" s="14">
        <f t="shared" si="706"/>
        <v>0</v>
      </c>
      <c r="BY460" s="14">
        <f t="shared" si="706"/>
        <v>0</v>
      </c>
      <c r="BZ460" s="14">
        <f t="shared" si="706"/>
        <v>0</v>
      </c>
      <c r="CA460" s="14">
        <f t="shared" si="706"/>
        <v>0</v>
      </c>
      <c r="CB460" s="14">
        <f t="shared" si="706"/>
        <v>0</v>
      </c>
      <c r="CC460" s="14">
        <f t="shared" si="706"/>
        <v>0</v>
      </c>
      <c r="CD460" s="14">
        <f t="shared" si="706"/>
        <v>0</v>
      </c>
      <c r="CE460" s="14">
        <f t="shared" si="706"/>
        <v>0</v>
      </c>
      <c r="CF460" s="14">
        <f t="shared" si="706"/>
        <v>0</v>
      </c>
      <c r="CG460" s="14">
        <f t="shared" si="706"/>
        <v>0</v>
      </c>
      <c r="CH460" s="14">
        <f t="shared" si="706"/>
        <v>0</v>
      </c>
      <c r="CI460" s="14">
        <f t="shared" si="706"/>
        <v>0</v>
      </c>
      <c r="CJ460" s="14">
        <f t="shared" si="706"/>
        <v>0</v>
      </c>
      <c r="CK460" s="14">
        <f t="shared" si="706"/>
        <v>0</v>
      </c>
      <c r="CL460" s="14">
        <f t="shared" si="706"/>
        <v>0</v>
      </c>
      <c r="CM460" s="14">
        <f t="shared" si="706"/>
        <v>0</v>
      </c>
      <c r="CN460" s="14">
        <f t="shared" si="706"/>
        <v>0</v>
      </c>
      <c r="CO460" s="14">
        <f t="shared" si="706"/>
        <v>0</v>
      </c>
      <c r="CP460" s="14">
        <f t="shared" si="706"/>
        <v>0</v>
      </c>
      <c r="CQ460" s="14">
        <f t="shared" si="706"/>
        <v>0</v>
      </c>
      <c r="CR460" s="14">
        <f t="shared" si="706"/>
        <v>0</v>
      </c>
      <c r="CS460" s="14">
        <f t="shared" si="706"/>
        <v>0</v>
      </c>
      <c r="CT460" s="14">
        <f t="shared" si="706"/>
        <v>0</v>
      </c>
      <c r="CU460" s="14">
        <f t="shared" si="706"/>
        <v>0</v>
      </c>
      <c r="CV460" s="14">
        <f t="shared" si="706"/>
        <v>0</v>
      </c>
      <c r="CW460" s="14">
        <f t="shared" si="706"/>
        <v>0</v>
      </c>
      <c r="CX460" s="14">
        <f t="shared" si="706"/>
        <v>0</v>
      </c>
      <c r="CY460" s="14">
        <f t="shared" si="706"/>
        <v>0</v>
      </c>
      <c r="CZ460" s="14">
        <f t="shared" si="706"/>
        <v>0</v>
      </c>
      <c r="DA460" s="14">
        <f t="shared" si="706"/>
        <v>0</v>
      </c>
      <c r="DB460" s="14">
        <f t="shared" si="706"/>
        <v>0</v>
      </c>
      <c r="DC460" s="14">
        <f t="shared" si="706"/>
        <v>0</v>
      </c>
      <c r="DD460" s="14">
        <f t="shared" si="706"/>
        <v>0</v>
      </c>
      <c r="DE460" s="14">
        <f t="shared" si="706"/>
        <v>0</v>
      </c>
      <c r="DF460" s="14">
        <f t="shared" si="706"/>
        <v>0</v>
      </c>
      <c r="DG460" s="14">
        <f t="shared" si="706"/>
        <v>0</v>
      </c>
      <c r="DH460" s="14">
        <f t="shared" si="706"/>
        <v>0</v>
      </c>
      <c r="DI460" s="14">
        <f t="shared" si="706"/>
        <v>0</v>
      </c>
      <c r="DJ460" s="14">
        <f t="shared" si="706"/>
        <v>0</v>
      </c>
      <c r="DK460" s="14">
        <f t="shared" si="706"/>
        <v>0</v>
      </c>
      <c r="DL460" s="14">
        <f t="shared" si="706"/>
        <v>0</v>
      </c>
      <c r="DM460" s="14">
        <f t="shared" si="706"/>
        <v>0</v>
      </c>
      <c r="DN460" s="14">
        <f t="shared" si="706"/>
        <v>0</v>
      </c>
      <c r="DO460" s="14">
        <f t="shared" si="706"/>
        <v>0</v>
      </c>
      <c r="DP460" s="14">
        <f t="shared" si="706"/>
        <v>0</v>
      </c>
      <c r="DQ460" s="14">
        <f t="shared" si="706"/>
        <v>0</v>
      </c>
      <c r="DR460" s="14">
        <f t="shared" si="706"/>
        <v>0</v>
      </c>
      <c r="DS460" s="14">
        <f t="shared" si="706"/>
        <v>0</v>
      </c>
      <c r="DT460" s="14">
        <f t="shared" si="706"/>
        <v>0</v>
      </c>
      <c r="DU460" s="14">
        <f t="shared" si="706"/>
        <v>0</v>
      </c>
      <c r="DV460" s="14">
        <f t="shared" si="706"/>
        <v>0</v>
      </c>
      <c r="DW460" s="14">
        <f t="shared" si="706"/>
        <v>0</v>
      </c>
      <c r="DX460" s="14">
        <f t="shared" si="706"/>
        <v>0</v>
      </c>
      <c r="DY460" s="14">
        <f t="shared" si="706"/>
        <v>0</v>
      </c>
    </row>
    <row r="461" spans="2:129" ht="11.7" customHeight="1" outlineLevel="1" x14ac:dyDescent="0.3">
      <c r="B461" s="125" t="s">
        <v>654</v>
      </c>
      <c r="C461" s="125"/>
      <c r="D461" s="884">
        <f>1-D460</f>
        <v>8.5331636218852758E-3</v>
      </c>
      <c r="E461" s="3"/>
      <c r="H461" s="290">
        <f t="shared" si="704"/>
        <v>-1894.0674045962451</v>
      </c>
      <c r="I461" s="14">
        <f>+I$459*$D$461</f>
        <v>-1548.7691973721776</v>
      </c>
      <c r="J461" s="14">
        <f t="shared" ref="J461:BU461" si="707">+J$459*$D$461</f>
        <v>0</v>
      </c>
      <c r="K461" s="14">
        <f t="shared" si="707"/>
        <v>0</v>
      </c>
      <c r="L461" s="14">
        <f t="shared" si="707"/>
        <v>0</v>
      </c>
      <c r="M461" s="14">
        <f t="shared" si="707"/>
        <v>0</v>
      </c>
      <c r="N461" s="14">
        <f t="shared" si="707"/>
        <v>0</v>
      </c>
      <c r="O461" s="14">
        <f t="shared" si="707"/>
        <v>0</v>
      </c>
      <c r="P461" s="14">
        <f t="shared" si="707"/>
        <v>0</v>
      </c>
      <c r="Q461" s="14">
        <f t="shared" si="707"/>
        <v>0</v>
      </c>
      <c r="R461" s="14">
        <f t="shared" si="707"/>
        <v>0</v>
      </c>
      <c r="S461" s="14">
        <f t="shared" si="707"/>
        <v>0</v>
      </c>
      <c r="T461" s="14">
        <f t="shared" si="707"/>
        <v>0</v>
      </c>
      <c r="U461" s="14">
        <f t="shared" si="707"/>
        <v>0</v>
      </c>
      <c r="V461" s="14">
        <f t="shared" si="707"/>
        <v>0</v>
      </c>
      <c r="W461" s="14">
        <f t="shared" si="707"/>
        <v>-345.29820722406743</v>
      </c>
      <c r="X461" s="14">
        <f t="shared" si="707"/>
        <v>0</v>
      </c>
      <c r="Y461" s="14">
        <f t="shared" si="707"/>
        <v>0</v>
      </c>
      <c r="Z461" s="14">
        <f t="shared" si="707"/>
        <v>0</v>
      </c>
      <c r="AA461" s="14">
        <f t="shared" si="707"/>
        <v>0</v>
      </c>
      <c r="AB461" s="14">
        <f t="shared" si="707"/>
        <v>0</v>
      </c>
      <c r="AC461" s="14">
        <f t="shared" si="707"/>
        <v>0</v>
      </c>
      <c r="AD461" s="14">
        <f t="shared" si="707"/>
        <v>0</v>
      </c>
      <c r="AE461" s="14">
        <f t="shared" si="707"/>
        <v>0</v>
      </c>
      <c r="AF461" s="14">
        <f t="shared" si="707"/>
        <v>0</v>
      </c>
      <c r="AG461" s="14">
        <f t="shared" si="707"/>
        <v>0</v>
      </c>
      <c r="AH461" s="14">
        <f t="shared" si="707"/>
        <v>0</v>
      </c>
      <c r="AI461" s="14">
        <f t="shared" si="707"/>
        <v>0</v>
      </c>
      <c r="AJ461" s="14">
        <f t="shared" si="707"/>
        <v>0</v>
      </c>
      <c r="AK461" s="14">
        <f t="shared" si="707"/>
        <v>0</v>
      </c>
      <c r="AL461" s="14">
        <f t="shared" si="707"/>
        <v>0</v>
      </c>
      <c r="AM461" s="14">
        <f t="shared" si="707"/>
        <v>0</v>
      </c>
      <c r="AN461" s="14">
        <f t="shared" si="707"/>
        <v>0</v>
      </c>
      <c r="AO461" s="14">
        <f t="shared" si="707"/>
        <v>0</v>
      </c>
      <c r="AP461" s="14">
        <f t="shared" si="707"/>
        <v>0</v>
      </c>
      <c r="AQ461" s="14">
        <f t="shared" si="707"/>
        <v>0</v>
      </c>
      <c r="AR461" s="14">
        <f t="shared" si="707"/>
        <v>0</v>
      </c>
      <c r="AS461" s="14">
        <f t="shared" si="707"/>
        <v>0</v>
      </c>
      <c r="AT461" s="14">
        <f t="shared" si="707"/>
        <v>0</v>
      </c>
      <c r="AU461" s="14">
        <f t="shared" si="707"/>
        <v>0</v>
      </c>
      <c r="AV461" s="14">
        <f t="shared" si="707"/>
        <v>0</v>
      </c>
      <c r="AW461" s="14">
        <f t="shared" si="707"/>
        <v>0</v>
      </c>
      <c r="AX461" s="14">
        <f t="shared" si="707"/>
        <v>0</v>
      </c>
      <c r="AY461" s="14">
        <f t="shared" si="707"/>
        <v>0</v>
      </c>
      <c r="AZ461" s="14">
        <f t="shared" si="707"/>
        <v>0</v>
      </c>
      <c r="BA461" s="14">
        <f t="shared" si="707"/>
        <v>0</v>
      </c>
      <c r="BB461" s="14">
        <f t="shared" si="707"/>
        <v>0</v>
      </c>
      <c r="BC461" s="14">
        <f t="shared" si="707"/>
        <v>0</v>
      </c>
      <c r="BD461" s="14">
        <f t="shared" si="707"/>
        <v>0</v>
      </c>
      <c r="BE461" s="14">
        <f t="shared" si="707"/>
        <v>0</v>
      </c>
      <c r="BF461" s="14">
        <f t="shared" si="707"/>
        <v>0</v>
      </c>
      <c r="BG461" s="14">
        <f t="shared" si="707"/>
        <v>0</v>
      </c>
      <c r="BH461" s="14">
        <f t="shared" si="707"/>
        <v>0</v>
      </c>
      <c r="BI461" s="14">
        <f t="shared" si="707"/>
        <v>0</v>
      </c>
      <c r="BJ461" s="14">
        <f t="shared" si="707"/>
        <v>0</v>
      </c>
      <c r="BK461" s="14">
        <f t="shared" si="707"/>
        <v>0</v>
      </c>
      <c r="BL461" s="14">
        <f t="shared" si="707"/>
        <v>0</v>
      </c>
      <c r="BM461" s="14">
        <f t="shared" si="707"/>
        <v>0</v>
      </c>
      <c r="BN461" s="14">
        <f t="shared" si="707"/>
        <v>0</v>
      </c>
      <c r="BO461" s="14">
        <f t="shared" si="707"/>
        <v>0</v>
      </c>
      <c r="BP461" s="14">
        <f t="shared" si="707"/>
        <v>0</v>
      </c>
      <c r="BQ461" s="14">
        <f t="shared" si="707"/>
        <v>0</v>
      </c>
      <c r="BR461" s="14">
        <f t="shared" si="707"/>
        <v>0</v>
      </c>
      <c r="BS461" s="14">
        <f t="shared" si="707"/>
        <v>0</v>
      </c>
      <c r="BT461" s="14">
        <f t="shared" si="707"/>
        <v>0</v>
      </c>
      <c r="BU461" s="14">
        <f t="shared" si="707"/>
        <v>0</v>
      </c>
      <c r="BV461" s="14">
        <f t="shared" ref="BV461:DY461" si="708">+BV$459*$D$461</f>
        <v>0</v>
      </c>
      <c r="BW461" s="14">
        <f t="shared" si="708"/>
        <v>0</v>
      </c>
      <c r="BX461" s="14">
        <f t="shared" si="708"/>
        <v>0</v>
      </c>
      <c r="BY461" s="14">
        <f t="shared" si="708"/>
        <v>0</v>
      </c>
      <c r="BZ461" s="14">
        <f t="shared" si="708"/>
        <v>0</v>
      </c>
      <c r="CA461" s="14">
        <f t="shared" si="708"/>
        <v>0</v>
      </c>
      <c r="CB461" s="14">
        <f t="shared" si="708"/>
        <v>0</v>
      </c>
      <c r="CC461" s="14">
        <f t="shared" si="708"/>
        <v>0</v>
      </c>
      <c r="CD461" s="14">
        <f t="shared" si="708"/>
        <v>0</v>
      </c>
      <c r="CE461" s="14">
        <f t="shared" si="708"/>
        <v>0</v>
      </c>
      <c r="CF461" s="14">
        <f t="shared" si="708"/>
        <v>0</v>
      </c>
      <c r="CG461" s="14">
        <f t="shared" si="708"/>
        <v>0</v>
      </c>
      <c r="CH461" s="14">
        <f t="shared" si="708"/>
        <v>0</v>
      </c>
      <c r="CI461" s="14">
        <f t="shared" si="708"/>
        <v>0</v>
      </c>
      <c r="CJ461" s="14">
        <f t="shared" si="708"/>
        <v>0</v>
      </c>
      <c r="CK461" s="14">
        <f t="shared" si="708"/>
        <v>0</v>
      </c>
      <c r="CL461" s="14">
        <f t="shared" si="708"/>
        <v>0</v>
      </c>
      <c r="CM461" s="14">
        <f t="shared" si="708"/>
        <v>0</v>
      </c>
      <c r="CN461" s="14">
        <f t="shared" si="708"/>
        <v>0</v>
      </c>
      <c r="CO461" s="14">
        <f t="shared" si="708"/>
        <v>0</v>
      </c>
      <c r="CP461" s="14">
        <f t="shared" si="708"/>
        <v>0</v>
      </c>
      <c r="CQ461" s="14">
        <f t="shared" si="708"/>
        <v>0</v>
      </c>
      <c r="CR461" s="14">
        <f t="shared" si="708"/>
        <v>0</v>
      </c>
      <c r="CS461" s="14">
        <f t="shared" si="708"/>
        <v>0</v>
      </c>
      <c r="CT461" s="14">
        <f t="shared" si="708"/>
        <v>0</v>
      </c>
      <c r="CU461" s="14">
        <f t="shared" si="708"/>
        <v>0</v>
      </c>
      <c r="CV461" s="14">
        <f t="shared" si="708"/>
        <v>0</v>
      </c>
      <c r="CW461" s="14">
        <f t="shared" si="708"/>
        <v>0</v>
      </c>
      <c r="CX461" s="14">
        <f t="shared" si="708"/>
        <v>0</v>
      </c>
      <c r="CY461" s="14">
        <f t="shared" si="708"/>
        <v>0</v>
      </c>
      <c r="CZ461" s="14">
        <f t="shared" si="708"/>
        <v>0</v>
      </c>
      <c r="DA461" s="14">
        <f t="shared" si="708"/>
        <v>0</v>
      </c>
      <c r="DB461" s="14">
        <f t="shared" si="708"/>
        <v>0</v>
      </c>
      <c r="DC461" s="14">
        <f t="shared" si="708"/>
        <v>0</v>
      </c>
      <c r="DD461" s="14">
        <f t="shared" si="708"/>
        <v>0</v>
      </c>
      <c r="DE461" s="14">
        <f t="shared" si="708"/>
        <v>0</v>
      </c>
      <c r="DF461" s="14">
        <f t="shared" si="708"/>
        <v>0</v>
      </c>
      <c r="DG461" s="14">
        <f t="shared" si="708"/>
        <v>0</v>
      </c>
      <c r="DH461" s="14">
        <f t="shared" si="708"/>
        <v>0</v>
      </c>
      <c r="DI461" s="14">
        <f t="shared" si="708"/>
        <v>0</v>
      </c>
      <c r="DJ461" s="14">
        <f t="shared" si="708"/>
        <v>0</v>
      </c>
      <c r="DK461" s="14">
        <f t="shared" si="708"/>
        <v>0</v>
      </c>
      <c r="DL461" s="14">
        <f t="shared" si="708"/>
        <v>0</v>
      </c>
      <c r="DM461" s="14">
        <f t="shared" si="708"/>
        <v>0</v>
      </c>
      <c r="DN461" s="14">
        <f t="shared" si="708"/>
        <v>0</v>
      </c>
      <c r="DO461" s="14">
        <f t="shared" si="708"/>
        <v>0</v>
      </c>
      <c r="DP461" s="14">
        <f t="shared" si="708"/>
        <v>0</v>
      </c>
      <c r="DQ461" s="14">
        <f t="shared" si="708"/>
        <v>0</v>
      </c>
      <c r="DR461" s="14">
        <f t="shared" si="708"/>
        <v>0</v>
      </c>
      <c r="DS461" s="14">
        <f t="shared" si="708"/>
        <v>0</v>
      </c>
      <c r="DT461" s="14">
        <f t="shared" si="708"/>
        <v>0</v>
      </c>
      <c r="DU461" s="14">
        <f t="shared" si="708"/>
        <v>0</v>
      </c>
      <c r="DV461" s="14">
        <f t="shared" si="708"/>
        <v>0</v>
      </c>
      <c r="DW461" s="14">
        <f t="shared" si="708"/>
        <v>0</v>
      </c>
      <c r="DX461" s="14">
        <f t="shared" si="708"/>
        <v>0</v>
      </c>
      <c r="DY461" s="14">
        <f t="shared" si="708"/>
        <v>0</v>
      </c>
    </row>
    <row r="462" spans="2:129" ht="11.7" customHeight="1" outlineLevel="1" x14ac:dyDescent="0.3">
      <c r="B462" s="270" t="s">
        <v>510</v>
      </c>
      <c r="C462" s="270"/>
      <c r="D462" s="700"/>
      <c r="E462" s="3"/>
      <c r="I462" s="1096"/>
      <c r="J462" s="1096"/>
      <c r="K462" s="1096"/>
      <c r="L462" s="1096"/>
      <c r="M462" s="1097"/>
      <c r="N462" s="1097"/>
      <c r="O462" s="1097"/>
      <c r="P462" s="1097"/>
      <c r="Q462" s="1097"/>
      <c r="R462" s="1097"/>
      <c r="S462" s="1097"/>
      <c r="T462" s="1097"/>
      <c r="U462" s="1097"/>
      <c r="V462" s="1097"/>
      <c r="W462" s="1097"/>
      <c r="X462" s="1097"/>
      <c r="Y462" s="1097"/>
      <c r="Z462" s="1097"/>
      <c r="AA462" s="1097"/>
      <c r="AB462" s="1097"/>
      <c r="AC462" s="1097"/>
      <c r="AD462" s="1097"/>
      <c r="AE462" s="1097"/>
      <c r="AF462" s="1097"/>
      <c r="AG462" s="1097"/>
      <c r="AH462" s="1097"/>
      <c r="AI462" s="1097"/>
      <c r="AJ462" s="1097"/>
      <c r="AK462" s="1097"/>
      <c r="AL462" s="1097"/>
      <c r="AM462" s="1097"/>
      <c r="AN462" s="1097"/>
      <c r="AO462" s="1097"/>
      <c r="AP462" s="1097"/>
      <c r="AQ462" s="1097"/>
      <c r="AR462" s="1097"/>
      <c r="AS462" s="1097"/>
      <c r="AT462" s="1097"/>
      <c r="AU462" s="1097"/>
      <c r="AV462" s="1097"/>
      <c r="AW462" s="1097"/>
      <c r="AX462" s="1097"/>
      <c r="AY462" s="1097"/>
      <c r="AZ462" s="1097"/>
      <c r="BA462" s="1097"/>
      <c r="BB462" s="1097"/>
      <c r="BC462" s="1097"/>
      <c r="BD462" s="1097"/>
      <c r="BE462" s="1097"/>
      <c r="BF462" s="1097"/>
      <c r="BG462" s="1097"/>
      <c r="BH462" s="1097"/>
      <c r="BI462" s="1097"/>
      <c r="BJ462" s="1097"/>
      <c r="BK462" s="1097"/>
      <c r="BL462" s="1097"/>
      <c r="BM462" s="1097"/>
      <c r="BN462" s="1097"/>
      <c r="BO462" s="1097"/>
      <c r="BP462" s="1097"/>
      <c r="BQ462" s="1097"/>
      <c r="BR462" s="1097"/>
      <c r="BS462" s="1097"/>
      <c r="BT462" s="1097"/>
      <c r="BU462" s="1097"/>
      <c r="BV462" s="1097"/>
      <c r="BW462" s="1097"/>
      <c r="BX462" s="1097"/>
      <c r="BY462" s="1097"/>
      <c r="BZ462" s="1097"/>
      <c r="CA462" s="1097"/>
      <c r="CB462" s="1097"/>
      <c r="CC462" s="1097"/>
      <c r="CD462" s="1097"/>
      <c r="CE462" s="1097"/>
      <c r="CF462" s="1097"/>
      <c r="CG462" s="1097"/>
      <c r="CH462" s="1097"/>
      <c r="CI462" s="1097"/>
      <c r="CJ462" s="1097"/>
      <c r="CK462" s="1097"/>
      <c r="CL462" s="1097"/>
      <c r="CM462" s="1097"/>
      <c r="CN462" s="1097"/>
      <c r="CO462" s="1097"/>
      <c r="CP462" s="1097"/>
      <c r="CQ462" s="1097"/>
      <c r="CR462" s="1097"/>
      <c r="CS462" s="1097"/>
      <c r="CT462" s="1097"/>
      <c r="CU462" s="1097"/>
      <c r="CV462" s="1097"/>
      <c r="CW462" s="1097"/>
      <c r="CX462" s="1097"/>
      <c r="CY462" s="1097"/>
      <c r="CZ462" s="1097"/>
      <c r="DA462" s="1097"/>
      <c r="DB462" s="1097"/>
      <c r="DC462" s="1097"/>
      <c r="DD462" s="1097"/>
      <c r="DE462" s="1097"/>
      <c r="DF462" s="1097"/>
      <c r="DG462" s="1097"/>
      <c r="DH462" s="1097"/>
      <c r="DI462" s="1097"/>
      <c r="DJ462" s="1097"/>
      <c r="DK462" s="1097"/>
      <c r="DL462" s="1097"/>
      <c r="DM462" s="1097"/>
      <c r="DN462" s="1097"/>
      <c r="DO462" s="1097"/>
      <c r="DP462" s="1097"/>
      <c r="DQ462" s="1097"/>
      <c r="DR462" s="1097"/>
      <c r="DS462" s="1097"/>
      <c r="DT462" s="1097"/>
      <c r="DU462" s="1097"/>
      <c r="DV462" s="1097"/>
      <c r="DW462" s="1097"/>
      <c r="DX462" s="1097"/>
      <c r="DY462" s="1097"/>
    </row>
    <row r="463" spans="2:129" ht="11.7" customHeight="1" outlineLevel="1" x14ac:dyDescent="0.3">
      <c r="B463" s="125" t="s">
        <v>1</v>
      </c>
      <c r="C463" s="125"/>
      <c r="D463" s="700"/>
      <c r="E463" s="3"/>
      <c r="I463" s="1019">
        <v>0</v>
      </c>
      <c r="J463" s="1019">
        <v>0</v>
      </c>
      <c r="K463" s="1019">
        <v>0</v>
      </c>
      <c r="L463" s="1019">
        <v>0</v>
      </c>
      <c r="M463" s="1019">
        <v>0</v>
      </c>
      <c r="N463" s="1019">
        <v>0</v>
      </c>
      <c r="O463" s="1019">
        <v>0</v>
      </c>
      <c r="P463" s="1019">
        <v>0</v>
      </c>
      <c r="Q463" s="1019">
        <v>0</v>
      </c>
      <c r="R463" s="1019">
        <v>0</v>
      </c>
      <c r="S463" s="1019">
        <v>0</v>
      </c>
      <c r="T463" s="1019">
        <v>0</v>
      </c>
      <c r="U463" s="1019">
        <v>0</v>
      </c>
      <c r="V463" s="1019">
        <v>0</v>
      </c>
      <c r="W463" s="1019">
        <v>0</v>
      </c>
      <c r="X463" s="1019">
        <v>0</v>
      </c>
      <c r="Y463" s="1019">
        <v>0</v>
      </c>
      <c r="Z463" s="1019">
        <v>0</v>
      </c>
      <c r="AA463" s="1019">
        <v>0</v>
      </c>
      <c r="AB463" s="1019">
        <v>0</v>
      </c>
      <c r="AC463" s="1019">
        <v>0</v>
      </c>
      <c r="AD463" s="1019">
        <v>0</v>
      </c>
      <c r="AE463" s="1019">
        <v>0</v>
      </c>
      <c r="AF463" s="1019">
        <v>0</v>
      </c>
      <c r="AG463" s="1019">
        <v>0</v>
      </c>
      <c r="AH463" s="1019">
        <v>0</v>
      </c>
      <c r="AI463" s="1019">
        <v>0</v>
      </c>
      <c r="AJ463" s="1019">
        <v>0</v>
      </c>
      <c r="AK463" s="1019">
        <v>0</v>
      </c>
      <c r="AL463" s="1019">
        <v>0</v>
      </c>
      <c r="AM463" s="1019">
        <v>0</v>
      </c>
      <c r="AN463" s="1019">
        <v>0</v>
      </c>
      <c r="AO463" s="1019">
        <v>0</v>
      </c>
      <c r="AP463" s="1019">
        <v>17067</v>
      </c>
      <c r="AQ463" s="1019">
        <v>0</v>
      </c>
      <c r="AR463" s="1019">
        <v>0</v>
      </c>
      <c r="AS463" s="1019">
        <v>0</v>
      </c>
      <c r="AT463" s="1019">
        <v>0</v>
      </c>
      <c r="AU463" s="1019">
        <v>0</v>
      </c>
      <c r="AV463" s="1019">
        <v>0</v>
      </c>
      <c r="AW463" s="1019">
        <v>0</v>
      </c>
      <c r="AX463" s="1019">
        <v>0</v>
      </c>
      <c r="AY463" s="1019">
        <v>0</v>
      </c>
      <c r="AZ463" s="1019">
        <v>0</v>
      </c>
      <c r="BA463" s="1019">
        <v>0</v>
      </c>
      <c r="BB463" s="1019">
        <v>0</v>
      </c>
      <c r="BC463" s="1019">
        <v>0</v>
      </c>
      <c r="BD463" s="1019">
        <v>19000</v>
      </c>
      <c r="BE463" s="1019">
        <v>0</v>
      </c>
      <c r="BF463" s="1019">
        <v>0</v>
      </c>
      <c r="BG463" s="1019">
        <v>0</v>
      </c>
      <c r="BH463" s="1019">
        <v>0</v>
      </c>
      <c r="BI463" s="1019">
        <v>0</v>
      </c>
      <c r="BJ463" s="1019">
        <v>0</v>
      </c>
      <c r="BK463" s="1019">
        <v>0</v>
      </c>
      <c r="BL463" s="1019">
        <v>0</v>
      </c>
      <c r="BM463" s="1019">
        <v>0</v>
      </c>
      <c r="BN463" s="1019">
        <v>0</v>
      </c>
      <c r="BO463" s="1019">
        <v>0</v>
      </c>
      <c r="BP463" s="1019">
        <v>0</v>
      </c>
      <c r="BQ463" s="1019">
        <v>0</v>
      </c>
      <c r="BR463" s="1019">
        <v>0</v>
      </c>
      <c r="BS463" s="1019">
        <v>0</v>
      </c>
      <c r="BT463" s="1019">
        <v>0</v>
      </c>
      <c r="BU463" s="1019">
        <v>0</v>
      </c>
      <c r="BV463" s="1019">
        <v>0</v>
      </c>
      <c r="BW463" s="1019">
        <v>0</v>
      </c>
      <c r="BX463" s="1019">
        <v>0</v>
      </c>
      <c r="BY463" s="1019">
        <v>0</v>
      </c>
      <c r="BZ463" s="1019">
        <v>0</v>
      </c>
      <c r="CA463" s="1019">
        <v>0</v>
      </c>
      <c r="CB463" s="1019">
        <v>0</v>
      </c>
      <c r="CC463" s="1019">
        <v>0</v>
      </c>
      <c r="CD463" s="1019">
        <v>0</v>
      </c>
      <c r="CE463" s="1019">
        <v>0</v>
      </c>
      <c r="CF463" s="14">
        <f ca="1">+CF$444*(CF$444&gt;0)</f>
        <v>347736.73768986692</v>
      </c>
      <c r="CG463" s="14">
        <f t="shared" ref="CG463:DT463" ca="1" si="709">+CG$444*(CG$444&gt;0)</f>
        <v>10057.991639623726</v>
      </c>
      <c r="CH463" s="14">
        <f t="shared" ca="1" si="709"/>
        <v>0</v>
      </c>
      <c r="CI463" s="14">
        <f t="shared" ca="1" si="709"/>
        <v>0</v>
      </c>
      <c r="CJ463" s="14">
        <f t="shared" ca="1" si="709"/>
        <v>0</v>
      </c>
      <c r="CK463" s="14">
        <f t="shared" ca="1" si="709"/>
        <v>0</v>
      </c>
      <c r="CL463" s="14">
        <f t="shared" ca="1" si="709"/>
        <v>0</v>
      </c>
      <c r="CM463" s="14">
        <f t="shared" ca="1" si="709"/>
        <v>0</v>
      </c>
      <c r="CN463" s="14">
        <f t="shared" ca="1" si="709"/>
        <v>0</v>
      </c>
      <c r="CO463" s="14">
        <f t="shared" ca="1" si="709"/>
        <v>0</v>
      </c>
      <c r="CP463" s="14">
        <f t="shared" ca="1" si="709"/>
        <v>0</v>
      </c>
      <c r="CQ463" s="14">
        <f t="shared" ca="1" si="709"/>
        <v>0</v>
      </c>
      <c r="CR463" s="14">
        <f t="shared" ca="1" si="709"/>
        <v>0</v>
      </c>
      <c r="CS463" s="14">
        <f t="shared" ca="1" si="709"/>
        <v>0</v>
      </c>
      <c r="CT463" s="14">
        <f t="shared" ca="1" si="709"/>
        <v>0</v>
      </c>
      <c r="CU463" s="14">
        <f t="shared" ca="1" si="709"/>
        <v>0</v>
      </c>
      <c r="CV463" s="14">
        <f t="shared" ca="1" si="709"/>
        <v>0</v>
      </c>
      <c r="CW463" s="14">
        <f t="shared" ca="1" si="709"/>
        <v>0</v>
      </c>
      <c r="CX463" s="14">
        <f t="shared" ca="1" si="709"/>
        <v>0</v>
      </c>
      <c r="CY463" s="14">
        <f t="shared" ca="1" si="709"/>
        <v>0</v>
      </c>
      <c r="CZ463" s="14">
        <f t="shared" ca="1" si="709"/>
        <v>0</v>
      </c>
      <c r="DA463" s="14">
        <f t="shared" ca="1" si="709"/>
        <v>0</v>
      </c>
      <c r="DB463" s="14">
        <f t="shared" ca="1" si="709"/>
        <v>0</v>
      </c>
      <c r="DC463" s="14">
        <f t="shared" ca="1" si="709"/>
        <v>0</v>
      </c>
      <c r="DD463" s="14">
        <f t="shared" ca="1" si="709"/>
        <v>0</v>
      </c>
      <c r="DE463" s="14">
        <f t="shared" ca="1" si="709"/>
        <v>0</v>
      </c>
      <c r="DF463" s="14">
        <f t="shared" ca="1" si="709"/>
        <v>0</v>
      </c>
      <c r="DG463" s="14">
        <f t="shared" ca="1" si="709"/>
        <v>0</v>
      </c>
      <c r="DH463" s="14">
        <f t="shared" ca="1" si="709"/>
        <v>0</v>
      </c>
      <c r="DI463" s="14">
        <f t="shared" ca="1" si="709"/>
        <v>0</v>
      </c>
      <c r="DJ463" s="14">
        <f t="shared" ca="1" si="709"/>
        <v>0</v>
      </c>
      <c r="DK463" s="14">
        <f t="shared" ca="1" si="709"/>
        <v>0</v>
      </c>
      <c r="DL463" s="14">
        <f t="shared" ca="1" si="709"/>
        <v>0</v>
      </c>
      <c r="DM463" s="14">
        <f t="shared" ca="1" si="709"/>
        <v>0</v>
      </c>
      <c r="DN463" s="14">
        <f t="shared" ca="1" si="709"/>
        <v>0</v>
      </c>
      <c r="DO463" s="14">
        <f t="shared" ca="1" si="709"/>
        <v>0</v>
      </c>
      <c r="DP463" s="14">
        <f t="shared" ca="1" si="709"/>
        <v>0</v>
      </c>
      <c r="DQ463" s="14">
        <f t="shared" ca="1" si="709"/>
        <v>0</v>
      </c>
      <c r="DR463" s="14">
        <f t="shared" ca="1" si="709"/>
        <v>0</v>
      </c>
      <c r="DS463" s="14">
        <f t="shared" ca="1" si="709"/>
        <v>0</v>
      </c>
      <c r="DT463" s="14">
        <f t="shared" ca="1" si="709"/>
        <v>0</v>
      </c>
      <c r="DU463" s="14">
        <f t="shared" ref="DU463:DY463" ca="1" si="710">+DU$444*(DU$444&gt;0)</f>
        <v>0</v>
      </c>
      <c r="DV463" s="14">
        <f t="shared" ca="1" si="710"/>
        <v>0</v>
      </c>
      <c r="DW463" s="14">
        <f t="shared" ca="1" si="710"/>
        <v>0</v>
      </c>
      <c r="DX463" s="14">
        <f t="shared" ca="1" si="710"/>
        <v>0</v>
      </c>
      <c r="DY463" s="14">
        <f t="shared" ca="1" si="710"/>
        <v>0</v>
      </c>
    </row>
    <row r="464" spans="2:129" ht="11.7" customHeight="1" outlineLevel="1" x14ac:dyDescent="0.3">
      <c r="B464" s="125" t="s">
        <v>653</v>
      </c>
      <c r="C464" s="125"/>
      <c r="D464" s="884">
        <f>+D460</f>
        <v>0.99146683637811472</v>
      </c>
      <c r="E464" s="3"/>
      <c r="H464" s="290">
        <f t="shared" ca="1" si="704"/>
        <v>390500.8427487234</v>
      </c>
      <c r="I464" s="14">
        <f>+I463*$D$464</f>
        <v>0</v>
      </c>
      <c r="J464" s="14">
        <f t="shared" ref="J464:BU464" si="711">+J463*$D$464</f>
        <v>0</v>
      </c>
      <c r="K464" s="14">
        <f t="shared" si="711"/>
        <v>0</v>
      </c>
      <c r="L464" s="14">
        <f t="shared" si="711"/>
        <v>0</v>
      </c>
      <c r="M464" s="14">
        <f t="shared" si="711"/>
        <v>0</v>
      </c>
      <c r="N464" s="14">
        <f t="shared" si="711"/>
        <v>0</v>
      </c>
      <c r="O464" s="14">
        <f t="shared" si="711"/>
        <v>0</v>
      </c>
      <c r="P464" s="14">
        <f t="shared" si="711"/>
        <v>0</v>
      </c>
      <c r="Q464" s="14">
        <f t="shared" si="711"/>
        <v>0</v>
      </c>
      <c r="R464" s="14">
        <f t="shared" si="711"/>
        <v>0</v>
      </c>
      <c r="S464" s="14">
        <f t="shared" si="711"/>
        <v>0</v>
      </c>
      <c r="T464" s="14">
        <f t="shared" si="711"/>
        <v>0</v>
      </c>
      <c r="U464" s="14">
        <f t="shared" si="711"/>
        <v>0</v>
      </c>
      <c r="V464" s="14">
        <f t="shared" si="711"/>
        <v>0</v>
      </c>
      <c r="W464" s="14">
        <f t="shared" si="711"/>
        <v>0</v>
      </c>
      <c r="X464" s="14">
        <f t="shared" si="711"/>
        <v>0</v>
      </c>
      <c r="Y464" s="14">
        <f t="shared" si="711"/>
        <v>0</v>
      </c>
      <c r="Z464" s="14">
        <f t="shared" si="711"/>
        <v>0</v>
      </c>
      <c r="AA464" s="14">
        <f t="shared" si="711"/>
        <v>0</v>
      </c>
      <c r="AB464" s="14">
        <f t="shared" si="711"/>
        <v>0</v>
      </c>
      <c r="AC464" s="14">
        <f t="shared" si="711"/>
        <v>0</v>
      </c>
      <c r="AD464" s="14">
        <f t="shared" si="711"/>
        <v>0</v>
      </c>
      <c r="AE464" s="14">
        <f t="shared" si="711"/>
        <v>0</v>
      </c>
      <c r="AF464" s="14">
        <f t="shared" si="711"/>
        <v>0</v>
      </c>
      <c r="AG464" s="14">
        <f t="shared" si="711"/>
        <v>0</v>
      </c>
      <c r="AH464" s="14">
        <f t="shared" si="711"/>
        <v>0</v>
      </c>
      <c r="AI464" s="14">
        <f t="shared" si="711"/>
        <v>0</v>
      </c>
      <c r="AJ464" s="14">
        <f t="shared" si="711"/>
        <v>0</v>
      </c>
      <c r="AK464" s="14">
        <f t="shared" si="711"/>
        <v>0</v>
      </c>
      <c r="AL464" s="14">
        <f t="shared" si="711"/>
        <v>0</v>
      </c>
      <c r="AM464" s="14">
        <f t="shared" si="711"/>
        <v>0</v>
      </c>
      <c r="AN464" s="14">
        <f t="shared" si="711"/>
        <v>0</v>
      </c>
      <c r="AO464" s="14">
        <f t="shared" si="711"/>
        <v>0</v>
      </c>
      <c r="AP464" s="14">
        <f t="shared" si="711"/>
        <v>16921.364496465285</v>
      </c>
      <c r="AQ464" s="14">
        <f t="shared" si="711"/>
        <v>0</v>
      </c>
      <c r="AR464" s="14">
        <f t="shared" si="711"/>
        <v>0</v>
      </c>
      <c r="AS464" s="14">
        <f t="shared" si="711"/>
        <v>0</v>
      </c>
      <c r="AT464" s="14">
        <f t="shared" si="711"/>
        <v>0</v>
      </c>
      <c r="AU464" s="14">
        <f t="shared" si="711"/>
        <v>0</v>
      </c>
      <c r="AV464" s="14">
        <f t="shared" si="711"/>
        <v>0</v>
      </c>
      <c r="AW464" s="14">
        <f t="shared" si="711"/>
        <v>0</v>
      </c>
      <c r="AX464" s="14">
        <f t="shared" si="711"/>
        <v>0</v>
      </c>
      <c r="AY464" s="14">
        <f t="shared" si="711"/>
        <v>0</v>
      </c>
      <c r="AZ464" s="14">
        <f t="shared" si="711"/>
        <v>0</v>
      </c>
      <c r="BA464" s="14">
        <f t="shared" si="711"/>
        <v>0</v>
      </c>
      <c r="BB464" s="14">
        <f t="shared" si="711"/>
        <v>0</v>
      </c>
      <c r="BC464" s="14">
        <f t="shared" si="711"/>
        <v>0</v>
      </c>
      <c r="BD464" s="14">
        <f>+BD463*$D$464</f>
        <v>18837.869891184178</v>
      </c>
      <c r="BE464" s="14">
        <f t="shared" si="711"/>
        <v>0</v>
      </c>
      <c r="BF464" s="14">
        <f t="shared" si="711"/>
        <v>0</v>
      </c>
      <c r="BG464" s="14">
        <f t="shared" si="711"/>
        <v>0</v>
      </c>
      <c r="BH464" s="14">
        <f t="shared" si="711"/>
        <v>0</v>
      </c>
      <c r="BI464" s="14">
        <f t="shared" si="711"/>
        <v>0</v>
      </c>
      <c r="BJ464" s="14">
        <f t="shared" si="711"/>
        <v>0</v>
      </c>
      <c r="BK464" s="14">
        <f t="shared" si="711"/>
        <v>0</v>
      </c>
      <c r="BL464" s="14">
        <f t="shared" si="711"/>
        <v>0</v>
      </c>
      <c r="BM464" s="14">
        <f t="shared" si="711"/>
        <v>0</v>
      </c>
      <c r="BN464" s="14">
        <f t="shared" si="711"/>
        <v>0</v>
      </c>
      <c r="BO464" s="14">
        <f t="shared" si="711"/>
        <v>0</v>
      </c>
      <c r="BP464" s="14">
        <f t="shared" si="711"/>
        <v>0</v>
      </c>
      <c r="BQ464" s="14">
        <f t="shared" si="711"/>
        <v>0</v>
      </c>
      <c r="BR464" s="14">
        <f t="shared" si="711"/>
        <v>0</v>
      </c>
      <c r="BS464" s="14">
        <f t="shared" si="711"/>
        <v>0</v>
      </c>
      <c r="BT464" s="14">
        <f t="shared" si="711"/>
        <v>0</v>
      </c>
      <c r="BU464" s="14">
        <f t="shared" si="711"/>
        <v>0</v>
      </c>
      <c r="BV464" s="14">
        <f t="shared" ref="BV464:DY464" si="712">+BV463*$D$464</f>
        <v>0</v>
      </c>
      <c r="BW464" s="14">
        <f t="shared" si="712"/>
        <v>0</v>
      </c>
      <c r="BX464" s="14">
        <f t="shared" si="712"/>
        <v>0</v>
      </c>
      <c r="BY464" s="14">
        <f t="shared" si="712"/>
        <v>0</v>
      </c>
      <c r="BZ464" s="14">
        <f t="shared" si="712"/>
        <v>0</v>
      </c>
      <c r="CA464" s="14">
        <f t="shared" si="712"/>
        <v>0</v>
      </c>
      <c r="CB464" s="14">
        <f t="shared" si="712"/>
        <v>0</v>
      </c>
      <c r="CC464" s="14">
        <f t="shared" si="712"/>
        <v>0</v>
      </c>
      <c r="CD464" s="14">
        <f t="shared" si="712"/>
        <v>0</v>
      </c>
      <c r="CE464" s="14">
        <f t="shared" si="712"/>
        <v>0</v>
      </c>
      <c r="CF464" s="14">
        <f t="shared" ca="1" si="712"/>
        <v>344769.44320981868</v>
      </c>
      <c r="CG464" s="14">
        <f t="shared" ca="1" si="712"/>
        <v>9972.1651512552617</v>
      </c>
      <c r="CH464" s="14">
        <f t="shared" ca="1" si="712"/>
        <v>0</v>
      </c>
      <c r="CI464" s="14">
        <f t="shared" ca="1" si="712"/>
        <v>0</v>
      </c>
      <c r="CJ464" s="14">
        <f t="shared" ca="1" si="712"/>
        <v>0</v>
      </c>
      <c r="CK464" s="14">
        <f t="shared" ca="1" si="712"/>
        <v>0</v>
      </c>
      <c r="CL464" s="14">
        <f t="shared" ca="1" si="712"/>
        <v>0</v>
      </c>
      <c r="CM464" s="14">
        <f t="shared" ca="1" si="712"/>
        <v>0</v>
      </c>
      <c r="CN464" s="14">
        <f t="shared" ca="1" si="712"/>
        <v>0</v>
      </c>
      <c r="CO464" s="14">
        <f t="shared" ca="1" si="712"/>
        <v>0</v>
      </c>
      <c r="CP464" s="14">
        <f t="shared" ca="1" si="712"/>
        <v>0</v>
      </c>
      <c r="CQ464" s="14">
        <f t="shared" ca="1" si="712"/>
        <v>0</v>
      </c>
      <c r="CR464" s="14">
        <f t="shared" ca="1" si="712"/>
        <v>0</v>
      </c>
      <c r="CS464" s="14">
        <f t="shared" ca="1" si="712"/>
        <v>0</v>
      </c>
      <c r="CT464" s="14">
        <f t="shared" ca="1" si="712"/>
        <v>0</v>
      </c>
      <c r="CU464" s="14">
        <f t="shared" ca="1" si="712"/>
        <v>0</v>
      </c>
      <c r="CV464" s="14">
        <f t="shared" ca="1" si="712"/>
        <v>0</v>
      </c>
      <c r="CW464" s="14">
        <f t="shared" ca="1" si="712"/>
        <v>0</v>
      </c>
      <c r="CX464" s="14">
        <f t="shared" ca="1" si="712"/>
        <v>0</v>
      </c>
      <c r="CY464" s="14">
        <f t="shared" ca="1" si="712"/>
        <v>0</v>
      </c>
      <c r="CZ464" s="14">
        <f t="shared" ca="1" si="712"/>
        <v>0</v>
      </c>
      <c r="DA464" s="14">
        <f t="shared" ca="1" si="712"/>
        <v>0</v>
      </c>
      <c r="DB464" s="14">
        <f t="shared" ca="1" si="712"/>
        <v>0</v>
      </c>
      <c r="DC464" s="14">
        <f t="shared" ca="1" si="712"/>
        <v>0</v>
      </c>
      <c r="DD464" s="14">
        <f t="shared" ca="1" si="712"/>
        <v>0</v>
      </c>
      <c r="DE464" s="14">
        <f t="shared" ca="1" si="712"/>
        <v>0</v>
      </c>
      <c r="DF464" s="14">
        <f t="shared" ca="1" si="712"/>
        <v>0</v>
      </c>
      <c r="DG464" s="14">
        <f t="shared" ca="1" si="712"/>
        <v>0</v>
      </c>
      <c r="DH464" s="14">
        <f t="shared" ca="1" si="712"/>
        <v>0</v>
      </c>
      <c r="DI464" s="14">
        <f t="shared" ca="1" si="712"/>
        <v>0</v>
      </c>
      <c r="DJ464" s="14">
        <f t="shared" ca="1" si="712"/>
        <v>0</v>
      </c>
      <c r="DK464" s="14">
        <f t="shared" ca="1" si="712"/>
        <v>0</v>
      </c>
      <c r="DL464" s="14">
        <f t="shared" ca="1" si="712"/>
        <v>0</v>
      </c>
      <c r="DM464" s="14">
        <f t="shared" ca="1" si="712"/>
        <v>0</v>
      </c>
      <c r="DN464" s="14">
        <f t="shared" ca="1" si="712"/>
        <v>0</v>
      </c>
      <c r="DO464" s="14">
        <f t="shared" ca="1" si="712"/>
        <v>0</v>
      </c>
      <c r="DP464" s="14">
        <f t="shared" ca="1" si="712"/>
        <v>0</v>
      </c>
      <c r="DQ464" s="14">
        <f t="shared" ca="1" si="712"/>
        <v>0</v>
      </c>
      <c r="DR464" s="14">
        <f t="shared" ca="1" si="712"/>
        <v>0</v>
      </c>
      <c r="DS464" s="14">
        <f t="shared" ca="1" si="712"/>
        <v>0</v>
      </c>
      <c r="DT464" s="14">
        <f t="shared" ca="1" si="712"/>
        <v>0</v>
      </c>
      <c r="DU464" s="14">
        <f t="shared" ca="1" si="712"/>
        <v>0</v>
      </c>
      <c r="DV464" s="14">
        <f t="shared" ca="1" si="712"/>
        <v>0</v>
      </c>
      <c r="DW464" s="14">
        <f t="shared" ca="1" si="712"/>
        <v>0</v>
      </c>
      <c r="DX464" s="14">
        <f t="shared" ca="1" si="712"/>
        <v>0</v>
      </c>
      <c r="DY464" s="14">
        <f t="shared" ca="1" si="712"/>
        <v>0</v>
      </c>
    </row>
    <row r="465" spans="2:129" ht="11.7" customHeight="1" outlineLevel="1" x14ac:dyDescent="0.3">
      <c r="B465" s="125" t="s">
        <v>654</v>
      </c>
      <c r="C465" s="125"/>
      <c r="D465" s="884">
        <f>+D461</f>
        <v>8.5331636218852758E-3</v>
      </c>
      <c r="E465" s="3"/>
      <c r="H465" s="290">
        <f t="shared" ca="1" si="704"/>
        <v>3360.8865807672346</v>
      </c>
      <c r="I465" s="14">
        <f>+I463*$D$465</f>
        <v>0</v>
      </c>
      <c r="J465" s="14">
        <f t="shared" ref="J465:BU465" si="713">+J463*$D$465</f>
        <v>0</v>
      </c>
      <c r="K465" s="14">
        <f t="shared" si="713"/>
        <v>0</v>
      </c>
      <c r="L465" s="14">
        <f t="shared" si="713"/>
        <v>0</v>
      </c>
      <c r="M465" s="14">
        <f t="shared" si="713"/>
        <v>0</v>
      </c>
      <c r="N465" s="14">
        <f t="shared" si="713"/>
        <v>0</v>
      </c>
      <c r="O465" s="14">
        <f t="shared" si="713"/>
        <v>0</v>
      </c>
      <c r="P465" s="14">
        <f t="shared" si="713"/>
        <v>0</v>
      </c>
      <c r="Q465" s="14">
        <f t="shared" si="713"/>
        <v>0</v>
      </c>
      <c r="R465" s="14">
        <f t="shared" si="713"/>
        <v>0</v>
      </c>
      <c r="S465" s="14">
        <f t="shared" si="713"/>
        <v>0</v>
      </c>
      <c r="T465" s="14">
        <f t="shared" si="713"/>
        <v>0</v>
      </c>
      <c r="U465" s="14">
        <f t="shared" si="713"/>
        <v>0</v>
      </c>
      <c r="V465" s="14">
        <f t="shared" si="713"/>
        <v>0</v>
      </c>
      <c r="W465" s="14">
        <f t="shared" si="713"/>
        <v>0</v>
      </c>
      <c r="X465" s="14">
        <f t="shared" si="713"/>
        <v>0</v>
      </c>
      <c r="Y465" s="14">
        <f t="shared" si="713"/>
        <v>0</v>
      </c>
      <c r="Z465" s="14">
        <f t="shared" si="713"/>
        <v>0</v>
      </c>
      <c r="AA465" s="14">
        <f t="shared" si="713"/>
        <v>0</v>
      </c>
      <c r="AB465" s="14">
        <f t="shared" si="713"/>
        <v>0</v>
      </c>
      <c r="AC465" s="14">
        <f t="shared" si="713"/>
        <v>0</v>
      </c>
      <c r="AD465" s="14">
        <f t="shared" si="713"/>
        <v>0</v>
      </c>
      <c r="AE465" s="14">
        <f t="shared" si="713"/>
        <v>0</v>
      </c>
      <c r="AF465" s="14">
        <f t="shared" si="713"/>
        <v>0</v>
      </c>
      <c r="AG465" s="14">
        <f t="shared" si="713"/>
        <v>0</v>
      </c>
      <c r="AH465" s="14">
        <f t="shared" si="713"/>
        <v>0</v>
      </c>
      <c r="AI465" s="14">
        <f t="shared" si="713"/>
        <v>0</v>
      </c>
      <c r="AJ465" s="14">
        <f t="shared" si="713"/>
        <v>0</v>
      </c>
      <c r="AK465" s="14">
        <f t="shared" si="713"/>
        <v>0</v>
      </c>
      <c r="AL465" s="14">
        <f t="shared" si="713"/>
        <v>0</v>
      </c>
      <c r="AM465" s="14">
        <f t="shared" si="713"/>
        <v>0</v>
      </c>
      <c r="AN465" s="14">
        <f t="shared" si="713"/>
        <v>0</v>
      </c>
      <c r="AO465" s="14">
        <f t="shared" si="713"/>
        <v>0</v>
      </c>
      <c r="AP465" s="14">
        <f t="shared" si="713"/>
        <v>145.63550353471601</v>
      </c>
      <c r="AQ465" s="14">
        <f t="shared" si="713"/>
        <v>0</v>
      </c>
      <c r="AR465" s="14">
        <f t="shared" si="713"/>
        <v>0</v>
      </c>
      <c r="AS465" s="14">
        <f t="shared" si="713"/>
        <v>0</v>
      </c>
      <c r="AT465" s="14">
        <f t="shared" si="713"/>
        <v>0</v>
      </c>
      <c r="AU465" s="14">
        <f t="shared" si="713"/>
        <v>0</v>
      </c>
      <c r="AV465" s="14">
        <f t="shared" si="713"/>
        <v>0</v>
      </c>
      <c r="AW465" s="14">
        <f t="shared" si="713"/>
        <v>0</v>
      </c>
      <c r="AX465" s="14">
        <f t="shared" si="713"/>
        <v>0</v>
      </c>
      <c r="AY465" s="14">
        <f t="shared" si="713"/>
        <v>0</v>
      </c>
      <c r="AZ465" s="14">
        <f t="shared" si="713"/>
        <v>0</v>
      </c>
      <c r="BA465" s="14">
        <f t="shared" si="713"/>
        <v>0</v>
      </c>
      <c r="BB465" s="14">
        <f t="shared" si="713"/>
        <v>0</v>
      </c>
      <c r="BC465" s="14">
        <f t="shared" si="713"/>
        <v>0</v>
      </c>
      <c r="BD465" s="14">
        <f>+BD463*$D$465</f>
        <v>162.13010881582025</v>
      </c>
      <c r="BE465" s="14">
        <f t="shared" si="713"/>
        <v>0</v>
      </c>
      <c r="BF465" s="14">
        <f t="shared" si="713"/>
        <v>0</v>
      </c>
      <c r="BG465" s="14">
        <f t="shared" si="713"/>
        <v>0</v>
      </c>
      <c r="BH465" s="14">
        <f t="shared" si="713"/>
        <v>0</v>
      </c>
      <c r="BI465" s="14">
        <f t="shared" si="713"/>
        <v>0</v>
      </c>
      <c r="BJ465" s="14">
        <f t="shared" si="713"/>
        <v>0</v>
      </c>
      <c r="BK465" s="14">
        <f t="shared" si="713"/>
        <v>0</v>
      </c>
      <c r="BL465" s="14">
        <f t="shared" si="713"/>
        <v>0</v>
      </c>
      <c r="BM465" s="14">
        <f t="shared" si="713"/>
        <v>0</v>
      </c>
      <c r="BN465" s="14">
        <f t="shared" si="713"/>
        <v>0</v>
      </c>
      <c r="BO465" s="14">
        <f t="shared" si="713"/>
        <v>0</v>
      </c>
      <c r="BP465" s="14">
        <f t="shared" si="713"/>
        <v>0</v>
      </c>
      <c r="BQ465" s="14">
        <f t="shared" si="713"/>
        <v>0</v>
      </c>
      <c r="BR465" s="14">
        <f t="shared" si="713"/>
        <v>0</v>
      </c>
      <c r="BS465" s="14">
        <f t="shared" si="713"/>
        <v>0</v>
      </c>
      <c r="BT465" s="14">
        <f t="shared" si="713"/>
        <v>0</v>
      </c>
      <c r="BU465" s="14">
        <f t="shared" si="713"/>
        <v>0</v>
      </c>
      <c r="BV465" s="14">
        <f t="shared" ref="BV465:DY465" si="714">+BV463*$D$465</f>
        <v>0</v>
      </c>
      <c r="BW465" s="14">
        <f t="shared" si="714"/>
        <v>0</v>
      </c>
      <c r="BX465" s="14">
        <f t="shared" si="714"/>
        <v>0</v>
      </c>
      <c r="BY465" s="14">
        <f t="shared" si="714"/>
        <v>0</v>
      </c>
      <c r="BZ465" s="14">
        <f t="shared" si="714"/>
        <v>0</v>
      </c>
      <c r="CA465" s="14">
        <f t="shared" si="714"/>
        <v>0</v>
      </c>
      <c r="CB465" s="14">
        <f t="shared" si="714"/>
        <v>0</v>
      </c>
      <c r="CC465" s="14">
        <f t="shared" si="714"/>
        <v>0</v>
      </c>
      <c r="CD465" s="14">
        <f t="shared" si="714"/>
        <v>0</v>
      </c>
      <c r="CE465" s="14">
        <f t="shared" si="714"/>
        <v>0</v>
      </c>
      <c r="CF465" s="14">
        <f t="shared" ca="1" si="714"/>
        <v>2967.2944800482351</v>
      </c>
      <c r="CG465" s="14">
        <f t="shared" ca="1" si="714"/>
        <v>85.826488368463416</v>
      </c>
      <c r="CH465" s="14">
        <f t="shared" ca="1" si="714"/>
        <v>0</v>
      </c>
      <c r="CI465" s="14">
        <f t="shared" ca="1" si="714"/>
        <v>0</v>
      </c>
      <c r="CJ465" s="14">
        <f t="shared" ca="1" si="714"/>
        <v>0</v>
      </c>
      <c r="CK465" s="14">
        <f t="shared" ca="1" si="714"/>
        <v>0</v>
      </c>
      <c r="CL465" s="14">
        <f t="shared" ca="1" si="714"/>
        <v>0</v>
      </c>
      <c r="CM465" s="14">
        <f t="shared" ca="1" si="714"/>
        <v>0</v>
      </c>
      <c r="CN465" s="14">
        <f t="shared" ca="1" si="714"/>
        <v>0</v>
      </c>
      <c r="CO465" s="14">
        <f t="shared" ca="1" si="714"/>
        <v>0</v>
      </c>
      <c r="CP465" s="14">
        <f t="shared" ca="1" si="714"/>
        <v>0</v>
      </c>
      <c r="CQ465" s="14">
        <f t="shared" ca="1" si="714"/>
        <v>0</v>
      </c>
      <c r="CR465" s="14">
        <f t="shared" ca="1" si="714"/>
        <v>0</v>
      </c>
      <c r="CS465" s="14">
        <f t="shared" ca="1" si="714"/>
        <v>0</v>
      </c>
      <c r="CT465" s="14">
        <f t="shared" ca="1" si="714"/>
        <v>0</v>
      </c>
      <c r="CU465" s="14">
        <f t="shared" ca="1" si="714"/>
        <v>0</v>
      </c>
      <c r="CV465" s="14">
        <f t="shared" ca="1" si="714"/>
        <v>0</v>
      </c>
      <c r="CW465" s="14">
        <f t="shared" ca="1" si="714"/>
        <v>0</v>
      </c>
      <c r="CX465" s="14">
        <f t="shared" ca="1" si="714"/>
        <v>0</v>
      </c>
      <c r="CY465" s="14">
        <f t="shared" ca="1" si="714"/>
        <v>0</v>
      </c>
      <c r="CZ465" s="14">
        <f t="shared" ca="1" si="714"/>
        <v>0</v>
      </c>
      <c r="DA465" s="14">
        <f t="shared" ca="1" si="714"/>
        <v>0</v>
      </c>
      <c r="DB465" s="14">
        <f t="shared" ca="1" si="714"/>
        <v>0</v>
      </c>
      <c r="DC465" s="14">
        <f t="shared" ca="1" si="714"/>
        <v>0</v>
      </c>
      <c r="DD465" s="14">
        <f t="shared" ca="1" si="714"/>
        <v>0</v>
      </c>
      <c r="DE465" s="14">
        <f t="shared" ca="1" si="714"/>
        <v>0</v>
      </c>
      <c r="DF465" s="14">
        <f t="shared" ca="1" si="714"/>
        <v>0</v>
      </c>
      <c r="DG465" s="14">
        <f t="shared" ca="1" si="714"/>
        <v>0</v>
      </c>
      <c r="DH465" s="14">
        <f t="shared" ca="1" si="714"/>
        <v>0</v>
      </c>
      <c r="DI465" s="14">
        <f t="shared" ca="1" si="714"/>
        <v>0</v>
      </c>
      <c r="DJ465" s="14">
        <f t="shared" ca="1" si="714"/>
        <v>0</v>
      </c>
      <c r="DK465" s="14">
        <f t="shared" ca="1" si="714"/>
        <v>0</v>
      </c>
      <c r="DL465" s="14">
        <f t="shared" ca="1" si="714"/>
        <v>0</v>
      </c>
      <c r="DM465" s="14">
        <f t="shared" ca="1" si="714"/>
        <v>0</v>
      </c>
      <c r="DN465" s="14">
        <f t="shared" ca="1" si="714"/>
        <v>0</v>
      </c>
      <c r="DO465" s="14">
        <f t="shared" ca="1" si="714"/>
        <v>0</v>
      </c>
      <c r="DP465" s="14">
        <f t="shared" ca="1" si="714"/>
        <v>0</v>
      </c>
      <c r="DQ465" s="14">
        <f t="shared" ca="1" si="714"/>
        <v>0</v>
      </c>
      <c r="DR465" s="14">
        <f t="shared" ca="1" si="714"/>
        <v>0</v>
      </c>
      <c r="DS465" s="14">
        <f t="shared" ca="1" si="714"/>
        <v>0</v>
      </c>
      <c r="DT465" s="14">
        <f t="shared" ca="1" si="714"/>
        <v>0</v>
      </c>
      <c r="DU465" s="14">
        <f t="shared" ca="1" si="714"/>
        <v>0</v>
      </c>
      <c r="DV465" s="14">
        <f t="shared" ca="1" si="714"/>
        <v>0</v>
      </c>
      <c r="DW465" s="14">
        <f t="shared" ca="1" si="714"/>
        <v>0</v>
      </c>
      <c r="DX465" s="14">
        <f t="shared" ca="1" si="714"/>
        <v>0</v>
      </c>
      <c r="DY465" s="14">
        <f t="shared" ca="1" si="714"/>
        <v>0</v>
      </c>
    </row>
    <row r="466" spans="2:129" ht="11.7" customHeight="1" outlineLevel="1" x14ac:dyDescent="0.3">
      <c r="B466" s="195"/>
      <c r="C466" s="195"/>
      <c r="D466" s="3"/>
      <c r="E466" s="3"/>
    </row>
    <row r="467" spans="2:129" ht="11.7" customHeight="1" outlineLevel="1" x14ac:dyDescent="0.3">
      <c r="B467" s="195"/>
      <c r="C467" s="195"/>
      <c r="D467" s="3"/>
      <c r="E467" s="3"/>
      <c r="J467" s="1098"/>
    </row>
    <row r="468" spans="2:129" ht="11.7" customHeight="1" outlineLevel="1" x14ac:dyDescent="0.3">
      <c r="B468" s="195" t="s">
        <v>653</v>
      </c>
      <c r="C468" s="195"/>
      <c r="D468" s="3"/>
      <c r="E468" s="3"/>
    </row>
    <row r="469" spans="2:129" ht="11.7" customHeight="1" outlineLevel="1" x14ac:dyDescent="0.3">
      <c r="B469" s="152" t="s">
        <v>507</v>
      </c>
      <c r="C469" s="152"/>
      <c r="D469" s="63"/>
      <c r="E469" s="63"/>
      <c r="F469" s="885"/>
      <c r="G469" s="886"/>
      <c r="H469" s="886"/>
      <c r="I469" s="1099">
        <v>0</v>
      </c>
      <c r="J469" s="168">
        <f t="shared" ref="J469:BU469" si="715">+I473</f>
        <v>179951.23080262783</v>
      </c>
      <c r="K469" s="168">
        <f t="shared" si="715"/>
        <v>179951.23080262783</v>
      </c>
      <c r="L469" s="168">
        <f t="shared" si="715"/>
        <v>179951.23080262783</v>
      </c>
      <c r="M469" s="168">
        <f t="shared" si="715"/>
        <v>179951.23080262783</v>
      </c>
      <c r="N469" s="168">
        <f t="shared" si="715"/>
        <v>179951.23080262783</v>
      </c>
      <c r="O469" s="168">
        <f t="shared" si="715"/>
        <v>179951.23080262783</v>
      </c>
      <c r="P469" s="168">
        <f t="shared" si="715"/>
        <v>179951.23080262783</v>
      </c>
      <c r="Q469" s="168">
        <f t="shared" si="715"/>
        <v>179951.23080262783</v>
      </c>
      <c r="R469" s="168">
        <f t="shared" si="715"/>
        <v>179951.23080262783</v>
      </c>
      <c r="S469" s="168">
        <f t="shared" si="715"/>
        <v>179951.23080262783</v>
      </c>
      <c r="T469" s="168">
        <f t="shared" si="715"/>
        <v>179951.23080262783</v>
      </c>
      <c r="U469" s="168">
        <f t="shared" si="715"/>
        <v>179951.23080262783</v>
      </c>
      <c r="V469" s="168">
        <f t="shared" si="715"/>
        <v>179951.23080262783</v>
      </c>
      <c r="W469" s="168">
        <f t="shared" si="715"/>
        <v>179951.23080262783</v>
      </c>
      <c r="X469" s="168">
        <f t="shared" si="715"/>
        <v>220071.37103355466</v>
      </c>
      <c r="Y469" s="168">
        <f t="shared" si="715"/>
        <v>220071.37103355466</v>
      </c>
      <c r="Z469" s="168">
        <f t="shared" si="715"/>
        <v>220071.37103355466</v>
      </c>
      <c r="AA469" s="168">
        <f t="shared" si="715"/>
        <v>220071.37103355466</v>
      </c>
      <c r="AB469" s="168">
        <f t="shared" si="715"/>
        <v>220071.37103355466</v>
      </c>
      <c r="AC469" s="168">
        <f t="shared" si="715"/>
        <v>220071.37103355466</v>
      </c>
      <c r="AD469" s="168">
        <f t="shared" si="715"/>
        <v>220071.37103355466</v>
      </c>
      <c r="AE469" s="168">
        <f t="shared" si="715"/>
        <v>220071.37103355466</v>
      </c>
      <c r="AF469" s="168">
        <f t="shared" si="715"/>
        <v>220071.37103355466</v>
      </c>
      <c r="AG469" s="168">
        <f t="shared" si="715"/>
        <v>220071.37103355466</v>
      </c>
      <c r="AH469" s="168">
        <f t="shared" si="715"/>
        <v>220071.37103355466</v>
      </c>
      <c r="AI469" s="168">
        <f t="shared" si="715"/>
        <v>220071.37103355466</v>
      </c>
      <c r="AJ469" s="168">
        <f t="shared" si="715"/>
        <v>220071.37103355466</v>
      </c>
      <c r="AK469" s="168">
        <f t="shared" si="715"/>
        <v>220071.37103355466</v>
      </c>
      <c r="AL469" s="168">
        <f t="shared" si="715"/>
        <v>220071.37103355466</v>
      </c>
      <c r="AM469" s="168">
        <f t="shared" si="715"/>
        <v>220071.37103355466</v>
      </c>
      <c r="AN469" s="168">
        <f t="shared" si="715"/>
        <v>220071.37103355466</v>
      </c>
      <c r="AO469" s="168">
        <f t="shared" si="715"/>
        <v>220071.37103355466</v>
      </c>
      <c r="AP469" s="168">
        <f t="shared" si="715"/>
        <v>220071.37103355466</v>
      </c>
      <c r="AQ469" s="168">
        <f t="shared" si="715"/>
        <v>203150.00653708939</v>
      </c>
      <c r="AR469" s="168">
        <f t="shared" si="715"/>
        <v>203150.00653708939</v>
      </c>
      <c r="AS469" s="168">
        <f t="shared" si="715"/>
        <v>203150.00653708939</v>
      </c>
      <c r="AT469" s="168">
        <f t="shared" si="715"/>
        <v>203150.00653708939</v>
      </c>
      <c r="AU469" s="168">
        <f t="shared" si="715"/>
        <v>203150.00653708939</v>
      </c>
      <c r="AV469" s="168">
        <f t="shared" si="715"/>
        <v>203150.00653708939</v>
      </c>
      <c r="AW469" s="168">
        <f t="shared" si="715"/>
        <v>203150.00653708939</v>
      </c>
      <c r="AX469" s="168">
        <f t="shared" si="715"/>
        <v>203150.00653708939</v>
      </c>
      <c r="AY469" s="168">
        <f t="shared" si="715"/>
        <v>203150.00653708939</v>
      </c>
      <c r="AZ469" s="168">
        <f t="shared" si="715"/>
        <v>203150.00653708939</v>
      </c>
      <c r="BA469" s="168">
        <f t="shared" si="715"/>
        <v>203150.00653708939</v>
      </c>
      <c r="BB469" s="168">
        <f t="shared" si="715"/>
        <v>203150.00653708939</v>
      </c>
      <c r="BC469" s="168">
        <f t="shared" si="715"/>
        <v>203150.00653708939</v>
      </c>
      <c r="BD469" s="168">
        <f t="shared" si="715"/>
        <v>203150.00653708939</v>
      </c>
      <c r="BE469" s="168">
        <f t="shared" si="715"/>
        <v>184312.13664590521</v>
      </c>
      <c r="BF469" s="168">
        <f t="shared" si="715"/>
        <v>184312.13664590521</v>
      </c>
      <c r="BG469" s="168">
        <f t="shared" si="715"/>
        <v>184312.13664590521</v>
      </c>
      <c r="BH469" s="168">
        <f t="shared" si="715"/>
        <v>184312.13664590521</v>
      </c>
      <c r="BI469" s="168">
        <f t="shared" si="715"/>
        <v>184312.13664590521</v>
      </c>
      <c r="BJ469" s="168">
        <f t="shared" si="715"/>
        <v>184312.13664590521</v>
      </c>
      <c r="BK469" s="168">
        <f t="shared" si="715"/>
        <v>184312.13664590521</v>
      </c>
      <c r="BL469" s="168">
        <f t="shared" si="715"/>
        <v>184312.13664590521</v>
      </c>
      <c r="BM469" s="168">
        <f t="shared" si="715"/>
        <v>184312.13664590521</v>
      </c>
      <c r="BN469" s="168">
        <f t="shared" si="715"/>
        <v>184312.13664590521</v>
      </c>
      <c r="BO469" s="168">
        <f t="shared" si="715"/>
        <v>184312.13664590521</v>
      </c>
      <c r="BP469" s="168">
        <f t="shared" si="715"/>
        <v>184312.13664590521</v>
      </c>
      <c r="BQ469" s="168">
        <f t="shared" si="715"/>
        <v>184312.13664590521</v>
      </c>
      <c r="BR469" s="168">
        <f t="shared" si="715"/>
        <v>184312.13664590521</v>
      </c>
      <c r="BS469" s="168">
        <f t="shared" si="715"/>
        <v>184312.13664590521</v>
      </c>
      <c r="BT469" s="168">
        <f t="shared" si="715"/>
        <v>184312.13664590521</v>
      </c>
      <c r="BU469" s="168">
        <f t="shared" si="715"/>
        <v>184312.13664590521</v>
      </c>
      <c r="BV469" s="168">
        <f t="shared" ref="BV469:DY469" si="716">+BU473</f>
        <v>184312.13664590521</v>
      </c>
      <c r="BW469" s="168">
        <f t="shared" si="716"/>
        <v>184312.13664590521</v>
      </c>
      <c r="BX469" s="168">
        <f t="shared" si="716"/>
        <v>184312.13664590521</v>
      </c>
      <c r="BY469" s="168">
        <f t="shared" si="716"/>
        <v>184312.13664590521</v>
      </c>
      <c r="BZ469" s="168">
        <f t="shared" si="716"/>
        <v>184312.13664590521</v>
      </c>
      <c r="CA469" s="168">
        <f t="shared" si="716"/>
        <v>184312.13664590521</v>
      </c>
      <c r="CB469" s="168">
        <f t="shared" si="716"/>
        <v>184312.13664590521</v>
      </c>
      <c r="CC469" s="168">
        <f t="shared" si="716"/>
        <v>184312.13664590521</v>
      </c>
      <c r="CD469" s="168">
        <f t="shared" si="716"/>
        <v>184312.13664590521</v>
      </c>
      <c r="CE469" s="168">
        <f t="shared" si="716"/>
        <v>184312.13664590521</v>
      </c>
      <c r="CF469" s="168">
        <f t="shared" si="716"/>
        <v>184312.13664590521</v>
      </c>
      <c r="CG469" s="168">
        <f t="shared" ca="1" si="716"/>
        <v>0</v>
      </c>
      <c r="CH469" s="168">
        <f t="shared" ca="1" si="716"/>
        <v>0</v>
      </c>
      <c r="CI469" s="168">
        <f t="shared" ca="1" si="716"/>
        <v>0</v>
      </c>
      <c r="CJ469" s="168">
        <f t="shared" ca="1" si="716"/>
        <v>0</v>
      </c>
      <c r="CK469" s="168">
        <f t="shared" ca="1" si="716"/>
        <v>0</v>
      </c>
      <c r="CL469" s="168">
        <f t="shared" ca="1" si="716"/>
        <v>0</v>
      </c>
      <c r="CM469" s="168">
        <f t="shared" ca="1" si="716"/>
        <v>0</v>
      </c>
      <c r="CN469" s="168">
        <f t="shared" ca="1" si="716"/>
        <v>0</v>
      </c>
      <c r="CO469" s="168">
        <f t="shared" ca="1" si="716"/>
        <v>0</v>
      </c>
      <c r="CP469" s="168">
        <f t="shared" ca="1" si="716"/>
        <v>0</v>
      </c>
      <c r="CQ469" s="168">
        <f t="shared" ca="1" si="716"/>
        <v>0</v>
      </c>
      <c r="CR469" s="168">
        <f t="shared" ca="1" si="716"/>
        <v>0</v>
      </c>
      <c r="CS469" s="168">
        <f t="shared" ca="1" si="716"/>
        <v>0</v>
      </c>
      <c r="CT469" s="168">
        <f t="shared" ca="1" si="716"/>
        <v>0</v>
      </c>
      <c r="CU469" s="168">
        <f t="shared" ca="1" si="716"/>
        <v>0</v>
      </c>
      <c r="CV469" s="168">
        <f t="shared" ca="1" si="716"/>
        <v>0</v>
      </c>
      <c r="CW469" s="168">
        <f t="shared" ca="1" si="716"/>
        <v>0</v>
      </c>
      <c r="CX469" s="168">
        <f t="shared" ca="1" si="716"/>
        <v>0</v>
      </c>
      <c r="CY469" s="168">
        <f t="shared" ca="1" si="716"/>
        <v>0</v>
      </c>
      <c r="CZ469" s="168">
        <f t="shared" ca="1" si="716"/>
        <v>0</v>
      </c>
      <c r="DA469" s="168">
        <f t="shared" ca="1" si="716"/>
        <v>0</v>
      </c>
      <c r="DB469" s="168">
        <f t="shared" ca="1" si="716"/>
        <v>0</v>
      </c>
      <c r="DC469" s="168">
        <f t="shared" ca="1" si="716"/>
        <v>0</v>
      </c>
      <c r="DD469" s="168">
        <f t="shared" ca="1" si="716"/>
        <v>0</v>
      </c>
      <c r="DE469" s="168">
        <f t="shared" ca="1" si="716"/>
        <v>0</v>
      </c>
      <c r="DF469" s="168">
        <f t="shared" ca="1" si="716"/>
        <v>0</v>
      </c>
      <c r="DG469" s="168">
        <f t="shared" ca="1" si="716"/>
        <v>0</v>
      </c>
      <c r="DH469" s="168">
        <f t="shared" ca="1" si="716"/>
        <v>0</v>
      </c>
      <c r="DI469" s="168">
        <f t="shared" ca="1" si="716"/>
        <v>0</v>
      </c>
      <c r="DJ469" s="168">
        <f t="shared" ca="1" si="716"/>
        <v>0</v>
      </c>
      <c r="DK469" s="168">
        <f t="shared" ca="1" si="716"/>
        <v>0</v>
      </c>
      <c r="DL469" s="168">
        <f t="shared" ca="1" si="716"/>
        <v>0</v>
      </c>
      <c r="DM469" s="168">
        <f t="shared" ca="1" si="716"/>
        <v>0</v>
      </c>
      <c r="DN469" s="168">
        <f t="shared" ca="1" si="716"/>
        <v>0</v>
      </c>
      <c r="DO469" s="168">
        <f t="shared" ca="1" si="716"/>
        <v>0</v>
      </c>
      <c r="DP469" s="168">
        <f t="shared" ca="1" si="716"/>
        <v>0</v>
      </c>
      <c r="DQ469" s="168">
        <f t="shared" ca="1" si="716"/>
        <v>0</v>
      </c>
      <c r="DR469" s="168">
        <f t="shared" ca="1" si="716"/>
        <v>0</v>
      </c>
      <c r="DS469" s="168">
        <f t="shared" ca="1" si="716"/>
        <v>0</v>
      </c>
      <c r="DT469" s="168">
        <f t="shared" ca="1" si="716"/>
        <v>0</v>
      </c>
      <c r="DU469" s="168">
        <f t="shared" ca="1" si="716"/>
        <v>0</v>
      </c>
      <c r="DV469" s="168">
        <f t="shared" ca="1" si="716"/>
        <v>0</v>
      </c>
      <c r="DW469" s="168">
        <f t="shared" ca="1" si="716"/>
        <v>0</v>
      </c>
      <c r="DX469" s="168">
        <f t="shared" ca="1" si="716"/>
        <v>0</v>
      </c>
      <c r="DY469" s="168">
        <f t="shared" ca="1" si="716"/>
        <v>0</v>
      </c>
    </row>
    <row r="470" spans="2:129" ht="11.7" customHeight="1" outlineLevel="1" x14ac:dyDescent="0.3">
      <c r="B470" s="113" t="s">
        <v>508</v>
      </c>
      <c r="C470" s="113"/>
      <c r="D470" s="3"/>
      <c r="E470" s="3"/>
      <c r="H470" s="290">
        <f>+SUM(I470:DY470)</f>
        <v>220071.37103355466</v>
      </c>
      <c r="I470" s="14">
        <f>-I$460*(I$460&lt;0)</f>
        <v>179951.23080262783</v>
      </c>
      <c r="J470" s="14">
        <f t="shared" ref="J470:BU470" si="717">-J$460*(J$460&lt;0)</f>
        <v>0</v>
      </c>
      <c r="K470" s="14">
        <f t="shared" si="717"/>
        <v>0</v>
      </c>
      <c r="L470" s="14">
        <f t="shared" si="717"/>
        <v>0</v>
      </c>
      <c r="M470" s="14">
        <f t="shared" si="717"/>
        <v>0</v>
      </c>
      <c r="N470" s="14">
        <f t="shared" si="717"/>
        <v>0</v>
      </c>
      <c r="O470" s="14">
        <f t="shared" si="717"/>
        <v>0</v>
      </c>
      <c r="P470" s="14">
        <f t="shared" si="717"/>
        <v>0</v>
      </c>
      <c r="Q470" s="14">
        <f t="shared" si="717"/>
        <v>0</v>
      </c>
      <c r="R470" s="14">
        <f t="shared" si="717"/>
        <v>0</v>
      </c>
      <c r="S470" s="14">
        <f t="shared" si="717"/>
        <v>0</v>
      </c>
      <c r="T470" s="14">
        <f t="shared" si="717"/>
        <v>0</v>
      </c>
      <c r="U470" s="14">
        <f t="shared" si="717"/>
        <v>0</v>
      </c>
      <c r="V470" s="14">
        <f t="shared" si="717"/>
        <v>0</v>
      </c>
      <c r="W470" s="14">
        <f t="shared" si="717"/>
        <v>40120.140230926831</v>
      </c>
      <c r="X470" s="14">
        <f t="shared" si="717"/>
        <v>0</v>
      </c>
      <c r="Y470" s="14">
        <f t="shared" si="717"/>
        <v>0</v>
      </c>
      <c r="Z470" s="14">
        <f t="shared" si="717"/>
        <v>0</v>
      </c>
      <c r="AA470" s="14">
        <f t="shared" si="717"/>
        <v>0</v>
      </c>
      <c r="AB470" s="14">
        <f t="shared" si="717"/>
        <v>0</v>
      </c>
      <c r="AC470" s="14">
        <f t="shared" si="717"/>
        <v>0</v>
      </c>
      <c r="AD470" s="14">
        <f t="shared" si="717"/>
        <v>0</v>
      </c>
      <c r="AE470" s="14">
        <f t="shared" si="717"/>
        <v>0</v>
      </c>
      <c r="AF470" s="14">
        <f t="shared" si="717"/>
        <v>0</v>
      </c>
      <c r="AG470" s="14">
        <f t="shared" si="717"/>
        <v>0</v>
      </c>
      <c r="AH470" s="14">
        <f t="shared" si="717"/>
        <v>0</v>
      </c>
      <c r="AI470" s="14">
        <f t="shared" si="717"/>
        <v>0</v>
      </c>
      <c r="AJ470" s="14">
        <f t="shared" si="717"/>
        <v>0</v>
      </c>
      <c r="AK470" s="14">
        <f t="shared" si="717"/>
        <v>0</v>
      </c>
      <c r="AL470" s="14">
        <f t="shared" si="717"/>
        <v>0</v>
      </c>
      <c r="AM470" s="14">
        <f t="shared" si="717"/>
        <v>0</v>
      </c>
      <c r="AN470" s="14">
        <f t="shared" si="717"/>
        <v>0</v>
      </c>
      <c r="AO470" s="14">
        <f t="shared" si="717"/>
        <v>0</v>
      </c>
      <c r="AP470" s="14">
        <f t="shared" si="717"/>
        <v>0</v>
      </c>
      <c r="AQ470" s="14">
        <f t="shared" si="717"/>
        <v>0</v>
      </c>
      <c r="AR470" s="14">
        <f t="shared" si="717"/>
        <v>0</v>
      </c>
      <c r="AS470" s="14">
        <f t="shared" si="717"/>
        <v>0</v>
      </c>
      <c r="AT470" s="14">
        <f t="shared" si="717"/>
        <v>0</v>
      </c>
      <c r="AU470" s="14">
        <f t="shared" si="717"/>
        <v>0</v>
      </c>
      <c r="AV470" s="14">
        <f t="shared" si="717"/>
        <v>0</v>
      </c>
      <c r="AW470" s="14">
        <f t="shared" si="717"/>
        <v>0</v>
      </c>
      <c r="AX470" s="14">
        <f t="shared" si="717"/>
        <v>0</v>
      </c>
      <c r="AY470" s="14">
        <f t="shared" si="717"/>
        <v>0</v>
      </c>
      <c r="AZ470" s="14">
        <f t="shared" si="717"/>
        <v>0</v>
      </c>
      <c r="BA470" s="14">
        <f t="shared" si="717"/>
        <v>0</v>
      </c>
      <c r="BB470" s="14">
        <f t="shared" si="717"/>
        <v>0</v>
      </c>
      <c r="BC470" s="14">
        <f t="shared" si="717"/>
        <v>0</v>
      </c>
      <c r="BD470" s="14">
        <f t="shared" si="717"/>
        <v>0</v>
      </c>
      <c r="BE470" s="14">
        <f t="shared" si="717"/>
        <v>0</v>
      </c>
      <c r="BF470" s="14">
        <f t="shared" si="717"/>
        <v>0</v>
      </c>
      <c r="BG470" s="14">
        <f t="shared" si="717"/>
        <v>0</v>
      </c>
      <c r="BH470" s="14">
        <f t="shared" si="717"/>
        <v>0</v>
      </c>
      <c r="BI470" s="14">
        <f t="shared" si="717"/>
        <v>0</v>
      </c>
      <c r="BJ470" s="14">
        <f t="shared" si="717"/>
        <v>0</v>
      </c>
      <c r="BK470" s="14">
        <f t="shared" si="717"/>
        <v>0</v>
      </c>
      <c r="BL470" s="14">
        <f t="shared" si="717"/>
        <v>0</v>
      </c>
      <c r="BM470" s="14">
        <f t="shared" si="717"/>
        <v>0</v>
      </c>
      <c r="BN470" s="14">
        <f t="shared" si="717"/>
        <v>0</v>
      </c>
      <c r="BO470" s="14">
        <f t="shared" si="717"/>
        <v>0</v>
      </c>
      <c r="BP470" s="14">
        <f t="shared" si="717"/>
        <v>0</v>
      </c>
      <c r="BQ470" s="14">
        <f t="shared" si="717"/>
        <v>0</v>
      </c>
      <c r="BR470" s="14">
        <f t="shared" si="717"/>
        <v>0</v>
      </c>
      <c r="BS470" s="14">
        <f t="shared" si="717"/>
        <v>0</v>
      </c>
      <c r="BT470" s="14">
        <f t="shared" si="717"/>
        <v>0</v>
      </c>
      <c r="BU470" s="14">
        <f t="shared" si="717"/>
        <v>0</v>
      </c>
      <c r="BV470" s="14">
        <f t="shared" ref="BV470:DY470" si="718">-BV$460*(BV$460&lt;0)</f>
        <v>0</v>
      </c>
      <c r="BW470" s="14">
        <f t="shared" si="718"/>
        <v>0</v>
      </c>
      <c r="BX470" s="14">
        <f t="shared" si="718"/>
        <v>0</v>
      </c>
      <c r="BY470" s="14">
        <f t="shared" si="718"/>
        <v>0</v>
      </c>
      <c r="BZ470" s="14">
        <f t="shared" si="718"/>
        <v>0</v>
      </c>
      <c r="CA470" s="14">
        <f t="shared" si="718"/>
        <v>0</v>
      </c>
      <c r="CB470" s="14">
        <f t="shared" si="718"/>
        <v>0</v>
      </c>
      <c r="CC470" s="14">
        <f t="shared" si="718"/>
        <v>0</v>
      </c>
      <c r="CD470" s="14">
        <f t="shared" si="718"/>
        <v>0</v>
      </c>
      <c r="CE470" s="14">
        <f t="shared" si="718"/>
        <v>0</v>
      </c>
      <c r="CF470" s="14">
        <f t="shared" si="718"/>
        <v>0</v>
      </c>
      <c r="CG470" s="14">
        <f t="shared" si="718"/>
        <v>0</v>
      </c>
      <c r="CH470" s="14">
        <f t="shared" si="718"/>
        <v>0</v>
      </c>
      <c r="CI470" s="14">
        <f t="shared" si="718"/>
        <v>0</v>
      </c>
      <c r="CJ470" s="14">
        <f t="shared" si="718"/>
        <v>0</v>
      </c>
      <c r="CK470" s="14">
        <f t="shared" si="718"/>
        <v>0</v>
      </c>
      <c r="CL470" s="14">
        <f t="shared" si="718"/>
        <v>0</v>
      </c>
      <c r="CM470" s="14">
        <f t="shared" si="718"/>
        <v>0</v>
      </c>
      <c r="CN470" s="14">
        <f t="shared" si="718"/>
        <v>0</v>
      </c>
      <c r="CO470" s="14">
        <f t="shared" si="718"/>
        <v>0</v>
      </c>
      <c r="CP470" s="14">
        <f t="shared" si="718"/>
        <v>0</v>
      </c>
      <c r="CQ470" s="14">
        <f t="shared" si="718"/>
        <v>0</v>
      </c>
      <c r="CR470" s="14">
        <f t="shared" si="718"/>
        <v>0</v>
      </c>
      <c r="CS470" s="14">
        <f t="shared" si="718"/>
        <v>0</v>
      </c>
      <c r="CT470" s="14">
        <f t="shared" si="718"/>
        <v>0</v>
      </c>
      <c r="CU470" s="14">
        <f t="shared" si="718"/>
        <v>0</v>
      </c>
      <c r="CV470" s="14">
        <f t="shared" si="718"/>
        <v>0</v>
      </c>
      <c r="CW470" s="14">
        <f t="shared" si="718"/>
        <v>0</v>
      </c>
      <c r="CX470" s="14">
        <f t="shared" si="718"/>
        <v>0</v>
      </c>
      <c r="CY470" s="14">
        <f t="shared" si="718"/>
        <v>0</v>
      </c>
      <c r="CZ470" s="14">
        <f t="shared" si="718"/>
        <v>0</v>
      </c>
      <c r="DA470" s="14">
        <f t="shared" si="718"/>
        <v>0</v>
      </c>
      <c r="DB470" s="14">
        <f t="shared" si="718"/>
        <v>0</v>
      </c>
      <c r="DC470" s="14">
        <f t="shared" si="718"/>
        <v>0</v>
      </c>
      <c r="DD470" s="14">
        <f t="shared" si="718"/>
        <v>0</v>
      </c>
      <c r="DE470" s="14">
        <f t="shared" si="718"/>
        <v>0</v>
      </c>
      <c r="DF470" s="14">
        <f t="shared" si="718"/>
        <v>0</v>
      </c>
      <c r="DG470" s="14">
        <f t="shared" si="718"/>
        <v>0</v>
      </c>
      <c r="DH470" s="14">
        <f t="shared" si="718"/>
        <v>0</v>
      </c>
      <c r="DI470" s="14">
        <f t="shared" si="718"/>
        <v>0</v>
      </c>
      <c r="DJ470" s="14">
        <f t="shared" si="718"/>
        <v>0</v>
      </c>
      <c r="DK470" s="14">
        <f t="shared" si="718"/>
        <v>0</v>
      </c>
      <c r="DL470" s="14">
        <f t="shared" si="718"/>
        <v>0</v>
      </c>
      <c r="DM470" s="14">
        <f t="shared" si="718"/>
        <v>0</v>
      </c>
      <c r="DN470" s="14">
        <f t="shared" si="718"/>
        <v>0</v>
      </c>
      <c r="DO470" s="14">
        <f t="shared" si="718"/>
        <v>0</v>
      </c>
      <c r="DP470" s="14">
        <f t="shared" si="718"/>
        <v>0</v>
      </c>
      <c r="DQ470" s="14">
        <f t="shared" si="718"/>
        <v>0</v>
      </c>
      <c r="DR470" s="14">
        <f t="shared" si="718"/>
        <v>0</v>
      </c>
      <c r="DS470" s="14">
        <f t="shared" si="718"/>
        <v>0</v>
      </c>
      <c r="DT470" s="14">
        <f t="shared" si="718"/>
        <v>0</v>
      </c>
      <c r="DU470" s="14">
        <f t="shared" si="718"/>
        <v>0</v>
      </c>
      <c r="DV470" s="14">
        <f t="shared" si="718"/>
        <v>0</v>
      </c>
      <c r="DW470" s="14">
        <f t="shared" si="718"/>
        <v>0</v>
      </c>
      <c r="DX470" s="14">
        <f t="shared" si="718"/>
        <v>0</v>
      </c>
      <c r="DY470" s="14">
        <f t="shared" si="718"/>
        <v>0</v>
      </c>
    </row>
    <row r="471" spans="2:129" ht="11.7" customHeight="1" outlineLevel="1" x14ac:dyDescent="0.3">
      <c r="B471" s="113" t="s">
        <v>509</v>
      </c>
      <c r="C471" s="113"/>
      <c r="D471" s="883">
        <v>0</v>
      </c>
      <c r="E471" s="884">
        <f>+(1+D471)^(1/12)-1</f>
        <v>0</v>
      </c>
      <c r="H471" s="290">
        <f ca="1">+SUM(I471:DY471)</f>
        <v>0</v>
      </c>
      <c r="I471" s="14">
        <f>+I469*$E$471</f>
        <v>0</v>
      </c>
      <c r="J471" s="14">
        <f t="shared" ref="J471:BU471" si="719">+J469*$E$471</f>
        <v>0</v>
      </c>
      <c r="K471" s="14">
        <f t="shared" si="719"/>
        <v>0</v>
      </c>
      <c r="L471" s="14">
        <f t="shared" si="719"/>
        <v>0</v>
      </c>
      <c r="M471" s="14">
        <f t="shared" si="719"/>
        <v>0</v>
      </c>
      <c r="N471" s="14">
        <f t="shared" si="719"/>
        <v>0</v>
      </c>
      <c r="O471" s="14">
        <f t="shared" si="719"/>
        <v>0</v>
      </c>
      <c r="P471" s="14">
        <f t="shared" si="719"/>
        <v>0</v>
      </c>
      <c r="Q471" s="14">
        <f t="shared" si="719"/>
        <v>0</v>
      </c>
      <c r="R471" s="14">
        <f t="shared" si="719"/>
        <v>0</v>
      </c>
      <c r="S471" s="14">
        <f t="shared" si="719"/>
        <v>0</v>
      </c>
      <c r="T471" s="14">
        <f t="shared" si="719"/>
        <v>0</v>
      </c>
      <c r="U471" s="14">
        <f t="shared" si="719"/>
        <v>0</v>
      </c>
      <c r="V471" s="14">
        <f t="shared" si="719"/>
        <v>0</v>
      </c>
      <c r="W471" s="14">
        <f t="shared" si="719"/>
        <v>0</v>
      </c>
      <c r="X471" s="14">
        <f t="shared" si="719"/>
        <v>0</v>
      </c>
      <c r="Y471" s="14">
        <f t="shared" si="719"/>
        <v>0</v>
      </c>
      <c r="Z471" s="14">
        <f t="shared" si="719"/>
        <v>0</v>
      </c>
      <c r="AA471" s="14">
        <f t="shared" si="719"/>
        <v>0</v>
      </c>
      <c r="AB471" s="14">
        <f t="shared" si="719"/>
        <v>0</v>
      </c>
      <c r="AC471" s="14">
        <f t="shared" si="719"/>
        <v>0</v>
      </c>
      <c r="AD471" s="14">
        <f t="shared" si="719"/>
        <v>0</v>
      </c>
      <c r="AE471" s="14">
        <f t="shared" si="719"/>
        <v>0</v>
      </c>
      <c r="AF471" s="14">
        <f t="shared" si="719"/>
        <v>0</v>
      </c>
      <c r="AG471" s="14">
        <f t="shared" si="719"/>
        <v>0</v>
      </c>
      <c r="AH471" s="14">
        <f t="shared" si="719"/>
        <v>0</v>
      </c>
      <c r="AI471" s="14">
        <f t="shared" si="719"/>
        <v>0</v>
      </c>
      <c r="AJ471" s="14">
        <f t="shared" si="719"/>
        <v>0</v>
      </c>
      <c r="AK471" s="14">
        <f t="shared" si="719"/>
        <v>0</v>
      </c>
      <c r="AL471" s="14">
        <f t="shared" si="719"/>
        <v>0</v>
      </c>
      <c r="AM471" s="14">
        <f t="shared" si="719"/>
        <v>0</v>
      </c>
      <c r="AN471" s="14">
        <f t="shared" si="719"/>
        <v>0</v>
      </c>
      <c r="AO471" s="14">
        <f t="shared" si="719"/>
        <v>0</v>
      </c>
      <c r="AP471" s="14">
        <f t="shared" si="719"/>
        <v>0</v>
      </c>
      <c r="AQ471" s="14">
        <f t="shared" si="719"/>
        <v>0</v>
      </c>
      <c r="AR471" s="14">
        <f t="shared" si="719"/>
        <v>0</v>
      </c>
      <c r="AS471" s="14">
        <f t="shared" si="719"/>
        <v>0</v>
      </c>
      <c r="AT471" s="14">
        <f t="shared" si="719"/>
        <v>0</v>
      </c>
      <c r="AU471" s="14">
        <f t="shared" si="719"/>
        <v>0</v>
      </c>
      <c r="AV471" s="14">
        <f t="shared" si="719"/>
        <v>0</v>
      </c>
      <c r="AW471" s="14">
        <f t="shared" si="719"/>
        <v>0</v>
      </c>
      <c r="AX471" s="14">
        <f t="shared" si="719"/>
        <v>0</v>
      </c>
      <c r="AY471" s="14">
        <f t="shared" si="719"/>
        <v>0</v>
      </c>
      <c r="AZ471" s="14">
        <f t="shared" si="719"/>
        <v>0</v>
      </c>
      <c r="BA471" s="14">
        <f t="shared" si="719"/>
        <v>0</v>
      </c>
      <c r="BB471" s="14">
        <f t="shared" si="719"/>
        <v>0</v>
      </c>
      <c r="BC471" s="14">
        <f t="shared" si="719"/>
        <v>0</v>
      </c>
      <c r="BD471" s="14">
        <f t="shared" si="719"/>
        <v>0</v>
      </c>
      <c r="BE471" s="14">
        <f t="shared" si="719"/>
        <v>0</v>
      </c>
      <c r="BF471" s="14">
        <f t="shared" si="719"/>
        <v>0</v>
      </c>
      <c r="BG471" s="14">
        <f t="shared" si="719"/>
        <v>0</v>
      </c>
      <c r="BH471" s="14">
        <f t="shared" si="719"/>
        <v>0</v>
      </c>
      <c r="BI471" s="14">
        <f t="shared" si="719"/>
        <v>0</v>
      </c>
      <c r="BJ471" s="14">
        <f t="shared" si="719"/>
        <v>0</v>
      </c>
      <c r="BK471" s="14">
        <f t="shared" si="719"/>
        <v>0</v>
      </c>
      <c r="BL471" s="14">
        <f t="shared" si="719"/>
        <v>0</v>
      </c>
      <c r="BM471" s="14">
        <f t="shared" si="719"/>
        <v>0</v>
      </c>
      <c r="BN471" s="14">
        <f t="shared" si="719"/>
        <v>0</v>
      </c>
      <c r="BO471" s="14">
        <f t="shared" si="719"/>
        <v>0</v>
      </c>
      <c r="BP471" s="14">
        <f t="shared" si="719"/>
        <v>0</v>
      </c>
      <c r="BQ471" s="14">
        <f t="shared" si="719"/>
        <v>0</v>
      </c>
      <c r="BR471" s="14">
        <f t="shared" si="719"/>
        <v>0</v>
      </c>
      <c r="BS471" s="14">
        <f t="shared" si="719"/>
        <v>0</v>
      </c>
      <c r="BT471" s="14">
        <f t="shared" si="719"/>
        <v>0</v>
      </c>
      <c r="BU471" s="14">
        <f t="shared" si="719"/>
        <v>0</v>
      </c>
      <c r="BV471" s="14">
        <f t="shared" ref="BV471:DY471" si="720">+BV469*$E$471</f>
        <v>0</v>
      </c>
      <c r="BW471" s="14">
        <f t="shared" si="720"/>
        <v>0</v>
      </c>
      <c r="BX471" s="14">
        <f t="shared" si="720"/>
        <v>0</v>
      </c>
      <c r="BY471" s="14">
        <f t="shared" si="720"/>
        <v>0</v>
      </c>
      <c r="BZ471" s="14">
        <f t="shared" si="720"/>
        <v>0</v>
      </c>
      <c r="CA471" s="14">
        <f t="shared" si="720"/>
        <v>0</v>
      </c>
      <c r="CB471" s="14">
        <f t="shared" si="720"/>
        <v>0</v>
      </c>
      <c r="CC471" s="14">
        <f t="shared" si="720"/>
        <v>0</v>
      </c>
      <c r="CD471" s="14">
        <f t="shared" si="720"/>
        <v>0</v>
      </c>
      <c r="CE471" s="14">
        <f t="shared" si="720"/>
        <v>0</v>
      </c>
      <c r="CF471" s="14">
        <f t="shared" si="720"/>
        <v>0</v>
      </c>
      <c r="CG471" s="14">
        <f t="shared" ca="1" si="720"/>
        <v>0</v>
      </c>
      <c r="CH471" s="14">
        <f t="shared" ca="1" si="720"/>
        <v>0</v>
      </c>
      <c r="CI471" s="14">
        <f t="shared" ca="1" si="720"/>
        <v>0</v>
      </c>
      <c r="CJ471" s="14">
        <f t="shared" ca="1" si="720"/>
        <v>0</v>
      </c>
      <c r="CK471" s="14">
        <f t="shared" ca="1" si="720"/>
        <v>0</v>
      </c>
      <c r="CL471" s="14">
        <f t="shared" ca="1" si="720"/>
        <v>0</v>
      </c>
      <c r="CM471" s="14">
        <f t="shared" ca="1" si="720"/>
        <v>0</v>
      </c>
      <c r="CN471" s="14">
        <f t="shared" ca="1" si="720"/>
        <v>0</v>
      </c>
      <c r="CO471" s="14">
        <f t="shared" ca="1" si="720"/>
        <v>0</v>
      </c>
      <c r="CP471" s="14">
        <f t="shared" ca="1" si="720"/>
        <v>0</v>
      </c>
      <c r="CQ471" s="14">
        <f t="shared" ca="1" si="720"/>
        <v>0</v>
      </c>
      <c r="CR471" s="14">
        <f t="shared" ca="1" si="720"/>
        <v>0</v>
      </c>
      <c r="CS471" s="14">
        <f t="shared" ca="1" si="720"/>
        <v>0</v>
      </c>
      <c r="CT471" s="14">
        <f t="shared" ca="1" si="720"/>
        <v>0</v>
      </c>
      <c r="CU471" s="14">
        <f t="shared" ca="1" si="720"/>
        <v>0</v>
      </c>
      <c r="CV471" s="14">
        <f t="shared" ca="1" si="720"/>
        <v>0</v>
      </c>
      <c r="CW471" s="14">
        <f t="shared" ca="1" si="720"/>
        <v>0</v>
      </c>
      <c r="CX471" s="14">
        <f t="shared" ca="1" si="720"/>
        <v>0</v>
      </c>
      <c r="CY471" s="14">
        <f t="shared" ca="1" si="720"/>
        <v>0</v>
      </c>
      <c r="CZ471" s="14">
        <f t="shared" ca="1" si="720"/>
        <v>0</v>
      </c>
      <c r="DA471" s="14">
        <f t="shared" ca="1" si="720"/>
        <v>0</v>
      </c>
      <c r="DB471" s="14">
        <f t="shared" ca="1" si="720"/>
        <v>0</v>
      </c>
      <c r="DC471" s="14">
        <f t="shared" ca="1" si="720"/>
        <v>0</v>
      </c>
      <c r="DD471" s="14">
        <f t="shared" ca="1" si="720"/>
        <v>0</v>
      </c>
      <c r="DE471" s="14">
        <f t="shared" ca="1" si="720"/>
        <v>0</v>
      </c>
      <c r="DF471" s="14">
        <f t="shared" ca="1" si="720"/>
        <v>0</v>
      </c>
      <c r="DG471" s="14">
        <f t="shared" ca="1" si="720"/>
        <v>0</v>
      </c>
      <c r="DH471" s="14">
        <f t="shared" ca="1" si="720"/>
        <v>0</v>
      </c>
      <c r="DI471" s="14">
        <f t="shared" ca="1" si="720"/>
        <v>0</v>
      </c>
      <c r="DJ471" s="14">
        <f t="shared" ca="1" si="720"/>
        <v>0</v>
      </c>
      <c r="DK471" s="14">
        <f t="shared" ca="1" si="720"/>
        <v>0</v>
      </c>
      <c r="DL471" s="14">
        <f t="shared" ca="1" si="720"/>
        <v>0</v>
      </c>
      <c r="DM471" s="14">
        <f t="shared" ca="1" si="720"/>
        <v>0</v>
      </c>
      <c r="DN471" s="14">
        <f t="shared" ca="1" si="720"/>
        <v>0</v>
      </c>
      <c r="DO471" s="14">
        <f t="shared" ca="1" si="720"/>
        <v>0</v>
      </c>
      <c r="DP471" s="14">
        <f t="shared" ca="1" si="720"/>
        <v>0</v>
      </c>
      <c r="DQ471" s="14">
        <f t="shared" ca="1" si="720"/>
        <v>0</v>
      </c>
      <c r="DR471" s="14">
        <f t="shared" ca="1" si="720"/>
        <v>0</v>
      </c>
      <c r="DS471" s="14">
        <f t="shared" ca="1" si="720"/>
        <v>0</v>
      </c>
      <c r="DT471" s="14">
        <f t="shared" ca="1" si="720"/>
        <v>0</v>
      </c>
      <c r="DU471" s="14">
        <f t="shared" ca="1" si="720"/>
        <v>0</v>
      </c>
      <c r="DV471" s="14">
        <f t="shared" ca="1" si="720"/>
        <v>0</v>
      </c>
      <c r="DW471" s="14">
        <f t="shared" ca="1" si="720"/>
        <v>0</v>
      </c>
      <c r="DX471" s="14">
        <f t="shared" ca="1" si="720"/>
        <v>0</v>
      </c>
      <c r="DY471" s="14">
        <f t="shared" ca="1" si="720"/>
        <v>0</v>
      </c>
    </row>
    <row r="472" spans="2:129" ht="11.7" customHeight="1" outlineLevel="1" x14ac:dyDescent="0.3">
      <c r="B472" s="116" t="s">
        <v>510</v>
      </c>
      <c r="C472" s="116"/>
      <c r="D472" s="63"/>
      <c r="E472" s="63"/>
      <c r="F472" s="885"/>
      <c r="G472" s="886"/>
      <c r="H472" s="290">
        <f ca="1">+SUM(I472:DY472)</f>
        <v>-220071.37103355466</v>
      </c>
      <c r="I472" s="168">
        <f>-MIN(I464,SUM(I469:I471))</f>
        <v>0</v>
      </c>
      <c r="J472" s="168">
        <f t="shared" ref="J472:AN472" si="721">-MIN(J464,SUM(J469:J471))</f>
        <v>0</v>
      </c>
      <c r="K472" s="168">
        <f t="shared" si="721"/>
        <v>0</v>
      </c>
      <c r="L472" s="168">
        <f t="shared" si="721"/>
        <v>0</v>
      </c>
      <c r="M472" s="168">
        <f t="shared" si="721"/>
        <v>0</v>
      </c>
      <c r="N472" s="168">
        <f t="shared" si="721"/>
        <v>0</v>
      </c>
      <c r="O472" s="168">
        <f t="shared" si="721"/>
        <v>0</v>
      </c>
      <c r="P472" s="168">
        <f t="shared" si="721"/>
        <v>0</v>
      </c>
      <c r="Q472" s="168">
        <f t="shared" si="721"/>
        <v>0</v>
      </c>
      <c r="R472" s="168">
        <f t="shared" si="721"/>
        <v>0</v>
      </c>
      <c r="S472" s="168">
        <f t="shared" si="721"/>
        <v>0</v>
      </c>
      <c r="T472" s="168">
        <f t="shared" si="721"/>
        <v>0</v>
      </c>
      <c r="U472" s="168">
        <f t="shared" si="721"/>
        <v>0</v>
      </c>
      <c r="V472" s="168">
        <f t="shared" si="721"/>
        <v>0</v>
      </c>
      <c r="W472" s="168">
        <f t="shared" si="721"/>
        <v>0</v>
      </c>
      <c r="X472" s="168">
        <f t="shared" si="721"/>
        <v>0</v>
      </c>
      <c r="Y472" s="168">
        <f t="shared" si="721"/>
        <v>0</v>
      </c>
      <c r="Z472" s="168">
        <f t="shared" si="721"/>
        <v>0</v>
      </c>
      <c r="AA472" s="168">
        <f t="shared" si="721"/>
        <v>0</v>
      </c>
      <c r="AB472" s="168">
        <f t="shared" si="721"/>
        <v>0</v>
      </c>
      <c r="AC472" s="168">
        <f t="shared" si="721"/>
        <v>0</v>
      </c>
      <c r="AD472" s="168">
        <f t="shared" si="721"/>
        <v>0</v>
      </c>
      <c r="AE472" s="168">
        <f t="shared" si="721"/>
        <v>0</v>
      </c>
      <c r="AF472" s="168">
        <f t="shared" si="721"/>
        <v>0</v>
      </c>
      <c r="AG472" s="168">
        <f t="shared" si="721"/>
        <v>0</v>
      </c>
      <c r="AH472" s="168">
        <f t="shared" si="721"/>
        <v>0</v>
      </c>
      <c r="AI472" s="168">
        <f t="shared" si="721"/>
        <v>0</v>
      </c>
      <c r="AJ472" s="168">
        <f t="shared" si="721"/>
        <v>0</v>
      </c>
      <c r="AK472" s="168">
        <f t="shared" si="721"/>
        <v>0</v>
      </c>
      <c r="AL472" s="168">
        <f t="shared" si="721"/>
        <v>0</v>
      </c>
      <c r="AM472" s="168">
        <f t="shared" si="721"/>
        <v>0</v>
      </c>
      <c r="AN472" s="168">
        <f t="shared" si="721"/>
        <v>0</v>
      </c>
      <c r="AO472" s="168">
        <f t="shared" ref="AO472:CZ472" si="722">-MIN(AO464,SUM(AO469:AO471))</f>
        <v>0</v>
      </c>
      <c r="AP472" s="168">
        <f t="shared" si="722"/>
        <v>-16921.364496465285</v>
      </c>
      <c r="AQ472" s="168">
        <f t="shared" si="722"/>
        <v>0</v>
      </c>
      <c r="AR472" s="168">
        <f t="shared" si="722"/>
        <v>0</v>
      </c>
      <c r="AS472" s="168">
        <f t="shared" si="722"/>
        <v>0</v>
      </c>
      <c r="AT472" s="168">
        <f t="shared" si="722"/>
        <v>0</v>
      </c>
      <c r="AU472" s="168">
        <f t="shared" si="722"/>
        <v>0</v>
      </c>
      <c r="AV472" s="168">
        <f t="shared" si="722"/>
        <v>0</v>
      </c>
      <c r="AW472" s="168">
        <f t="shared" si="722"/>
        <v>0</v>
      </c>
      <c r="AX472" s="168">
        <f t="shared" si="722"/>
        <v>0</v>
      </c>
      <c r="AY472" s="168">
        <f t="shared" si="722"/>
        <v>0</v>
      </c>
      <c r="AZ472" s="168">
        <f t="shared" si="722"/>
        <v>0</v>
      </c>
      <c r="BA472" s="168">
        <f t="shared" si="722"/>
        <v>0</v>
      </c>
      <c r="BB472" s="168">
        <f t="shared" si="722"/>
        <v>0</v>
      </c>
      <c r="BC472" s="168">
        <f t="shared" si="722"/>
        <v>0</v>
      </c>
      <c r="BD472" s="168">
        <f t="shared" si="722"/>
        <v>-18837.869891184178</v>
      </c>
      <c r="BE472" s="168">
        <f t="shared" si="722"/>
        <v>0</v>
      </c>
      <c r="BF472" s="168">
        <f t="shared" si="722"/>
        <v>0</v>
      </c>
      <c r="BG472" s="168">
        <f t="shared" si="722"/>
        <v>0</v>
      </c>
      <c r="BH472" s="168">
        <f t="shared" si="722"/>
        <v>0</v>
      </c>
      <c r="BI472" s="168">
        <f t="shared" si="722"/>
        <v>0</v>
      </c>
      <c r="BJ472" s="168">
        <f t="shared" si="722"/>
        <v>0</v>
      </c>
      <c r="BK472" s="168">
        <f t="shared" si="722"/>
        <v>0</v>
      </c>
      <c r="BL472" s="168">
        <f t="shared" si="722"/>
        <v>0</v>
      </c>
      <c r="BM472" s="168">
        <f t="shared" si="722"/>
        <v>0</v>
      </c>
      <c r="BN472" s="168">
        <f t="shared" si="722"/>
        <v>0</v>
      </c>
      <c r="BO472" s="168">
        <f t="shared" si="722"/>
        <v>0</v>
      </c>
      <c r="BP472" s="168">
        <f t="shared" si="722"/>
        <v>0</v>
      </c>
      <c r="BQ472" s="168">
        <f t="shared" si="722"/>
        <v>0</v>
      </c>
      <c r="BR472" s="168">
        <f t="shared" si="722"/>
        <v>0</v>
      </c>
      <c r="BS472" s="168">
        <f t="shared" si="722"/>
        <v>0</v>
      </c>
      <c r="BT472" s="168">
        <f t="shared" si="722"/>
        <v>0</v>
      </c>
      <c r="BU472" s="168">
        <f t="shared" si="722"/>
        <v>0</v>
      </c>
      <c r="BV472" s="168">
        <f t="shared" si="722"/>
        <v>0</v>
      </c>
      <c r="BW472" s="168">
        <f t="shared" si="722"/>
        <v>0</v>
      </c>
      <c r="BX472" s="168">
        <f t="shared" si="722"/>
        <v>0</v>
      </c>
      <c r="BY472" s="168">
        <f t="shared" si="722"/>
        <v>0</v>
      </c>
      <c r="BZ472" s="168">
        <f t="shared" si="722"/>
        <v>0</v>
      </c>
      <c r="CA472" s="168">
        <f t="shared" si="722"/>
        <v>0</v>
      </c>
      <c r="CB472" s="168">
        <f t="shared" si="722"/>
        <v>0</v>
      </c>
      <c r="CC472" s="168">
        <f t="shared" si="722"/>
        <v>0</v>
      </c>
      <c r="CD472" s="168">
        <f t="shared" si="722"/>
        <v>0</v>
      </c>
      <c r="CE472" s="168">
        <f t="shared" si="722"/>
        <v>0</v>
      </c>
      <c r="CF472" s="168">
        <f t="shared" ca="1" si="722"/>
        <v>-184312.13664590521</v>
      </c>
      <c r="CG472" s="168">
        <f t="shared" ca="1" si="722"/>
        <v>0</v>
      </c>
      <c r="CH472" s="168">
        <f t="shared" ca="1" si="722"/>
        <v>0</v>
      </c>
      <c r="CI472" s="168">
        <f t="shared" ca="1" si="722"/>
        <v>0</v>
      </c>
      <c r="CJ472" s="168">
        <f t="shared" ca="1" si="722"/>
        <v>0</v>
      </c>
      <c r="CK472" s="168">
        <f t="shared" ca="1" si="722"/>
        <v>0</v>
      </c>
      <c r="CL472" s="168">
        <f t="shared" ca="1" si="722"/>
        <v>0</v>
      </c>
      <c r="CM472" s="168">
        <f t="shared" ca="1" si="722"/>
        <v>0</v>
      </c>
      <c r="CN472" s="168">
        <f t="shared" ca="1" si="722"/>
        <v>0</v>
      </c>
      <c r="CO472" s="168">
        <f t="shared" ca="1" si="722"/>
        <v>0</v>
      </c>
      <c r="CP472" s="168">
        <f t="shared" ca="1" si="722"/>
        <v>0</v>
      </c>
      <c r="CQ472" s="168">
        <f t="shared" ca="1" si="722"/>
        <v>0</v>
      </c>
      <c r="CR472" s="168">
        <f t="shared" ca="1" si="722"/>
        <v>0</v>
      </c>
      <c r="CS472" s="168">
        <f t="shared" ca="1" si="722"/>
        <v>0</v>
      </c>
      <c r="CT472" s="168">
        <f t="shared" ca="1" si="722"/>
        <v>0</v>
      </c>
      <c r="CU472" s="168">
        <f t="shared" ca="1" si="722"/>
        <v>0</v>
      </c>
      <c r="CV472" s="168">
        <f t="shared" ca="1" si="722"/>
        <v>0</v>
      </c>
      <c r="CW472" s="168">
        <f t="shared" ca="1" si="722"/>
        <v>0</v>
      </c>
      <c r="CX472" s="168">
        <f t="shared" ca="1" si="722"/>
        <v>0</v>
      </c>
      <c r="CY472" s="168">
        <f t="shared" ca="1" si="722"/>
        <v>0</v>
      </c>
      <c r="CZ472" s="168">
        <f t="shared" ca="1" si="722"/>
        <v>0</v>
      </c>
      <c r="DA472" s="168">
        <f t="shared" ref="DA472:DY472" ca="1" si="723">-MIN(DA464,SUM(DA469:DA471))</f>
        <v>0</v>
      </c>
      <c r="DB472" s="168">
        <f t="shared" ca="1" si="723"/>
        <v>0</v>
      </c>
      <c r="DC472" s="168">
        <f t="shared" ca="1" si="723"/>
        <v>0</v>
      </c>
      <c r="DD472" s="168">
        <f t="shared" ca="1" si="723"/>
        <v>0</v>
      </c>
      <c r="DE472" s="168">
        <f t="shared" ca="1" si="723"/>
        <v>0</v>
      </c>
      <c r="DF472" s="168">
        <f t="shared" ca="1" si="723"/>
        <v>0</v>
      </c>
      <c r="DG472" s="168">
        <f t="shared" ca="1" si="723"/>
        <v>0</v>
      </c>
      <c r="DH472" s="168">
        <f t="shared" ca="1" si="723"/>
        <v>0</v>
      </c>
      <c r="DI472" s="168">
        <f t="shared" ca="1" si="723"/>
        <v>0</v>
      </c>
      <c r="DJ472" s="168">
        <f t="shared" ca="1" si="723"/>
        <v>0</v>
      </c>
      <c r="DK472" s="168">
        <f t="shared" ca="1" si="723"/>
        <v>0</v>
      </c>
      <c r="DL472" s="168">
        <f t="shared" ca="1" si="723"/>
        <v>0</v>
      </c>
      <c r="DM472" s="168">
        <f t="shared" ca="1" si="723"/>
        <v>0</v>
      </c>
      <c r="DN472" s="168">
        <f t="shared" ca="1" si="723"/>
        <v>0</v>
      </c>
      <c r="DO472" s="168">
        <f t="shared" ca="1" si="723"/>
        <v>0</v>
      </c>
      <c r="DP472" s="168">
        <f t="shared" ca="1" si="723"/>
        <v>0</v>
      </c>
      <c r="DQ472" s="168">
        <f t="shared" ca="1" si="723"/>
        <v>0</v>
      </c>
      <c r="DR472" s="168">
        <f t="shared" ca="1" si="723"/>
        <v>0</v>
      </c>
      <c r="DS472" s="168">
        <f t="shared" ca="1" si="723"/>
        <v>0</v>
      </c>
      <c r="DT472" s="168">
        <f t="shared" ca="1" si="723"/>
        <v>0</v>
      </c>
      <c r="DU472" s="168">
        <f t="shared" ca="1" si="723"/>
        <v>0</v>
      </c>
      <c r="DV472" s="168">
        <f t="shared" ca="1" si="723"/>
        <v>0</v>
      </c>
      <c r="DW472" s="168">
        <f t="shared" ca="1" si="723"/>
        <v>0</v>
      </c>
      <c r="DX472" s="168">
        <f t="shared" ca="1" si="723"/>
        <v>0</v>
      </c>
      <c r="DY472" s="168">
        <f t="shared" ca="1" si="723"/>
        <v>0</v>
      </c>
    </row>
    <row r="473" spans="2:129" ht="11.7" customHeight="1" outlineLevel="1" x14ac:dyDescent="0.3">
      <c r="B473" s="149" t="s">
        <v>511</v>
      </c>
      <c r="C473" s="149"/>
      <c r="D473" s="3"/>
      <c r="E473" s="3"/>
      <c r="I473" s="14">
        <f>+SUM(I469:I472)</f>
        <v>179951.23080262783</v>
      </c>
      <c r="J473" s="14">
        <f t="shared" ref="J473:BU473" si="724">+SUM(J469:J472)</f>
        <v>179951.23080262783</v>
      </c>
      <c r="K473" s="14">
        <f t="shared" si="724"/>
        <v>179951.23080262783</v>
      </c>
      <c r="L473" s="14">
        <f t="shared" si="724"/>
        <v>179951.23080262783</v>
      </c>
      <c r="M473" s="14">
        <f t="shared" si="724"/>
        <v>179951.23080262783</v>
      </c>
      <c r="N473" s="14">
        <f t="shared" si="724"/>
        <v>179951.23080262783</v>
      </c>
      <c r="O473" s="14">
        <f t="shared" si="724"/>
        <v>179951.23080262783</v>
      </c>
      <c r="P473" s="14">
        <f t="shared" si="724"/>
        <v>179951.23080262783</v>
      </c>
      <c r="Q473" s="14">
        <f t="shared" si="724"/>
        <v>179951.23080262783</v>
      </c>
      <c r="R473" s="14">
        <f t="shared" si="724"/>
        <v>179951.23080262783</v>
      </c>
      <c r="S473" s="14">
        <f t="shared" si="724"/>
        <v>179951.23080262783</v>
      </c>
      <c r="T473" s="14">
        <f t="shared" si="724"/>
        <v>179951.23080262783</v>
      </c>
      <c r="U473" s="14">
        <f t="shared" si="724"/>
        <v>179951.23080262783</v>
      </c>
      <c r="V473" s="14">
        <f t="shared" si="724"/>
        <v>179951.23080262783</v>
      </c>
      <c r="W473" s="14">
        <f t="shared" si="724"/>
        <v>220071.37103355466</v>
      </c>
      <c r="X473" s="14">
        <f t="shared" si="724"/>
        <v>220071.37103355466</v>
      </c>
      <c r="Y473" s="14">
        <f t="shared" si="724"/>
        <v>220071.37103355466</v>
      </c>
      <c r="Z473" s="14">
        <f t="shared" si="724"/>
        <v>220071.37103355466</v>
      </c>
      <c r="AA473" s="14">
        <f t="shared" si="724"/>
        <v>220071.37103355466</v>
      </c>
      <c r="AB473" s="14">
        <f t="shared" si="724"/>
        <v>220071.37103355466</v>
      </c>
      <c r="AC473" s="14">
        <f t="shared" si="724"/>
        <v>220071.37103355466</v>
      </c>
      <c r="AD473" s="14">
        <f t="shared" si="724"/>
        <v>220071.37103355466</v>
      </c>
      <c r="AE473" s="14">
        <f t="shared" si="724"/>
        <v>220071.37103355466</v>
      </c>
      <c r="AF473" s="14">
        <f t="shared" si="724"/>
        <v>220071.37103355466</v>
      </c>
      <c r="AG473" s="14">
        <f t="shared" si="724"/>
        <v>220071.37103355466</v>
      </c>
      <c r="AH473" s="14">
        <f t="shared" si="724"/>
        <v>220071.37103355466</v>
      </c>
      <c r="AI473" s="14">
        <f t="shared" si="724"/>
        <v>220071.37103355466</v>
      </c>
      <c r="AJ473" s="14">
        <f t="shared" si="724"/>
        <v>220071.37103355466</v>
      </c>
      <c r="AK473" s="14">
        <f t="shared" si="724"/>
        <v>220071.37103355466</v>
      </c>
      <c r="AL473" s="14">
        <f t="shared" si="724"/>
        <v>220071.37103355466</v>
      </c>
      <c r="AM473" s="14">
        <f t="shared" si="724"/>
        <v>220071.37103355466</v>
      </c>
      <c r="AN473" s="14">
        <f t="shared" si="724"/>
        <v>220071.37103355466</v>
      </c>
      <c r="AO473" s="14">
        <f t="shared" si="724"/>
        <v>220071.37103355466</v>
      </c>
      <c r="AP473" s="14">
        <f t="shared" si="724"/>
        <v>203150.00653708939</v>
      </c>
      <c r="AQ473" s="14">
        <f t="shared" si="724"/>
        <v>203150.00653708939</v>
      </c>
      <c r="AR473" s="14">
        <f t="shared" si="724"/>
        <v>203150.00653708939</v>
      </c>
      <c r="AS473" s="14">
        <f t="shared" si="724"/>
        <v>203150.00653708939</v>
      </c>
      <c r="AT473" s="14">
        <f t="shared" si="724"/>
        <v>203150.00653708939</v>
      </c>
      <c r="AU473" s="14">
        <f t="shared" si="724"/>
        <v>203150.00653708939</v>
      </c>
      <c r="AV473" s="14">
        <f t="shared" si="724"/>
        <v>203150.00653708939</v>
      </c>
      <c r="AW473" s="14">
        <f t="shared" si="724"/>
        <v>203150.00653708939</v>
      </c>
      <c r="AX473" s="14">
        <f t="shared" si="724"/>
        <v>203150.00653708939</v>
      </c>
      <c r="AY473" s="14">
        <f t="shared" si="724"/>
        <v>203150.00653708939</v>
      </c>
      <c r="AZ473" s="14">
        <f t="shared" si="724"/>
        <v>203150.00653708939</v>
      </c>
      <c r="BA473" s="14">
        <f t="shared" si="724"/>
        <v>203150.00653708939</v>
      </c>
      <c r="BB473" s="14">
        <f t="shared" si="724"/>
        <v>203150.00653708939</v>
      </c>
      <c r="BC473" s="14">
        <f t="shared" si="724"/>
        <v>203150.00653708939</v>
      </c>
      <c r="BD473" s="14">
        <f t="shared" si="724"/>
        <v>184312.13664590521</v>
      </c>
      <c r="BE473" s="14">
        <f t="shared" si="724"/>
        <v>184312.13664590521</v>
      </c>
      <c r="BF473" s="14">
        <f t="shared" si="724"/>
        <v>184312.13664590521</v>
      </c>
      <c r="BG473" s="14">
        <f t="shared" si="724"/>
        <v>184312.13664590521</v>
      </c>
      <c r="BH473" s="14">
        <f t="shared" si="724"/>
        <v>184312.13664590521</v>
      </c>
      <c r="BI473" s="14">
        <f t="shared" si="724"/>
        <v>184312.13664590521</v>
      </c>
      <c r="BJ473" s="14">
        <f t="shared" si="724"/>
        <v>184312.13664590521</v>
      </c>
      <c r="BK473" s="14">
        <f t="shared" si="724"/>
        <v>184312.13664590521</v>
      </c>
      <c r="BL473" s="14">
        <f t="shared" si="724"/>
        <v>184312.13664590521</v>
      </c>
      <c r="BM473" s="14">
        <f t="shared" si="724"/>
        <v>184312.13664590521</v>
      </c>
      <c r="BN473" s="14">
        <f t="shared" si="724"/>
        <v>184312.13664590521</v>
      </c>
      <c r="BO473" s="14">
        <f t="shared" si="724"/>
        <v>184312.13664590521</v>
      </c>
      <c r="BP473" s="14">
        <f t="shared" si="724"/>
        <v>184312.13664590521</v>
      </c>
      <c r="BQ473" s="14">
        <f t="shared" si="724"/>
        <v>184312.13664590521</v>
      </c>
      <c r="BR473" s="14">
        <f t="shared" si="724"/>
        <v>184312.13664590521</v>
      </c>
      <c r="BS473" s="14">
        <f t="shared" si="724"/>
        <v>184312.13664590521</v>
      </c>
      <c r="BT473" s="14">
        <f t="shared" si="724"/>
        <v>184312.13664590521</v>
      </c>
      <c r="BU473" s="14">
        <f t="shared" si="724"/>
        <v>184312.13664590521</v>
      </c>
      <c r="BV473" s="14">
        <f t="shared" ref="BV473:DY473" si="725">+SUM(BV469:BV472)</f>
        <v>184312.13664590521</v>
      </c>
      <c r="BW473" s="14">
        <f t="shared" si="725"/>
        <v>184312.13664590521</v>
      </c>
      <c r="BX473" s="14">
        <f t="shared" si="725"/>
        <v>184312.13664590521</v>
      </c>
      <c r="BY473" s="14">
        <f t="shared" si="725"/>
        <v>184312.13664590521</v>
      </c>
      <c r="BZ473" s="14">
        <f t="shared" si="725"/>
        <v>184312.13664590521</v>
      </c>
      <c r="CA473" s="14">
        <f t="shared" si="725"/>
        <v>184312.13664590521</v>
      </c>
      <c r="CB473" s="14">
        <f t="shared" si="725"/>
        <v>184312.13664590521</v>
      </c>
      <c r="CC473" s="14">
        <f t="shared" si="725"/>
        <v>184312.13664590521</v>
      </c>
      <c r="CD473" s="14">
        <f t="shared" si="725"/>
        <v>184312.13664590521</v>
      </c>
      <c r="CE473" s="14">
        <f t="shared" si="725"/>
        <v>184312.13664590521</v>
      </c>
      <c r="CF473" s="14">
        <f t="shared" ca="1" si="725"/>
        <v>0</v>
      </c>
      <c r="CG473" s="14">
        <f t="shared" ca="1" si="725"/>
        <v>0</v>
      </c>
      <c r="CH473" s="14">
        <f t="shared" ca="1" si="725"/>
        <v>0</v>
      </c>
      <c r="CI473" s="14">
        <f t="shared" ca="1" si="725"/>
        <v>0</v>
      </c>
      <c r="CJ473" s="14">
        <f t="shared" ca="1" si="725"/>
        <v>0</v>
      </c>
      <c r="CK473" s="14">
        <f t="shared" ca="1" si="725"/>
        <v>0</v>
      </c>
      <c r="CL473" s="14">
        <f t="shared" ca="1" si="725"/>
        <v>0</v>
      </c>
      <c r="CM473" s="14">
        <f t="shared" ca="1" si="725"/>
        <v>0</v>
      </c>
      <c r="CN473" s="14">
        <f t="shared" ca="1" si="725"/>
        <v>0</v>
      </c>
      <c r="CO473" s="14">
        <f t="shared" ca="1" si="725"/>
        <v>0</v>
      </c>
      <c r="CP473" s="14">
        <f t="shared" ca="1" si="725"/>
        <v>0</v>
      </c>
      <c r="CQ473" s="14">
        <f t="shared" ca="1" si="725"/>
        <v>0</v>
      </c>
      <c r="CR473" s="14">
        <f t="shared" ca="1" si="725"/>
        <v>0</v>
      </c>
      <c r="CS473" s="14">
        <f t="shared" ca="1" si="725"/>
        <v>0</v>
      </c>
      <c r="CT473" s="14">
        <f t="shared" ca="1" si="725"/>
        <v>0</v>
      </c>
      <c r="CU473" s="14">
        <f t="shared" ca="1" si="725"/>
        <v>0</v>
      </c>
      <c r="CV473" s="14">
        <f t="shared" ca="1" si="725"/>
        <v>0</v>
      </c>
      <c r="CW473" s="14">
        <f t="shared" ca="1" si="725"/>
        <v>0</v>
      </c>
      <c r="CX473" s="14">
        <f t="shared" ca="1" si="725"/>
        <v>0</v>
      </c>
      <c r="CY473" s="14">
        <f t="shared" ca="1" si="725"/>
        <v>0</v>
      </c>
      <c r="CZ473" s="14">
        <f t="shared" ca="1" si="725"/>
        <v>0</v>
      </c>
      <c r="DA473" s="14">
        <f t="shared" ca="1" si="725"/>
        <v>0</v>
      </c>
      <c r="DB473" s="14">
        <f t="shared" ca="1" si="725"/>
        <v>0</v>
      </c>
      <c r="DC473" s="14">
        <f t="shared" ca="1" si="725"/>
        <v>0</v>
      </c>
      <c r="DD473" s="14">
        <f t="shared" ca="1" si="725"/>
        <v>0</v>
      </c>
      <c r="DE473" s="14">
        <f t="shared" ca="1" si="725"/>
        <v>0</v>
      </c>
      <c r="DF473" s="14">
        <f t="shared" ca="1" si="725"/>
        <v>0</v>
      </c>
      <c r="DG473" s="14">
        <f t="shared" ca="1" si="725"/>
        <v>0</v>
      </c>
      <c r="DH473" s="14">
        <f t="shared" ca="1" si="725"/>
        <v>0</v>
      </c>
      <c r="DI473" s="14">
        <f t="shared" ca="1" si="725"/>
        <v>0</v>
      </c>
      <c r="DJ473" s="14">
        <f t="shared" ca="1" si="725"/>
        <v>0</v>
      </c>
      <c r="DK473" s="14">
        <f t="shared" ca="1" si="725"/>
        <v>0</v>
      </c>
      <c r="DL473" s="14">
        <f t="shared" ca="1" si="725"/>
        <v>0</v>
      </c>
      <c r="DM473" s="14">
        <f t="shared" ca="1" si="725"/>
        <v>0</v>
      </c>
      <c r="DN473" s="14">
        <f t="shared" ca="1" si="725"/>
        <v>0</v>
      </c>
      <c r="DO473" s="14">
        <f t="shared" ca="1" si="725"/>
        <v>0</v>
      </c>
      <c r="DP473" s="14">
        <f t="shared" ca="1" si="725"/>
        <v>0</v>
      </c>
      <c r="DQ473" s="14">
        <f t="shared" ca="1" si="725"/>
        <v>0</v>
      </c>
      <c r="DR473" s="14">
        <f t="shared" ca="1" si="725"/>
        <v>0</v>
      </c>
      <c r="DS473" s="14">
        <f t="shared" ca="1" si="725"/>
        <v>0</v>
      </c>
      <c r="DT473" s="14">
        <f t="shared" ca="1" si="725"/>
        <v>0</v>
      </c>
      <c r="DU473" s="14">
        <f t="shared" ca="1" si="725"/>
        <v>0</v>
      </c>
      <c r="DV473" s="14">
        <f t="shared" ca="1" si="725"/>
        <v>0</v>
      </c>
      <c r="DW473" s="14">
        <f t="shared" ca="1" si="725"/>
        <v>0</v>
      </c>
      <c r="DX473" s="14">
        <f t="shared" ca="1" si="725"/>
        <v>0</v>
      </c>
      <c r="DY473" s="14">
        <f t="shared" ca="1" si="725"/>
        <v>0</v>
      </c>
    </row>
    <row r="474" spans="2:129" ht="11.7" customHeight="1" outlineLevel="1" x14ac:dyDescent="0.3">
      <c r="B474" s="149"/>
      <c r="C474" s="149"/>
      <c r="D474" s="3"/>
      <c r="E474" s="3"/>
      <c r="I474" s="1019"/>
      <c r="J474" s="1019"/>
      <c r="K474" s="1019"/>
      <c r="L474" s="1019"/>
      <c r="M474" s="1019"/>
      <c r="N474" s="1019"/>
      <c r="O474" s="1019"/>
      <c r="P474" s="1019"/>
      <c r="Q474" s="1019"/>
      <c r="R474" s="1019"/>
      <c r="S474" s="1019"/>
      <c r="T474" s="1019"/>
      <c r="U474" s="1019"/>
      <c r="V474" s="1019"/>
      <c r="W474" s="1019"/>
      <c r="X474" s="1019"/>
      <c r="Y474" s="1019"/>
      <c r="Z474" s="1019"/>
      <c r="AA474" s="1019"/>
      <c r="AB474" s="1019"/>
      <c r="AC474" s="1019"/>
      <c r="AD474" s="1019"/>
      <c r="AE474" s="1019"/>
      <c r="AF474" s="1019"/>
      <c r="AG474" s="1019"/>
      <c r="AH474" s="1019"/>
      <c r="AI474" s="1019"/>
      <c r="AJ474" s="1019"/>
      <c r="AK474" s="1019"/>
      <c r="AL474" s="1019"/>
      <c r="AM474" s="1019"/>
      <c r="AN474" s="1019"/>
      <c r="AO474" s="1019"/>
      <c r="AP474" s="1019"/>
      <c r="AQ474" s="1019"/>
      <c r="AR474" s="1019"/>
      <c r="AS474" s="1019"/>
      <c r="AT474" s="1019"/>
      <c r="AU474" s="1019"/>
      <c r="AV474" s="1019"/>
      <c r="AW474" s="1019"/>
      <c r="AX474" s="1019"/>
      <c r="AY474" s="1019"/>
      <c r="AZ474" s="1019"/>
      <c r="BA474" s="1019"/>
      <c r="BB474" s="1019"/>
      <c r="BC474" s="1019"/>
      <c r="BD474" s="1019"/>
      <c r="BE474" s="1019"/>
      <c r="BF474" s="1019"/>
      <c r="BG474" s="1019"/>
      <c r="BH474" s="1019"/>
      <c r="BI474" s="1019"/>
      <c r="BJ474" s="1019"/>
      <c r="BK474" s="1019"/>
      <c r="BL474" s="1019"/>
      <c r="BM474" s="1019"/>
      <c r="BN474" s="1019"/>
      <c r="BO474" s="1019"/>
      <c r="BP474" s="1019"/>
      <c r="BQ474" s="1019"/>
      <c r="BR474" s="1019"/>
      <c r="BS474" s="1019"/>
      <c r="BT474" s="1019"/>
      <c r="BU474" s="1019"/>
      <c r="BV474" s="1019"/>
      <c r="BW474" s="1019"/>
      <c r="BX474" s="14"/>
      <c r="BY474" s="14"/>
      <c r="BZ474" s="14"/>
      <c r="CA474" s="14"/>
      <c r="CB474" s="14"/>
      <c r="CC474" s="14"/>
      <c r="CD474" s="14"/>
      <c r="CE474" s="14"/>
      <c r="CF474" s="14"/>
      <c r="CG474" s="14"/>
      <c r="CH474" s="14"/>
      <c r="CI474" s="14"/>
      <c r="CJ474" s="14"/>
      <c r="CK474" s="14"/>
      <c r="CL474" s="14"/>
      <c r="CM474" s="14"/>
      <c r="CN474" s="14"/>
      <c r="CO474" s="14"/>
      <c r="CP474" s="14"/>
      <c r="CQ474" s="14"/>
      <c r="CR474" s="14"/>
      <c r="CS474" s="14"/>
      <c r="CT474" s="14"/>
      <c r="CU474" s="14"/>
      <c r="CV474" s="14"/>
      <c r="CW474" s="14"/>
      <c r="CX474" s="14"/>
      <c r="CY474" s="14"/>
      <c r="CZ474" s="14"/>
      <c r="DA474" s="14"/>
      <c r="DB474" s="14"/>
      <c r="DC474" s="14"/>
      <c r="DD474" s="14"/>
      <c r="DE474" s="14"/>
      <c r="DF474" s="14"/>
      <c r="DG474" s="14"/>
      <c r="DH474" s="14"/>
      <c r="DI474" s="14"/>
      <c r="DJ474" s="14"/>
      <c r="DK474" s="14"/>
      <c r="DL474" s="14"/>
      <c r="DM474" s="14"/>
      <c r="DN474" s="14"/>
      <c r="DO474" s="14"/>
      <c r="DP474" s="14"/>
      <c r="DQ474" s="14"/>
      <c r="DR474" s="14"/>
      <c r="DS474" s="14"/>
      <c r="DT474" s="14"/>
      <c r="DU474" s="14"/>
      <c r="DV474" s="14"/>
      <c r="DW474" s="14"/>
      <c r="DX474" s="14"/>
      <c r="DY474" s="14"/>
    </row>
    <row r="475" spans="2:129" ht="11.7" customHeight="1" outlineLevel="1" x14ac:dyDescent="0.3">
      <c r="B475" s="149"/>
      <c r="C475" s="149"/>
      <c r="D475" s="3"/>
      <c r="E475" s="3"/>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c r="AT475" s="14"/>
      <c r="AU475" s="14"/>
      <c r="AV475" s="14"/>
      <c r="AW475" s="14"/>
      <c r="AX475" s="14"/>
      <c r="AY475" s="14"/>
      <c r="AZ475" s="14"/>
      <c r="BA475" s="14"/>
      <c r="BB475" s="14"/>
      <c r="BC475" s="14"/>
      <c r="BD475" s="14"/>
      <c r="BE475" s="14"/>
      <c r="BF475" s="14"/>
      <c r="BG475" s="14"/>
      <c r="BH475" s="14"/>
      <c r="BI475" s="14"/>
      <c r="BJ475" s="14"/>
      <c r="BK475" s="14"/>
      <c r="BL475" s="14"/>
      <c r="BM475" s="14"/>
      <c r="BN475" s="14"/>
      <c r="BO475" s="14"/>
      <c r="BP475" s="14"/>
      <c r="BQ475" s="14"/>
      <c r="BR475" s="14"/>
      <c r="BS475" s="14"/>
      <c r="BT475" s="14"/>
      <c r="BU475" s="14"/>
      <c r="BV475" s="14"/>
      <c r="BW475" s="14"/>
      <c r="BX475" s="14"/>
      <c r="BY475" s="14"/>
      <c r="BZ475" s="14"/>
      <c r="CA475" s="14"/>
      <c r="CB475" s="14"/>
      <c r="CC475" s="14"/>
      <c r="CD475" s="14"/>
      <c r="CE475" s="14"/>
      <c r="CF475" s="14"/>
      <c r="CG475" s="14"/>
      <c r="CH475" s="14"/>
      <c r="CI475" s="14"/>
      <c r="CJ475" s="14"/>
      <c r="CK475" s="14"/>
      <c r="CL475" s="14"/>
      <c r="CM475" s="14"/>
      <c r="CN475" s="14"/>
      <c r="CO475" s="14"/>
      <c r="CP475" s="14"/>
      <c r="CQ475" s="14"/>
      <c r="CR475" s="14"/>
      <c r="CS475" s="14"/>
      <c r="CT475" s="14"/>
      <c r="CU475" s="14"/>
      <c r="CV475" s="14"/>
      <c r="CW475" s="14"/>
      <c r="CX475" s="14"/>
      <c r="CY475" s="14"/>
      <c r="CZ475" s="14"/>
      <c r="DA475" s="14"/>
      <c r="DB475" s="14"/>
      <c r="DC475" s="14"/>
      <c r="DD475" s="14"/>
      <c r="DE475" s="14"/>
      <c r="DF475" s="14"/>
      <c r="DG475" s="14"/>
      <c r="DH475" s="14"/>
      <c r="DI475" s="14"/>
      <c r="DJ475" s="14"/>
      <c r="DK475" s="14"/>
      <c r="DL475" s="14"/>
      <c r="DM475" s="14"/>
      <c r="DN475" s="14"/>
      <c r="DO475" s="14"/>
      <c r="DP475" s="14"/>
      <c r="DQ475" s="14"/>
      <c r="DR475" s="14"/>
      <c r="DS475" s="14"/>
      <c r="DT475" s="14"/>
      <c r="DU475" s="14"/>
      <c r="DV475" s="14"/>
      <c r="DW475" s="14"/>
      <c r="DX475" s="14"/>
      <c r="DY475" s="14"/>
    </row>
    <row r="476" spans="2:129" ht="11.7" customHeight="1" outlineLevel="1" x14ac:dyDescent="0.3">
      <c r="B476" s="195" t="s">
        <v>654</v>
      </c>
      <c r="C476" s="195"/>
      <c r="D476" s="3"/>
      <c r="E476" s="3"/>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c r="AT476" s="14"/>
      <c r="AU476" s="14"/>
      <c r="AV476" s="14"/>
      <c r="AW476" s="14"/>
      <c r="AX476" s="14"/>
      <c r="AY476" s="14"/>
      <c r="AZ476" s="14"/>
      <c r="BA476" s="14"/>
      <c r="BB476" s="14"/>
      <c r="BC476" s="14"/>
      <c r="BD476" s="14"/>
      <c r="BE476" s="14"/>
      <c r="BF476" s="14"/>
      <c r="BG476" s="14"/>
      <c r="BH476" s="14"/>
      <c r="BI476" s="14"/>
      <c r="BJ476" s="14"/>
      <c r="BK476" s="14"/>
      <c r="BL476" s="14"/>
      <c r="BM476" s="14"/>
      <c r="BN476" s="14"/>
      <c r="BO476" s="14"/>
      <c r="BP476" s="14"/>
      <c r="BQ476" s="14"/>
      <c r="BR476" s="14"/>
      <c r="BS476" s="14"/>
      <c r="BT476" s="14"/>
      <c r="BU476" s="14"/>
      <c r="BV476" s="14"/>
      <c r="BW476" s="14"/>
      <c r="BX476" s="14"/>
      <c r="BY476" s="14"/>
      <c r="BZ476" s="14"/>
      <c r="CA476" s="14"/>
      <c r="CB476" s="14"/>
      <c r="CC476" s="14"/>
      <c r="CD476" s="14"/>
      <c r="CE476" s="14"/>
      <c r="CF476" s="14"/>
      <c r="CG476" s="14"/>
      <c r="CH476" s="14"/>
      <c r="CI476" s="14"/>
      <c r="CJ476" s="14"/>
      <c r="CK476" s="14"/>
      <c r="CL476" s="14"/>
      <c r="CM476" s="14"/>
      <c r="CN476" s="14"/>
      <c r="CO476" s="14"/>
      <c r="CP476" s="14"/>
      <c r="CQ476" s="14"/>
      <c r="CR476" s="14"/>
      <c r="CS476" s="14"/>
      <c r="CT476" s="14"/>
      <c r="CU476" s="14"/>
      <c r="CV476" s="14"/>
      <c r="CW476" s="14"/>
      <c r="CX476" s="14"/>
      <c r="CY476" s="14"/>
      <c r="CZ476" s="14"/>
      <c r="DA476" s="14"/>
      <c r="DB476" s="14"/>
      <c r="DC476" s="14"/>
      <c r="DD476" s="14"/>
      <c r="DE476" s="14"/>
      <c r="DF476" s="14"/>
      <c r="DG476" s="14"/>
      <c r="DH476" s="14"/>
      <c r="DI476" s="14"/>
      <c r="DJ476" s="14"/>
      <c r="DK476" s="14"/>
      <c r="DL476" s="14"/>
      <c r="DM476" s="14"/>
      <c r="DN476" s="14"/>
      <c r="DO476" s="14"/>
      <c r="DP476" s="14"/>
      <c r="DQ476" s="14"/>
      <c r="DR476" s="14"/>
      <c r="DS476" s="14"/>
      <c r="DT476" s="14"/>
      <c r="DU476" s="14"/>
      <c r="DV476" s="14"/>
      <c r="DW476" s="14"/>
      <c r="DX476" s="14"/>
      <c r="DY476" s="14"/>
    </row>
    <row r="477" spans="2:129" ht="11.7" customHeight="1" outlineLevel="1" x14ac:dyDescent="0.3">
      <c r="B477" s="152" t="s">
        <v>507</v>
      </c>
      <c r="C477" s="152"/>
      <c r="D477" s="63"/>
      <c r="E477" s="63"/>
      <c r="F477" s="885"/>
      <c r="G477" s="886"/>
      <c r="H477" s="886"/>
      <c r="I477" s="1099">
        <v>0</v>
      </c>
      <c r="J477" s="168">
        <f t="shared" ref="J477:BU477" si="726">+I481</f>
        <v>1548.7691973721776</v>
      </c>
      <c r="K477" s="168">
        <f t="shared" si="726"/>
        <v>1548.7691973721776</v>
      </c>
      <c r="L477" s="168">
        <f t="shared" si="726"/>
        <v>1548.7691973721776</v>
      </c>
      <c r="M477" s="168">
        <f t="shared" si="726"/>
        <v>1548.7691973721776</v>
      </c>
      <c r="N477" s="168">
        <f t="shared" si="726"/>
        <v>1548.7691973721776</v>
      </c>
      <c r="O477" s="168">
        <f t="shared" si="726"/>
        <v>1548.7691973721776</v>
      </c>
      <c r="P477" s="168">
        <f t="shared" si="726"/>
        <v>1548.7691973721776</v>
      </c>
      <c r="Q477" s="168">
        <f t="shared" si="726"/>
        <v>1548.7691973721776</v>
      </c>
      <c r="R477" s="168">
        <f t="shared" si="726"/>
        <v>1548.7691973721776</v>
      </c>
      <c r="S477" s="168">
        <f t="shared" si="726"/>
        <v>1548.7691973721776</v>
      </c>
      <c r="T477" s="168">
        <f t="shared" si="726"/>
        <v>1548.7691973721776</v>
      </c>
      <c r="U477" s="168">
        <f t="shared" si="726"/>
        <v>1548.7691973721776</v>
      </c>
      <c r="V477" s="168">
        <f t="shared" si="726"/>
        <v>1548.7691973721776</v>
      </c>
      <c r="W477" s="168">
        <f t="shared" si="726"/>
        <v>1548.7691973721776</v>
      </c>
      <c r="X477" s="168">
        <f t="shared" si="726"/>
        <v>1894.0674045962451</v>
      </c>
      <c r="Y477" s="168">
        <f t="shared" si="726"/>
        <v>1894.0674045962451</v>
      </c>
      <c r="Z477" s="168">
        <f t="shared" si="726"/>
        <v>1894.0674045962451</v>
      </c>
      <c r="AA477" s="168">
        <f t="shared" si="726"/>
        <v>1894.0674045962451</v>
      </c>
      <c r="AB477" s="168">
        <f t="shared" si="726"/>
        <v>1894.0674045962451</v>
      </c>
      <c r="AC477" s="168">
        <f t="shared" si="726"/>
        <v>1894.0674045962451</v>
      </c>
      <c r="AD477" s="168">
        <f t="shared" si="726"/>
        <v>1894.0674045962451</v>
      </c>
      <c r="AE477" s="168">
        <f t="shared" si="726"/>
        <v>1894.0674045962451</v>
      </c>
      <c r="AF477" s="168">
        <f t="shared" si="726"/>
        <v>1894.0674045962451</v>
      </c>
      <c r="AG477" s="168">
        <f t="shared" si="726"/>
        <v>1894.0674045962451</v>
      </c>
      <c r="AH477" s="168">
        <f t="shared" si="726"/>
        <v>1894.0674045962451</v>
      </c>
      <c r="AI477" s="168">
        <f t="shared" si="726"/>
        <v>1894.0674045962451</v>
      </c>
      <c r="AJ477" s="168">
        <f t="shared" si="726"/>
        <v>1894.0674045962451</v>
      </c>
      <c r="AK477" s="168">
        <f t="shared" si="726"/>
        <v>1894.0674045962451</v>
      </c>
      <c r="AL477" s="168">
        <f t="shared" si="726"/>
        <v>1894.0674045962451</v>
      </c>
      <c r="AM477" s="168">
        <f t="shared" si="726"/>
        <v>1894.0674045962451</v>
      </c>
      <c r="AN477" s="168">
        <f t="shared" si="726"/>
        <v>1894.0674045962451</v>
      </c>
      <c r="AO477" s="168">
        <f t="shared" si="726"/>
        <v>1894.0674045962451</v>
      </c>
      <c r="AP477" s="168">
        <f t="shared" si="726"/>
        <v>1894.0674045962451</v>
      </c>
      <c r="AQ477" s="168">
        <f t="shared" si="726"/>
        <v>1748.4319010615291</v>
      </c>
      <c r="AR477" s="168">
        <f t="shared" si="726"/>
        <v>1748.4319010615291</v>
      </c>
      <c r="AS477" s="168">
        <f t="shared" si="726"/>
        <v>1748.4319010615291</v>
      </c>
      <c r="AT477" s="168">
        <f t="shared" si="726"/>
        <v>1748.4319010615291</v>
      </c>
      <c r="AU477" s="168">
        <f t="shared" si="726"/>
        <v>1748.4319010615291</v>
      </c>
      <c r="AV477" s="168">
        <f t="shared" si="726"/>
        <v>1748.4319010615291</v>
      </c>
      <c r="AW477" s="168">
        <f t="shared" si="726"/>
        <v>1748.4319010615291</v>
      </c>
      <c r="AX477" s="168">
        <f t="shared" si="726"/>
        <v>1748.4319010615291</v>
      </c>
      <c r="AY477" s="168">
        <f t="shared" si="726"/>
        <v>1748.4319010615291</v>
      </c>
      <c r="AZ477" s="168">
        <f t="shared" si="726"/>
        <v>1748.4319010615291</v>
      </c>
      <c r="BA477" s="168">
        <f t="shared" si="726"/>
        <v>1748.4319010615291</v>
      </c>
      <c r="BB477" s="168">
        <f t="shared" si="726"/>
        <v>1748.4319010615291</v>
      </c>
      <c r="BC477" s="168">
        <f t="shared" si="726"/>
        <v>1748.4319010615291</v>
      </c>
      <c r="BD477" s="168">
        <f t="shared" si="726"/>
        <v>1748.4319010615291</v>
      </c>
      <c r="BE477" s="168">
        <f t="shared" si="726"/>
        <v>1586.3017922457088</v>
      </c>
      <c r="BF477" s="168">
        <f t="shared" si="726"/>
        <v>1586.3017922457088</v>
      </c>
      <c r="BG477" s="168">
        <f t="shared" si="726"/>
        <v>1586.3017922457088</v>
      </c>
      <c r="BH477" s="168">
        <f t="shared" si="726"/>
        <v>1586.3017922457088</v>
      </c>
      <c r="BI477" s="168">
        <f t="shared" si="726"/>
        <v>1586.3017922457088</v>
      </c>
      <c r="BJ477" s="168">
        <f t="shared" si="726"/>
        <v>1586.3017922457088</v>
      </c>
      <c r="BK477" s="168">
        <f t="shared" si="726"/>
        <v>1586.3017922457088</v>
      </c>
      <c r="BL477" s="168">
        <f t="shared" si="726"/>
        <v>1586.3017922457088</v>
      </c>
      <c r="BM477" s="168">
        <f t="shared" si="726"/>
        <v>1586.3017922457088</v>
      </c>
      <c r="BN477" s="168">
        <f t="shared" si="726"/>
        <v>1586.3017922457088</v>
      </c>
      <c r="BO477" s="168">
        <f t="shared" si="726"/>
        <v>1586.3017922457088</v>
      </c>
      <c r="BP477" s="168">
        <f t="shared" si="726"/>
        <v>1586.3017922457088</v>
      </c>
      <c r="BQ477" s="168">
        <f t="shared" si="726"/>
        <v>1586.3017922457088</v>
      </c>
      <c r="BR477" s="168">
        <f t="shared" si="726"/>
        <v>1586.3017922457088</v>
      </c>
      <c r="BS477" s="168">
        <f t="shared" si="726"/>
        <v>1586.3017922457088</v>
      </c>
      <c r="BT477" s="168">
        <f t="shared" si="726"/>
        <v>1586.3017922457088</v>
      </c>
      <c r="BU477" s="168">
        <f t="shared" si="726"/>
        <v>1586.3017922457088</v>
      </c>
      <c r="BV477" s="168">
        <f t="shared" ref="BV477:DY477" si="727">+BU481</f>
        <v>1586.3017922457088</v>
      </c>
      <c r="BW477" s="168">
        <f t="shared" si="727"/>
        <v>1586.3017922457088</v>
      </c>
      <c r="BX477" s="168">
        <f t="shared" si="727"/>
        <v>1586.3017922457088</v>
      </c>
      <c r="BY477" s="168">
        <f t="shared" si="727"/>
        <v>1586.3017922457088</v>
      </c>
      <c r="BZ477" s="168">
        <f t="shared" si="727"/>
        <v>1586.3017922457088</v>
      </c>
      <c r="CA477" s="168">
        <f t="shared" si="727"/>
        <v>1586.3017922457088</v>
      </c>
      <c r="CB477" s="168">
        <f t="shared" si="727"/>
        <v>1586.3017922457088</v>
      </c>
      <c r="CC477" s="168">
        <f t="shared" si="727"/>
        <v>1586.3017922457088</v>
      </c>
      <c r="CD477" s="168">
        <f t="shared" si="727"/>
        <v>1586.3017922457088</v>
      </c>
      <c r="CE477" s="168">
        <f t="shared" si="727"/>
        <v>1586.3017922457088</v>
      </c>
      <c r="CF477" s="168">
        <f t="shared" si="727"/>
        <v>1586.3017922457088</v>
      </c>
      <c r="CG477" s="168">
        <f t="shared" ca="1" si="727"/>
        <v>0</v>
      </c>
      <c r="CH477" s="168">
        <f t="shared" ca="1" si="727"/>
        <v>0</v>
      </c>
      <c r="CI477" s="168">
        <f t="shared" ca="1" si="727"/>
        <v>0</v>
      </c>
      <c r="CJ477" s="168">
        <f t="shared" ca="1" si="727"/>
        <v>0</v>
      </c>
      <c r="CK477" s="168">
        <f t="shared" ca="1" si="727"/>
        <v>0</v>
      </c>
      <c r="CL477" s="168">
        <f t="shared" ca="1" si="727"/>
        <v>0</v>
      </c>
      <c r="CM477" s="168">
        <f t="shared" ca="1" si="727"/>
        <v>0</v>
      </c>
      <c r="CN477" s="168">
        <f t="shared" ca="1" si="727"/>
        <v>0</v>
      </c>
      <c r="CO477" s="168">
        <f t="shared" ca="1" si="727"/>
        <v>0</v>
      </c>
      <c r="CP477" s="168">
        <f t="shared" ca="1" si="727"/>
        <v>0</v>
      </c>
      <c r="CQ477" s="168">
        <f t="shared" ca="1" si="727"/>
        <v>0</v>
      </c>
      <c r="CR477" s="168">
        <f t="shared" ca="1" si="727"/>
        <v>0</v>
      </c>
      <c r="CS477" s="168">
        <f t="shared" ca="1" si="727"/>
        <v>0</v>
      </c>
      <c r="CT477" s="168">
        <f t="shared" ca="1" si="727"/>
        <v>0</v>
      </c>
      <c r="CU477" s="168">
        <f t="shared" ca="1" si="727"/>
        <v>0</v>
      </c>
      <c r="CV477" s="168">
        <f t="shared" ca="1" si="727"/>
        <v>0</v>
      </c>
      <c r="CW477" s="168">
        <f t="shared" ca="1" si="727"/>
        <v>0</v>
      </c>
      <c r="CX477" s="168">
        <f t="shared" ca="1" si="727"/>
        <v>0</v>
      </c>
      <c r="CY477" s="168">
        <f t="shared" ca="1" si="727"/>
        <v>0</v>
      </c>
      <c r="CZ477" s="168">
        <f t="shared" ca="1" si="727"/>
        <v>0</v>
      </c>
      <c r="DA477" s="168">
        <f t="shared" ca="1" si="727"/>
        <v>0</v>
      </c>
      <c r="DB477" s="168">
        <f t="shared" ca="1" si="727"/>
        <v>0</v>
      </c>
      <c r="DC477" s="168">
        <f t="shared" ca="1" si="727"/>
        <v>0</v>
      </c>
      <c r="DD477" s="168">
        <f t="shared" ca="1" si="727"/>
        <v>0</v>
      </c>
      <c r="DE477" s="168">
        <f t="shared" ca="1" si="727"/>
        <v>0</v>
      </c>
      <c r="DF477" s="168">
        <f t="shared" ca="1" si="727"/>
        <v>0</v>
      </c>
      <c r="DG477" s="168">
        <f t="shared" ca="1" si="727"/>
        <v>0</v>
      </c>
      <c r="DH477" s="168">
        <f t="shared" ca="1" si="727"/>
        <v>0</v>
      </c>
      <c r="DI477" s="168">
        <f t="shared" ca="1" si="727"/>
        <v>0</v>
      </c>
      <c r="DJ477" s="168">
        <f t="shared" ca="1" si="727"/>
        <v>0</v>
      </c>
      <c r="DK477" s="168">
        <f t="shared" ca="1" si="727"/>
        <v>0</v>
      </c>
      <c r="DL477" s="168">
        <f t="shared" ca="1" si="727"/>
        <v>0</v>
      </c>
      <c r="DM477" s="168">
        <f t="shared" ca="1" si="727"/>
        <v>0</v>
      </c>
      <c r="DN477" s="168">
        <f t="shared" ca="1" si="727"/>
        <v>0</v>
      </c>
      <c r="DO477" s="168">
        <f t="shared" ca="1" si="727"/>
        <v>0</v>
      </c>
      <c r="DP477" s="168">
        <f t="shared" ca="1" si="727"/>
        <v>0</v>
      </c>
      <c r="DQ477" s="168">
        <f t="shared" ca="1" si="727"/>
        <v>0</v>
      </c>
      <c r="DR477" s="168">
        <f t="shared" ca="1" si="727"/>
        <v>0</v>
      </c>
      <c r="DS477" s="168">
        <f t="shared" ca="1" si="727"/>
        <v>0</v>
      </c>
      <c r="DT477" s="168">
        <f t="shared" ca="1" si="727"/>
        <v>0</v>
      </c>
      <c r="DU477" s="168">
        <f t="shared" ca="1" si="727"/>
        <v>0</v>
      </c>
      <c r="DV477" s="168">
        <f t="shared" ca="1" si="727"/>
        <v>0</v>
      </c>
      <c r="DW477" s="168">
        <f t="shared" ca="1" si="727"/>
        <v>0</v>
      </c>
      <c r="DX477" s="168">
        <f t="shared" ca="1" si="727"/>
        <v>0</v>
      </c>
      <c r="DY477" s="168">
        <f t="shared" ca="1" si="727"/>
        <v>0</v>
      </c>
    </row>
    <row r="478" spans="2:129" ht="11.7" customHeight="1" outlineLevel="1" x14ac:dyDescent="0.3">
      <c r="B478" s="113" t="s">
        <v>508</v>
      </c>
      <c r="C478" s="113"/>
      <c r="D478" s="3"/>
      <c r="E478" s="3"/>
      <c r="H478" s="290">
        <f>+SUM(I478:DY478)</f>
        <v>1894.0674045962451</v>
      </c>
      <c r="I478" s="14">
        <f>-I$461*(I$461&lt;0)</f>
        <v>1548.7691973721776</v>
      </c>
      <c r="J478" s="14">
        <f t="shared" ref="J478:BU478" si="728">-J$461*(J$461&lt;0)</f>
        <v>0</v>
      </c>
      <c r="K478" s="14">
        <f t="shared" si="728"/>
        <v>0</v>
      </c>
      <c r="L478" s="14">
        <f t="shared" si="728"/>
        <v>0</v>
      </c>
      <c r="M478" s="14">
        <f t="shared" si="728"/>
        <v>0</v>
      </c>
      <c r="N478" s="14">
        <f t="shared" si="728"/>
        <v>0</v>
      </c>
      <c r="O478" s="14">
        <f t="shared" si="728"/>
        <v>0</v>
      </c>
      <c r="P478" s="14">
        <f t="shared" si="728"/>
        <v>0</v>
      </c>
      <c r="Q478" s="14">
        <f t="shared" si="728"/>
        <v>0</v>
      </c>
      <c r="R478" s="14">
        <f t="shared" si="728"/>
        <v>0</v>
      </c>
      <c r="S478" s="14">
        <f t="shared" si="728"/>
        <v>0</v>
      </c>
      <c r="T478" s="14">
        <f t="shared" si="728"/>
        <v>0</v>
      </c>
      <c r="U478" s="14">
        <f t="shared" si="728"/>
        <v>0</v>
      </c>
      <c r="V478" s="14">
        <f t="shared" si="728"/>
        <v>0</v>
      </c>
      <c r="W478" s="14">
        <f t="shared" si="728"/>
        <v>345.29820722406743</v>
      </c>
      <c r="X478" s="14">
        <f t="shared" si="728"/>
        <v>0</v>
      </c>
      <c r="Y478" s="14">
        <f t="shared" si="728"/>
        <v>0</v>
      </c>
      <c r="Z478" s="14">
        <f t="shared" si="728"/>
        <v>0</v>
      </c>
      <c r="AA478" s="14">
        <f t="shared" si="728"/>
        <v>0</v>
      </c>
      <c r="AB478" s="14">
        <f t="shared" si="728"/>
        <v>0</v>
      </c>
      <c r="AC478" s="14">
        <f t="shared" si="728"/>
        <v>0</v>
      </c>
      <c r="AD478" s="14">
        <f t="shared" si="728"/>
        <v>0</v>
      </c>
      <c r="AE478" s="14">
        <f t="shared" si="728"/>
        <v>0</v>
      </c>
      <c r="AF478" s="14">
        <f t="shared" si="728"/>
        <v>0</v>
      </c>
      <c r="AG478" s="14">
        <f t="shared" si="728"/>
        <v>0</v>
      </c>
      <c r="AH478" s="14">
        <f t="shared" si="728"/>
        <v>0</v>
      </c>
      <c r="AI478" s="14">
        <f t="shared" si="728"/>
        <v>0</v>
      </c>
      <c r="AJ478" s="14">
        <f t="shared" si="728"/>
        <v>0</v>
      </c>
      <c r="AK478" s="14">
        <f t="shared" si="728"/>
        <v>0</v>
      </c>
      <c r="AL478" s="14">
        <f t="shared" si="728"/>
        <v>0</v>
      </c>
      <c r="AM478" s="14">
        <f t="shared" si="728"/>
        <v>0</v>
      </c>
      <c r="AN478" s="14">
        <f t="shared" si="728"/>
        <v>0</v>
      </c>
      <c r="AO478" s="14">
        <f t="shared" si="728"/>
        <v>0</v>
      </c>
      <c r="AP478" s="14">
        <f t="shared" si="728"/>
        <v>0</v>
      </c>
      <c r="AQ478" s="14">
        <f t="shared" si="728"/>
        <v>0</v>
      </c>
      <c r="AR478" s="14">
        <f t="shared" si="728"/>
        <v>0</v>
      </c>
      <c r="AS478" s="14">
        <f t="shared" si="728"/>
        <v>0</v>
      </c>
      <c r="AT478" s="14">
        <f t="shared" si="728"/>
        <v>0</v>
      </c>
      <c r="AU478" s="14">
        <f t="shared" si="728"/>
        <v>0</v>
      </c>
      <c r="AV478" s="14">
        <f t="shared" si="728"/>
        <v>0</v>
      </c>
      <c r="AW478" s="14">
        <f t="shared" si="728"/>
        <v>0</v>
      </c>
      <c r="AX478" s="14">
        <f t="shared" si="728"/>
        <v>0</v>
      </c>
      <c r="AY478" s="14">
        <f t="shared" si="728"/>
        <v>0</v>
      </c>
      <c r="AZ478" s="14">
        <f t="shared" si="728"/>
        <v>0</v>
      </c>
      <c r="BA478" s="14">
        <f t="shared" si="728"/>
        <v>0</v>
      </c>
      <c r="BB478" s="14">
        <f t="shared" si="728"/>
        <v>0</v>
      </c>
      <c r="BC478" s="14">
        <f t="shared" si="728"/>
        <v>0</v>
      </c>
      <c r="BD478" s="14">
        <f t="shared" si="728"/>
        <v>0</v>
      </c>
      <c r="BE478" s="14">
        <f t="shared" si="728"/>
        <v>0</v>
      </c>
      <c r="BF478" s="14">
        <f t="shared" si="728"/>
        <v>0</v>
      </c>
      <c r="BG478" s="14">
        <f t="shared" si="728"/>
        <v>0</v>
      </c>
      <c r="BH478" s="14">
        <f t="shared" si="728"/>
        <v>0</v>
      </c>
      <c r="BI478" s="14">
        <f t="shared" si="728"/>
        <v>0</v>
      </c>
      <c r="BJ478" s="14">
        <f t="shared" si="728"/>
        <v>0</v>
      </c>
      <c r="BK478" s="14">
        <f t="shared" si="728"/>
        <v>0</v>
      </c>
      <c r="BL478" s="14">
        <f t="shared" si="728"/>
        <v>0</v>
      </c>
      <c r="BM478" s="14">
        <f t="shared" si="728"/>
        <v>0</v>
      </c>
      <c r="BN478" s="14">
        <f t="shared" si="728"/>
        <v>0</v>
      </c>
      <c r="BO478" s="14">
        <f t="shared" si="728"/>
        <v>0</v>
      </c>
      <c r="BP478" s="14">
        <f t="shared" si="728"/>
        <v>0</v>
      </c>
      <c r="BQ478" s="14">
        <f t="shared" si="728"/>
        <v>0</v>
      </c>
      <c r="BR478" s="14">
        <f t="shared" si="728"/>
        <v>0</v>
      </c>
      <c r="BS478" s="14">
        <f t="shared" si="728"/>
        <v>0</v>
      </c>
      <c r="BT478" s="14">
        <f t="shared" si="728"/>
        <v>0</v>
      </c>
      <c r="BU478" s="14">
        <f t="shared" si="728"/>
        <v>0</v>
      </c>
      <c r="BV478" s="14">
        <f t="shared" ref="BV478:DY478" si="729">-BV$461*(BV$461&lt;0)</f>
        <v>0</v>
      </c>
      <c r="BW478" s="14">
        <f t="shared" si="729"/>
        <v>0</v>
      </c>
      <c r="BX478" s="14">
        <f t="shared" si="729"/>
        <v>0</v>
      </c>
      <c r="BY478" s="14">
        <f t="shared" si="729"/>
        <v>0</v>
      </c>
      <c r="BZ478" s="14">
        <f t="shared" si="729"/>
        <v>0</v>
      </c>
      <c r="CA478" s="14">
        <f t="shared" si="729"/>
        <v>0</v>
      </c>
      <c r="CB478" s="14">
        <f t="shared" si="729"/>
        <v>0</v>
      </c>
      <c r="CC478" s="14">
        <f t="shared" si="729"/>
        <v>0</v>
      </c>
      <c r="CD478" s="14">
        <f t="shared" si="729"/>
        <v>0</v>
      </c>
      <c r="CE478" s="14">
        <f t="shared" si="729"/>
        <v>0</v>
      </c>
      <c r="CF478" s="14">
        <f t="shared" si="729"/>
        <v>0</v>
      </c>
      <c r="CG478" s="14">
        <f t="shared" si="729"/>
        <v>0</v>
      </c>
      <c r="CH478" s="14">
        <f t="shared" si="729"/>
        <v>0</v>
      </c>
      <c r="CI478" s="14">
        <f t="shared" si="729"/>
        <v>0</v>
      </c>
      <c r="CJ478" s="14">
        <f t="shared" si="729"/>
        <v>0</v>
      </c>
      <c r="CK478" s="14">
        <f t="shared" si="729"/>
        <v>0</v>
      </c>
      <c r="CL478" s="14">
        <f t="shared" si="729"/>
        <v>0</v>
      </c>
      <c r="CM478" s="14">
        <f t="shared" si="729"/>
        <v>0</v>
      </c>
      <c r="CN478" s="14">
        <f t="shared" si="729"/>
        <v>0</v>
      </c>
      <c r="CO478" s="14">
        <f t="shared" si="729"/>
        <v>0</v>
      </c>
      <c r="CP478" s="14">
        <f t="shared" si="729"/>
        <v>0</v>
      </c>
      <c r="CQ478" s="14">
        <f t="shared" si="729"/>
        <v>0</v>
      </c>
      <c r="CR478" s="14">
        <f t="shared" si="729"/>
        <v>0</v>
      </c>
      <c r="CS478" s="14">
        <f t="shared" si="729"/>
        <v>0</v>
      </c>
      <c r="CT478" s="14">
        <f t="shared" si="729"/>
        <v>0</v>
      </c>
      <c r="CU478" s="14">
        <f t="shared" si="729"/>
        <v>0</v>
      </c>
      <c r="CV478" s="14">
        <f t="shared" si="729"/>
        <v>0</v>
      </c>
      <c r="CW478" s="14">
        <f t="shared" si="729"/>
        <v>0</v>
      </c>
      <c r="CX478" s="14">
        <f t="shared" si="729"/>
        <v>0</v>
      </c>
      <c r="CY478" s="14">
        <f t="shared" si="729"/>
        <v>0</v>
      </c>
      <c r="CZ478" s="14">
        <f t="shared" si="729"/>
        <v>0</v>
      </c>
      <c r="DA478" s="14">
        <f t="shared" si="729"/>
        <v>0</v>
      </c>
      <c r="DB478" s="14">
        <f t="shared" si="729"/>
        <v>0</v>
      </c>
      <c r="DC478" s="14">
        <f t="shared" si="729"/>
        <v>0</v>
      </c>
      <c r="DD478" s="14">
        <f t="shared" si="729"/>
        <v>0</v>
      </c>
      <c r="DE478" s="14">
        <f t="shared" si="729"/>
        <v>0</v>
      </c>
      <c r="DF478" s="14">
        <f t="shared" si="729"/>
        <v>0</v>
      </c>
      <c r="DG478" s="14">
        <f t="shared" si="729"/>
        <v>0</v>
      </c>
      <c r="DH478" s="14">
        <f t="shared" si="729"/>
        <v>0</v>
      </c>
      <c r="DI478" s="14">
        <f t="shared" si="729"/>
        <v>0</v>
      </c>
      <c r="DJ478" s="14">
        <f t="shared" si="729"/>
        <v>0</v>
      </c>
      <c r="DK478" s="14">
        <f t="shared" si="729"/>
        <v>0</v>
      </c>
      <c r="DL478" s="14">
        <f t="shared" si="729"/>
        <v>0</v>
      </c>
      <c r="DM478" s="14">
        <f t="shared" si="729"/>
        <v>0</v>
      </c>
      <c r="DN478" s="14">
        <f t="shared" si="729"/>
        <v>0</v>
      </c>
      <c r="DO478" s="14">
        <f t="shared" si="729"/>
        <v>0</v>
      </c>
      <c r="DP478" s="14">
        <f t="shared" si="729"/>
        <v>0</v>
      </c>
      <c r="DQ478" s="14">
        <f t="shared" si="729"/>
        <v>0</v>
      </c>
      <c r="DR478" s="14">
        <f t="shared" si="729"/>
        <v>0</v>
      </c>
      <c r="DS478" s="14">
        <f t="shared" si="729"/>
        <v>0</v>
      </c>
      <c r="DT478" s="14">
        <f t="shared" si="729"/>
        <v>0</v>
      </c>
      <c r="DU478" s="14">
        <f t="shared" si="729"/>
        <v>0</v>
      </c>
      <c r="DV478" s="14">
        <f t="shared" si="729"/>
        <v>0</v>
      </c>
      <c r="DW478" s="14">
        <f t="shared" si="729"/>
        <v>0</v>
      </c>
      <c r="DX478" s="14">
        <f t="shared" si="729"/>
        <v>0</v>
      </c>
      <c r="DY478" s="14">
        <f t="shared" si="729"/>
        <v>0</v>
      </c>
    </row>
    <row r="479" spans="2:129" ht="11.7" customHeight="1" outlineLevel="1" x14ac:dyDescent="0.3">
      <c r="B479" s="113" t="s">
        <v>509</v>
      </c>
      <c r="C479" s="113"/>
      <c r="H479" s="290">
        <f ca="1">+SUM(I479:DY479)</f>
        <v>0</v>
      </c>
      <c r="I479" s="14">
        <f>+I477*$E$471</f>
        <v>0</v>
      </c>
      <c r="J479" s="14">
        <f t="shared" ref="J479:BU479" si="730">+J477*$E$471</f>
        <v>0</v>
      </c>
      <c r="K479" s="14">
        <f t="shared" si="730"/>
        <v>0</v>
      </c>
      <c r="L479" s="14">
        <f t="shared" si="730"/>
        <v>0</v>
      </c>
      <c r="M479" s="14">
        <f t="shared" si="730"/>
        <v>0</v>
      </c>
      <c r="N479" s="14">
        <f t="shared" si="730"/>
        <v>0</v>
      </c>
      <c r="O479" s="14">
        <f t="shared" si="730"/>
        <v>0</v>
      </c>
      <c r="P479" s="14">
        <f t="shared" si="730"/>
        <v>0</v>
      </c>
      <c r="Q479" s="14">
        <f t="shared" si="730"/>
        <v>0</v>
      </c>
      <c r="R479" s="14">
        <f t="shared" si="730"/>
        <v>0</v>
      </c>
      <c r="S479" s="14">
        <f t="shared" si="730"/>
        <v>0</v>
      </c>
      <c r="T479" s="14">
        <f t="shared" si="730"/>
        <v>0</v>
      </c>
      <c r="U479" s="14">
        <f t="shared" si="730"/>
        <v>0</v>
      </c>
      <c r="V479" s="14">
        <f t="shared" si="730"/>
        <v>0</v>
      </c>
      <c r="W479" s="14">
        <f t="shared" si="730"/>
        <v>0</v>
      </c>
      <c r="X479" s="14">
        <f t="shared" si="730"/>
        <v>0</v>
      </c>
      <c r="Y479" s="14">
        <f t="shared" si="730"/>
        <v>0</v>
      </c>
      <c r="Z479" s="14">
        <f t="shared" si="730"/>
        <v>0</v>
      </c>
      <c r="AA479" s="14">
        <f t="shared" si="730"/>
        <v>0</v>
      </c>
      <c r="AB479" s="14">
        <f t="shared" si="730"/>
        <v>0</v>
      </c>
      <c r="AC479" s="14">
        <f t="shared" si="730"/>
        <v>0</v>
      </c>
      <c r="AD479" s="14">
        <f t="shared" si="730"/>
        <v>0</v>
      </c>
      <c r="AE479" s="14">
        <f t="shared" si="730"/>
        <v>0</v>
      </c>
      <c r="AF479" s="14">
        <f t="shared" si="730"/>
        <v>0</v>
      </c>
      <c r="AG479" s="14">
        <f t="shared" si="730"/>
        <v>0</v>
      </c>
      <c r="AH479" s="14">
        <f t="shared" si="730"/>
        <v>0</v>
      </c>
      <c r="AI479" s="14">
        <f t="shared" si="730"/>
        <v>0</v>
      </c>
      <c r="AJ479" s="14">
        <f t="shared" si="730"/>
        <v>0</v>
      </c>
      <c r="AK479" s="14">
        <f t="shared" si="730"/>
        <v>0</v>
      </c>
      <c r="AL479" s="14">
        <f t="shared" si="730"/>
        <v>0</v>
      </c>
      <c r="AM479" s="14">
        <f t="shared" si="730"/>
        <v>0</v>
      </c>
      <c r="AN479" s="14">
        <f t="shared" si="730"/>
        <v>0</v>
      </c>
      <c r="AO479" s="14">
        <f t="shared" si="730"/>
        <v>0</v>
      </c>
      <c r="AP479" s="14">
        <f t="shared" si="730"/>
        <v>0</v>
      </c>
      <c r="AQ479" s="14">
        <f t="shared" si="730"/>
        <v>0</v>
      </c>
      <c r="AR479" s="14">
        <f t="shared" si="730"/>
        <v>0</v>
      </c>
      <c r="AS479" s="14">
        <f t="shared" si="730"/>
        <v>0</v>
      </c>
      <c r="AT479" s="14">
        <f t="shared" si="730"/>
        <v>0</v>
      </c>
      <c r="AU479" s="14">
        <f t="shared" si="730"/>
        <v>0</v>
      </c>
      <c r="AV479" s="14">
        <f t="shared" si="730"/>
        <v>0</v>
      </c>
      <c r="AW479" s="14">
        <f t="shared" si="730"/>
        <v>0</v>
      </c>
      <c r="AX479" s="14">
        <f t="shared" si="730"/>
        <v>0</v>
      </c>
      <c r="AY479" s="14">
        <f t="shared" si="730"/>
        <v>0</v>
      </c>
      <c r="AZ479" s="14">
        <f t="shared" si="730"/>
        <v>0</v>
      </c>
      <c r="BA479" s="14">
        <f t="shared" si="730"/>
        <v>0</v>
      </c>
      <c r="BB479" s="14">
        <f t="shared" si="730"/>
        <v>0</v>
      </c>
      <c r="BC479" s="14">
        <f t="shared" si="730"/>
        <v>0</v>
      </c>
      <c r="BD479" s="14">
        <f t="shared" si="730"/>
        <v>0</v>
      </c>
      <c r="BE479" s="14">
        <f t="shared" si="730"/>
        <v>0</v>
      </c>
      <c r="BF479" s="14">
        <f t="shared" si="730"/>
        <v>0</v>
      </c>
      <c r="BG479" s="14">
        <f t="shared" si="730"/>
        <v>0</v>
      </c>
      <c r="BH479" s="14">
        <f t="shared" si="730"/>
        <v>0</v>
      </c>
      <c r="BI479" s="14">
        <f t="shared" si="730"/>
        <v>0</v>
      </c>
      <c r="BJ479" s="14">
        <f t="shared" si="730"/>
        <v>0</v>
      </c>
      <c r="BK479" s="14">
        <f t="shared" si="730"/>
        <v>0</v>
      </c>
      <c r="BL479" s="14">
        <f t="shared" si="730"/>
        <v>0</v>
      </c>
      <c r="BM479" s="14">
        <f t="shared" si="730"/>
        <v>0</v>
      </c>
      <c r="BN479" s="14">
        <f t="shared" si="730"/>
        <v>0</v>
      </c>
      <c r="BO479" s="14">
        <f t="shared" si="730"/>
        <v>0</v>
      </c>
      <c r="BP479" s="14">
        <f t="shared" si="730"/>
        <v>0</v>
      </c>
      <c r="BQ479" s="14">
        <f t="shared" si="730"/>
        <v>0</v>
      </c>
      <c r="BR479" s="14">
        <f t="shared" si="730"/>
        <v>0</v>
      </c>
      <c r="BS479" s="14">
        <f t="shared" si="730"/>
        <v>0</v>
      </c>
      <c r="BT479" s="14">
        <f t="shared" si="730"/>
        <v>0</v>
      </c>
      <c r="BU479" s="14">
        <f t="shared" si="730"/>
        <v>0</v>
      </c>
      <c r="BV479" s="14">
        <f t="shared" ref="BV479:DY479" si="731">+BV477*$E$471</f>
        <v>0</v>
      </c>
      <c r="BW479" s="14">
        <f t="shared" si="731"/>
        <v>0</v>
      </c>
      <c r="BX479" s="14">
        <f t="shared" si="731"/>
        <v>0</v>
      </c>
      <c r="BY479" s="14">
        <f t="shared" si="731"/>
        <v>0</v>
      </c>
      <c r="BZ479" s="14">
        <f t="shared" si="731"/>
        <v>0</v>
      </c>
      <c r="CA479" s="14">
        <f t="shared" si="731"/>
        <v>0</v>
      </c>
      <c r="CB479" s="14">
        <f t="shared" si="731"/>
        <v>0</v>
      </c>
      <c r="CC479" s="14">
        <f t="shared" si="731"/>
        <v>0</v>
      </c>
      <c r="CD479" s="14">
        <f t="shared" si="731"/>
        <v>0</v>
      </c>
      <c r="CE479" s="14">
        <f t="shared" si="731"/>
        <v>0</v>
      </c>
      <c r="CF479" s="14">
        <f t="shared" si="731"/>
        <v>0</v>
      </c>
      <c r="CG479" s="14">
        <f t="shared" ca="1" si="731"/>
        <v>0</v>
      </c>
      <c r="CH479" s="14">
        <f t="shared" ca="1" si="731"/>
        <v>0</v>
      </c>
      <c r="CI479" s="14">
        <f t="shared" ca="1" si="731"/>
        <v>0</v>
      </c>
      <c r="CJ479" s="14">
        <f t="shared" ca="1" si="731"/>
        <v>0</v>
      </c>
      <c r="CK479" s="14">
        <f t="shared" ca="1" si="731"/>
        <v>0</v>
      </c>
      <c r="CL479" s="14">
        <f t="shared" ca="1" si="731"/>
        <v>0</v>
      </c>
      <c r="CM479" s="14">
        <f t="shared" ca="1" si="731"/>
        <v>0</v>
      </c>
      <c r="CN479" s="14">
        <f t="shared" ca="1" si="731"/>
        <v>0</v>
      </c>
      <c r="CO479" s="14">
        <f t="shared" ca="1" si="731"/>
        <v>0</v>
      </c>
      <c r="CP479" s="14">
        <f t="shared" ca="1" si="731"/>
        <v>0</v>
      </c>
      <c r="CQ479" s="14">
        <f t="shared" ca="1" si="731"/>
        <v>0</v>
      </c>
      <c r="CR479" s="14">
        <f t="shared" ca="1" si="731"/>
        <v>0</v>
      </c>
      <c r="CS479" s="14">
        <f t="shared" ca="1" si="731"/>
        <v>0</v>
      </c>
      <c r="CT479" s="14">
        <f t="shared" ca="1" si="731"/>
        <v>0</v>
      </c>
      <c r="CU479" s="14">
        <f t="shared" ca="1" si="731"/>
        <v>0</v>
      </c>
      <c r="CV479" s="14">
        <f t="shared" ca="1" si="731"/>
        <v>0</v>
      </c>
      <c r="CW479" s="14">
        <f t="shared" ca="1" si="731"/>
        <v>0</v>
      </c>
      <c r="CX479" s="14">
        <f t="shared" ca="1" si="731"/>
        <v>0</v>
      </c>
      <c r="CY479" s="14">
        <f t="shared" ca="1" si="731"/>
        <v>0</v>
      </c>
      <c r="CZ479" s="14">
        <f t="shared" ca="1" si="731"/>
        <v>0</v>
      </c>
      <c r="DA479" s="14">
        <f t="shared" ca="1" si="731"/>
        <v>0</v>
      </c>
      <c r="DB479" s="14">
        <f t="shared" ca="1" si="731"/>
        <v>0</v>
      </c>
      <c r="DC479" s="14">
        <f t="shared" ca="1" si="731"/>
        <v>0</v>
      </c>
      <c r="DD479" s="14">
        <f t="shared" ca="1" si="731"/>
        <v>0</v>
      </c>
      <c r="DE479" s="14">
        <f t="shared" ca="1" si="731"/>
        <v>0</v>
      </c>
      <c r="DF479" s="14">
        <f t="shared" ca="1" si="731"/>
        <v>0</v>
      </c>
      <c r="DG479" s="14">
        <f t="shared" ca="1" si="731"/>
        <v>0</v>
      </c>
      <c r="DH479" s="14">
        <f t="shared" ca="1" si="731"/>
        <v>0</v>
      </c>
      <c r="DI479" s="14">
        <f t="shared" ca="1" si="731"/>
        <v>0</v>
      </c>
      <c r="DJ479" s="14">
        <f t="shared" ca="1" si="731"/>
        <v>0</v>
      </c>
      <c r="DK479" s="14">
        <f t="shared" ca="1" si="731"/>
        <v>0</v>
      </c>
      <c r="DL479" s="14">
        <f t="shared" ca="1" si="731"/>
        <v>0</v>
      </c>
      <c r="DM479" s="14">
        <f t="shared" ca="1" si="731"/>
        <v>0</v>
      </c>
      <c r="DN479" s="14">
        <f t="shared" ca="1" si="731"/>
        <v>0</v>
      </c>
      <c r="DO479" s="14">
        <f t="shared" ca="1" si="731"/>
        <v>0</v>
      </c>
      <c r="DP479" s="14">
        <f t="shared" ca="1" si="731"/>
        <v>0</v>
      </c>
      <c r="DQ479" s="14">
        <f t="shared" ca="1" si="731"/>
        <v>0</v>
      </c>
      <c r="DR479" s="14">
        <f t="shared" ca="1" si="731"/>
        <v>0</v>
      </c>
      <c r="DS479" s="14">
        <f t="shared" ca="1" si="731"/>
        <v>0</v>
      </c>
      <c r="DT479" s="14">
        <f t="shared" ca="1" si="731"/>
        <v>0</v>
      </c>
      <c r="DU479" s="14">
        <f t="shared" ca="1" si="731"/>
        <v>0</v>
      </c>
      <c r="DV479" s="14">
        <f t="shared" ca="1" si="731"/>
        <v>0</v>
      </c>
      <c r="DW479" s="14">
        <f t="shared" ca="1" si="731"/>
        <v>0</v>
      </c>
      <c r="DX479" s="14">
        <f t="shared" ca="1" si="731"/>
        <v>0</v>
      </c>
      <c r="DY479" s="14">
        <f t="shared" ca="1" si="731"/>
        <v>0</v>
      </c>
    </row>
    <row r="480" spans="2:129" ht="11.7" customHeight="1" outlineLevel="1" x14ac:dyDescent="0.3">
      <c r="B480" s="116" t="s">
        <v>510</v>
      </c>
      <c r="C480" s="116"/>
      <c r="D480" s="63"/>
      <c r="E480" s="63"/>
      <c r="F480" s="885"/>
      <c r="G480" s="886"/>
      <c r="H480" s="290">
        <f ca="1">+SUM(I480:DY480)</f>
        <v>-1894.0674045962451</v>
      </c>
      <c r="I480" s="168">
        <f>-MIN(I465,SUM(I477:I479))</f>
        <v>0</v>
      </c>
      <c r="J480" s="168">
        <f t="shared" ref="J480:BT480" si="732">-MIN(J465,SUM(J477:J479))</f>
        <v>0</v>
      </c>
      <c r="K480" s="168">
        <f t="shared" si="732"/>
        <v>0</v>
      </c>
      <c r="L480" s="168">
        <f t="shared" si="732"/>
        <v>0</v>
      </c>
      <c r="M480" s="168">
        <f t="shared" si="732"/>
        <v>0</v>
      </c>
      <c r="N480" s="168">
        <f t="shared" si="732"/>
        <v>0</v>
      </c>
      <c r="O480" s="168">
        <f t="shared" si="732"/>
        <v>0</v>
      </c>
      <c r="P480" s="168">
        <f t="shared" si="732"/>
        <v>0</v>
      </c>
      <c r="Q480" s="168">
        <f t="shared" si="732"/>
        <v>0</v>
      </c>
      <c r="R480" s="168">
        <f t="shared" si="732"/>
        <v>0</v>
      </c>
      <c r="S480" s="168">
        <f t="shared" si="732"/>
        <v>0</v>
      </c>
      <c r="T480" s="168">
        <f t="shared" si="732"/>
        <v>0</v>
      </c>
      <c r="U480" s="168">
        <f t="shared" si="732"/>
        <v>0</v>
      </c>
      <c r="V480" s="168">
        <f t="shared" si="732"/>
        <v>0</v>
      </c>
      <c r="W480" s="168">
        <f t="shared" si="732"/>
        <v>0</v>
      </c>
      <c r="X480" s="168">
        <f t="shared" si="732"/>
        <v>0</v>
      </c>
      <c r="Y480" s="168">
        <f t="shared" si="732"/>
        <v>0</v>
      </c>
      <c r="Z480" s="168">
        <f t="shared" si="732"/>
        <v>0</v>
      </c>
      <c r="AA480" s="168">
        <f t="shared" si="732"/>
        <v>0</v>
      </c>
      <c r="AB480" s="168">
        <f t="shared" si="732"/>
        <v>0</v>
      </c>
      <c r="AC480" s="168">
        <f t="shared" si="732"/>
        <v>0</v>
      </c>
      <c r="AD480" s="168">
        <f t="shared" si="732"/>
        <v>0</v>
      </c>
      <c r="AE480" s="168">
        <f t="shared" si="732"/>
        <v>0</v>
      </c>
      <c r="AF480" s="168">
        <f t="shared" si="732"/>
        <v>0</v>
      </c>
      <c r="AG480" s="168">
        <f t="shared" si="732"/>
        <v>0</v>
      </c>
      <c r="AH480" s="168">
        <f t="shared" si="732"/>
        <v>0</v>
      </c>
      <c r="AI480" s="168">
        <f t="shared" si="732"/>
        <v>0</v>
      </c>
      <c r="AJ480" s="168">
        <f t="shared" si="732"/>
        <v>0</v>
      </c>
      <c r="AK480" s="168">
        <f t="shared" si="732"/>
        <v>0</v>
      </c>
      <c r="AL480" s="168">
        <f t="shared" si="732"/>
        <v>0</v>
      </c>
      <c r="AM480" s="168">
        <f t="shared" si="732"/>
        <v>0</v>
      </c>
      <c r="AN480" s="168">
        <f t="shared" si="732"/>
        <v>0</v>
      </c>
      <c r="AO480" s="168">
        <f t="shared" si="732"/>
        <v>0</v>
      </c>
      <c r="AP480" s="168">
        <f t="shared" si="732"/>
        <v>-145.63550353471601</v>
      </c>
      <c r="AQ480" s="168">
        <f t="shared" si="732"/>
        <v>0</v>
      </c>
      <c r="AR480" s="168">
        <f t="shared" si="732"/>
        <v>0</v>
      </c>
      <c r="AS480" s="168">
        <f t="shared" si="732"/>
        <v>0</v>
      </c>
      <c r="AT480" s="168">
        <f t="shared" si="732"/>
        <v>0</v>
      </c>
      <c r="AU480" s="168">
        <f t="shared" si="732"/>
        <v>0</v>
      </c>
      <c r="AV480" s="168">
        <f t="shared" si="732"/>
        <v>0</v>
      </c>
      <c r="AW480" s="168">
        <f t="shared" si="732"/>
        <v>0</v>
      </c>
      <c r="AX480" s="168">
        <f t="shared" si="732"/>
        <v>0</v>
      </c>
      <c r="AY480" s="168">
        <f t="shared" si="732"/>
        <v>0</v>
      </c>
      <c r="AZ480" s="168">
        <f t="shared" si="732"/>
        <v>0</v>
      </c>
      <c r="BA480" s="168">
        <f t="shared" si="732"/>
        <v>0</v>
      </c>
      <c r="BB480" s="168">
        <f t="shared" si="732"/>
        <v>0</v>
      </c>
      <c r="BC480" s="168">
        <f t="shared" si="732"/>
        <v>0</v>
      </c>
      <c r="BD480" s="168">
        <f t="shared" si="732"/>
        <v>-162.13010881582025</v>
      </c>
      <c r="BE480" s="168">
        <f t="shared" si="732"/>
        <v>0</v>
      </c>
      <c r="BF480" s="168">
        <f t="shared" si="732"/>
        <v>0</v>
      </c>
      <c r="BG480" s="168">
        <f t="shared" si="732"/>
        <v>0</v>
      </c>
      <c r="BH480" s="168">
        <f t="shared" si="732"/>
        <v>0</v>
      </c>
      <c r="BI480" s="168">
        <f t="shared" si="732"/>
        <v>0</v>
      </c>
      <c r="BJ480" s="168">
        <f t="shared" si="732"/>
        <v>0</v>
      </c>
      <c r="BK480" s="168">
        <f t="shared" si="732"/>
        <v>0</v>
      </c>
      <c r="BL480" s="168">
        <f t="shared" si="732"/>
        <v>0</v>
      </c>
      <c r="BM480" s="168">
        <f t="shared" si="732"/>
        <v>0</v>
      </c>
      <c r="BN480" s="168">
        <f t="shared" si="732"/>
        <v>0</v>
      </c>
      <c r="BO480" s="168">
        <f t="shared" si="732"/>
        <v>0</v>
      </c>
      <c r="BP480" s="168">
        <f t="shared" si="732"/>
        <v>0</v>
      </c>
      <c r="BQ480" s="168">
        <f t="shared" si="732"/>
        <v>0</v>
      </c>
      <c r="BR480" s="168">
        <f t="shared" si="732"/>
        <v>0</v>
      </c>
      <c r="BS480" s="168">
        <f t="shared" si="732"/>
        <v>0</v>
      </c>
      <c r="BT480" s="168">
        <f t="shared" si="732"/>
        <v>0</v>
      </c>
      <c r="BU480" s="168">
        <f t="shared" ref="BU480:DY480" si="733">-MIN(BU465,SUM(BU477:BU479))</f>
        <v>0</v>
      </c>
      <c r="BV480" s="168">
        <f t="shared" si="733"/>
        <v>0</v>
      </c>
      <c r="BW480" s="168">
        <f t="shared" si="733"/>
        <v>0</v>
      </c>
      <c r="BX480" s="168">
        <f t="shared" si="733"/>
        <v>0</v>
      </c>
      <c r="BY480" s="168">
        <f t="shared" si="733"/>
        <v>0</v>
      </c>
      <c r="BZ480" s="168">
        <f t="shared" si="733"/>
        <v>0</v>
      </c>
      <c r="CA480" s="168">
        <f t="shared" si="733"/>
        <v>0</v>
      </c>
      <c r="CB480" s="168">
        <f t="shared" si="733"/>
        <v>0</v>
      </c>
      <c r="CC480" s="168">
        <f t="shared" si="733"/>
        <v>0</v>
      </c>
      <c r="CD480" s="168">
        <f t="shared" si="733"/>
        <v>0</v>
      </c>
      <c r="CE480" s="168">
        <f t="shared" si="733"/>
        <v>0</v>
      </c>
      <c r="CF480" s="168">
        <f t="shared" ca="1" si="733"/>
        <v>-1586.3017922457088</v>
      </c>
      <c r="CG480" s="168">
        <f t="shared" ca="1" si="733"/>
        <v>0</v>
      </c>
      <c r="CH480" s="168">
        <f t="shared" ca="1" si="733"/>
        <v>0</v>
      </c>
      <c r="CI480" s="168">
        <f t="shared" ca="1" si="733"/>
        <v>0</v>
      </c>
      <c r="CJ480" s="168">
        <f t="shared" ca="1" si="733"/>
        <v>0</v>
      </c>
      <c r="CK480" s="168">
        <f t="shared" ca="1" si="733"/>
        <v>0</v>
      </c>
      <c r="CL480" s="168">
        <f t="shared" ca="1" si="733"/>
        <v>0</v>
      </c>
      <c r="CM480" s="168">
        <f t="shared" ca="1" si="733"/>
        <v>0</v>
      </c>
      <c r="CN480" s="168">
        <f t="shared" ca="1" si="733"/>
        <v>0</v>
      </c>
      <c r="CO480" s="168">
        <f t="shared" ca="1" si="733"/>
        <v>0</v>
      </c>
      <c r="CP480" s="168">
        <f t="shared" ca="1" si="733"/>
        <v>0</v>
      </c>
      <c r="CQ480" s="168">
        <f t="shared" ca="1" si="733"/>
        <v>0</v>
      </c>
      <c r="CR480" s="168">
        <f t="shared" ca="1" si="733"/>
        <v>0</v>
      </c>
      <c r="CS480" s="168">
        <f t="shared" ca="1" si="733"/>
        <v>0</v>
      </c>
      <c r="CT480" s="168">
        <f t="shared" ca="1" si="733"/>
        <v>0</v>
      </c>
      <c r="CU480" s="168">
        <f t="shared" ca="1" si="733"/>
        <v>0</v>
      </c>
      <c r="CV480" s="168">
        <f t="shared" ca="1" si="733"/>
        <v>0</v>
      </c>
      <c r="CW480" s="168">
        <f t="shared" ca="1" si="733"/>
        <v>0</v>
      </c>
      <c r="CX480" s="168">
        <f t="shared" ca="1" si="733"/>
        <v>0</v>
      </c>
      <c r="CY480" s="168">
        <f t="shared" ca="1" si="733"/>
        <v>0</v>
      </c>
      <c r="CZ480" s="168">
        <f t="shared" ca="1" si="733"/>
        <v>0</v>
      </c>
      <c r="DA480" s="168">
        <f t="shared" ca="1" si="733"/>
        <v>0</v>
      </c>
      <c r="DB480" s="168">
        <f t="shared" ca="1" si="733"/>
        <v>0</v>
      </c>
      <c r="DC480" s="168">
        <f t="shared" ca="1" si="733"/>
        <v>0</v>
      </c>
      <c r="DD480" s="168">
        <f t="shared" ca="1" si="733"/>
        <v>0</v>
      </c>
      <c r="DE480" s="168">
        <f t="shared" ca="1" si="733"/>
        <v>0</v>
      </c>
      <c r="DF480" s="168">
        <f t="shared" ca="1" si="733"/>
        <v>0</v>
      </c>
      <c r="DG480" s="168">
        <f t="shared" ca="1" si="733"/>
        <v>0</v>
      </c>
      <c r="DH480" s="168">
        <f t="shared" ca="1" si="733"/>
        <v>0</v>
      </c>
      <c r="DI480" s="168">
        <f t="shared" ca="1" si="733"/>
        <v>0</v>
      </c>
      <c r="DJ480" s="168">
        <f t="shared" ca="1" si="733"/>
        <v>0</v>
      </c>
      <c r="DK480" s="168">
        <f t="shared" ca="1" si="733"/>
        <v>0</v>
      </c>
      <c r="DL480" s="168">
        <f t="shared" ca="1" si="733"/>
        <v>0</v>
      </c>
      <c r="DM480" s="168">
        <f t="shared" ca="1" si="733"/>
        <v>0</v>
      </c>
      <c r="DN480" s="168">
        <f t="shared" ca="1" si="733"/>
        <v>0</v>
      </c>
      <c r="DO480" s="168">
        <f t="shared" ca="1" si="733"/>
        <v>0</v>
      </c>
      <c r="DP480" s="168">
        <f t="shared" ca="1" si="733"/>
        <v>0</v>
      </c>
      <c r="DQ480" s="168">
        <f t="shared" ca="1" si="733"/>
        <v>0</v>
      </c>
      <c r="DR480" s="168">
        <f t="shared" ca="1" si="733"/>
        <v>0</v>
      </c>
      <c r="DS480" s="168">
        <f t="shared" ca="1" si="733"/>
        <v>0</v>
      </c>
      <c r="DT480" s="168">
        <f t="shared" ca="1" si="733"/>
        <v>0</v>
      </c>
      <c r="DU480" s="168">
        <f t="shared" ca="1" si="733"/>
        <v>0</v>
      </c>
      <c r="DV480" s="168">
        <f t="shared" ca="1" si="733"/>
        <v>0</v>
      </c>
      <c r="DW480" s="168">
        <f t="shared" ca="1" si="733"/>
        <v>0</v>
      </c>
      <c r="DX480" s="168">
        <f t="shared" ca="1" si="733"/>
        <v>0</v>
      </c>
      <c r="DY480" s="168">
        <f t="shared" ca="1" si="733"/>
        <v>0</v>
      </c>
    </row>
    <row r="481" spans="2:129" ht="11.7" customHeight="1" outlineLevel="1" x14ac:dyDescent="0.3">
      <c r="B481" s="149" t="s">
        <v>511</v>
      </c>
      <c r="C481" s="149"/>
      <c r="D481" s="3"/>
      <c r="E481" s="3"/>
      <c r="I481" s="14">
        <f>+SUM(I477:I480)</f>
        <v>1548.7691973721776</v>
      </c>
      <c r="J481" s="14">
        <f t="shared" ref="J481:BU481" si="734">+SUM(J477:J480)</f>
        <v>1548.7691973721776</v>
      </c>
      <c r="K481" s="14">
        <f t="shared" si="734"/>
        <v>1548.7691973721776</v>
      </c>
      <c r="L481" s="14">
        <f t="shared" si="734"/>
        <v>1548.7691973721776</v>
      </c>
      <c r="M481" s="14">
        <f t="shared" si="734"/>
        <v>1548.7691973721776</v>
      </c>
      <c r="N481" s="14">
        <f t="shared" si="734"/>
        <v>1548.7691973721776</v>
      </c>
      <c r="O481" s="14">
        <f t="shared" si="734"/>
        <v>1548.7691973721776</v>
      </c>
      <c r="P481" s="14">
        <f t="shared" si="734"/>
        <v>1548.7691973721776</v>
      </c>
      <c r="Q481" s="14">
        <f t="shared" si="734"/>
        <v>1548.7691973721776</v>
      </c>
      <c r="R481" s="14">
        <f t="shared" si="734"/>
        <v>1548.7691973721776</v>
      </c>
      <c r="S481" s="14">
        <f t="shared" si="734"/>
        <v>1548.7691973721776</v>
      </c>
      <c r="T481" s="14">
        <f t="shared" si="734"/>
        <v>1548.7691973721776</v>
      </c>
      <c r="U481" s="14">
        <f t="shared" si="734"/>
        <v>1548.7691973721776</v>
      </c>
      <c r="V481" s="14">
        <f t="shared" si="734"/>
        <v>1548.7691973721776</v>
      </c>
      <c r="W481" s="14">
        <f t="shared" si="734"/>
        <v>1894.0674045962451</v>
      </c>
      <c r="X481" s="14">
        <f t="shared" si="734"/>
        <v>1894.0674045962451</v>
      </c>
      <c r="Y481" s="14">
        <f t="shared" si="734"/>
        <v>1894.0674045962451</v>
      </c>
      <c r="Z481" s="14">
        <f t="shared" si="734"/>
        <v>1894.0674045962451</v>
      </c>
      <c r="AA481" s="14">
        <f t="shared" si="734"/>
        <v>1894.0674045962451</v>
      </c>
      <c r="AB481" s="14">
        <f t="shared" si="734"/>
        <v>1894.0674045962451</v>
      </c>
      <c r="AC481" s="14">
        <f t="shared" si="734"/>
        <v>1894.0674045962451</v>
      </c>
      <c r="AD481" s="14">
        <f t="shared" si="734"/>
        <v>1894.0674045962451</v>
      </c>
      <c r="AE481" s="14">
        <f t="shared" si="734"/>
        <v>1894.0674045962451</v>
      </c>
      <c r="AF481" s="14">
        <f t="shared" si="734"/>
        <v>1894.0674045962451</v>
      </c>
      <c r="AG481" s="14">
        <f t="shared" si="734"/>
        <v>1894.0674045962451</v>
      </c>
      <c r="AH481" s="14">
        <f t="shared" si="734"/>
        <v>1894.0674045962451</v>
      </c>
      <c r="AI481" s="14">
        <f t="shared" si="734"/>
        <v>1894.0674045962451</v>
      </c>
      <c r="AJ481" s="14">
        <f t="shared" si="734"/>
        <v>1894.0674045962451</v>
      </c>
      <c r="AK481" s="14">
        <f t="shared" si="734"/>
        <v>1894.0674045962451</v>
      </c>
      <c r="AL481" s="14">
        <f t="shared" si="734"/>
        <v>1894.0674045962451</v>
      </c>
      <c r="AM481" s="14">
        <f t="shared" si="734"/>
        <v>1894.0674045962451</v>
      </c>
      <c r="AN481" s="14">
        <f t="shared" si="734"/>
        <v>1894.0674045962451</v>
      </c>
      <c r="AO481" s="14">
        <f t="shared" si="734"/>
        <v>1894.0674045962451</v>
      </c>
      <c r="AP481" s="14">
        <f t="shared" si="734"/>
        <v>1748.4319010615291</v>
      </c>
      <c r="AQ481" s="14">
        <f t="shared" si="734"/>
        <v>1748.4319010615291</v>
      </c>
      <c r="AR481" s="14">
        <f t="shared" si="734"/>
        <v>1748.4319010615291</v>
      </c>
      <c r="AS481" s="14">
        <f t="shared" si="734"/>
        <v>1748.4319010615291</v>
      </c>
      <c r="AT481" s="14">
        <f t="shared" si="734"/>
        <v>1748.4319010615291</v>
      </c>
      <c r="AU481" s="14">
        <f t="shared" si="734"/>
        <v>1748.4319010615291</v>
      </c>
      <c r="AV481" s="14">
        <f t="shared" si="734"/>
        <v>1748.4319010615291</v>
      </c>
      <c r="AW481" s="14">
        <f t="shared" si="734"/>
        <v>1748.4319010615291</v>
      </c>
      <c r="AX481" s="14">
        <f t="shared" si="734"/>
        <v>1748.4319010615291</v>
      </c>
      <c r="AY481" s="14">
        <f t="shared" si="734"/>
        <v>1748.4319010615291</v>
      </c>
      <c r="AZ481" s="14">
        <f t="shared" si="734"/>
        <v>1748.4319010615291</v>
      </c>
      <c r="BA481" s="14">
        <f t="shared" si="734"/>
        <v>1748.4319010615291</v>
      </c>
      <c r="BB481" s="14">
        <f t="shared" si="734"/>
        <v>1748.4319010615291</v>
      </c>
      <c r="BC481" s="14">
        <f t="shared" si="734"/>
        <v>1748.4319010615291</v>
      </c>
      <c r="BD481" s="14">
        <f t="shared" si="734"/>
        <v>1586.3017922457088</v>
      </c>
      <c r="BE481" s="14">
        <f t="shared" si="734"/>
        <v>1586.3017922457088</v>
      </c>
      <c r="BF481" s="14">
        <f t="shared" si="734"/>
        <v>1586.3017922457088</v>
      </c>
      <c r="BG481" s="14">
        <f t="shared" si="734"/>
        <v>1586.3017922457088</v>
      </c>
      <c r="BH481" s="14">
        <f t="shared" si="734"/>
        <v>1586.3017922457088</v>
      </c>
      <c r="BI481" s="14">
        <f t="shared" si="734"/>
        <v>1586.3017922457088</v>
      </c>
      <c r="BJ481" s="14">
        <f t="shared" si="734"/>
        <v>1586.3017922457088</v>
      </c>
      <c r="BK481" s="14">
        <f t="shared" si="734"/>
        <v>1586.3017922457088</v>
      </c>
      <c r="BL481" s="14">
        <f t="shared" si="734"/>
        <v>1586.3017922457088</v>
      </c>
      <c r="BM481" s="14">
        <f t="shared" si="734"/>
        <v>1586.3017922457088</v>
      </c>
      <c r="BN481" s="14">
        <f t="shared" si="734"/>
        <v>1586.3017922457088</v>
      </c>
      <c r="BO481" s="14">
        <f t="shared" si="734"/>
        <v>1586.3017922457088</v>
      </c>
      <c r="BP481" s="14">
        <f t="shared" si="734"/>
        <v>1586.3017922457088</v>
      </c>
      <c r="BQ481" s="14">
        <f t="shared" si="734"/>
        <v>1586.3017922457088</v>
      </c>
      <c r="BR481" s="14">
        <f t="shared" si="734"/>
        <v>1586.3017922457088</v>
      </c>
      <c r="BS481" s="14">
        <f t="shared" si="734"/>
        <v>1586.3017922457088</v>
      </c>
      <c r="BT481" s="14">
        <f t="shared" si="734"/>
        <v>1586.3017922457088</v>
      </c>
      <c r="BU481" s="14">
        <f t="shared" si="734"/>
        <v>1586.3017922457088</v>
      </c>
      <c r="BV481" s="14">
        <f t="shared" ref="BV481:DY481" si="735">+SUM(BV477:BV480)</f>
        <v>1586.3017922457088</v>
      </c>
      <c r="BW481" s="14">
        <f t="shared" si="735"/>
        <v>1586.3017922457088</v>
      </c>
      <c r="BX481" s="14">
        <f t="shared" si="735"/>
        <v>1586.3017922457088</v>
      </c>
      <c r="BY481" s="14">
        <f t="shared" si="735"/>
        <v>1586.3017922457088</v>
      </c>
      <c r="BZ481" s="14">
        <f t="shared" si="735"/>
        <v>1586.3017922457088</v>
      </c>
      <c r="CA481" s="14">
        <f t="shared" si="735"/>
        <v>1586.3017922457088</v>
      </c>
      <c r="CB481" s="14">
        <f t="shared" si="735"/>
        <v>1586.3017922457088</v>
      </c>
      <c r="CC481" s="14">
        <f t="shared" si="735"/>
        <v>1586.3017922457088</v>
      </c>
      <c r="CD481" s="14">
        <f t="shared" si="735"/>
        <v>1586.3017922457088</v>
      </c>
      <c r="CE481" s="14">
        <f t="shared" si="735"/>
        <v>1586.3017922457088</v>
      </c>
      <c r="CF481" s="14">
        <f t="shared" ca="1" si="735"/>
        <v>0</v>
      </c>
      <c r="CG481" s="14">
        <f t="shared" ca="1" si="735"/>
        <v>0</v>
      </c>
      <c r="CH481" s="14">
        <f t="shared" ca="1" si="735"/>
        <v>0</v>
      </c>
      <c r="CI481" s="14">
        <f t="shared" ca="1" si="735"/>
        <v>0</v>
      </c>
      <c r="CJ481" s="14">
        <f t="shared" ca="1" si="735"/>
        <v>0</v>
      </c>
      <c r="CK481" s="14">
        <f t="shared" ca="1" si="735"/>
        <v>0</v>
      </c>
      <c r="CL481" s="14">
        <f t="shared" ca="1" si="735"/>
        <v>0</v>
      </c>
      <c r="CM481" s="14">
        <f t="shared" ca="1" si="735"/>
        <v>0</v>
      </c>
      <c r="CN481" s="14">
        <f t="shared" ca="1" si="735"/>
        <v>0</v>
      </c>
      <c r="CO481" s="14">
        <f t="shared" ca="1" si="735"/>
        <v>0</v>
      </c>
      <c r="CP481" s="14">
        <f t="shared" ca="1" si="735"/>
        <v>0</v>
      </c>
      <c r="CQ481" s="14">
        <f t="shared" ca="1" si="735"/>
        <v>0</v>
      </c>
      <c r="CR481" s="14">
        <f t="shared" ca="1" si="735"/>
        <v>0</v>
      </c>
      <c r="CS481" s="14">
        <f t="shared" ca="1" si="735"/>
        <v>0</v>
      </c>
      <c r="CT481" s="14">
        <f t="shared" ca="1" si="735"/>
        <v>0</v>
      </c>
      <c r="CU481" s="14">
        <f t="shared" ca="1" si="735"/>
        <v>0</v>
      </c>
      <c r="CV481" s="14">
        <f t="shared" ca="1" si="735"/>
        <v>0</v>
      </c>
      <c r="CW481" s="14">
        <f t="shared" ca="1" si="735"/>
        <v>0</v>
      </c>
      <c r="CX481" s="14">
        <f t="shared" ca="1" si="735"/>
        <v>0</v>
      </c>
      <c r="CY481" s="14">
        <f t="shared" ca="1" si="735"/>
        <v>0</v>
      </c>
      <c r="CZ481" s="14">
        <f t="shared" ca="1" si="735"/>
        <v>0</v>
      </c>
      <c r="DA481" s="14">
        <f t="shared" ca="1" si="735"/>
        <v>0</v>
      </c>
      <c r="DB481" s="14">
        <f t="shared" ca="1" si="735"/>
        <v>0</v>
      </c>
      <c r="DC481" s="14">
        <f t="shared" ca="1" si="735"/>
        <v>0</v>
      </c>
      <c r="DD481" s="14">
        <f t="shared" ca="1" si="735"/>
        <v>0</v>
      </c>
      <c r="DE481" s="14">
        <f t="shared" ca="1" si="735"/>
        <v>0</v>
      </c>
      <c r="DF481" s="14">
        <f t="shared" ca="1" si="735"/>
        <v>0</v>
      </c>
      <c r="DG481" s="14">
        <f t="shared" ca="1" si="735"/>
        <v>0</v>
      </c>
      <c r="DH481" s="14">
        <f t="shared" ca="1" si="735"/>
        <v>0</v>
      </c>
      <c r="DI481" s="14">
        <f t="shared" ca="1" si="735"/>
        <v>0</v>
      </c>
      <c r="DJ481" s="14">
        <f t="shared" ca="1" si="735"/>
        <v>0</v>
      </c>
      <c r="DK481" s="14">
        <f t="shared" ca="1" si="735"/>
        <v>0</v>
      </c>
      <c r="DL481" s="14">
        <f t="shared" ca="1" si="735"/>
        <v>0</v>
      </c>
      <c r="DM481" s="14">
        <f t="shared" ca="1" si="735"/>
        <v>0</v>
      </c>
      <c r="DN481" s="14">
        <f t="shared" ca="1" si="735"/>
        <v>0</v>
      </c>
      <c r="DO481" s="14">
        <f t="shared" ca="1" si="735"/>
        <v>0</v>
      </c>
      <c r="DP481" s="14">
        <f t="shared" ca="1" si="735"/>
        <v>0</v>
      </c>
      <c r="DQ481" s="14">
        <f t="shared" ca="1" si="735"/>
        <v>0</v>
      </c>
      <c r="DR481" s="14">
        <f t="shared" ca="1" si="735"/>
        <v>0</v>
      </c>
      <c r="DS481" s="14">
        <f t="shared" ca="1" si="735"/>
        <v>0</v>
      </c>
      <c r="DT481" s="14">
        <f t="shared" ca="1" si="735"/>
        <v>0</v>
      </c>
      <c r="DU481" s="14">
        <f t="shared" ca="1" si="735"/>
        <v>0</v>
      </c>
      <c r="DV481" s="14">
        <f t="shared" ca="1" si="735"/>
        <v>0</v>
      </c>
      <c r="DW481" s="14">
        <f t="shared" ca="1" si="735"/>
        <v>0</v>
      </c>
      <c r="DX481" s="14">
        <f t="shared" ca="1" si="735"/>
        <v>0</v>
      </c>
      <c r="DY481" s="14">
        <f t="shared" ca="1" si="735"/>
        <v>0</v>
      </c>
    </row>
    <row r="482" spans="2:129" ht="11.7" customHeight="1" outlineLevel="1" x14ac:dyDescent="0.3">
      <c r="B482" s="149"/>
      <c r="C482" s="149"/>
      <c r="D482" s="3"/>
      <c r="E482" s="3"/>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c r="AT482" s="14"/>
      <c r="AU482" s="14"/>
      <c r="AV482" s="14"/>
      <c r="AW482" s="14"/>
      <c r="AX482" s="14"/>
      <c r="AY482" s="14"/>
      <c r="AZ482" s="14"/>
      <c r="BA482" s="14"/>
      <c r="BB482" s="14"/>
      <c r="BC482" s="14"/>
      <c r="BD482" s="14"/>
      <c r="BE482" s="14"/>
      <c r="BF482" s="14"/>
      <c r="BG482" s="14"/>
      <c r="BH482" s="14"/>
      <c r="BI482" s="14"/>
      <c r="BJ482" s="14"/>
      <c r="BK482" s="14"/>
      <c r="BL482" s="14"/>
      <c r="BM482" s="14"/>
      <c r="BN482" s="14"/>
      <c r="BO482" s="14"/>
      <c r="BP482" s="14"/>
      <c r="BQ482" s="14"/>
      <c r="BR482" s="14"/>
      <c r="BS482" s="14"/>
      <c r="BT482" s="14"/>
      <c r="BU482" s="14"/>
      <c r="BV482" s="14"/>
      <c r="BW482" s="14"/>
      <c r="BX482" s="14"/>
      <c r="BY482" s="14"/>
      <c r="BZ482" s="14"/>
      <c r="CA482" s="14"/>
      <c r="CB482" s="14"/>
      <c r="CC482" s="14"/>
      <c r="CD482" s="14"/>
      <c r="CE482" s="14"/>
      <c r="CF482" s="14"/>
      <c r="CG482" s="14"/>
      <c r="CH482" s="14"/>
      <c r="CI482" s="14"/>
      <c r="CJ482" s="14"/>
      <c r="CK482" s="14"/>
      <c r="CL482" s="14"/>
      <c r="CM482" s="14"/>
      <c r="CN482" s="14"/>
      <c r="CO482" s="14"/>
      <c r="CP482" s="14"/>
      <c r="CQ482" s="14"/>
      <c r="CR482" s="14"/>
      <c r="CS482" s="14"/>
      <c r="CT482" s="14"/>
      <c r="CU482" s="14"/>
      <c r="CV482" s="14"/>
      <c r="CW482" s="14"/>
      <c r="CX482" s="14"/>
      <c r="CY482" s="14"/>
      <c r="CZ482" s="14"/>
      <c r="DA482" s="14"/>
      <c r="DB482" s="14"/>
      <c r="DC482" s="14"/>
      <c r="DD482" s="14"/>
      <c r="DE482" s="14"/>
      <c r="DF482" s="14"/>
      <c r="DG482" s="14"/>
      <c r="DH482" s="14"/>
      <c r="DI482" s="14"/>
      <c r="DJ482" s="14"/>
      <c r="DK482" s="14"/>
      <c r="DL482" s="14"/>
      <c r="DM482" s="14"/>
      <c r="DN482" s="14"/>
      <c r="DO482" s="14"/>
      <c r="DP482" s="14"/>
      <c r="DQ482" s="14"/>
      <c r="DR482" s="14"/>
      <c r="DS482" s="14"/>
      <c r="DT482" s="14"/>
      <c r="DU482" s="14"/>
      <c r="DV482" s="14"/>
      <c r="DW482" s="14"/>
      <c r="DX482" s="14"/>
      <c r="DY482" s="14"/>
    </row>
    <row r="483" spans="2:129" ht="11.7" customHeight="1" x14ac:dyDescent="0.3">
      <c r="B483" s="3"/>
      <c r="C483" s="3"/>
      <c r="D483" s="3"/>
      <c r="E483" s="3"/>
    </row>
    <row r="484" spans="2:129" ht="11.7" customHeight="1" x14ac:dyDescent="0.3">
      <c r="B484" s="340" t="s">
        <v>655</v>
      </c>
      <c r="C484" s="340"/>
      <c r="D484" s="340"/>
      <c r="E484" s="340"/>
      <c r="F484" s="340"/>
      <c r="G484" s="340"/>
      <c r="H484" s="340"/>
      <c r="I484" s="340"/>
      <c r="J484" s="340"/>
      <c r="K484" s="340"/>
      <c r="L484" s="340"/>
      <c r="M484" s="340"/>
      <c r="N484" s="340"/>
      <c r="O484" s="340"/>
      <c r="P484" s="340"/>
      <c r="Q484" s="340"/>
      <c r="R484" s="340"/>
      <c r="S484" s="340"/>
      <c r="T484" s="340"/>
      <c r="U484" s="340"/>
      <c r="V484" s="340"/>
      <c r="W484" s="340"/>
      <c r="X484" s="340"/>
      <c r="Y484" s="340"/>
      <c r="Z484" s="340"/>
      <c r="AA484" s="340"/>
      <c r="AB484" s="340"/>
      <c r="AC484" s="340"/>
      <c r="AD484" s="340"/>
      <c r="AE484" s="340"/>
      <c r="AF484" s="340"/>
      <c r="AG484" s="340"/>
      <c r="AH484" s="340"/>
      <c r="AI484" s="340"/>
      <c r="AJ484" s="340"/>
      <c r="AK484" s="340"/>
      <c r="AL484" s="340"/>
      <c r="AM484" s="340"/>
      <c r="AN484" s="340"/>
      <c r="AO484" s="340"/>
      <c r="AP484" s="340"/>
      <c r="AQ484" s="340"/>
      <c r="AR484" s="340"/>
      <c r="AS484" s="340"/>
      <c r="AT484" s="340"/>
      <c r="AU484" s="340"/>
      <c r="AV484" s="340"/>
      <c r="AW484" s="340"/>
      <c r="AX484" s="340"/>
      <c r="AY484" s="340"/>
      <c r="AZ484" s="340"/>
      <c r="BA484" s="340"/>
      <c r="BB484" s="340"/>
      <c r="BC484" s="340"/>
      <c r="BD484" s="340"/>
      <c r="BE484" s="340"/>
      <c r="BF484" s="340"/>
      <c r="BG484" s="340"/>
      <c r="BH484" s="340"/>
      <c r="BI484" s="340"/>
      <c r="BJ484" s="340"/>
      <c r="BK484" s="340"/>
      <c r="BL484" s="340"/>
      <c r="BM484" s="340"/>
      <c r="BN484" s="340"/>
      <c r="BO484" s="340"/>
      <c r="BP484" s="340"/>
      <c r="BQ484" s="340"/>
      <c r="BR484" s="340"/>
      <c r="BS484" s="340"/>
      <c r="BT484" s="340"/>
      <c r="BU484" s="340"/>
      <c r="BV484" s="340"/>
      <c r="BW484" s="340"/>
      <c r="BX484" s="340"/>
      <c r="BY484" s="340"/>
      <c r="BZ484" s="340"/>
      <c r="CA484" s="340"/>
      <c r="CB484" s="340"/>
      <c r="CC484" s="340"/>
      <c r="CD484" s="340"/>
      <c r="CE484" s="340"/>
      <c r="CF484" s="340"/>
      <c r="CG484" s="340"/>
      <c r="CH484" s="340"/>
      <c r="CI484" s="340"/>
      <c r="CJ484" s="340"/>
      <c r="CK484" s="340"/>
      <c r="CL484" s="340"/>
      <c r="CM484" s="340"/>
      <c r="CN484" s="340"/>
      <c r="CO484" s="340"/>
      <c r="CP484" s="340"/>
      <c r="CQ484" s="340"/>
      <c r="CR484" s="340"/>
      <c r="CS484" s="340"/>
      <c r="CT484" s="340"/>
      <c r="CU484" s="340"/>
      <c r="CV484" s="340"/>
      <c r="CW484" s="340"/>
      <c r="CX484" s="340"/>
      <c r="CY484" s="340"/>
      <c r="CZ484" s="340"/>
      <c r="DA484" s="340"/>
      <c r="DB484" s="340"/>
      <c r="DC484" s="340"/>
      <c r="DD484" s="340"/>
      <c r="DE484" s="340"/>
      <c r="DF484" s="340"/>
      <c r="DG484" s="340"/>
      <c r="DH484" s="340"/>
      <c r="DI484" s="340"/>
      <c r="DJ484" s="340"/>
      <c r="DK484" s="340"/>
      <c r="DL484" s="340"/>
      <c r="DM484" s="340"/>
      <c r="DN484" s="340"/>
      <c r="DO484" s="340"/>
      <c r="DP484" s="340"/>
      <c r="DQ484" s="340"/>
      <c r="DR484" s="340"/>
      <c r="DS484" s="340"/>
      <c r="DT484" s="340"/>
      <c r="DU484" s="340"/>
      <c r="DV484" s="340"/>
      <c r="DW484" s="340"/>
      <c r="DX484" s="340"/>
      <c r="DY484" s="340"/>
    </row>
    <row r="485" spans="2:129" ht="11.7" customHeight="1" outlineLevel="1" x14ac:dyDescent="0.3">
      <c r="B485" s="270"/>
      <c r="C485" s="270"/>
      <c r="D485" s="3"/>
      <c r="E485" s="3"/>
    </row>
    <row r="486" spans="2:129" ht="11.7" customHeight="1" outlineLevel="1" x14ac:dyDescent="0.3">
      <c r="B486" s="195" t="s">
        <v>653</v>
      </c>
      <c r="C486" s="195"/>
      <c r="D486" s="3"/>
      <c r="E486" s="3"/>
      <c r="CV486" s="1100"/>
    </row>
    <row r="487" spans="2:129" ht="11.7" customHeight="1" outlineLevel="1" x14ac:dyDescent="0.3">
      <c r="B487" s="152" t="s">
        <v>507</v>
      </c>
      <c r="C487" s="152"/>
      <c r="D487" s="63"/>
      <c r="E487" s="63"/>
      <c r="F487" s="885"/>
      <c r="G487" s="886"/>
      <c r="H487" s="886"/>
      <c r="I487" s="1099">
        <v>0</v>
      </c>
      <c r="J487" s="168">
        <f t="shared" ref="J487:BS487" si="736">+I492</f>
        <v>179951.23080262783</v>
      </c>
      <c r="K487" s="168">
        <f t="shared" si="736"/>
        <v>180968.70122422843</v>
      </c>
      <c r="L487" s="168">
        <f t="shared" si="736"/>
        <v>181991.92457152013</v>
      </c>
      <c r="M487" s="168">
        <f t="shared" si="736"/>
        <v>183020.9333723812</v>
      </c>
      <c r="N487" s="168">
        <f t="shared" si="736"/>
        <v>184055.76033860724</v>
      </c>
      <c r="O487" s="168">
        <f t="shared" si="736"/>
        <v>185096.43836695116</v>
      </c>
      <c r="P487" s="168">
        <f t="shared" si="736"/>
        <v>186143.00054016881</v>
      </c>
      <c r="Q487" s="168">
        <f t="shared" si="736"/>
        <v>187195.48012807078</v>
      </c>
      <c r="R487" s="168">
        <f t="shared" si="736"/>
        <v>188253.91058858001</v>
      </c>
      <c r="S487" s="168">
        <f t="shared" si="736"/>
        <v>189318.32556879544</v>
      </c>
      <c r="T487" s="168">
        <f t="shared" si="736"/>
        <v>190388.75890606153</v>
      </c>
      <c r="U487" s="168">
        <f t="shared" si="736"/>
        <v>191465.24462904406</v>
      </c>
      <c r="V487" s="168">
        <f t="shared" si="736"/>
        <v>192547.81695881177</v>
      </c>
      <c r="W487" s="168">
        <f t="shared" si="736"/>
        <v>193636.5103099244</v>
      </c>
      <c r="X487" s="168">
        <f t="shared" si="736"/>
        <v>234851.49952245335</v>
      </c>
      <c r="Y487" s="168">
        <f t="shared" si="736"/>
        <v>236179.38404520345</v>
      </c>
      <c r="Z487" s="168">
        <f t="shared" si="736"/>
        <v>237514.77662010284</v>
      </c>
      <c r="AA487" s="168">
        <f t="shared" si="736"/>
        <v>238857.71969877</v>
      </c>
      <c r="AB487" s="168">
        <f t="shared" si="736"/>
        <v>240208.25597285095</v>
      </c>
      <c r="AC487" s="168">
        <f t="shared" si="736"/>
        <v>241566.4283753765</v>
      </c>
      <c r="AD487" s="168">
        <f t="shared" si="736"/>
        <v>242932.28008212711</v>
      </c>
      <c r="AE487" s="168">
        <f t="shared" si="736"/>
        <v>244305.85451300532</v>
      </c>
      <c r="AF487" s="168">
        <f t="shared" si="736"/>
        <v>245687.19533341614</v>
      </c>
      <c r="AG487" s="168">
        <f t="shared" si="736"/>
        <v>247076.34645565512</v>
      </c>
      <c r="AH487" s="168">
        <f t="shared" si="736"/>
        <v>248473.35204030431</v>
      </c>
      <c r="AI487" s="168">
        <f t="shared" si="736"/>
        <v>249878.25649763612</v>
      </c>
      <c r="AJ487" s="168">
        <f t="shared" si="736"/>
        <v>251291.10448902511</v>
      </c>
      <c r="AK487" s="168">
        <f t="shared" si="736"/>
        <v>252711.94092836769</v>
      </c>
      <c r="AL487" s="168">
        <f t="shared" si="736"/>
        <v>254140.81098351005</v>
      </c>
      <c r="AM487" s="168">
        <f t="shared" si="736"/>
        <v>255577.7600776839</v>
      </c>
      <c r="AN487" s="168">
        <f t="shared" si="736"/>
        <v>257022.83389095051</v>
      </c>
      <c r="AO487" s="168">
        <f t="shared" si="736"/>
        <v>258476.07836165285</v>
      </c>
      <c r="AP487" s="168">
        <f t="shared" si="736"/>
        <v>259937.53968787601</v>
      </c>
      <c r="AQ487" s="168">
        <f t="shared" si="736"/>
        <v>244485.89983245041</v>
      </c>
      <c r="AR487" s="168">
        <f t="shared" si="736"/>
        <v>245868.25865527368</v>
      </c>
      <c r="AS487" s="168">
        <f t="shared" si="736"/>
        <v>247258.43353585876</v>
      </c>
      <c r="AT487" s="168">
        <f t="shared" si="736"/>
        <v>248656.46866733258</v>
      </c>
      <c r="AU487" s="168">
        <f t="shared" si="736"/>
        <v>250062.40849269647</v>
      </c>
      <c r="AV487" s="168">
        <f t="shared" si="736"/>
        <v>251476.2977062389</v>
      </c>
      <c r="AW487" s="168">
        <f t="shared" si="736"/>
        <v>252898.18125495638</v>
      </c>
      <c r="AX487" s="168">
        <f t="shared" si="736"/>
        <v>254328.10433998227</v>
      </c>
      <c r="AY487" s="168">
        <f t="shared" si="736"/>
        <v>255766.11241802369</v>
      </c>
      <c r="AZ487" s="168">
        <f t="shared" si="736"/>
        <v>257212.25120280666</v>
      </c>
      <c r="BA487" s="168">
        <f t="shared" si="736"/>
        <v>258666.56666652914</v>
      </c>
      <c r="BB487" s="168">
        <f t="shared" si="736"/>
        <v>260129.10504132265</v>
      </c>
      <c r="BC487" s="168">
        <f t="shared" si="736"/>
        <v>261599.91282072192</v>
      </c>
      <c r="BD487" s="168">
        <f t="shared" si="736"/>
        <v>263079.03676114284</v>
      </c>
      <c r="BE487" s="168">
        <f t="shared" si="736"/>
        <v>245728.6539921847</v>
      </c>
      <c r="BF487" s="168">
        <f t="shared" si="736"/>
        <v>247118.03952770791</v>
      </c>
      <c r="BG487" s="168">
        <f t="shared" si="736"/>
        <v>248515.28085104813</v>
      </c>
      <c r="BH487" s="168">
        <f t="shared" si="736"/>
        <v>249920.4223799718</v>
      </c>
      <c r="BI487" s="168">
        <f t="shared" si="736"/>
        <v>251333.5087833899</v>
      </c>
      <c r="BJ487" s="168">
        <f t="shared" si="736"/>
        <v>252754.58498277789</v>
      </c>
      <c r="BK487" s="168">
        <f t="shared" si="736"/>
        <v>254183.69615360379</v>
      </c>
      <c r="BL487" s="168">
        <f t="shared" si="736"/>
        <v>255620.88772676431</v>
      </c>
      <c r="BM487" s="168">
        <f t="shared" si="736"/>
        <v>257066.20539002903</v>
      </c>
      <c r="BN487" s="168">
        <f t="shared" si="736"/>
        <v>258519.69508949283</v>
      </c>
      <c r="BO487" s="168">
        <f t="shared" si="736"/>
        <v>259981.40303103649</v>
      </c>
      <c r="BP487" s="168">
        <f t="shared" si="736"/>
        <v>261451.37568179559</v>
      </c>
      <c r="BQ487" s="168">
        <f t="shared" si="736"/>
        <v>262929.65977163758</v>
      </c>
      <c r="BR487" s="168">
        <f t="shared" si="736"/>
        <v>264416.30229464744</v>
      </c>
      <c r="BS487" s="168">
        <f t="shared" si="736"/>
        <v>265911.3505106215</v>
      </c>
      <c r="BT487" s="168">
        <f>+BS492</f>
        <v>267414.85194656986</v>
      </c>
      <c r="BU487" s="168">
        <f t="shared" ref="BU487:DY487" si="737">+BT492</f>
        <v>268926.85439822724</v>
      </c>
      <c r="BV487" s="168">
        <f t="shared" si="737"/>
        <v>270447.40593157237</v>
      </c>
      <c r="BW487" s="168">
        <f t="shared" si="737"/>
        <v>271976.5548843561</v>
      </c>
      <c r="BX487" s="168">
        <f t="shared" si="737"/>
        <v>273514.34986763785</v>
      </c>
      <c r="BY487" s="168">
        <f t="shared" si="737"/>
        <v>275060.83976733108</v>
      </c>
      <c r="BZ487" s="168">
        <f t="shared" si="737"/>
        <v>276616.07374575734</v>
      </c>
      <c r="CA487" s="168">
        <f t="shared" si="737"/>
        <v>278180.10124320909</v>
      </c>
      <c r="CB487" s="168">
        <f t="shared" si="737"/>
        <v>279752.97197952133</v>
      </c>
      <c r="CC487" s="168">
        <f t="shared" si="737"/>
        <v>281334.73595565226</v>
      </c>
      <c r="CD487" s="168">
        <f t="shared" si="737"/>
        <v>282925.44345527276</v>
      </c>
      <c r="CE487" s="168">
        <f t="shared" si="737"/>
        <v>284525.14504636498</v>
      </c>
      <c r="CF487" s="168">
        <f t="shared" si="737"/>
        <v>286133.8915828297</v>
      </c>
      <c r="CG487" s="168">
        <f t="shared" ca="1" si="737"/>
        <v>0</v>
      </c>
      <c r="CH487" s="168">
        <f t="shared" ca="1" si="737"/>
        <v>0</v>
      </c>
      <c r="CI487" s="168">
        <f t="shared" ca="1" si="737"/>
        <v>0</v>
      </c>
      <c r="CJ487" s="168">
        <f t="shared" ca="1" si="737"/>
        <v>0</v>
      </c>
      <c r="CK487" s="168">
        <f t="shared" ca="1" si="737"/>
        <v>0</v>
      </c>
      <c r="CL487" s="168">
        <f t="shared" ca="1" si="737"/>
        <v>0</v>
      </c>
      <c r="CM487" s="168">
        <f t="shared" ca="1" si="737"/>
        <v>0</v>
      </c>
      <c r="CN487" s="168">
        <f t="shared" ca="1" si="737"/>
        <v>0</v>
      </c>
      <c r="CO487" s="168">
        <f t="shared" ca="1" si="737"/>
        <v>0</v>
      </c>
      <c r="CP487" s="168">
        <f t="shared" ca="1" si="737"/>
        <v>0</v>
      </c>
      <c r="CQ487" s="168">
        <f t="shared" ca="1" si="737"/>
        <v>0</v>
      </c>
      <c r="CR487" s="168">
        <f t="shared" ca="1" si="737"/>
        <v>0</v>
      </c>
      <c r="CS487" s="168">
        <f t="shared" ca="1" si="737"/>
        <v>0</v>
      </c>
      <c r="CT487" s="168">
        <f t="shared" ca="1" si="737"/>
        <v>0</v>
      </c>
      <c r="CU487" s="168">
        <f t="shared" ca="1" si="737"/>
        <v>0</v>
      </c>
      <c r="CV487" s="168">
        <f t="shared" ca="1" si="737"/>
        <v>0</v>
      </c>
      <c r="CW487" s="168">
        <f t="shared" ca="1" si="737"/>
        <v>0</v>
      </c>
      <c r="CX487" s="168">
        <f t="shared" ca="1" si="737"/>
        <v>0</v>
      </c>
      <c r="CY487" s="168">
        <f t="shared" ca="1" si="737"/>
        <v>0</v>
      </c>
      <c r="CZ487" s="168">
        <f t="shared" ca="1" si="737"/>
        <v>0</v>
      </c>
      <c r="DA487" s="168">
        <f t="shared" ca="1" si="737"/>
        <v>0</v>
      </c>
      <c r="DB487" s="168">
        <f t="shared" ca="1" si="737"/>
        <v>0</v>
      </c>
      <c r="DC487" s="168">
        <f t="shared" ca="1" si="737"/>
        <v>0</v>
      </c>
      <c r="DD487" s="168">
        <f t="shared" ca="1" si="737"/>
        <v>0</v>
      </c>
      <c r="DE487" s="168">
        <f t="shared" ca="1" si="737"/>
        <v>0</v>
      </c>
      <c r="DF487" s="168">
        <f t="shared" ca="1" si="737"/>
        <v>0</v>
      </c>
      <c r="DG487" s="168">
        <f t="shared" ca="1" si="737"/>
        <v>0</v>
      </c>
      <c r="DH487" s="168">
        <f t="shared" ca="1" si="737"/>
        <v>0</v>
      </c>
      <c r="DI487" s="168">
        <f t="shared" ca="1" si="737"/>
        <v>0</v>
      </c>
      <c r="DJ487" s="168">
        <f t="shared" ca="1" si="737"/>
        <v>0</v>
      </c>
      <c r="DK487" s="168">
        <f t="shared" ca="1" si="737"/>
        <v>0</v>
      </c>
      <c r="DL487" s="168">
        <f t="shared" ca="1" si="737"/>
        <v>0</v>
      </c>
      <c r="DM487" s="168">
        <f t="shared" ca="1" si="737"/>
        <v>0</v>
      </c>
      <c r="DN487" s="168">
        <f t="shared" ca="1" si="737"/>
        <v>0</v>
      </c>
      <c r="DO487" s="168">
        <f t="shared" ca="1" si="737"/>
        <v>0</v>
      </c>
      <c r="DP487" s="168">
        <f t="shared" ca="1" si="737"/>
        <v>0</v>
      </c>
      <c r="DQ487" s="168">
        <f t="shared" ca="1" si="737"/>
        <v>0</v>
      </c>
      <c r="DR487" s="168">
        <f t="shared" ca="1" si="737"/>
        <v>0</v>
      </c>
      <c r="DS487" s="168">
        <f t="shared" ca="1" si="737"/>
        <v>0</v>
      </c>
      <c r="DT487" s="168">
        <f t="shared" ca="1" si="737"/>
        <v>0</v>
      </c>
      <c r="DU487" s="168">
        <f t="shared" ca="1" si="737"/>
        <v>0</v>
      </c>
      <c r="DV487" s="168">
        <f t="shared" ca="1" si="737"/>
        <v>0</v>
      </c>
      <c r="DW487" s="168">
        <f t="shared" ca="1" si="737"/>
        <v>0</v>
      </c>
      <c r="DX487" s="168">
        <f t="shared" ca="1" si="737"/>
        <v>0</v>
      </c>
      <c r="DY487" s="168">
        <f t="shared" ca="1" si="737"/>
        <v>0</v>
      </c>
    </row>
    <row r="488" spans="2:129" ht="11.7" customHeight="1" outlineLevel="1" x14ac:dyDescent="0.3">
      <c r="B488" s="888" t="s">
        <v>508</v>
      </c>
      <c r="C488" s="113"/>
      <c r="D488" s="3"/>
      <c r="E488" s="3"/>
      <c r="H488" s="290">
        <f>+SUM(I488:DY488)</f>
        <v>220071.37103355466</v>
      </c>
      <c r="I488" s="14">
        <f>-I$460*(I$460&lt;0)</f>
        <v>179951.23080262783</v>
      </c>
      <c r="J488" s="14">
        <f t="shared" ref="J488:BU488" si="738">-J$460*(J$460&lt;0)</f>
        <v>0</v>
      </c>
      <c r="K488" s="14">
        <f t="shared" si="738"/>
        <v>0</v>
      </c>
      <c r="L488" s="14">
        <f t="shared" si="738"/>
        <v>0</v>
      </c>
      <c r="M488" s="14">
        <f t="shared" si="738"/>
        <v>0</v>
      </c>
      <c r="N488" s="14">
        <f t="shared" si="738"/>
        <v>0</v>
      </c>
      <c r="O488" s="14">
        <f t="shared" si="738"/>
        <v>0</v>
      </c>
      <c r="P488" s="14">
        <f t="shared" si="738"/>
        <v>0</v>
      </c>
      <c r="Q488" s="14">
        <f t="shared" si="738"/>
        <v>0</v>
      </c>
      <c r="R488" s="14">
        <f t="shared" si="738"/>
        <v>0</v>
      </c>
      <c r="S488" s="14">
        <f t="shared" si="738"/>
        <v>0</v>
      </c>
      <c r="T488" s="14">
        <f t="shared" si="738"/>
        <v>0</v>
      </c>
      <c r="U488" s="14">
        <f t="shared" si="738"/>
        <v>0</v>
      </c>
      <c r="V488" s="14">
        <f t="shared" si="738"/>
        <v>0</v>
      </c>
      <c r="W488" s="14">
        <f t="shared" si="738"/>
        <v>40120.140230926831</v>
      </c>
      <c r="X488" s="14">
        <f t="shared" si="738"/>
        <v>0</v>
      </c>
      <c r="Y488" s="14">
        <f t="shared" si="738"/>
        <v>0</v>
      </c>
      <c r="Z488" s="14">
        <f t="shared" si="738"/>
        <v>0</v>
      </c>
      <c r="AA488" s="14">
        <f t="shared" si="738"/>
        <v>0</v>
      </c>
      <c r="AB488" s="14">
        <f t="shared" si="738"/>
        <v>0</v>
      </c>
      <c r="AC488" s="14">
        <f t="shared" si="738"/>
        <v>0</v>
      </c>
      <c r="AD488" s="14">
        <f t="shared" si="738"/>
        <v>0</v>
      </c>
      <c r="AE488" s="14">
        <f t="shared" si="738"/>
        <v>0</v>
      </c>
      <c r="AF488" s="14">
        <f t="shared" si="738"/>
        <v>0</v>
      </c>
      <c r="AG488" s="14">
        <f t="shared" si="738"/>
        <v>0</v>
      </c>
      <c r="AH488" s="14">
        <f t="shared" si="738"/>
        <v>0</v>
      </c>
      <c r="AI488" s="14">
        <f t="shared" si="738"/>
        <v>0</v>
      </c>
      <c r="AJ488" s="14">
        <f t="shared" si="738"/>
        <v>0</v>
      </c>
      <c r="AK488" s="14">
        <f t="shared" si="738"/>
        <v>0</v>
      </c>
      <c r="AL488" s="14">
        <f t="shared" si="738"/>
        <v>0</v>
      </c>
      <c r="AM488" s="14">
        <f t="shared" si="738"/>
        <v>0</v>
      </c>
      <c r="AN488" s="14">
        <f t="shared" si="738"/>
        <v>0</v>
      </c>
      <c r="AO488" s="14">
        <f t="shared" si="738"/>
        <v>0</v>
      </c>
      <c r="AP488" s="14">
        <f t="shared" si="738"/>
        <v>0</v>
      </c>
      <c r="AQ488" s="14">
        <f t="shared" si="738"/>
        <v>0</v>
      </c>
      <c r="AR488" s="14">
        <f t="shared" si="738"/>
        <v>0</v>
      </c>
      <c r="AS488" s="14">
        <f t="shared" si="738"/>
        <v>0</v>
      </c>
      <c r="AT488" s="14">
        <f t="shared" si="738"/>
        <v>0</v>
      </c>
      <c r="AU488" s="14">
        <f t="shared" si="738"/>
        <v>0</v>
      </c>
      <c r="AV488" s="14">
        <f t="shared" si="738"/>
        <v>0</v>
      </c>
      <c r="AW488" s="14">
        <f t="shared" si="738"/>
        <v>0</v>
      </c>
      <c r="AX488" s="14">
        <f t="shared" si="738"/>
        <v>0</v>
      </c>
      <c r="AY488" s="14">
        <f t="shared" si="738"/>
        <v>0</v>
      </c>
      <c r="AZ488" s="14">
        <f t="shared" si="738"/>
        <v>0</v>
      </c>
      <c r="BA488" s="14">
        <f t="shared" si="738"/>
        <v>0</v>
      </c>
      <c r="BB488" s="14">
        <f t="shared" si="738"/>
        <v>0</v>
      </c>
      <c r="BC488" s="14">
        <f t="shared" si="738"/>
        <v>0</v>
      </c>
      <c r="BD488" s="14">
        <f t="shared" si="738"/>
        <v>0</v>
      </c>
      <c r="BE488" s="14">
        <f t="shared" si="738"/>
        <v>0</v>
      </c>
      <c r="BF488" s="14">
        <f t="shared" si="738"/>
        <v>0</v>
      </c>
      <c r="BG488" s="14">
        <f t="shared" si="738"/>
        <v>0</v>
      </c>
      <c r="BH488" s="14">
        <f t="shared" si="738"/>
        <v>0</v>
      </c>
      <c r="BI488" s="14">
        <f t="shared" si="738"/>
        <v>0</v>
      </c>
      <c r="BJ488" s="14">
        <f t="shared" si="738"/>
        <v>0</v>
      </c>
      <c r="BK488" s="14">
        <f t="shared" si="738"/>
        <v>0</v>
      </c>
      <c r="BL488" s="14">
        <f t="shared" si="738"/>
        <v>0</v>
      </c>
      <c r="BM488" s="14">
        <f t="shared" si="738"/>
        <v>0</v>
      </c>
      <c r="BN488" s="14">
        <f t="shared" si="738"/>
        <v>0</v>
      </c>
      <c r="BO488" s="14">
        <f t="shared" si="738"/>
        <v>0</v>
      </c>
      <c r="BP488" s="14">
        <f t="shared" si="738"/>
        <v>0</v>
      </c>
      <c r="BQ488" s="14">
        <f t="shared" si="738"/>
        <v>0</v>
      </c>
      <c r="BR488" s="14">
        <f t="shared" si="738"/>
        <v>0</v>
      </c>
      <c r="BS488" s="14">
        <f t="shared" si="738"/>
        <v>0</v>
      </c>
      <c r="BT488" s="14">
        <f t="shared" si="738"/>
        <v>0</v>
      </c>
      <c r="BU488" s="14">
        <f t="shared" si="738"/>
        <v>0</v>
      </c>
      <c r="BV488" s="14">
        <f t="shared" ref="BV488:DY488" si="739">-BV$460*(BV$460&lt;0)</f>
        <v>0</v>
      </c>
      <c r="BW488" s="14">
        <f t="shared" si="739"/>
        <v>0</v>
      </c>
      <c r="BX488" s="14">
        <f t="shared" si="739"/>
        <v>0</v>
      </c>
      <c r="BY488" s="14">
        <f t="shared" si="739"/>
        <v>0</v>
      </c>
      <c r="BZ488" s="14">
        <f t="shared" si="739"/>
        <v>0</v>
      </c>
      <c r="CA488" s="14">
        <f t="shared" si="739"/>
        <v>0</v>
      </c>
      <c r="CB488" s="14">
        <f t="shared" si="739"/>
        <v>0</v>
      </c>
      <c r="CC488" s="14">
        <f t="shared" si="739"/>
        <v>0</v>
      </c>
      <c r="CD488" s="14">
        <f t="shared" si="739"/>
        <v>0</v>
      </c>
      <c r="CE488" s="14">
        <f t="shared" si="739"/>
        <v>0</v>
      </c>
      <c r="CF488" s="14">
        <f t="shared" si="739"/>
        <v>0</v>
      </c>
      <c r="CG488" s="14">
        <f t="shared" si="739"/>
        <v>0</v>
      </c>
      <c r="CH488" s="14">
        <f t="shared" si="739"/>
        <v>0</v>
      </c>
      <c r="CI488" s="14">
        <f t="shared" si="739"/>
        <v>0</v>
      </c>
      <c r="CJ488" s="14">
        <f t="shared" si="739"/>
        <v>0</v>
      </c>
      <c r="CK488" s="14">
        <f t="shared" si="739"/>
        <v>0</v>
      </c>
      <c r="CL488" s="14">
        <f t="shared" si="739"/>
        <v>0</v>
      </c>
      <c r="CM488" s="14">
        <f t="shared" si="739"/>
        <v>0</v>
      </c>
      <c r="CN488" s="14">
        <f t="shared" si="739"/>
        <v>0</v>
      </c>
      <c r="CO488" s="14">
        <f t="shared" si="739"/>
        <v>0</v>
      </c>
      <c r="CP488" s="14">
        <f t="shared" si="739"/>
        <v>0</v>
      </c>
      <c r="CQ488" s="14">
        <f t="shared" si="739"/>
        <v>0</v>
      </c>
      <c r="CR488" s="14">
        <f t="shared" si="739"/>
        <v>0</v>
      </c>
      <c r="CS488" s="14">
        <f t="shared" si="739"/>
        <v>0</v>
      </c>
      <c r="CT488" s="14">
        <f t="shared" si="739"/>
        <v>0</v>
      </c>
      <c r="CU488" s="14">
        <f t="shared" si="739"/>
        <v>0</v>
      </c>
      <c r="CV488" s="14">
        <f t="shared" si="739"/>
        <v>0</v>
      </c>
      <c r="CW488" s="14">
        <f t="shared" si="739"/>
        <v>0</v>
      </c>
      <c r="CX488" s="14">
        <f t="shared" si="739"/>
        <v>0</v>
      </c>
      <c r="CY488" s="14">
        <f t="shared" si="739"/>
        <v>0</v>
      </c>
      <c r="CZ488" s="14">
        <f t="shared" si="739"/>
        <v>0</v>
      </c>
      <c r="DA488" s="14">
        <f t="shared" si="739"/>
        <v>0</v>
      </c>
      <c r="DB488" s="14">
        <f t="shared" si="739"/>
        <v>0</v>
      </c>
      <c r="DC488" s="14">
        <f t="shared" si="739"/>
        <v>0</v>
      </c>
      <c r="DD488" s="14">
        <f t="shared" si="739"/>
        <v>0</v>
      </c>
      <c r="DE488" s="14">
        <f t="shared" si="739"/>
        <v>0</v>
      </c>
      <c r="DF488" s="14">
        <f t="shared" si="739"/>
        <v>0</v>
      </c>
      <c r="DG488" s="14">
        <f t="shared" si="739"/>
        <v>0</v>
      </c>
      <c r="DH488" s="14">
        <f t="shared" si="739"/>
        <v>0</v>
      </c>
      <c r="DI488" s="14">
        <f t="shared" si="739"/>
        <v>0</v>
      </c>
      <c r="DJ488" s="14">
        <f t="shared" si="739"/>
        <v>0</v>
      </c>
      <c r="DK488" s="14">
        <f t="shared" si="739"/>
        <v>0</v>
      </c>
      <c r="DL488" s="14">
        <f t="shared" si="739"/>
        <v>0</v>
      </c>
      <c r="DM488" s="14">
        <f t="shared" si="739"/>
        <v>0</v>
      </c>
      <c r="DN488" s="14">
        <f t="shared" si="739"/>
        <v>0</v>
      </c>
      <c r="DO488" s="14">
        <f t="shared" si="739"/>
        <v>0</v>
      </c>
      <c r="DP488" s="14">
        <f t="shared" si="739"/>
        <v>0</v>
      </c>
      <c r="DQ488" s="14">
        <f t="shared" si="739"/>
        <v>0</v>
      </c>
      <c r="DR488" s="14">
        <f t="shared" si="739"/>
        <v>0</v>
      </c>
      <c r="DS488" s="14">
        <f t="shared" si="739"/>
        <v>0</v>
      </c>
      <c r="DT488" s="14">
        <f t="shared" si="739"/>
        <v>0</v>
      </c>
      <c r="DU488" s="14">
        <f t="shared" si="739"/>
        <v>0</v>
      </c>
      <c r="DV488" s="14">
        <f t="shared" si="739"/>
        <v>0</v>
      </c>
      <c r="DW488" s="14">
        <f t="shared" si="739"/>
        <v>0</v>
      </c>
      <c r="DX488" s="14">
        <f t="shared" si="739"/>
        <v>0</v>
      </c>
      <c r="DY488" s="14">
        <f t="shared" si="739"/>
        <v>0</v>
      </c>
    </row>
    <row r="489" spans="2:129" ht="11.7" customHeight="1" outlineLevel="1" x14ac:dyDescent="0.3">
      <c r="B489" s="113" t="s">
        <v>509</v>
      </c>
      <c r="C489" s="113"/>
      <c r="D489" s="883">
        <v>7.0000000000000007E-2</v>
      </c>
      <c r="E489" s="884">
        <f>+(1+D489)^(1/12)-1</f>
        <v>5.6541453874052738E-3</v>
      </c>
      <c r="H489" s="290">
        <f ca="1">+SUM(I489:DY489)</f>
        <v>103439.59756019783</v>
      </c>
      <c r="I489" s="14">
        <f>+I487*$E$489</f>
        <v>0</v>
      </c>
      <c r="J489" s="14">
        <f t="shared" ref="J489:BU489" si="740">+J487*$E$489</f>
        <v>1017.47042160058</v>
      </c>
      <c r="K489" s="14">
        <f t="shared" si="740"/>
        <v>1023.2233472916943</v>
      </c>
      <c r="L489" s="14">
        <f t="shared" si="740"/>
        <v>1029.0088008610689</v>
      </c>
      <c r="M489" s="14">
        <f t="shared" si="740"/>
        <v>1034.826966226057</v>
      </c>
      <c r="N489" s="14">
        <f t="shared" si="740"/>
        <v>1040.6780283439066</v>
      </c>
      <c r="O489" s="14">
        <f t="shared" si="740"/>
        <v>1046.5621732176414</v>
      </c>
      <c r="P489" s="14">
        <f t="shared" si="740"/>
        <v>1052.4795879019728</v>
      </c>
      <c r="Q489" s="14">
        <f t="shared" si="740"/>
        <v>1058.430460509247</v>
      </c>
      <c r="R489" s="14">
        <f t="shared" si="740"/>
        <v>1064.4149802154245</v>
      </c>
      <c r="S489" s="14">
        <f t="shared" si="740"/>
        <v>1070.4333372660947</v>
      </c>
      <c r="T489" s="14">
        <f t="shared" si="740"/>
        <v>1076.4857229825225</v>
      </c>
      <c r="U489" s="14">
        <f t="shared" si="740"/>
        <v>1082.5723297677318</v>
      </c>
      <c r="V489" s="14">
        <f t="shared" si="740"/>
        <v>1088.6933511126206</v>
      </c>
      <c r="W489" s="14">
        <f t="shared" si="740"/>
        <v>1094.8489816021129</v>
      </c>
      <c r="X489" s="14">
        <f t="shared" si="740"/>
        <v>1327.8845227500915</v>
      </c>
      <c r="Y489" s="14">
        <f t="shared" si="740"/>
        <v>1335.3925748994059</v>
      </c>
      <c r="Z489" s="14">
        <f t="shared" si="740"/>
        <v>1342.9430786671485</v>
      </c>
      <c r="AA489" s="14">
        <f t="shared" si="740"/>
        <v>1350.5362740809421</v>
      </c>
      <c r="AB489" s="14">
        <f t="shared" si="740"/>
        <v>1358.1724025255605</v>
      </c>
      <c r="AC489" s="14">
        <f t="shared" si="740"/>
        <v>1365.8517067506016</v>
      </c>
      <c r="AD489" s="14">
        <f t="shared" si="740"/>
        <v>1373.574430878205</v>
      </c>
      <c r="AE489" s="14">
        <f t="shared" si="740"/>
        <v>1381.340820410813</v>
      </c>
      <c r="AF489" s="14">
        <f t="shared" si="740"/>
        <v>1389.1511222389734</v>
      </c>
      <c r="AG489" s="14">
        <f t="shared" si="740"/>
        <v>1397.0055846491898</v>
      </c>
      <c r="AH489" s="14">
        <f t="shared" si="740"/>
        <v>1404.9044573318133</v>
      </c>
      <c r="AI489" s="14">
        <f t="shared" si="740"/>
        <v>1412.8479913889812</v>
      </c>
      <c r="AJ489" s="14">
        <f t="shared" si="740"/>
        <v>1420.8364393425979</v>
      </c>
      <c r="AK489" s="14">
        <f t="shared" si="740"/>
        <v>1428.8700551423642</v>
      </c>
      <c r="AL489" s="14">
        <f t="shared" si="740"/>
        <v>1436.9490941738488</v>
      </c>
      <c r="AM489" s="14">
        <f t="shared" si="740"/>
        <v>1445.0738132666081</v>
      </c>
      <c r="AN489" s="14">
        <f t="shared" si="740"/>
        <v>1453.2444707023496</v>
      </c>
      <c r="AO489" s="14">
        <f t="shared" si="740"/>
        <v>1461.4613262231435</v>
      </c>
      <c r="AP489" s="14">
        <f t="shared" si="740"/>
        <v>1469.7246410396795</v>
      </c>
      <c r="AQ489" s="14">
        <f t="shared" si="740"/>
        <v>1382.3588228232773</v>
      </c>
      <c r="AR489" s="14">
        <f t="shared" si="740"/>
        <v>1390.1748805850825</v>
      </c>
      <c r="AS489" s="14">
        <f t="shared" si="740"/>
        <v>1398.0351314738293</v>
      </c>
      <c r="AT489" s="14">
        <f t="shared" si="740"/>
        <v>1405.9398253638824</v>
      </c>
      <c r="AU489" s="14">
        <f t="shared" si="740"/>
        <v>1413.889213542433</v>
      </c>
      <c r="AV489" s="14">
        <f t="shared" si="740"/>
        <v>1421.8835487174861</v>
      </c>
      <c r="AW489" s="14">
        <f t="shared" si="740"/>
        <v>1429.9230850258946</v>
      </c>
      <c r="AX489" s="14">
        <f t="shared" si="740"/>
        <v>1438.008078041438</v>
      </c>
      <c r="AY489" s="14">
        <f t="shared" si="740"/>
        <v>1446.1387847829474</v>
      </c>
      <c r="AZ489" s="14">
        <f t="shared" si="740"/>
        <v>1454.3154637224759</v>
      </c>
      <c r="BA489" s="14">
        <f t="shared" si="740"/>
        <v>1462.5383747935145</v>
      </c>
      <c r="BB489" s="14">
        <f t="shared" si="740"/>
        <v>1470.8077793992563</v>
      </c>
      <c r="BC489" s="14">
        <f t="shared" si="740"/>
        <v>1479.1239404209066</v>
      </c>
      <c r="BD489" s="14">
        <f t="shared" si="740"/>
        <v>1487.4871222260383</v>
      </c>
      <c r="BE489" s="14">
        <f t="shared" si="740"/>
        <v>1389.3855355232176</v>
      </c>
      <c r="BF489" s="14">
        <f t="shared" si="740"/>
        <v>1397.2413233402237</v>
      </c>
      <c r="BG489" s="14">
        <f t="shared" si="740"/>
        <v>1405.14152892368</v>
      </c>
      <c r="BH489" s="14">
        <f t="shared" si="740"/>
        <v>1413.0864034180954</v>
      </c>
      <c r="BI489" s="14">
        <f t="shared" si="740"/>
        <v>1421.0761993879869</v>
      </c>
      <c r="BJ489" s="14">
        <f t="shared" si="740"/>
        <v>1429.1111708259079</v>
      </c>
      <c r="BK489" s="14">
        <f t="shared" si="740"/>
        <v>1437.1915731605225</v>
      </c>
      <c r="BL489" s="14">
        <f t="shared" si="740"/>
        <v>1445.3176632647258</v>
      </c>
      <c r="BM489" s="14">
        <f t="shared" si="740"/>
        <v>1453.4896994638093</v>
      </c>
      <c r="BN489" s="14">
        <f t="shared" si="740"/>
        <v>1461.7079415436738</v>
      </c>
      <c r="BO489" s="14">
        <f t="shared" si="740"/>
        <v>1469.9726507590865</v>
      </c>
      <c r="BP489" s="14">
        <f t="shared" si="740"/>
        <v>1478.2840898419879</v>
      </c>
      <c r="BQ489" s="14">
        <f t="shared" si="740"/>
        <v>1486.6425230098425</v>
      </c>
      <c r="BR489" s="14">
        <f t="shared" si="740"/>
        <v>1495.0482159740393</v>
      </c>
      <c r="BS489" s="14">
        <f t="shared" si="740"/>
        <v>1503.5014359483375</v>
      </c>
      <c r="BT489" s="14">
        <f t="shared" si="740"/>
        <v>1512.0024516573621</v>
      </c>
      <c r="BU489" s="14">
        <f t="shared" si="740"/>
        <v>1520.5515333451463</v>
      </c>
      <c r="BV489" s="14">
        <f t="shared" ref="BV489:DY489" si="741">+BV487*$E$489</f>
        <v>1529.1489527837216</v>
      </c>
      <c r="BW489" s="14">
        <f t="shared" si="741"/>
        <v>1537.7949832817594</v>
      </c>
      <c r="BX489" s="14">
        <f t="shared" si="741"/>
        <v>1546.4898996932568</v>
      </c>
      <c r="BY489" s="14">
        <f t="shared" si="741"/>
        <v>1555.2339784262761</v>
      </c>
      <c r="BZ489" s="14">
        <f t="shared" si="741"/>
        <v>1564.0274974517311</v>
      </c>
      <c r="CA489" s="14">
        <f t="shared" si="741"/>
        <v>1572.8707363122228</v>
      </c>
      <c r="CB489" s="14">
        <f t="shared" si="741"/>
        <v>1581.7639761309274</v>
      </c>
      <c r="CC489" s="14">
        <f t="shared" si="741"/>
        <v>1590.707499620532</v>
      </c>
      <c r="CD489" s="14">
        <f t="shared" si="741"/>
        <v>1599.7015910922221</v>
      </c>
      <c r="CE489" s="14">
        <f t="shared" si="741"/>
        <v>1608.746536464721</v>
      </c>
      <c r="CF489" s="14">
        <f t="shared" si="741"/>
        <v>1617.8426232733773</v>
      </c>
      <c r="CG489" s="14">
        <f t="shared" ca="1" si="741"/>
        <v>0</v>
      </c>
      <c r="CH489" s="14">
        <f t="shared" ca="1" si="741"/>
        <v>0</v>
      </c>
      <c r="CI489" s="14">
        <f t="shared" ca="1" si="741"/>
        <v>0</v>
      </c>
      <c r="CJ489" s="14">
        <f t="shared" ca="1" si="741"/>
        <v>0</v>
      </c>
      <c r="CK489" s="14">
        <f t="shared" ca="1" si="741"/>
        <v>0</v>
      </c>
      <c r="CL489" s="14">
        <f t="shared" ca="1" si="741"/>
        <v>0</v>
      </c>
      <c r="CM489" s="14">
        <f t="shared" ca="1" si="741"/>
        <v>0</v>
      </c>
      <c r="CN489" s="14">
        <f t="shared" ca="1" si="741"/>
        <v>0</v>
      </c>
      <c r="CO489" s="14">
        <f t="shared" ca="1" si="741"/>
        <v>0</v>
      </c>
      <c r="CP489" s="14">
        <f t="shared" ca="1" si="741"/>
        <v>0</v>
      </c>
      <c r="CQ489" s="14">
        <f t="shared" ca="1" si="741"/>
        <v>0</v>
      </c>
      <c r="CR489" s="14">
        <f t="shared" ca="1" si="741"/>
        <v>0</v>
      </c>
      <c r="CS489" s="14">
        <f t="shared" ca="1" si="741"/>
        <v>0</v>
      </c>
      <c r="CT489" s="14">
        <f t="shared" ca="1" si="741"/>
        <v>0</v>
      </c>
      <c r="CU489" s="14">
        <f t="shared" ca="1" si="741"/>
        <v>0</v>
      </c>
      <c r="CV489" s="14">
        <f t="shared" ca="1" si="741"/>
        <v>0</v>
      </c>
      <c r="CW489" s="14">
        <f t="shared" ca="1" si="741"/>
        <v>0</v>
      </c>
      <c r="CX489" s="14">
        <f t="shared" ca="1" si="741"/>
        <v>0</v>
      </c>
      <c r="CY489" s="14">
        <f t="shared" ca="1" si="741"/>
        <v>0</v>
      </c>
      <c r="CZ489" s="14">
        <f t="shared" ca="1" si="741"/>
        <v>0</v>
      </c>
      <c r="DA489" s="14">
        <f t="shared" ca="1" si="741"/>
        <v>0</v>
      </c>
      <c r="DB489" s="14">
        <f t="shared" ca="1" si="741"/>
        <v>0</v>
      </c>
      <c r="DC489" s="14">
        <f t="shared" ca="1" si="741"/>
        <v>0</v>
      </c>
      <c r="DD489" s="14">
        <f t="shared" ca="1" si="741"/>
        <v>0</v>
      </c>
      <c r="DE489" s="14">
        <f t="shared" ca="1" si="741"/>
        <v>0</v>
      </c>
      <c r="DF489" s="14">
        <f t="shared" ca="1" si="741"/>
        <v>0</v>
      </c>
      <c r="DG489" s="14">
        <f t="shared" ca="1" si="741"/>
        <v>0</v>
      </c>
      <c r="DH489" s="14">
        <f t="shared" ca="1" si="741"/>
        <v>0</v>
      </c>
      <c r="DI489" s="14">
        <f t="shared" ca="1" si="741"/>
        <v>0</v>
      </c>
      <c r="DJ489" s="14">
        <f t="shared" ca="1" si="741"/>
        <v>0</v>
      </c>
      <c r="DK489" s="14">
        <f t="shared" ca="1" si="741"/>
        <v>0</v>
      </c>
      <c r="DL489" s="14">
        <f t="shared" ca="1" si="741"/>
        <v>0</v>
      </c>
      <c r="DM489" s="14">
        <f t="shared" ca="1" si="741"/>
        <v>0</v>
      </c>
      <c r="DN489" s="14">
        <f t="shared" ca="1" si="741"/>
        <v>0</v>
      </c>
      <c r="DO489" s="14">
        <f t="shared" ca="1" si="741"/>
        <v>0</v>
      </c>
      <c r="DP489" s="14">
        <f t="shared" ca="1" si="741"/>
        <v>0</v>
      </c>
      <c r="DQ489" s="14">
        <f t="shared" ca="1" si="741"/>
        <v>0</v>
      </c>
      <c r="DR489" s="14">
        <f t="shared" ca="1" si="741"/>
        <v>0</v>
      </c>
      <c r="DS489" s="14">
        <f t="shared" ca="1" si="741"/>
        <v>0</v>
      </c>
      <c r="DT489" s="14">
        <f t="shared" ca="1" si="741"/>
        <v>0</v>
      </c>
      <c r="DU489" s="14">
        <f t="shared" ca="1" si="741"/>
        <v>0</v>
      </c>
      <c r="DV489" s="14">
        <f t="shared" ca="1" si="741"/>
        <v>0</v>
      </c>
      <c r="DW489" s="14">
        <f t="shared" ca="1" si="741"/>
        <v>0</v>
      </c>
      <c r="DX489" s="14">
        <f t="shared" ca="1" si="741"/>
        <v>0</v>
      </c>
      <c r="DY489" s="14">
        <f t="shared" ca="1" si="741"/>
        <v>0</v>
      </c>
    </row>
    <row r="490" spans="2:129" ht="11.7" customHeight="1" outlineLevel="1" x14ac:dyDescent="0.3">
      <c r="B490" s="113" t="s">
        <v>512</v>
      </c>
      <c r="C490" s="113"/>
      <c r="D490" s="1058"/>
      <c r="E490" s="1057"/>
      <c r="H490" s="290">
        <f ca="1">+SUM(I490:DY490)</f>
        <v>-220071.37103355466</v>
      </c>
      <c r="I490" s="14">
        <f>+I472</f>
        <v>0</v>
      </c>
      <c r="J490" s="14">
        <f t="shared" ref="J490:BU490" si="742">+J472</f>
        <v>0</v>
      </c>
      <c r="K490" s="14">
        <f t="shared" si="742"/>
        <v>0</v>
      </c>
      <c r="L490" s="14">
        <f t="shared" si="742"/>
        <v>0</v>
      </c>
      <c r="M490" s="14">
        <f t="shared" si="742"/>
        <v>0</v>
      </c>
      <c r="N490" s="14">
        <f t="shared" si="742"/>
        <v>0</v>
      </c>
      <c r="O490" s="14">
        <f t="shared" si="742"/>
        <v>0</v>
      </c>
      <c r="P490" s="14">
        <f t="shared" si="742"/>
        <v>0</v>
      </c>
      <c r="Q490" s="14">
        <f t="shared" si="742"/>
        <v>0</v>
      </c>
      <c r="R490" s="14">
        <f t="shared" si="742"/>
        <v>0</v>
      </c>
      <c r="S490" s="14">
        <f t="shared" si="742"/>
        <v>0</v>
      </c>
      <c r="T490" s="14">
        <f t="shared" si="742"/>
        <v>0</v>
      </c>
      <c r="U490" s="14">
        <f t="shared" si="742"/>
        <v>0</v>
      </c>
      <c r="V490" s="14">
        <f t="shared" si="742"/>
        <v>0</v>
      </c>
      <c r="W490" s="14">
        <f t="shared" si="742"/>
        <v>0</v>
      </c>
      <c r="X490" s="14">
        <f t="shared" si="742"/>
        <v>0</v>
      </c>
      <c r="Y490" s="14">
        <f t="shared" si="742"/>
        <v>0</v>
      </c>
      <c r="Z490" s="14">
        <f t="shared" si="742"/>
        <v>0</v>
      </c>
      <c r="AA490" s="14">
        <f t="shared" si="742"/>
        <v>0</v>
      </c>
      <c r="AB490" s="14">
        <f t="shared" si="742"/>
        <v>0</v>
      </c>
      <c r="AC490" s="14">
        <f t="shared" si="742"/>
        <v>0</v>
      </c>
      <c r="AD490" s="14">
        <f t="shared" si="742"/>
        <v>0</v>
      </c>
      <c r="AE490" s="14">
        <f t="shared" si="742"/>
        <v>0</v>
      </c>
      <c r="AF490" s="14">
        <f t="shared" si="742"/>
        <v>0</v>
      </c>
      <c r="AG490" s="14">
        <f t="shared" si="742"/>
        <v>0</v>
      </c>
      <c r="AH490" s="14">
        <f t="shared" si="742"/>
        <v>0</v>
      </c>
      <c r="AI490" s="14">
        <f t="shared" si="742"/>
        <v>0</v>
      </c>
      <c r="AJ490" s="14">
        <f t="shared" si="742"/>
        <v>0</v>
      </c>
      <c r="AK490" s="14">
        <f t="shared" si="742"/>
        <v>0</v>
      </c>
      <c r="AL490" s="14">
        <f t="shared" si="742"/>
        <v>0</v>
      </c>
      <c r="AM490" s="14">
        <f t="shared" si="742"/>
        <v>0</v>
      </c>
      <c r="AN490" s="14">
        <f t="shared" si="742"/>
        <v>0</v>
      </c>
      <c r="AO490" s="14">
        <f t="shared" si="742"/>
        <v>0</v>
      </c>
      <c r="AP490" s="14">
        <f t="shared" si="742"/>
        <v>-16921.364496465285</v>
      </c>
      <c r="AQ490" s="14">
        <f t="shared" si="742"/>
        <v>0</v>
      </c>
      <c r="AR490" s="14">
        <f t="shared" si="742"/>
        <v>0</v>
      </c>
      <c r="AS490" s="14">
        <f t="shared" si="742"/>
        <v>0</v>
      </c>
      <c r="AT490" s="14">
        <f t="shared" si="742"/>
        <v>0</v>
      </c>
      <c r="AU490" s="14">
        <f t="shared" si="742"/>
        <v>0</v>
      </c>
      <c r="AV490" s="14">
        <f t="shared" si="742"/>
        <v>0</v>
      </c>
      <c r="AW490" s="14">
        <f t="shared" si="742"/>
        <v>0</v>
      </c>
      <c r="AX490" s="14">
        <f t="shared" si="742"/>
        <v>0</v>
      </c>
      <c r="AY490" s="14">
        <f t="shared" si="742"/>
        <v>0</v>
      </c>
      <c r="AZ490" s="14">
        <f t="shared" si="742"/>
        <v>0</v>
      </c>
      <c r="BA490" s="14">
        <f t="shared" si="742"/>
        <v>0</v>
      </c>
      <c r="BB490" s="14">
        <f t="shared" si="742"/>
        <v>0</v>
      </c>
      <c r="BC490" s="14">
        <f t="shared" si="742"/>
        <v>0</v>
      </c>
      <c r="BD490" s="14">
        <f t="shared" si="742"/>
        <v>-18837.869891184178</v>
      </c>
      <c r="BE490" s="14">
        <f t="shared" si="742"/>
        <v>0</v>
      </c>
      <c r="BF490" s="14">
        <f t="shared" si="742"/>
        <v>0</v>
      </c>
      <c r="BG490" s="14">
        <f t="shared" si="742"/>
        <v>0</v>
      </c>
      <c r="BH490" s="14">
        <f t="shared" si="742"/>
        <v>0</v>
      </c>
      <c r="BI490" s="14">
        <f t="shared" si="742"/>
        <v>0</v>
      </c>
      <c r="BJ490" s="14">
        <f t="shared" si="742"/>
        <v>0</v>
      </c>
      <c r="BK490" s="14">
        <f t="shared" si="742"/>
        <v>0</v>
      </c>
      <c r="BL490" s="14">
        <f t="shared" si="742"/>
        <v>0</v>
      </c>
      <c r="BM490" s="14">
        <f t="shared" si="742"/>
        <v>0</v>
      </c>
      <c r="BN490" s="14">
        <f t="shared" si="742"/>
        <v>0</v>
      </c>
      <c r="BO490" s="14">
        <f t="shared" si="742"/>
        <v>0</v>
      </c>
      <c r="BP490" s="14">
        <f t="shared" si="742"/>
        <v>0</v>
      </c>
      <c r="BQ490" s="14">
        <f t="shared" si="742"/>
        <v>0</v>
      </c>
      <c r="BR490" s="14">
        <f t="shared" si="742"/>
        <v>0</v>
      </c>
      <c r="BS490" s="14">
        <f t="shared" si="742"/>
        <v>0</v>
      </c>
      <c r="BT490" s="14">
        <f t="shared" si="742"/>
        <v>0</v>
      </c>
      <c r="BU490" s="14">
        <f t="shared" si="742"/>
        <v>0</v>
      </c>
      <c r="BV490" s="14">
        <f t="shared" ref="BV490:DY490" si="743">+BV472</f>
        <v>0</v>
      </c>
      <c r="BW490" s="14">
        <f t="shared" si="743"/>
        <v>0</v>
      </c>
      <c r="BX490" s="14">
        <f t="shared" si="743"/>
        <v>0</v>
      </c>
      <c r="BY490" s="14">
        <f t="shared" si="743"/>
        <v>0</v>
      </c>
      <c r="BZ490" s="14">
        <f t="shared" si="743"/>
        <v>0</v>
      </c>
      <c r="CA490" s="14">
        <f t="shared" si="743"/>
        <v>0</v>
      </c>
      <c r="CB490" s="14">
        <f t="shared" si="743"/>
        <v>0</v>
      </c>
      <c r="CC490" s="14">
        <f t="shared" si="743"/>
        <v>0</v>
      </c>
      <c r="CD490" s="14">
        <f t="shared" si="743"/>
        <v>0</v>
      </c>
      <c r="CE490" s="14">
        <f t="shared" si="743"/>
        <v>0</v>
      </c>
      <c r="CF490" s="14">
        <f t="shared" ca="1" si="743"/>
        <v>-184312.13664590521</v>
      </c>
      <c r="CG490" s="14">
        <f t="shared" ca="1" si="743"/>
        <v>0</v>
      </c>
      <c r="CH490" s="14">
        <f t="shared" ca="1" si="743"/>
        <v>0</v>
      </c>
      <c r="CI490" s="14">
        <f t="shared" ca="1" si="743"/>
        <v>0</v>
      </c>
      <c r="CJ490" s="14">
        <f t="shared" ca="1" si="743"/>
        <v>0</v>
      </c>
      <c r="CK490" s="14">
        <f t="shared" ca="1" si="743"/>
        <v>0</v>
      </c>
      <c r="CL490" s="14">
        <f t="shared" ca="1" si="743"/>
        <v>0</v>
      </c>
      <c r="CM490" s="14">
        <f t="shared" ca="1" si="743"/>
        <v>0</v>
      </c>
      <c r="CN490" s="14">
        <f t="shared" ca="1" si="743"/>
        <v>0</v>
      </c>
      <c r="CO490" s="14">
        <f t="shared" ca="1" si="743"/>
        <v>0</v>
      </c>
      <c r="CP490" s="14">
        <f t="shared" ca="1" si="743"/>
        <v>0</v>
      </c>
      <c r="CQ490" s="14">
        <f t="shared" ca="1" si="743"/>
        <v>0</v>
      </c>
      <c r="CR490" s="14">
        <f t="shared" ca="1" si="743"/>
        <v>0</v>
      </c>
      <c r="CS490" s="14">
        <f t="shared" ca="1" si="743"/>
        <v>0</v>
      </c>
      <c r="CT490" s="14">
        <f t="shared" ca="1" si="743"/>
        <v>0</v>
      </c>
      <c r="CU490" s="14">
        <f t="shared" ca="1" si="743"/>
        <v>0</v>
      </c>
      <c r="CV490" s="14">
        <f t="shared" ca="1" si="743"/>
        <v>0</v>
      </c>
      <c r="CW490" s="14">
        <f t="shared" ca="1" si="743"/>
        <v>0</v>
      </c>
      <c r="CX490" s="14">
        <f t="shared" ca="1" si="743"/>
        <v>0</v>
      </c>
      <c r="CY490" s="14">
        <f t="shared" ca="1" si="743"/>
        <v>0</v>
      </c>
      <c r="CZ490" s="14">
        <f t="shared" ca="1" si="743"/>
        <v>0</v>
      </c>
      <c r="DA490" s="14">
        <f t="shared" ca="1" si="743"/>
        <v>0</v>
      </c>
      <c r="DB490" s="14">
        <f t="shared" ca="1" si="743"/>
        <v>0</v>
      </c>
      <c r="DC490" s="14">
        <f t="shared" ca="1" si="743"/>
        <v>0</v>
      </c>
      <c r="DD490" s="14">
        <f t="shared" ca="1" si="743"/>
        <v>0</v>
      </c>
      <c r="DE490" s="14">
        <f t="shared" ca="1" si="743"/>
        <v>0</v>
      </c>
      <c r="DF490" s="14">
        <f t="shared" ca="1" si="743"/>
        <v>0</v>
      </c>
      <c r="DG490" s="14">
        <f t="shared" ca="1" si="743"/>
        <v>0</v>
      </c>
      <c r="DH490" s="14">
        <f t="shared" ca="1" si="743"/>
        <v>0</v>
      </c>
      <c r="DI490" s="14">
        <f t="shared" ca="1" si="743"/>
        <v>0</v>
      </c>
      <c r="DJ490" s="14">
        <f t="shared" ca="1" si="743"/>
        <v>0</v>
      </c>
      <c r="DK490" s="14">
        <f t="shared" ca="1" si="743"/>
        <v>0</v>
      </c>
      <c r="DL490" s="14">
        <f t="shared" ca="1" si="743"/>
        <v>0</v>
      </c>
      <c r="DM490" s="14">
        <f t="shared" ca="1" si="743"/>
        <v>0</v>
      </c>
      <c r="DN490" s="14">
        <f t="shared" ca="1" si="743"/>
        <v>0</v>
      </c>
      <c r="DO490" s="14">
        <f t="shared" ca="1" si="743"/>
        <v>0</v>
      </c>
      <c r="DP490" s="14">
        <f t="shared" ca="1" si="743"/>
        <v>0</v>
      </c>
      <c r="DQ490" s="14">
        <f t="shared" ca="1" si="743"/>
        <v>0</v>
      </c>
      <c r="DR490" s="14">
        <f t="shared" ca="1" si="743"/>
        <v>0</v>
      </c>
      <c r="DS490" s="14">
        <f t="shared" ca="1" si="743"/>
        <v>0</v>
      </c>
      <c r="DT490" s="14">
        <f t="shared" ca="1" si="743"/>
        <v>0</v>
      </c>
      <c r="DU490" s="14">
        <f t="shared" ca="1" si="743"/>
        <v>0</v>
      </c>
      <c r="DV490" s="14">
        <f t="shared" ca="1" si="743"/>
        <v>0</v>
      </c>
      <c r="DW490" s="14">
        <f t="shared" ca="1" si="743"/>
        <v>0</v>
      </c>
      <c r="DX490" s="14">
        <f t="shared" ca="1" si="743"/>
        <v>0</v>
      </c>
      <c r="DY490" s="14">
        <f t="shared" ca="1" si="743"/>
        <v>0</v>
      </c>
    </row>
    <row r="491" spans="2:129" ht="11.7" customHeight="1" outlineLevel="1" x14ac:dyDescent="0.3">
      <c r="B491" s="116" t="s">
        <v>510</v>
      </c>
      <c r="C491" s="116"/>
      <c r="D491" s="63"/>
      <c r="E491" s="63"/>
      <c r="F491" s="885"/>
      <c r="G491" s="886"/>
      <c r="H491" s="290">
        <f ca="1">+SUM(I491:DY491)</f>
        <v>-103439.59756019787</v>
      </c>
      <c r="I491" s="168">
        <f>-MIN(SUM(I$464,I$472),SUM(I487:I490))</f>
        <v>0</v>
      </c>
      <c r="J491" s="168">
        <f t="shared" ref="J491:BU491" si="744">-MIN(SUM(J$464,J$472),SUM(J487:J490))</f>
        <v>0</v>
      </c>
      <c r="K491" s="168">
        <f t="shared" si="744"/>
        <v>0</v>
      </c>
      <c r="L491" s="168">
        <f t="shared" si="744"/>
        <v>0</v>
      </c>
      <c r="M491" s="168">
        <f t="shared" si="744"/>
        <v>0</v>
      </c>
      <c r="N491" s="168">
        <f t="shared" si="744"/>
        <v>0</v>
      </c>
      <c r="O491" s="168">
        <f t="shared" si="744"/>
        <v>0</v>
      </c>
      <c r="P491" s="168">
        <f t="shared" si="744"/>
        <v>0</v>
      </c>
      <c r="Q491" s="168">
        <f t="shared" si="744"/>
        <v>0</v>
      </c>
      <c r="R491" s="168">
        <f t="shared" si="744"/>
        <v>0</v>
      </c>
      <c r="S491" s="168">
        <f t="shared" si="744"/>
        <v>0</v>
      </c>
      <c r="T491" s="168">
        <f t="shared" si="744"/>
        <v>0</v>
      </c>
      <c r="U491" s="168">
        <f t="shared" si="744"/>
        <v>0</v>
      </c>
      <c r="V491" s="168">
        <f t="shared" si="744"/>
        <v>0</v>
      </c>
      <c r="W491" s="168">
        <f t="shared" si="744"/>
        <v>0</v>
      </c>
      <c r="X491" s="168">
        <f t="shared" si="744"/>
        <v>0</v>
      </c>
      <c r="Y491" s="168">
        <f t="shared" si="744"/>
        <v>0</v>
      </c>
      <c r="Z491" s="168">
        <f t="shared" si="744"/>
        <v>0</v>
      </c>
      <c r="AA491" s="168">
        <f t="shared" si="744"/>
        <v>0</v>
      </c>
      <c r="AB491" s="168">
        <f t="shared" si="744"/>
        <v>0</v>
      </c>
      <c r="AC491" s="168">
        <f t="shared" si="744"/>
        <v>0</v>
      </c>
      <c r="AD491" s="168">
        <f t="shared" si="744"/>
        <v>0</v>
      </c>
      <c r="AE491" s="168">
        <f t="shared" si="744"/>
        <v>0</v>
      </c>
      <c r="AF491" s="168">
        <f t="shared" si="744"/>
        <v>0</v>
      </c>
      <c r="AG491" s="168">
        <f t="shared" si="744"/>
        <v>0</v>
      </c>
      <c r="AH491" s="168">
        <f t="shared" si="744"/>
        <v>0</v>
      </c>
      <c r="AI491" s="168">
        <f t="shared" si="744"/>
        <v>0</v>
      </c>
      <c r="AJ491" s="168">
        <f t="shared" si="744"/>
        <v>0</v>
      </c>
      <c r="AK491" s="168">
        <f t="shared" si="744"/>
        <v>0</v>
      </c>
      <c r="AL491" s="168">
        <f t="shared" si="744"/>
        <v>0</v>
      </c>
      <c r="AM491" s="168">
        <f t="shared" si="744"/>
        <v>0</v>
      </c>
      <c r="AN491" s="168">
        <f t="shared" si="744"/>
        <v>0</v>
      </c>
      <c r="AO491" s="168">
        <f t="shared" si="744"/>
        <v>0</v>
      </c>
      <c r="AP491" s="168">
        <f t="shared" si="744"/>
        <v>0</v>
      </c>
      <c r="AQ491" s="168">
        <f t="shared" si="744"/>
        <v>0</v>
      </c>
      <c r="AR491" s="168">
        <f t="shared" si="744"/>
        <v>0</v>
      </c>
      <c r="AS491" s="168">
        <f t="shared" si="744"/>
        <v>0</v>
      </c>
      <c r="AT491" s="168">
        <f t="shared" si="744"/>
        <v>0</v>
      </c>
      <c r="AU491" s="168">
        <f t="shared" si="744"/>
        <v>0</v>
      </c>
      <c r="AV491" s="168">
        <f t="shared" si="744"/>
        <v>0</v>
      </c>
      <c r="AW491" s="168">
        <f t="shared" si="744"/>
        <v>0</v>
      </c>
      <c r="AX491" s="168">
        <f t="shared" si="744"/>
        <v>0</v>
      </c>
      <c r="AY491" s="168">
        <f t="shared" si="744"/>
        <v>0</v>
      </c>
      <c r="AZ491" s="168">
        <f t="shared" si="744"/>
        <v>0</v>
      </c>
      <c r="BA491" s="168">
        <f t="shared" si="744"/>
        <v>0</v>
      </c>
      <c r="BB491" s="168">
        <f t="shared" si="744"/>
        <v>0</v>
      </c>
      <c r="BC491" s="168">
        <f t="shared" si="744"/>
        <v>0</v>
      </c>
      <c r="BD491" s="168">
        <f t="shared" si="744"/>
        <v>0</v>
      </c>
      <c r="BE491" s="168">
        <f t="shared" si="744"/>
        <v>0</v>
      </c>
      <c r="BF491" s="168">
        <f t="shared" si="744"/>
        <v>0</v>
      </c>
      <c r="BG491" s="168">
        <f t="shared" si="744"/>
        <v>0</v>
      </c>
      <c r="BH491" s="168">
        <f t="shared" si="744"/>
        <v>0</v>
      </c>
      <c r="BI491" s="168">
        <f t="shared" si="744"/>
        <v>0</v>
      </c>
      <c r="BJ491" s="168">
        <f t="shared" si="744"/>
        <v>0</v>
      </c>
      <c r="BK491" s="168">
        <f t="shared" si="744"/>
        <v>0</v>
      </c>
      <c r="BL491" s="168">
        <f t="shared" si="744"/>
        <v>0</v>
      </c>
      <c r="BM491" s="168">
        <f t="shared" si="744"/>
        <v>0</v>
      </c>
      <c r="BN491" s="168">
        <f t="shared" si="744"/>
        <v>0</v>
      </c>
      <c r="BO491" s="168">
        <f t="shared" si="744"/>
        <v>0</v>
      </c>
      <c r="BP491" s="168">
        <f t="shared" si="744"/>
        <v>0</v>
      </c>
      <c r="BQ491" s="168">
        <f t="shared" si="744"/>
        <v>0</v>
      </c>
      <c r="BR491" s="168">
        <f t="shared" si="744"/>
        <v>0</v>
      </c>
      <c r="BS491" s="168">
        <f t="shared" si="744"/>
        <v>0</v>
      </c>
      <c r="BT491" s="168">
        <f t="shared" si="744"/>
        <v>0</v>
      </c>
      <c r="BU491" s="168">
        <f t="shared" si="744"/>
        <v>0</v>
      </c>
      <c r="BV491" s="168">
        <f t="shared" ref="BV491:DY491" si="745">-MIN(SUM(BV$464,BV$472),SUM(BV487:BV490))</f>
        <v>0</v>
      </c>
      <c r="BW491" s="168">
        <f t="shared" si="745"/>
        <v>0</v>
      </c>
      <c r="BX491" s="168">
        <f t="shared" si="745"/>
        <v>0</v>
      </c>
      <c r="BY491" s="168">
        <f t="shared" si="745"/>
        <v>0</v>
      </c>
      <c r="BZ491" s="168">
        <f t="shared" si="745"/>
        <v>0</v>
      </c>
      <c r="CA491" s="168">
        <f t="shared" si="745"/>
        <v>0</v>
      </c>
      <c r="CB491" s="168">
        <f t="shared" si="745"/>
        <v>0</v>
      </c>
      <c r="CC491" s="168">
        <f t="shared" si="745"/>
        <v>0</v>
      </c>
      <c r="CD491" s="168">
        <f t="shared" si="745"/>
        <v>0</v>
      </c>
      <c r="CE491" s="168">
        <f t="shared" si="745"/>
        <v>0</v>
      </c>
      <c r="CF491" s="168">
        <f t="shared" ca="1" si="745"/>
        <v>-103439.59756019787</v>
      </c>
      <c r="CG491" s="168">
        <f t="shared" ca="1" si="745"/>
        <v>0</v>
      </c>
      <c r="CH491" s="168">
        <f t="shared" ca="1" si="745"/>
        <v>0</v>
      </c>
      <c r="CI491" s="168">
        <f t="shared" ca="1" si="745"/>
        <v>0</v>
      </c>
      <c r="CJ491" s="168">
        <f t="shared" ca="1" si="745"/>
        <v>0</v>
      </c>
      <c r="CK491" s="168">
        <f t="shared" ca="1" si="745"/>
        <v>0</v>
      </c>
      <c r="CL491" s="168">
        <f t="shared" ca="1" si="745"/>
        <v>0</v>
      </c>
      <c r="CM491" s="168">
        <f t="shared" ca="1" si="745"/>
        <v>0</v>
      </c>
      <c r="CN491" s="168">
        <f t="shared" ca="1" si="745"/>
        <v>0</v>
      </c>
      <c r="CO491" s="168">
        <f t="shared" ca="1" si="745"/>
        <v>0</v>
      </c>
      <c r="CP491" s="168">
        <f t="shared" ca="1" si="745"/>
        <v>0</v>
      </c>
      <c r="CQ491" s="168">
        <f t="shared" ca="1" si="745"/>
        <v>0</v>
      </c>
      <c r="CR491" s="168">
        <f t="shared" ca="1" si="745"/>
        <v>0</v>
      </c>
      <c r="CS491" s="168">
        <f t="shared" ca="1" si="745"/>
        <v>0</v>
      </c>
      <c r="CT491" s="168">
        <f t="shared" ca="1" si="745"/>
        <v>0</v>
      </c>
      <c r="CU491" s="168">
        <f t="shared" ca="1" si="745"/>
        <v>0</v>
      </c>
      <c r="CV491" s="168">
        <f t="shared" ca="1" si="745"/>
        <v>0</v>
      </c>
      <c r="CW491" s="168">
        <f t="shared" ca="1" si="745"/>
        <v>0</v>
      </c>
      <c r="CX491" s="168">
        <f t="shared" ca="1" si="745"/>
        <v>0</v>
      </c>
      <c r="CY491" s="168">
        <f t="shared" ca="1" si="745"/>
        <v>0</v>
      </c>
      <c r="CZ491" s="168">
        <f t="shared" ca="1" si="745"/>
        <v>0</v>
      </c>
      <c r="DA491" s="168">
        <f t="shared" ca="1" si="745"/>
        <v>0</v>
      </c>
      <c r="DB491" s="168">
        <f t="shared" ca="1" si="745"/>
        <v>0</v>
      </c>
      <c r="DC491" s="168">
        <f t="shared" ca="1" si="745"/>
        <v>0</v>
      </c>
      <c r="DD491" s="168">
        <f t="shared" ca="1" si="745"/>
        <v>0</v>
      </c>
      <c r="DE491" s="168">
        <f t="shared" ca="1" si="745"/>
        <v>0</v>
      </c>
      <c r="DF491" s="168">
        <f t="shared" ca="1" si="745"/>
        <v>0</v>
      </c>
      <c r="DG491" s="168">
        <f t="shared" ca="1" si="745"/>
        <v>0</v>
      </c>
      <c r="DH491" s="168">
        <f t="shared" ca="1" si="745"/>
        <v>0</v>
      </c>
      <c r="DI491" s="168">
        <f t="shared" ca="1" si="745"/>
        <v>0</v>
      </c>
      <c r="DJ491" s="168">
        <f t="shared" ca="1" si="745"/>
        <v>0</v>
      </c>
      <c r="DK491" s="168">
        <f t="shared" ca="1" si="745"/>
        <v>0</v>
      </c>
      <c r="DL491" s="168">
        <f t="shared" ca="1" si="745"/>
        <v>0</v>
      </c>
      <c r="DM491" s="168">
        <f t="shared" ca="1" si="745"/>
        <v>0</v>
      </c>
      <c r="DN491" s="168">
        <f t="shared" ca="1" si="745"/>
        <v>0</v>
      </c>
      <c r="DO491" s="168">
        <f t="shared" ca="1" si="745"/>
        <v>0</v>
      </c>
      <c r="DP491" s="168">
        <f t="shared" ca="1" si="745"/>
        <v>0</v>
      </c>
      <c r="DQ491" s="168">
        <f t="shared" ca="1" si="745"/>
        <v>0</v>
      </c>
      <c r="DR491" s="168">
        <f t="shared" ca="1" si="745"/>
        <v>0</v>
      </c>
      <c r="DS491" s="168">
        <f t="shared" ca="1" si="745"/>
        <v>0</v>
      </c>
      <c r="DT491" s="168">
        <f t="shared" ca="1" si="745"/>
        <v>0</v>
      </c>
      <c r="DU491" s="168">
        <f t="shared" ca="1" si="745"/>
        <v>0</v>
      </c>
      <c r="DV491" s="168">
        <f t="shared" ca="1" si="745"/>
        <v>0</v>
      </c>
      <c r="DW491" s="168">
        <f t="shared" ca="1" si="745"/>
        <v>0</v>
      </c>
      <c r="DX491" s="168">
        <f t="shared" ca="1" si="745"/>
        <v>0</v>
      </c>
      <c r="DY491" s="168">
        <f t="shared" ca="1" si="745"/>
        <v>0</v>
      </c>
    </row>
    <row r="492" spans="2:129" ht="11.7" customHeight="1" outlineLevel="1" x14ac:dyDescent="0.3">
      <c r="B492" s="149" t="s">
        <v>511</v>
      </c>
      <c r="C492" s="149"/>
      <c r="D492" s="3"/>
      <c r="E492" s="3"/>
      <c r="I492" s="14">
        <f>+SUM(I487:I491)</f>
        <v>179951.23080262783</v>
      </c>
      <c r="J492" s="14">
        <f t="shared" ref="J492:BU492" si="746">+SUM(J487:J491)</f>
        <v>180968.70122422843</v>
      </c>
      <c r="K492" s="14">
        <f t="shared" si="746"/>
        <v>181991.92457152013</v>
      </c>
      <c r="L492" s="14">
        <f t="shared" si="746"/>
        <v>183020.9333723812</v>
      </c>
      <c r="M492" s="14">
        <f t="shared" si="746"/>
        <v>184055.76033860724</v>
      </c>
      <c r="N492" s="14">
        <f t="shared" si="746"/>
        <v>185096.43836695116</v>
      </c>
      <c r="O492" s="14">
        <f t="shared" si="746"/>
        <v>186143.00054016881</v>
      </c>
      <c r="P492" s="14">
        <f t="shared" si="746"/>
        <v>187195.48012807078</v>
      </c>
      <c r="Q492" s="14">
        <f t="shared" si="746"/>
        <v>188253.91058858001</v>
      </c>
      <c r="R492" s="14">
        <f t="shared" si="746"/>
        <v>189318.32556879544</v>
      </c>
      <c r="S492" s="14">
        <f t="shared" si="746"/>
        <v>190388.75890606153</v>
      </c>
      <c r="T492" s="14">
        <f t="shared" si="746"/>
        <v>191465.24462904406</v>
      </c>
      <c r="U492" s="14">
        <f t="shared" si="746"/>
        <v>192547.81695881177</v>
      </c>
      <c r="V492" s="14">
        <f t="shared" si="746"/>
        <v>193636.5103099244</v>
      </c>
      <c r="W492" s="14">
        <f t="shared" si="746"/>
        <v>234851.49952245335</v>
      </c>
      <c r="X492" s="14">
        <f t="shared" si="746"/>
        <v>236179.38404520345</v>
      </c>
      <c r="Y492" s="14">
        <f t="shared" si="746"/>
        <v>237514.77662010284</v>
      </c>
      <c r="Z492" s="14">
        <f t="shared" si="746"/>
        <v>238857.71969877</v>
      </c>
      <c r="AA492" s="14">
        <f t="shared" si="746"/>
        <v>240208.25597285095</v>
      </c>
      <c r="AB492" s="14">
        <f t="shared" si="746"/>
        <v>241566.4283753765</v>
      </c>
      <c r="AC492" s="14">
        <f t="shared" si="746"/>
        <v>242932.28008212711</v>
      </c>
      <c r="AD492" s="14">
        <f t="shared" si="746"/>
        <v>244305.85451300532</v>
      </c>
      <c r="AE492" s="14">
        <f t="shared" si="746"/>
        <v>245687.19533341614</v>
      </c>
      <c r="AF492" s="14">
        <f t="shared" si="746"/>
        <v>247076.34645565512</v>
      </c>
      <c r="AG492" s="14">
        <f t="shared" si="746"/>
        <v>248473.35204030431</v>
      </c>
      <c r="AH492" s="14">
        <f t="shared" si="746"/>
        <v>249878.25649763612</v>
      </c>
      <c r="AI492" s="14">
        <f t="shared" si="746"/>
        <v>251291.10448902511</v>
      </c>
      <c r="AJ492" s="14">
        <f t="shared" si="746"/>
        <v>252711.94092836769</v>
      </c>
      <c r="AK492" s="14">
        <f t="shared" si="746"/>
        <v>254140.81098351005</v>
      </c>
      <c r="AL492" s="14">
        <f t="shared" si="746"/>
        <v>255577.7600776839</v>
      </c>
      <c r="AM492" s="14">
        <f t="shared" si="746"/>
        <v>257022.83389095051</v>
      </c>
      <c r="AN492" s="14">
        <f t="shared" si="746"/>
        <v>258476.07836165285</v>
      </c>
      <c r="AO492" s="14">
        <f t="shared" si="746"/>
        <v>259937.53968787601</v>
      </c>
      <c r="AP492" s="14">
        <f t="shared" si="746"/>
        <v>244485.89983245041</v>
      </c>
      <c r="AQ492" s="14">
        <f t="shared" si="746"/>
        <v>245868.25865527368</v>
      </c>
      <c r="AR492" s="14">
        <f t="shared" si="746"/>
        <v>247258.43353585876</v>
      </c>
      <c r="AS492" s="14">
        <f t="shared" si="746"/>
        <v>248656.46866733258</v>
      </c>
      <c r="AT492" s="14">
        <f t="shared" si="746"/>
        <v>250062.40849269647</v>
      </c>
      <c r="AU492" s="14">
        <f t="shared" si="746"/>
        <v>251476.2977062389</v>
      </c>
      <c r="AV492" s="14">
        <f t="shared" si="746"/>
        <v>252898.18125495638</v>
      </c>
      <c r="AW492" s="14">
        <f t="shared" si="746"/>
        <v>254328.10433998227</v>
      </c>
      <c r="AX492" s="14">
        <f t="shared" si="746"/>
        <v>255766.11241802369</v>
      </c>
      <c r="AY492" s="14">
        <f t="shared" si="746"/>
        <v>257212.25120280666</v>
      </c>
      <c r="AZ492" s="14">
        <f t="shared" si="746"/>
        <v>258666.56666652914</v>
      </c>
      <c r="BA492" s="14">
        <f t="shared" si="746"/>
        <v>260129.10504132265</v>
      </c>
      <c r="BB492" s="14">
        <f t="shared" si="746"/>
        <v>261599.91282072192</v>
      </c>
      <c r="BC492" s="14">
        <f t="shared" si="746"/>
        <v>263079.03676114284</v>
      </c>
      <c r="BD492" s="14">
        <f t="shared" si="746"/>
        <v>245728.6539921847</v>
      </c>
      <c r="BE492" s="14">
        <f t="shared" si="746"/>
        <v>247118.03952770791</v>
      </c>
      <c r="BF492" s="14">
        <f t="shared" si="746"/>
        <v>248515.28085104813</v>
      </c>
      <c r="BG492" s="14">
        <f t="shared" si="746"/>
        <v>249920.4223799718</v>
      </c>
      <c r="BH492" s="14">
        <f t="shared" si="746"/>
        <v>251333.5087833899</v>
      </c>
      <c r="BI492" s="14">
        <f t="shared" si="746"/>
        <v>252754.58498277789</v>
      </c>
      <c r="BJ492" s="14">
        <f t="shared" si="746"/>
        <v>254183.69615360379</v>
      </c>
      <c r="BK492" s="14">
        <f t="shared" si="746"/>
        <v>255620.88772676431</v>
      </c>
      <c r="BL492" s="14">
        <f t="shared" si="746"/>
        <v>257066.20539002903</v>
      </c>
      <c r="BM492" s="14">
        <f t="shared" si="746"/>
        <v>258519.69508949283</v>
      </c>
      <c r="BN492" s="14">
        <f t="shared" si="746"/>
        <v>259981.40303103649</v>
      </c>
      <c r="BO492" s="14">
        <f t="shared" si="746"/>
        <v>261451.37568179559</v>
      </c>
      <c r="BP492" s="14">
        <f t="shared" si="746"/>
        <v>262929.65977163758</v>
      </c>
      <c r="BQ492" s="14">
        <f t="shared" si="746"/>
        <v>264416.30229464744</v>
      </c>
      <c r="BR492" s="14">
        <f t="shared" si="746"/>
        <v>265911.3505106215</v>
      </c>
      <c r="BS492" s="14">
        <f t="shared" si="746"/>
        <v>267414.85194656986</v>
      </c>
      <c r="BT492" s="14">
        <f t="shared" si="746"/>
        <v>268926.85439822724</v>
      </c>
      <c r="BU492" s="14">
        <f t="shared" si="746"/>
        <v>270447.40593157237</v>
      </c>
      <c r="BV492" s="14">
        <f t="shared" ref="BV492:DY492" si="747">+SUM(BV487:BV491)</f>
        <v>271976.5548843561</v>
      </c>
      <c r="BW492" s="14">
        <f t="shared" si="747"/>
        <v>273514.34986763785</v>
      </c>
      <c r="BX492" s="14">
        <f t="shared" si="747"/>
        <v>275060.83976733108</v>
      </c>
      <c r="BY492" s="14">
        <f t="shared" si="747"/>
        <v>276616.07374575734</v>
      </c>
      <c r="BZ492" s="14">
        <f t="shared" si="747"/>
        <v>278180.10124320909</v>
      </c>
      <c r="CA492" s="14">
        <f t="shared" si="747"/>
        <v>279752.97197952133</v>
      </c>
      <c r="CB492" s="14">
        <f t="shared" si="747"/>
        <v>281334.73595565226</v>
      </c>
      <c r="CC492" s="14">
        <f t="shared" si="747"/>
        <v>282925.44345527276</v>
      </c>
      <c r="CD492" s="14">
        <f t="shared" si="747"/>
        <v>284525.14504636498</v>
      </c>
      <c r="CE492" s="14">
        <f t="shared" si="747"/>
        <v>286133.8915828297</v>
      </c>
      <c r="CF492" s="14">
        <f t="shared" ca="1" si="747"/>
        <v>0</v>
      </c>
      <c r="CG492" s="14">
        <f t="shared" ca="1" si="747"/>
        <v>0</v>
      </c>
      <c r="CH492" s="14">
        <f t="shared" ca="1" si="747"/>
        <v>0</v>
      </c>
      <c r="CI492" s="14">
        <f t="shared" ca="1" si="747"/>
        <v>0</v>
      </c>
      <c r="CJ492" s="14">
        <f t="shared" ca="1" si="747"/>
        <v>0</v>
      </c>
      <c r="CK492" s="14">
        <f t="shared" ca="1" si="747"/>
        <v>0</v>
      </c>
      <c r="CL492" s="14">
        <f t="shared" ca="1" si="747"/>
        <v>0</v>
      </c>
      <c r="CM492" s="14">
        <f t="shared" ca="1" si="747"/>
        <v>0</v>
      </c>
      <c r="CN492" s="14">
        <f t="shared" ca="1" si="747"/>
        <v>0</v>
      </c>
      <c r="CO492" s="14">
        <f t="shared" ca="1" si="747"/>
        <v>0</v>
      </c>
      <c r="CP492" s="14">
        <f t="shared" ca="1" si="747"/>
        <v>0</v>
      </c>
      <c r="CQ492" s="14">
        <f t="shared" ca="1" si="747"/>
        <v>0</v>
      </c>
      <c r="CR492" s="14">
        <f t="shared" ca="1" si="747"/>
        <v>0</v>
      </c>
      <c r="CS492" s="14">
        <f t="shared" ca="1" si="747"/>
        <v>0</v>
      </c>
      <c r="CT492" s="14">
        <f t="shared" ca="1" si="747"/>
        <v>0</v>
      </c>
      <c r="CU492" s="14">
        <f t="shared" ca="1" si="747"/>
        <v>0</v>
      </c>
      <c r="CV492" s="14">
        <f t="shared" ca="1" si="747"/>
        <v>0</v>
      </c>
      <c r="CW492" s="14">
        <f t="shared" ca="1" si="747"/>
        <v>0</v>
      </c>
      <c r="CX492" s="14">
        <f t="shared" ca="1" si="747"/>
        <v>0</v>
      </c>
      <c r="CY492" s="14">
        <f t="shared" ca="1" si="747"/>
        <v>0</v>
      </c>
      <c r="CZ492" s="14">
        <f t="shared" ca="1" si="747"/>
        <v>0</v>
      </c>
      <c r="DA492" s="14">
        <f t="shared" ca="1" si="747"/>
        <v>0</v>
      </c>
      <c r="DB492" s="14">
        <f t="shared" ca="1" si="747"/>
        <v>0</v>
      </c>
      <c r="DC492" s="14">
        <f t="shared" ca="1" si="747"/>
        <v>0</v>
      </c>
      <c r="DD492" s="14">
        <f t="shared" ca="1" si="747"/>
        <v>0</v>
      </c>
      <c r="DE492" s="14">
        <f t="shared" ca="1" si="747"/>
        <v>0</v>
      </c>
      <c r="DF492" s="14">
        <f t="shared" ca="1" si="747"/>
        <v>0</v>
      </c>
      <c r="DG492" s="14">
        <f t="shared" ca="1" si="747"/>
        <v>0</v>
      </c>
      <c r="DH492" s="14">
        <f t="shared" ca="1" si="747"/>
        <v>0</v>
      </c>
      <c r="DI492" s="14">
        <f t="shared" ca="1" si="747"/>
        <v>0</v>
      </c>
      <c r="DJ492" s="14">
        <f t="shared" ca="1" si="747"/>
        <v>0</v>
      </c>
      <c r="DK492" s="14">
        <f t="shared" ca="1" si="747"/>
        <v>0</v>
      </c>
      <c r="DL492" s="14">
        <f t="shared" ca="1" si="747"/>
        <v>0</v>
      </c>
      <c r="DM492" s="14">
        <f t="shared" ca="1" si="747"/>
        <v>0</v>
      </c>
      <c r="DN492" s="14">
        <f t="shared" ca="1" si="747"/>
        <v>0</v>
      </c>
      <c r="DO492" s="14">
        <f t="shared" ca="1" si="747"/>
        <v>0</v>
      </c>
      <c r="DP492" s="14">
        <f t="shared" ca="1" si="747"/>
        <v>0</v>
      </c>
      <c r="DQ492" s="14">
        <f t="shared" ca="1" si="747"/>
        <v>0</v>
      </c>
      <c r="DR492" s="14">
        <f t="shared" ca="1" si="747"/>
        <v>0</v>
      </c>
      <c r="DS492" s="14">
        <f t="shared" ca="1" si="747"/>
        <v>0</v>
      </c>
      <c r="DT492" s="14">
        <f t="shared" ca="1" si="747"/>
        <v>0</v>
      </c>
      <c r="DU492" s="14">
        <f t="shared" ca="1" si="747"/>
        <v>0</v>
      </c>
      <c r="DV492" s="14">
        <f t="shared" ca="1" si="747"/>
        <v>0</v>
      </c>
      <c r="DW492" s="14">
        <f t="shared" ca="1" si="747"/>
        <v>0</v>
      </c>
      <c r="DX492" s="14">
        <f t="shared" ca="1" si="747"/>
        <v>0</v>
      </c>
      <c r="DY492" s="14">
        <f t="shared" ca="1" si="747"/>
        <v>0</v>
      </c>
    </row>
    <row r="493" spans="2:129" ht="11.7" customHeight="1" outlineLevel="1" x14ac:dyDescent="0.3">
      <c r="B493" s="149"/>
      <c r="C493" s="149"/>
      <c r="D493" s="3"/>
      <c r="E493" s="3"/>
      <c r="I493" s="14"/>
    </row>
    <row r="494" spans="2:129" ht="11.7" customHeight="1" outlineLevel="1" x14ac:dyDescent="0.3">
      <c r="B494" s="149"/>
      <c r="C494" s="149"/>
      <c r="D494" s="3"/>
      <c r="E494" s="3"/>
      <c r="I494" s="14"/>
    </row>
    <row r="495" spans="2:129" ht="11.7" customHeight="1" outlineLevel="1" x14ac:dyDescent="0.3">
      <c r="B495" s="195" t="s">
        <v>654</v>
      </c>
      <c r="C495" s="195"/>
      <c r="D495" s="3"/>
      <c r="E495" s="3"/>
    </row>
    <row r="496" spans="2:129" ht="11.7" customHeight="1" outlineLevel="1" x14ac:dyDescent="0.3">
      <c r="B496" s="152" t="s">
        <v>507</v>
      </c>
      <c r="C496" s="152"/>
      <c r="D496" s="63"/>
      <c r="E496" s="63"/>
      <c r="F496" s="885"/>
      <c r="G496" s="886"/>
      <c r="H496" s="886"/>
      <c r="I496" s="1099">
        <v>0</v>
      </c>
      <c r="J496" s="168">
        <f t="shared" ref="J496:BU496" si="748">+I501</f>
        <v>1548.7691973721776</v>
      </c>
      <c r="K496" s="168">
        <f t="shared" si="748"/>
        <v>1557.5261635856548</v>
      </c>
      <c r="L496" s="168">
        <f t="shared" si="748"/>
        <v>1566.3326429592557</v>
      </c>
      <c r="M496" s="168">
        <f t="shared" si="748"/>
        <v>1575.1889154475862</v>
      </c>
      <c r="N496" s="168">
        <f t="shared" si="748"/>
        <v>1584.0952625881559</v>
      </c>
      <c r="O496" s="168">
        <f t="shared" si="748"/>
        <v>1593.0519675103294</v>
      </c>
      <c r="P496" s="168">
        <f t="shared" si="748"/>
        <v>1602.0593149443248</v>
      </c>
      <c r="Q496" s="168">
        <f t="shared" si="748"/>
        <v>1611.117591230267</v>
      </c>
      <c r="R496" s="168">
        <f t="shared" si="748"/>
        <v>1620.227084327289</v>
      </c>
      <c r="S496" s="168">
        <f t="shared" si="748"/>
        <v>1629.3880838226873</v>
      </c>
      <c r="T496" s="168">
        <f t="shared" si="748"/>
        <v>1638.6008809411264</v>
      </c>
      <c r="U496" s="168">
        <f t="shared" si="748"/>
        <v>1647.8657685538979</v>
      </c>
      <c r="V496" s="168">
        <f t="shared" si="748"/>
        <v>1657.1830411882299</v>
      </c>
      <c r="W496" s="168">
        <f t="shared" si="748"/>
        <v>1666.5529950366506</v>
      </c>
      <c r="X496" s="168">
        <f t="shared" si="748"/>
        <v>2021.274135190471</v>
      </c>
      <c r="Y496" s="168">
        <f t="shared" si="748"/>
        <v>2032.7027130186398</v>
      </c>
      <c r="Z496" s="168">
        <f t="shared" si="748"/>
        <v>2044.1959096874202</v>
      </c>
      <c r="AA496" s="168">
        <f t="shared" si="748"/>
        <v>2055.7540905611322</v>
      </c>
      <c r="AB496" s="168">
        <f t="shared" si="748"/>
        <v>2067.3776230699182</v>
      </c>
      <c r="AC496" s="168">
        <f t="shared" si="748"/>
        <v>2079.0668767214238</v>
      </c>
      <c r="AD496" s="168">
        <f t="shared" si="748"/>
        <v>2090.8222231125455</v>
      </c>
      <c r="AE496" s="168">
        <f t="shared" si="748"/>
        <v>2102.6440359412418</v>
      </c>
      <c r="AF496" s="168">
        <f t="shared" si="748"/>
        <v>2114.532691018414</v>
      </c>
      <c r="AG496" s="168">
        <f t="shared" si="748"/>
        <v>2126.4885662798533</v>
      </c>
      <c r="AH496" s="168">
        <f t="shared" si="748"/>
        <v>2138.5120417982548</v>
      </c>
      <c r="AI496" s="168">
        <f t="shared" si="748"/>
        <v>2150.6034997952988</v>
      </c>
      <c r="AJ496" s="168">
        <f t="shared" si="748"/>
        <v>2162.7633246538039</v>
      </c>
      <c r="AK496" s="168">
        <f t="shared" si="748"/>
        <v>2174.9919029299444</v>
      </c>
      <c r="AL496" s="168">
        <f t="shared" si="748"/>
        <v>2187.2896233655397</v>
      </c>
      <c r="AM496" s="168">
        <f t="shared" si="748"/>
        <v>2199.6568769004116</v>
      </c>
      <c r="AN496" s="168">
        <f t="shared" si="748"/>
        <v>2212.0940566848121</v>
      </c>
      <c r="AO496" s="168">
        <f t="shared" si="748"/>
        <v>2224.6015580919234</v>
      </c>
      <c r="AP496" s="168">
        <f t="shared" si="748"/>
        <v>2237.1797787304235</v>
      </c>
      <c r="AQ496" s="168">
        <f t="shared" si="748"/>
        <v>2104.1936149224125</v>
      </c>
      <c r="AR496" s="168">
        <f t="shared" si="748"/>
        <v>2116.0910315444339</v>
      </c>
      <c r="AS496" s="168">
        <f t="shared" si="748"/>
        <v>2128.0557178897707</v>
      </c>
      <c r="AT496" s="168">
        <f t="shared" si="748"/>
        <v>2140.0880543112185</v>
      </c>
      <c r="AU496" s="168">
        <f t="shared" si="748"/>
        <v>2152.1884233121432</v>
      </c>
      <c r="AV496" s="168">
        <f t="shared" si="748"/>
        <v>2164.3572095586405</v>
      </c>
      <c r="AW496" s="168">
        <f t="shared" si="748"/>
        <v>2176.5947998917641</v>
      </c>
      <c r="AX496" s="168">
        <f t="shared" si="748"/>
        <v>2188.9015833398225</v>
      </c>
      <c r="AY496" s="168">
        <f t="shared" si="748"/>
        <v>2201.2779511307476</v>
      </c>
      <c r="AZ496" s="168">
        <f t="shared" si="748"/>
        <v>2213.7242967045304</v>
      </c>
      <c r="BA496" s="168">
        <f t="shared" si="748"/>
        <v>2226.2410157257291</v>
      </c>
      <c r="BB496" s="168">
        <f t="shared" si="748"/>
        <v>2238.828506096047</v>
      </c>
      <c r="BC496" s="168">
        <f t="shared" si="748"/>
        <v>2251.4871679669814</v>
      </c>
      <c r="BD496" s="168">
        <f t="shared" si="748"/>
        <v>2264.2174037525442</v>
      </c>
      <c r="BE496" s="168">
        <f t="shared" si="748"/>
        <v>2114.889509326234</v>
      </c>
      <c r="BF496" s="168">
        <f t="shared" si="748"/>
        <v>2126.8474020902627</v>
      </c>
      <c r="BG496" s="168">
        <f t="shared" si="748"/>
        <v>2138.8729065185062</v>
      </c>
      <c r="BH496" s="168">
        <f t="shared" si="748"/>
        <v>2150.966404897144</v>
      </c>
      <c r="BI496" s="168">
        <f t="shared" si="748"/>
        <v>2163.1282816738567</v>
      </c>
      <c r="BJ496" s="168">
        <f t="shared" si="748"/>
        <v>2175.3589234700489</v>
      </c>
      <c r="BK496" s="168">
        <f t="shared" si="748"/>
        <v>2187.6587190931382</v>
      </c>
      <c r="BL496" s="168">
        <f t="shared" si="748"/>
        <v>2200.0280595489157</v>
      </c>
      <c r="BM496" s="168">
        <f t="shared" si="748"/>
        <v>2212.4673380539766</v>
      </c>
      <c r="BN496" s="168">
        <f t="shared" si="748"/>
        <v>2224.9769500482194</v>
      </c>
      <c r="BO496" s="168">
        <f t="shared" si="748"/>
        <v>2237.5572932074174</v>
      </c>
      <c r="BP496" s="168">
        <f t="shared" si="748"/>
        <v>2250.2087674558611</v>
      </c>
      <c r="BQ496" s="168">
        <f t="shared" si="748"/>
        <v>2262.9317749790707</v>
      </c>
      <c r="BR496" s="168">
        <f t="shared" si="748"/>
        <v>2275.7267202365815</v>
      </c>
      <c r="BS496" s="168">
        <f t="shared" si="748"/>
        <v>2288.5940099748022</v>
      </c>
      <c r="BT496" s="168">
        <f>+BS501</f>
        <v>2301.5340532399446</v>
      </c>
      <c r="BU496" s="168">
        <f t="shared" si="748"/>
        <v>2314.5472613910274</v>
      </c>
      <c r="BV496" s="168">
        <f t="shared" ref="BV496:DY496" si="749">+BU501</f>
        <v>2327.6340481129528</v>
      </c>
      <c r="BW496" s="168">
        <f t="shared" si="749"/>
        <v>2340.794829429658</v>
      </c>
      <c r="BX496" s="168">
        <f t="shared" si="749"/>
        <v>2354.0300237173396</v>
      </c>
      <c r="BY496" s="168">
        <f t="shared" si="749"/>
        <v>2367.3400517177547</v>
      </c>
      <c r="BZ496" s="168">
        <f t="shared" si="749"/>
        <v>2380.7253365515944</v>
      </c>
      <c r="CA496" s="168">
        <f t="shared" si="749"/>
        <v>2394.1863037319363</v>
      </c>
      <c r="CB496" s="168">
        <f t="shared" si="749"/>
        <v>2407.723381177771</v>
      </c>
      <c r="CC496" s="168">
        <f t="shared" si="749"/>
        <v>2421.3369992276052</v>
      </c>
      <c r="CD496" s="168">
        <f t="shared" si="749"/>
        <v>2435.0275906531419</v>
      </c>
      <c r="CE496" s="168">
        <f t="shared" si="749"/>
        <v>2448.7955906730381</v>
      </c>
      <c r="CF496" s="168">
        <f t="shared" si="749"/>
        <v>2462.6414369667405</v>
      </c>
      <c r="CG496" s="168">
        <f t="shared" ca="1" si="749"/>
        <v>0</v>
      </c>
      <c r="CH496" s="168">
        <f t="shared" ca="1" si="749"/>
        <v>0</v>
      </c>
      <c r="CI496" s="168">
        <f t="shared" ca="1" si="749"/>
        <v>0</v>
      </c>
      <c r="CJ496" s="168">
        <f t="shared" ca="1" si="749"/>
        <v>0</v>
      </c>
      <c r="CK496" s="168">
        <f t="shared" ca="1" si="749"/>
        <v>0</v>
      </c>
      <c r="CL496" s="168">
        <f t="shared" ca="1" si="749"/>
        <v>0</v>
      </c>
      <c r="CM496" s="168">
        <f t="shared" ca="1" si="749"/>
        <v>0</v>
      </c>
      <c r="CN496" s="168">
        <f t="shared" ca="1" si="749"/>
        <v>0</v>
      </c>
      <c r="CO496" s="168">
        <f t="shared" ca="1" si="749"/>
        <v>0</v>
      </c>
      <c r="CP496" s="168">
        <f t="shared" ca="1" si="749"/>
        <v>0</v>
      </c>
      <c r="CQ496" s="168">
        <f t="shared" ca="1" si="749"/>
        <v>0</v>
      </c>
      <c r="CR496" s="168">
        <f t="shared" ca="1" si="749"/>
        <v>0</v>
      </c>
      <c r="CS496" s="168">
        <f t="shared" ca="1" si="749"/>
        <v>0</v>
      </c>
      <c r="CT496" s="168">
        <f t="shared" ca="1" si="749"/>
        <v>0</v>
      </c>
      <c r="CU496" s="168">
        <f t="shared" ca="1" si="749"/>
        <v>0</v>
      </c>
      <c r="CV496" s="168">
        <f t="shared" ca="1" si="749"/>
        <v>0</v>
      </c>
      <c r="CW496" s="168">
        <f t="shared" ca="1" si="749"/>
        <v>0</v>
      </c>
      <c r="CX496" s="168">
        <f t="shared" ca="1" si="749"/>
        <v>0</v>
      </c>
      <c r="CY496" s="168">
        <f t="shared" ca="1" si="749"/>
        <v>0</v>
      </c>
      <c r="CZ496" s="168">
        <f t="shared" ca="1" si="749"/>
        <v>0</v>
      </c>
      <c r="DA496" s="168">
        <f t="shared" ca="1" si="749"/>
        <v>0</v>
      </c>
      <c r="DB496" s="168">
        <f t="shared" ca="1" si="749"/>
        <v>0</v>
      </c>
      <c r="DC496" s="168">
        <f t="shared" ca="1" si="749"/>
        <v>0</v>
      </c>
      <c r="DD496" s="168">
        <f t="shared" ca="1" si="749"/>
        <v>0</v>
      </c>
      <c r="DE496" s="168">
        <f t="shared" ca="1" si="749"/>
        <v>0</v>
      </c>
      <c r="DF496" s="168">
        <f t="shared" ca="1" si="749"/>
        <v>0</v>
      </c>
      <c r="DG496" s="168">
        <f t="shared" ca="1" si="749"/>
        <v>0</v>
      </c>
      <c r="DH496" s="168">
        <f t="shared" ca="1" si="749"/>
        <v>0</v>
      </c>
      <c r="DI496" s="168">
        <f t="shared" ca="1" si="749"/>
        <v>0</v>
      </c>
      <c r="DJ496" s="168">
        <f t="shared" ca="1" si="749"/>
        <v>0</v>
      </c>
      <c r="DK496" s="168">
        <f t="shared" ca="1" si="749"/>
        <v>0</v>
      </c>
      <c r="DL496" s="168">
        <f t="shared" ca="1" si="749"/>
        <v>0</v>
      </c>
      <c r="DM496" s="168">
        <f t="shared" ca="1" si="749"/>
        <v>0</v>
      </c>
      <c r="DN496" s="168">
        <f t="shared" ca="1" si="749"/>
        <v>0</v>
      </c>
      <c r="DO496" s="168">
        <f t="shared" ca="1" si="749"/>
        <v>0</v>
      </c>
      <c r="DP496" s="168">
        <f t="shared" ca="1" si="749"/>
        <v>0</v>
      </c>
      <c r="DQ496" s="168">
        <f t="shared" ca="1" si="749"/>
        <v>0</v>
      </c>
      <c r="DR496" s="168">
        <f t="shared" ca="1" si="749"/>
        <v>0</v>
      </c>
      <c r="DS496" s="168">
        <f t="shared" ca="1" si="749"/>
        <v>0</v>
      </c>
      <c r="DT496" s="168">
        <f t="shared" ca="1" si="749"/>
        <v>0</v>
      </c>
      <c r="DU496" s="168">
        <f t="shared" ca="1" si="749"/>
        <v>0</v>
      </c>
      <c r="DV496" s="168">
        <f t="shared" ca="1" si="749"/>
        <v>0</v>
      </c>
      <c r="DW496" s="168">
        <f t="shared" ca="1" si="749"/>
        <v>0</v>
      </c>
      <c r="DX496" s="168">
        <f t="shared" ca="1" si="749"/>
        <v>0</v>
      </c>
      <c r="DY496" s="168">
        <f t="shared" ca="1" si="749"/>
        <v>0</v>
      </c>
    </row>
    <row r="497" spans="2:129" ht="11.7" customHeight="1" outlineLevel="1" x14ac:dyDescent="0.3">
      <c r="B497" s="888" t="s">
        <v>508</v>
      </c>
      <c r="C497" s="113"/>
      <c r="D497" s="3"/>
      <c r="E497" s="3"/>
      <c r="H497" s="290">
        <f>+SUM(I497:DY497)</f>
        <v>1894.0674045962451</v>
      </c>
      <c r="I497" s="14">
        <f>-I$461*(I$461&lt;0)</f>
        <v>1548.7691973721776</v>
      </c>
      <c r="J497" s="14">
        <f t="shared" ref="J497:BU497" si="750">-J$461*(J$461&lt;0)</f>
        <v>0</v>
      </c>
      <c r="K497" s="14">
        <f t="shared" si="750"/>
        <v>0</v>
      </c>
      <c r="L497" s="14">
        <f t="shared" si="750"/>
        <v>0</v>
      </c>
      <c r="M497" s="14">
        <f t="shared" si="750"/>
        <v>0</v>
      </c>
      <c r="N497" s="14">
        <f t="shared" si="750"/>
        <v>0</v>
      </c>
      <c r="O497" s="14">
        <f t="shared" si="750"/>
        <v>0</v>
      </c>
      <c r="P497" s="14">
        <f t="shared" si="750"/>
        <v>0</v>
      </c>
      <c r="Q497" s="14">
        <f t="shared" si="750"/>
        <v>0</v>
      </c>
      <c r="R497" s="14">
        <f t="shared" si="750"/>
        <v>0</v>
      </c>
      <c r="S497" s="14">
        <f t="shared" si="750"/>
        <v>0</v>
      </c>
      <c r="T497" s="14">
        <f t="shared" si="750"/>
        <v>0</v>
      </c>
      <c r="U497" s="14">
        <f t="shared" si="750"/>
        <v>0</v>
      </c>
      <c r="V497" s="14">
        <f t="shared" si="750"/>
        <v>0</v>
      </c>
      <c r="W497" s="14">
        <f t="shared" si="750"/>
        <v>345.29820722406743</v>
      </c>
      <c r="X497" s="14">
        <f t="shared" si="750"/>
        <v>0</v>
      </c>
      <c r="Y497" s="14">
        <f t="shared" si="750"/>
        <v>0</v>
      </c>
      <c r="Z497" s="14">
        <f t="shared" si="750"/>
        <v>0</v>
      </c>
      <c r="AA497" s="14">
        <f t="shared" si="750"/>
        <v>0</v>
      </c>
      <c r="AB497" s="14">
        <f t="shared" si="750"/>
        <v>0</v>
      </c>
      <c r="AC497" s="14">
        <f t="shared" si="750"/>
        <v>0</v>
      </c>
      <c r="AD497" s="14">
        <f t="shared" si="750"/>
        <v>0</v>
      </c>
      <c r="AE497" s="14">
        <f t="shared" si="750"/>
        <v>0</v>
      </c>
      <c r="AF497" s="14">
        <f t="shared" si="750"/>
        <v>0</v>
      </c>
      <c r="AG497" s="14">
        <f t="shared" si="750"/>
        <v>0</v>
      </c>
      <c r="AH497" s="14">
        <f t="shared" si="750"/>
        <v>0</v>
      </c>
      <c r="AI497" s="14">
        <f t="shared" si="750"/>
        <v>0</v>
      </c>
      <c r="AJ497" s="14">
        <f t="shared" si="750"/>
        <v>0</v>
      </c>
      <c r="AK497" s="14">
        <f t="shared" si="750"/>
        <v>0</v>
      </c>
      <c r="AL497" s="14">
        <f t="shared" si="750"/>
        <v>0</v>
      </c>
      <c r="AM497" s="14">
        <f t="shared" si="750"/>
        <v>0</v>
      </c>
      <c r="AN497" s="14">
        <f t="shared" si="750"/>
        <v>0</v>
      </c>
      <c r="AO497" s="14">
        <f t="shared" si="750"/>
        <v>0</v>
      </c>
      <c r="AP497" s="14">
        <f t="shared" si="750"/>
        <v>0</v>
      </c>
      <c r="AQ497" s="14">
        <f t="shared" si="750"/>
        <v>0</v>
      </c>
      <c r="AR497" s="14">
        <f t="shared" si="750"/>
        <v>0</v>
      </c>
      <c r="AS497" s="14">
        <f t="shared" si="750"/>
        <v>0</v>
      </c>
      <c r="AT497" s="14">
        <f t="shared" si="750"/>
        <v>0</v>
      </c>
      <c r="AU497" s="14">
        <f t="shared" si="750"/>
        <v>0</v>
      </c>
      <c r="AV497" s="14">
        <f t="shared" si="750"/>
        <v>0</v>
      </c>
      <c r="AW497" s="14">
        <f t="shared" si="750"/>
        <v>0</v>
      </c>
      <c r="AX497" s="14">
        <f t="shared" si="750"/>
        <v>0</v>
      </c>
      <c r="AY497" s="14">
        <f t="shared" si="750"/>
        <v>0</v>
      </c>
      <c r="AZ497" s="14">
        <f t="shared" si="750"/>
        <v>0</v>
      </c>
      <c r="BA497" s="14">
        <f t="shared" si="750"/>
        <v>0</v>
      </c>
      <c r="BB497" s="14">
        <f t="shared" si="750"/>
        <v>0</v>
      </c>
      <c r="BC497" s="14">
        <f t="shared" si="750"/>
        <v>0</v>
      </c>
      <c r="BD497" s="14">
        <f t="shared" si="750"/>
        <v>0</v>
      </c>
      <c r="BE497" s="14">
        <f t="shared" si="750"/>
        <v>0</v>
      </c>
      <c r="BF497" s="14">
        <f t="shared" si="750"/>
        <v>0</v>
      </c>
      <c r="BG497" s="14">
        <f t="shared" si="750"/>
        <v>0</v>
      </c>
      <c r="BH497" s="14">
        <f t="shared" si="750"/>
        <v>0</v>
      </c>
      <c r="BI497" s="14">
        <f t="shared" si="750"/>
        <v>0</v>
      </c>
      <c r="BJ497" s="14">
        <f t="shared" si="750"/>
        <v>0</v>
      </c>
      <c r="BK497" s="14">
        <f t="shared" si="750"/>
        <v>0</v>
      </c>
      <c r="BL497" s="14">
        <f t="shared" si="750"/>
        <v>0</v>
      </c>
      <c r="BM497" s="14">
        <f t="shared" si="750"/>
        <v>0</v>
      </c>
      <c r="BN497" s="14">
        <f t="shared" si="750"/>
        <v>0</v>
      </c>
      <c r="BO497" s="14">
        <f t="shared" si="750"/>
        <v>0</v>
      </c>
      <c r="BP497" s="14">
        <f t="shared" si="750"/>
        <v>0</v>
      </c>
      <c r="BQ497" s="14">
        <f t="shared" si="750"/>
        <v>0</v>
      </c>
      <c r="BR497" s="14">
        <f t="shared" si="750"/>
        <v>0</v>
      </c>
      <c r="BS497" s="14">
        <f t="shared" si="750"/>
        <v>0</v>
      </c>
      <c r="BT497" s="14">
        <f t="shared" si="750"/>
        <v>0</v>
      </c>
      <c r="BU497" s="14">
        <f t="shared" si="750"/>
        <v>0</v>
      </c>
      <c r="BV497" s="14">
        <f t="shared" ref="BV497:DY497" si="751">-BV$461*(BV$461&lt;0)</f>
        <v>0</v>
      </c>
      <c r="BW497" s="14">
        <f t="shared" si="751"/>
        <v>0</v>
      </c>
      <c r="BX497" s="14">
        <f t="shared" si="751"/>
        <v>0</v>
      </c>
      <c r="BY497" s="14">
        <f t="shared" si="751"/>
        <v>0</v>
      </c>
      <c r="BZ497" s="14">
        <f t="shared" si="751"/>
        <v>0</v>
      </c>
      <c r="CA497" s="14">
        <f t="shared" si="751"/>
        <v>0</v>
      </c>
      <c r="CB497" s="14">
        <f t="shared" si="751"/>
        <v>0</v>
      </c>
      <c r="CC497" s="14">
        <f t="shared" si="751"/>
        <v>0</v>
      </c>
      <c r="CD497" s="14">
        <f t="shared" si="751"/>
        <v>0</v>
      </c>
      <c r="CE497" s="14">
        <f t="shared" si="751"/>
        <v>0</v>
      </c>
      <c r="CF497" s="14">
        <f t="shared" si="751"/>
        <v>0</v>
      </c>
      <c r="CG497" s="14">
        <f t="shared" si="751"/>
        <v>0</v>
      </c>
      <c r="CH497" s="14">
        <f t="shared" si="751"/>
        <v>0</v>
      </c>
      <c r="CI497" s="14">
        <f t="shared" si="751"/>
        <v>0</v>
      </c>
      <c r="CJ497" s="14">
        <f t="shared" si="751"/>
        <v>0</v>
      </c>
      <c r="CK497" s="14">
        <f t="shared" si="751"/>
        <v>0</v>
      </c>
      <c r="CL497" s="14">
        <f t="shared" si="751"/>
        <v>0</v>
      </c>
      <c r="CM497" s="14">
        <f t="shared" si="751"/>
        <v>0</v>
      </c>
      <c r="CN497" s="14">
        <f t="shared" si="751"/>
        <v>0</v>
      </c>
      <c r="CO497" s="14">
        <f t="shared" si="751"/>
        <v>0</v>
      </c>
      <c r="CP497" s="14">
        <f t="shared" si="751"/>
        <v>0</v>
      </c>
      <c r="CQ497" s="14">
        <f t="shared" si="751"/>
        <v>0</v>
      </c>
      <c r="CR497" s="14">
        <f t="shared" si="751"/>
        <v>0</v>
      </c>
      <c r="CS497" s="14">
        <f t="shared" si="751"/>
        <v>0</v>
      </c>
      <c r="CT497" s="14">
        <f t="shared" si="751"/>
        <v>0</v>
      </c>
      <c r="CU497" s="14">
        <f t="shared" si="751"/>
        <v>0</v>
      </c>
      <c r="CV497" s="14">
        <f t="shared" si="751"/>
        <v>0</v>
      </c>
      <c r="CW497" s="14">
        <f t="shared" si="751"/>
        <v>0</v>
      </c>
      <c r="CX497" s="14">
        <f t="shared" si="751"/>
        <v>0</v>
      </c>
      <c r="CY497" s="14">
        <f t="shared" si="751"/>
        <v>0</v>
      </c>
      <c r="CZ497" s="14">
        <f t="shared" si="751"/>
        <v>0</v>
      </c>
      <c r="DA497" s="14">
        <f t="shared" si="751"/>
        <v>0</v>
      </c>
      <c r="DB497" s="14">
        <f t="shared" si="751"/>
        <v>0</v>
      </c>
      <c r="DC497" s="14">
        <f t="shared" si="751"/>
        <v>0</v>
      </c>
      <c r="DD497" s="14">
        <f t="shared" si="751"/>
        <v>0</v>
      </c>
      <c r="DE497" s="14">
        <f t="shared" si="751"/>
        <v>0</v>
      </c>
      <c r="DF497" s="14">
        <f t="shared" si="751"/>
        <v>0</v>
      </c>
      <c r="DG497" s="14">
        <f t="shared" si="751"/>
        <v>0</v>
      </c>
      <c r="DH497" s="14">
        <f t="shared" si="751"/>
        <v>0</v>
      </c>
      <c r="DI497" s="14">
        <f t="shared" si="751"/>
        <v>0</v>
      </c>
      <c r="DJ497" s="14">
        <f t="shared" si="751"/>
        <v>0</v>
      </c>
      <c r="DK497" s="14">
        <f t="shared" si="751"/>
        <v>0</v>
      </c>
      <c r="DL497" s="14">
        <f t="shared" si="751"/>
        <v>0</v>
      </c>
      <c r="DM497" s="14">
        <f t="shared" si="751"/>
        <v>0</v>
      </c>
      <c r="DN497" s="14">
        <f t="shared" si="751"/>
        <v>0</v>
      </c>
      <c r="DO497" s="14">
        <f t="shared" si="751"/>
        <v>0</v>
      </c>
      <c r="DP497" s="14">
        <f t="shared" si="751"/>
        <v>0</v>
      </c>
      <c r="DQ497" s="14">
        <f t="shared" si="751"/>
        <v>0</v>
      </c>
      <c r="DR497" s="14">
        <f t="shared" si="751"/>
        <v>0</v>
      </c>
      <c r="DS497" s="14">
        <f t="shared" si="751"/>
        <v>0</v>
      </c>
      <c r="DT497" s="14">
        <f t="shared" si="751"/>
        <v>0</v>
      </c>
      <c r="DU497" s="14">
        <f t="shared" si="751"/>
        <v>0</v>
      </c>
      <c r="DV497" s="14">
        <f t="shared" si="751"/>
        <v>0</v>
      </c>
      <c r="DW497" s="14">
        <f t="shared" si="751"/>
        <v>0</v>
      </c>
      <c r="DX497" s="14">
        <f t="shared" si="751"/>
        <v>0</v>
      </c>
      <c r="DY497" s="14">
        <f t="shared" si="751"/>
        <v>0</v>
      </c>
    </row>
    <row r="498" spans="2:129" ht="11.7" customHeight="1" outlineLevel="1" x14ac:dyDescent="0.3">
      <c r="B498" s="113" t="s">
        <v>509</v>
      </c>
      <c r="C498" s="113"/>
      <c r="H498" s="290">
        <f ca="1">+SUM(I498:DY498)</f>
        <v>890.26377744268939</v>
      </c>
      <c r="I498" s="14">
        <f>+I496*$E$489</f>
        <v>0</v>
      </c>
      <c r="J498" s="14">
        <f t="shared" ref="J498:BU498" si="752">+J496*$E$489</f>
        <v>8.7569662134772663</v>
      </c>
      <c r="K498" s="14">
        <f t="shared" si="752"/>
        <v>8.8064793736008617</v>
      </c>
      <c r="L498" s="14">
        <f t="shared" si="752"/>
        <v>8.8562724883303883</v>
      </c>
      <c r="M498" s="14">
        <f t="shared" si="752"/>
        <v>8.9063471405698849</v>
      </c>
      <c r="N498" s="14">
        <f t="shared" si="752"/>
        <v>8.9567049221733672</v>
      </c>
      <c r="O498" s="14">
        <f t="shared" si="752"/>
        <v>9.0073474339954256</v>
      </c>
      <c r="P498" s="14">
        <f t="shared" si="752"/>
        <v>9.0582762859421067</v>
      </c>
      <c r="Q498" s="14">
        <f t="shared" si="752"/>
        <v>9.10949309702211</v>
      </c>
      <c r="R498" s="14">
        <f t="shared" si="752"/>
        <v>9.1609994953982365</v>
      </c>
      <c r="S498" s="14">
        <f t="shared" si="752"/>
        <v>9.2127971184391662</v>
      </c>
      <c r="T498" s="14">
        <f t="shared" si="752"/>
        <v>9.2648876127714885</v>
      </c>
      <c r="U498" s="14">
        <f t="shared" si="752"/>
        <v>9.3172726343320686</v>
      </c>
      <c r="V498" s="14">
        <f t="shared" si="752"/>
        <v>9.3699538484206748</v>
      </c>
      <c r="W498" s="14">
        <f t="shared" si="752"/>
        <v>9.422932929752923</v>
      </c>
      <c r="X498" s="14">
        <f t="shared" si="752"/>
        <v>11.428577828168786</v>
      </c>
      <c r="Y498" s="14">
        <f t="shared" si="752"/>
        <v>11.493196668780529</v>
      </c>
      <c r="Z498" s="14">
        <f t="shared" si="752"/>
        <v>11.558180873711855</v>
      </c>
      <c r="AA498" s="14">
        <f t="shared" si="752"/>
        <v>11.623532508785749</v>
      </c>
      <c r="AB498" s="14">
        <f t="shared" si="752"/>
        <v>11.689253651505657</v>
      </c>
      <c r="AC498" s="14">
        <f t="shared" si="752"/>
        <v>11.755346391121527</v>
      </c>
      <c r="AD498" s="14">
        <f t="shared" si="752"/>
        <v>11.82181282869624</v>
      </c>
      <c r="AE498" s="14">
        <f t="shared" si="752"/>
        <v>11.88865507717238</v>
      </c>
      <c r="AF498" s="14">
        <f t="shared" si="752"/>
        <v>11.955875261439427</v>
      </c>
      <c r="AG498" s="14">
        <f t="shared" si="752"/>
        <v>12.023475518401286</v>
      </c>
      <c r="AH498" s="14">
        <f t="shared" si="752"/>
        <v>12.091457997044236</v>
      </c>
      <c r="AI498" s="14">
        <f t="shared" si="752"/>
        <v>12.159824858505228</v>
      </c>
      <c r="AJ498" s="14">
        <f t="shared" si="752"/>
        <v>12.228578276140601</v>
      </c>
      <c r="AK498" s="14">
        <f t="shared" si="752"/>
        <v>12.297720435595165</v>
      </c>
      <c r="AL498" s="14">
        <f t="shared" si="752"/>
        <v>12.367253534871685</v>
      </c>
      <c r="AM498" s="14">
        <f t="shared" si="752"/>
        <v>12.437179784400753</v>
      </c>
      <c r="AN498" s="14">
        <f t="shared" si="752"/>
        <v>12.50750140711105</v>
      </c>
      <c r="AO498" s="14">
        <f t="shared" si="752"/>
        <v>12.578220638500033</v>
      </c>
      <c r="AP498" s="14">
        <f t="shared" si="752"/>
        <v>12.649339726704975</v>
      </c>
      <c r="AQ498" s="14">
        <f t="shared" si="752"/>
        <v>11.897416622021188</v>
      </c>
      <c r="AR498" s="14">
        <f t="shared" si="752"/>
        <v>11.964686345336629</v>
      </c>
      <c r="AS498" s="14">
        <f t="shared" si="752"/>
        <v>12.032336421447866</v>
      </c>
      <c r="AT498" s="14">
        <f t="shared" si="752"/>
        <v>12.100369000924903</v>
      </c>
      <c r="AU498" s="14">
        <f t="shared" si="752"/>
        <v>12.168786246497383</v>
      </c>
      <c r="AV498" s="14">
        <f t="shared" si="752"/>
        <v>12.237590333123338</v>
      </c>
      <c r="AW498" s="14">
        <f t="shared" si="752"/>
        <v>12.306783448058322</v>
      </c>
      <c r="AX498" s="14">
        <f t="shared" si="752"/>
        <v>12.376367790924958</v>
      </c>
      <c r="AY498" s="14">
        <f t="shared" si="752"/>
        <v>12.446345573782848</v>
      </c>
      <c r="AZ498" s="14">
        <f t="shared" si="752"/>
        <v>12.516719021198904</v>
      </c>
      <c r="BA498" s="14">
        <f t="shared" si="752"/>
        <v>12.587490370318063</v>
      </c>
      <c r="BB498" s="14">
        <f t="shared" si="752"/>
        <v>12.658661870934404</v>
      </c>
      <c r="BC498" s="14">
        <f t="shared" si="752"/>
        <v>12.730235785562671</v>
      </c>
      <c r="BD498" s="14">
        <f t="shared" si="752"/>
        <v>12.802214389510192</v>
      </c>
      <c r="BE498" s="14">
        <f t="shared" si="752"/>
        <v>11.957892764028729</v>
      </c>
      <c r="BF498" s="14">
        <f t="shared" si="752"/>
        <v>12.025504428243549</v>
      </c>
      <c r="BG498" s="14">
        <f t="shared" si="752"/>
        <v>12.093498378637722</v>
      </c>
      <c r="BH498" s="14">
        <f t="shared" si="752"/>
        <v>12.161876776712891</v>
      </c>
      <c r="BI498" s="14">
        <f t="shared" si="752"/>
        <v>12.230641796192133</v>
      </c>
      <c r="BJ498" s="14">
        <f t="shared" si="752"/>
        <v>12.299795623089079</v>
      </c>
      <c r="BK498" s="14">
        <f t="shared" si="752"/>
        <v>12.369340455777397</v>
      </c>
      <c r="BL498" s="14">
        <f t="shared" si="752"/>
        <v>12.439278505060678</v>
      </c>
      <c r="BM498" s="14">
        <f t="shared" si="752"/>
        <v>12.509611994242716</v>
      </c>
      <c r="BN498" s="14">
        <f t="shared" si="752"/>
        <v>12.580343159198193</v>
      </c>
      <c r="BO498" s="14">
        <f t="shared" si="752"/>
        <v>12.651474248443749</v>
      </c>
      <c r="BP498" s="14">
        <f t="shared" si="752"/>
        <v>12.723007523209464</v>
      </c>
      <c r="BQ498" s="14">
        <f t="shared" si="752"/>
        <v>12.794945257510742</v>
      </c>
      <c r="BR498" s="14">
        <f t="shared" si="752"/>
        <v>12.867289738220599</v>
      </c>
      <c r="BS498" s="14">
        <f t="shared" si="752"/>
        <v>12.940043265142368</v>
      </c>
      <c r="BT498" s="14">
        <f t="shared" si="752"/>
        <v>13.013208151082797</v>
      </c>
      <c r="BU498" s="14">
        <f t="shared" si="752"/>
        <v>13.086786721925586</v>
      </c>
      <c r="BV498" s="14">
        <f t="shared" ref="BV498:DY498" si="753">+BV496*$E$489</f>
        <v>13.160781316705316</v>
      </c>
      <c r="BW498" s="14">
        <f t="shared" si="753"/>
        <v>13.235194287681816</v>
      </c>
      <c r="BX498" s="14">
        <f t="shared" si="753"/>
        <v>13.310028000414924</v>
      </c>
      <c r="BY498" s="14">
        <f t="shared" si="753"/>
        <v>13.385284833839705</v>
      </c>
      <c r="BZ498" s="14">
        <f t="shared" si="753"/>
        <v>13.460967180342065</v>
      </c>
      <c r="CA498" s="14">
        <f t="shared" si="753"/>
        <v>13.537077445834809</v>
      </c>
      <c r="CB498" s="14">
        <f t="shared" si="753"/>
        <v>13.613618049834123</v>
      </c>
      <c r="CC498" s="14">
        <f t="shared" si="753"/>
        <v>13.690591425536491</v>
      </c>
      <c r="CD498" s="14">
        <f t="shared" si="753"/>
        <v>13.768000019896039</v>
      </c>
      <c r="CE498" s="14">
        <f t="shared" si="753"/>
        <v>13.845846293702332</v>
      </c>
      <c r="CF498" s="14">
        <f t="shared" si="753"/>
        <v>13.924132721658591</v>
      </c>
      <c r="CG498" s="14">
        <f t="shared" ca="1" si="753"/>
        <v>0</v>
      </c>
      <c r="CH498" s="14">
        <f t="shared" ca="1" si="753"/>
        <v>0</v>
      </c>
      <c r="CI498" s="14">
        <f t="shared" ca="1" si="753"/>
        <v>0</v>
      </c>
      <c r="CJ498" s="14">
        <f t="shared" ca="1" si="753"/>
        <v>0</v>
      </c>
      <c r="CK498" s="14">
        <f t="shared" ca="1" si="753"/>
        <v>0</v>
      </c>
      <c r="CL498" s="14">
        <f t="shared" ca="1" si="753"/>
        <v>0</v>
      </c>
      <c r="CM498" s="14">
        <f t="shared" ca="1" si="753"/>
        <v>0</v>
      </c>
      <c r="CN498" s="14">
        <f t="shared" ca="1" si="753"/>
        <v>0</v>
      </c>
      <c r="CO498" s="14">
        <f t="shared" ca="1" si="753"/>
        <v>0</v>
      </c>
      <c r="CP498" s="14">
        <f t="shared" ca="1" si="753"/>
        <v>0</v>
      </c>
      <c r="CQ498" s="14">
        <f t="shared" ca="1" si="753"/>
        <v>0</v>
      </c>
      <c r="CR498" s="14">
        <f t="shared" ca="1" si="753"/>
        <v>0</v>
      </c>
      <c r="CS498" s="14">
        <f t="shared" ca="1" si="753"/>
        <v>0</v>
      </c>
      <c r="CT498" s="14">
        <f t="shared" ca="1" si="753"/>
        <v>0</v>
      </c>
      <c r="CU498" s="14">
        <f t="shared" ca="1" si="753"/>
        <v>0</v>
      </c>
      <c r="CV498" s="14">
        <f t="shared" ca="1" si="753"/>
        <v>0</v>
      </c>
      <c r="CW498" s="14">
        <f t="shared" ca="1" si="753"/>
        <v>0</v>
      </c>
      <c r="CX498" s="14">
        <f t="shared" ca="1" si="753"/>
        <v>0</v>
      </c>
      <c r="CY498" s="14">
        <f t="shared" ca="1" si="753"/>
        <v>0</v>
      </c>
      <c r="CZ498" s="14">
        <f t="shared" ca="1" si="753"/>
        <v>0</v>
      </c>
      <c r="DA498" s="14">
        <f t="shared" ca="1" si="753"/>
        <v>0</v>
      </c>
      <c r="DB498" s="14">
        <f t="shared" ca="1" si="753"/>
        <v>0</v>
      </c>
      <c r="DC498" s="14">
        <f t="shared" ca="1" si="753"/>
        <v>0</v>
      </c>
      <c r="DD498" s="14">
        <f t="shared" ca="1" si="753"/>
        <v>0</v>
      </c>
      <c r="DE498" s="14">
        <f t="shared" ca="1" si="753"/>
        <v>0</v>
      </c>
      <c r="DF498" s="14">
        <f t="shared" ca="1" si="753"/>
        <v>0</v>
      </c>
      <c r="DG498" s="14">
        <f t="shared" ca="1" si="753"/>
        <v>0</v>
      </c>
      <c r="DH498" s="14">
        <f t="shared" ca="1" si="753"/>
        <v>0</v>
      </c>
      <c r="DI498" s="14">
        <f t="shared" ca="1" si="753"/>
        <v>0</v>
      </c>
      <c r="DJ498" s="14">
        <f t="shared" ca="1" si="753"/>
        <v>0</v>
      </c>
      <c r="DK498" s="14">
        <f t="shared" ca="1" si="753"/>
        <v>0</v>
      </c>
      <c r="DL498" s="14">
        <f t="shared" ca="1" si="753"/>
        <v>0</v>
      </c>
      <c r="DM498" s="14">
        <f t="shared" ca="1" si="753"/>
        <v>0</v>
      </c>
      <c r="DN498" s="14">
        <f t="shared" ca="1" si="753"/>
        <v>0</v>
      </c>
      <c r="DO498" s="14">
        <f t="shared" ca="1" si="753"/>
        <v>0</v>
      </c>
      <c r="DP498" s="14">
        <f t="shared" ca="1" si="753"/>
        <v>0</v>
      </c>
      <c r="DQ498" s="14">
        <f t="shared" ca="1" si="753"/>
        <v>0</v>
      </c>
      <c r="DR498" s="14">
        <f t="shared" ca="1" si="753"/>
        <v>0</v>
      </c>
      <c r="DS498" s="14">
        <f t="shared" ca="1" si="753"/>
        <v>0</v>
      </c>
      <c r="DT498" s="14">
        <f t="shared" ca="1" si="753"/>
        <v>0</v>
      </c>
      <c r="DU498" s="14">
        <f t="shared" ca="1" si="753"/>
        <v>0</v>
      </c>
      <c r="DV498" s="14">
        <f t="shared" ca="1" si="753"/>
        <v>0</v>
      </c>
      <c r="DW498" s="14">
        <f t="shared" ca="1" si="753"/>
        <v>0</v>
      </c>
      <c r="DX498" s="14">
        <f t="shared" ca="1" si="753"/>
        <v>0</v>
      </c>
      <c r="DY498" s="14">
        <f t="shared" ca="1" si="753"/>
        <v>0</v>
      </c>
    </row>
    <row r="499" spans="2:129" ht="11.7" customHeight="1" outlineLevel="1" x14ac:dyDescent="0.3">
      <c r="B499" s="113" t="s">
        <v>512</v>
      </c>
      <c r="C499" s="113"/>
      <c r="D499" s="1058"/>
      <c r="E499" s="1057"/>
      <c r="H499" s="290">
        <f ca="1">+SUM(I499:DY499)</f>
        <v>-1894.0674045962451</v>
      </c>
      <c r="I499" s="14">
        <f>+I480</f>
        <v>0</v>
      </c>
      <c r="J499" s="14">
        <f t="shared" ref="J499:BU499" si="754">+J480</f>
        <v>0</v>
      </c>
      <c r="K499" s="14">
        <f t="shared" si="754"/>
        <v>0</v>
      </c>
      <c r="L499" s="14">
        <f t="shared" si="754"/>
        <v>0</v>
      </c>
      <c r="M499" s="14">
        <f t="shared" si="754"/>
        <v>0</v>
      </c>
      <c r="N499" s="14">
        <f t="shared" si="754"/>
        <v>0</v>
      </c>
      <c r="O499" s="14">
        <f t="shared" si="754"/>
        <v>0</v>
      </c>
      <c r="P499" s="14">
        <f t="shared" si="754"/>
        <v>0</v>
      </c>
      <c r="Q499" s="14">
        <f t="shared" si="754"/>
        <v>0</v>
      </c>
      <c r="R499" s="14">
        <f t="shared" si="754"/>
        <v>0</v>
      </c>
      <c r="S499" s="14">
        <f t="shared" si="754"/>
        <v>0</v>
      </c>
      <c r="T499" s="14">
        <f t="shared" si="754"/>
        <v>0</v>
      </c>
      <c r="U499" s="14">
        <f t="shared" si="754"/>
        <v>0</v>
      </c>
      <c r="V499" s="14">
        <f t="shared" si="754"/>
        <v>0</v>
      </c>
      <c r="W499" s="14">
        <f t="shared" si="754"/>
        <v>0</v>
      </c>
      <c r="X499" s="14">
        <f t="shared" si="754"/>
        <v>0</v>
      </c>
      <c r="Y499" s="14">
        <f t="shared" si="754"/>
        <v>0</v>
      </c>
      <c r="Z499" s="14">
        <f t="shared" si="754"/>
        <v>0</v>
      </c>
      <c r="AA499" s="14">
        <f t="shared" si="754"/>
        <v>0</v>
      </c>
      <c r="AB499" s="14">
        <f t="shared" si="754"/>
        <v>0</v>
      </c>
      <c r="AC499" s="14">
        <f t="shared" si="754"/>
        <v>0</v>
      </c>
      <c r="AD499" s="14">
        <f t="shared" si="754"/>
        <v>0</v>
      </c>
      <c r="AE499" s="14">
        <f t="shared" si="754"/>
        <v>0</v>
      </c>
      <c r="AF499" s="14">
        <f t="shared" si="754"/>
        <v>0</v>
      </c>
      <c r="AG499" s="14">
        <f t="shared" si="754"/>
        <v>0</v>
      </c>
      <c r="AH499" s="14">
        <f t="shared" si="754"/>
        <v>0</v>
      </c>
      <c r="AI499" s="14">
        <f t="shared" si="754"/>
        <v>0</v>
      </c>
      <c r="AJ499" s="14">
        <f t="shared" si="754"/>
        <v>0</v>
      </c>
      <c r="AK499" s="14">
        <f t="shared" si="754"/>
        <v>0</v>
      </c>
      <c r="AL499" s="14">
        <f t="shared" si="754"/>
        <v>0</v>
      </c>
      <c r="AM499" s="14">
        <f t="shared" si="754"/>
        <v>0</v>
      </c>
      <c r="AN499" s="14">
        <f t="shared" si="754"/>
        <v>0</v>
      </c>
      <c r="AO499" s="14">
        <f t="shared" si="754"/>
        <v>0</v>
      </c>
      <c r="AP499" s="14">
        <f t="shared" si="754"/>
        <v>-145.63550353471601</v>
      </c>
      <c r="AQ499" s="14">
        <f t="shared" si="754"/>
        <v>0</v>
      </c>
      <c r="AR499" s="14">
        <f t="shared" si="754"/>
        <v>0</v>
      </c>
      <c r="AS499" s="14">
        <f t="shared" si="754"/>
        <v>0</v>
      </c>
      <c r="AT499" s="14">
        <f t="shared" si="754"/>
        <v>0</v>
      </c>
      <c r="AU499" s="14">
        <f t="shared" si="754"/>
        <v>0</v>
      </c>
      <c r="AV499" s="14">
        <f t="shared" si="754"/>
        <v>0</v>
      </c>
      <c r="AW499" s="14">
        <f t="shared" si="754"/>
        <v>0</v>
      </c>
      <c r="AX499" s="14">
        <f t="shared" si="754"/>
        <v>0</v>
      </c>
      <c r="AY499" s="14">
        <f t="shared" si="754"/>
        <v>0</v>
      </c>
      <c r="AZ499" s="14">
        <f t="shared" si="754"/>
        <v>0</v>
      </c>
      <c r="BA499" s="14">
        <f t="shared" si="754"/>
        <v>0</v>
      </c>
      <c r="BB499" s="14">
        <f t="shared" si="754"/>
        <v>0</v>
      </c>
      <c r="BC499" s="14">
        <f t="shared" si="754"/>
        <v>0</v>
      </c>
      <c r="BD499" s="14">
        <f t="shared" si="754"/>
        <v>-162.13010881582025</v>
      </c>
      <c r="BE499" s="14">
        <f t="shared" si="754"/>
        <v>0</v>
      </c>
      <c r="BF499" s="14">
        <f t="shared" si="754"/>
        <v>0</v>
      </c>
      <c r="BG499" s="14">
        <f t="shared" si="754"/>
        <v>0</v>
      </c>
      <c r="BH499" s="14">
        <f t="shared" si="754"/>
        <v>0</v>
      </c>
      <c r="BI499" s="14">
        <f t="shared" si="754"/>
        <v>0</v>
      </c>
      <c r="BJ499" s="14">
        <f t="shared" si="754"/>
        <v>0</v>
      </c>
      <c r="BK499" s="14">
        <f t="shared" si="754"/>
        <v>0</v>
      </c>
      <c r="BL499" s="14">
        <f t="shared" si="754"/>
        <v>0</v>
      </c>
      <c r="BM499" s="14">
        <f t="shared" si="754"/>
        <v>0</v>
      </c>
      <c r="BN499" s="14">
        <f t="shared" si="754"/>
        <v>0</v>
      </c>
      <c r="BO499" s="14">
        <f t="shared" si="754"/>
        <v>0</v>
      </c>
      <c r="BP499" s="14">
        <f t="shared" si="754"/>
        <v>0</v>
      </c>
      <c r="BQ499" s="14">
        <f t="shared" si="754"/>
        <v>0</v>
      </c>
      <c r="BR499" s="14">
        <f t="shared" si="754"/>
        <v>0</v>
      </c>
      <c r="BS499" s="14">
        <f t="shared" si="754"/>
        <v>0</v>
      </c>
      <c r="BT499" s="14">
        <f t="shared" si="754"/>
        <v>0</v>
      </c>
      <c r="BU499" s="14">
        <f t="shared" si="754"/>
        <v>0</v>
      </c>
      <c r="BV499" s="14">
        <f t="shared" ref="BV499:DY499" si="755">+BV480</f>
        <v>0</v>
      </c>
      <c r="BW499" s="14">
        <f t="shared" si="755"/>
        <v>0</v>
      </c>
      <c r="BX499" s="14">
        <f t="shared" si="755"/>
        <v>0</v>
      </c>
      <c r="BY499" s="14">
        <f t="shared" si="755"/>
        <v>0</v>
      </c>
      <c r="BZ499" s="14">
        <f t="shared" si="755"/>
        <v>0</v>
      </c>
      <c r="CA499" s="14">
        <f t="shared" si="755"/>
        <v>0</v>
      </c>
      <c r="CB499" s="14">
        <f t="shared" si="755"/>
        <v>0</v>
      </c>
      <c r="CC499" s="14">
        <f t="shared" si="755"/>
        <v>0</v>
      </c>
      <c r="CD499" s="14">
        <f t="shared" si="755"/>
        <v>0</v>
      </c>
      <c r="CE499" s="14">
        <f t="shared" si="755"/>
        <v>0</v>
      </c>
      <c r="CF499" s="14">
        <f t="shared" ca="1" si="755"/>
        <v>-1586.3017922457088</v>
      </c>
      <c r="CG499" s="14">
        <f t="shared" ca="1" si="755"/>
        <v>0</v>
      </c>
      <c r="CH499" s="14">
        <f t="shared" ca="1" si="755"/>
        <v>0</v>
      </c>
      <c r="CI499" s="14">
        <f t="shared" ca="1" si="755"/>
        <v>0</v>
      </c>
      <c r="CJ499" s="14">
        <f t="shared" ca="1" si="755"/>
        <v>0</v>
      </c>
      <c r="CK499" s="14">
        <f t="shared" ca="1" si="755"/>
        <v>0</v>
      </c>
      <c r="CL499" s="14">
        <f t="shared" ca="1" si="755"/>
        <v>0</v>
      </c>
      <c r="CM499" s="14">
        <f t="shared" ca="1" si="755"/>
        <v>0</v>
      </c>
      <c r="CN499" s="14">
        <f t="shared" ca="1" si="755"/>
        <v>0</v>
      </c>
      <c r="CO499" s="14">
        <f t="shared" ca="1" si="755"/>
        <v>0</v>
      </c>
      <c r="CP499" s="14">
        <f t="shared" ca="1" si="755"/>
        <v>0</v>
      </c>
      <c r="CQ499" s="14">
        <f t="shared" ca="1" si="755"/>
        <v>0</v>
      </c>
      <c r="CR499" s="14">
        <f t="shared" ca="1" si="755"/>
        <v>0</v>
      </c>
      <c r="CS499" s="14">
        <f t="shared" ca="1" si="755"/>
        <v>0</v>
      </c>
      <c r="CT499" s="14">
        <f t="shared" ca="1" si="755"/>
        <v>0</v>
      </c>
      <c r="CU499" s="14">
        <f t="shared" ca="1" si="755"/>
        <v>0</v>
      </c>
      <c r="CV499" s="14">
        <f t="shared" ca="1" si="755"/>
        <v>0</v>
      </c>
      <c r="CW499" s="14">
        <f t="shared" ca="1" si="755"/>
        <v>0</v>
      </c>
      <c r="CX499" s="14">
        <f t="shared" ca="1" si="755"/>
        <v>0</v>
      </c>
      <c r="CY499" s="14">
        <f t="shared" ca="1" si="755"/>
        <v>0</v>
      </c>
      <c r="CZ499" s="14">
        <f t="shared" ca="1" si="755"/>
        <v>0</v>
      </c>
      <c r="DA499" s="14">
        <f t="shared" ca="1" si="755"/>
        <v>0</v>
      </c>
      <c r="DB499" s="14">
        <f t="shared" ca="1" si="755"/>
        <v>0</v>
      </c>
      <c r="DC499" s="14">
        <f t="shared" ca="1" si="755"/>
        <v>0</v>
      </c>
      <c r="DD499" s="14">
        <f t="shared" ca="1" si="755"/>
        <v>0</v>
      </c>
      <c r="DE499" s="14">
        <f t="shared" ca="1" si="755"/>
        <v>0</v>
      </c>
      <c r="DF499" s="14">
        <f t="shared" ca="1" si="755"/>
        <v>0</v>
      </c>
      <c r="DG499" s="14">
        <f t="shared" ca="1" si="755"/>
        <v>0</v>
      </c>
      <c r="DH499" s="14">
        <f t="shared" ca="1" si="755"/>
        <v>0</v>
      </c>
      <c r="DI499" s="14">
        <f t="shared" ca="1" si="755"/>
        <v>0</v>
      </c>
      <c r="DJ499" s="14">
        <f t="shared" ca="1" si="755"/>
        <v>0</v>
      </c>
      <c r="DK499" s="14">
        <f t="shared" ca="1" si="755"/>
        <v>0</v>
      </c>
      <c r="DL499" s="14">
        <f t="shared" ca="1" si="755"/>
        <v>0</v>
      </c>
      <c r="DM499" s="14">
        <f t="shared" ca="1" si="755"/>
        <v>0</v>
      </c>
      <c r="DN499" s="14">
        <f t="shared" ca="1" si="755"/>
        <v>0</v>
      </c>
      <c r="DO499" s="14">
        <f t="shared" ca="1" si="755"/>
        <v>0</v>
      </c>
      <c r="DP499" s="14">
        <f t="shared" ca="1" si="755"/>
        <v>0</v>
      </c>
      <c r="DQ499" s="14">
        <f t="shared" ca="1" si="755"/>
        <v>0</v>
      </c>
      <c r="DR499" s="14">
        <f t="shared" ca="1" si="755"/>
        <v>0</v>
      </c>
      <c r="DS499" s="14">
        <f t="shared" ca="1" si="755"/>
        <v>0</v>
      </c>
      <c r="DT499" s="14">
        <f t="shared" ca="1" si="755"/>
        <v>0</v>
      </c>
      <c r="DU499" s="14">
        <f t="shared" ca="1" si="755"/>
        <v>0</v>
      </c>
      <c r="DV499" s="14">
        <f t="shared" ca="1" si="755"/>
        <v>0</v>
      </c>
      <c r="DW499" s="14">
        <f t="shared" ca="1" si="755"/>
        <v>0</v>
      </c>
      <c r="DX499" s="14">
        <f t="shared" ca="1" si="755"/>
        <v>0</v>
      </c>
      <c r="DY499" s="14">
        <f t="shared" ca="1" si="755"/>
        <v>0</v>
      </c>
    </row>
    <row r="500" spans="2:129" ht="11.7" customHeight="1" outlineLevel="1" x14ac:dyDescent="0.3">
      <c r="B500" s="116" t="s">
        <v>510</v>
      </c>
      <c r="C500" s="116"/>
      <c r="D500" s="63"/>
      <c r="E500" s="63"/>
      <c r="F500" s="885"/>
      <c r="G500" s="886"/>
      <c r="H500" s="290">
        <f ca="1">+SUM(I500:DY500)</f>
        <v>-890.2637774426903</v>
      </c>
      <c r="I500" s="168">
        <f>-MIN(SUM(I$465,I$480),SUM(I496:I499))</f>
        <v>0</v>
      </c>
      <c r="J500" s="168">
        <f t="shared" ref="J500:BU500" si="756">-MIN(SUM(J$465,J$480),SUM(J496:J499))</f>
        <v>0</v>
      </c>
      <c r="K500" s="168">
        <f t="shared" si="756"/>
        <v>0</v>
      </c>
      <c r="L500" s="168">
        <f t="shared" si="756"/>
        <v>0</v>
      </c>
      <c r="M500" s="168">
        <f t="shared" si="756"/>
        <v>0</v>
      </c>
      <c r="N500" s="168">
        <f t="shared" si="756"/>
        <v>0</v>
      </c>
      <c r="O500" s="168">
        <f t="shared" si="756"/>
        <v>0</v>
      </c>
      <c r="P500" s="168">
        <f t="shared" si="756"/>
        <v>0</v>
      </c>
      <c r="Q500" s="168">
        <f t="shared" si="756"/>
        <v>0</v>
      </c>
      <c r="R500" s="168">
        <f t="shared" si="756"/>
        <v>0</v>
      </c>
      <c r="S500" s="168">
        <f t="shared" si="756"/>
        <v>0</v>
      </c>
      <c r="T500" s="168">
        <f t="shared" si="756"/>
        <v>0</v>
      </c>
      <c r="U500" s="168">
        <f t="shared" si="756"/>
        <v>0</v>
      </c>
      <c r="V500" s="168">
        <f t="shared" si="756"/>
        <v>0</v>
      </c>
      <c r="W500" s="168">
        <f t="shared" si="756"/>
        <v>0</v>
      </c>
      <c r="X500" s="168">
        <f t="shared" si="756"/>
        <v>0</v>
      </c>
      <c r="Y500" s="168">
        <f t="shared" si="756"/>
        <v>0</v>
      </c>
      <c r="Z500" s="168">
        <f t="shared" si="756"/>
        <v>0</v>
      </c>
      <c r="AA500" s="168">
        <f t="shared" si="756"/>
        <v>0</v>
      </c>
      <c r="AB500" s="168">
        <f t="shared" si="756"/>
        <v>0</v>
      </c>
      <c r="AC500" s="168">
        <f t="shared" si="756"/>
        <v>0</v>
      </c>
      <c r="AD500" s="168">
        <f t="shared" si="756"/>
        <v>0</v>
      </c>
      <c r="AE500" s="168">
        <f t="shared" si="756"/>
        <v>0</v>
      </c>
      <c r="AF500" s="168">
        <f t="shared" si="756"/>
        <v>0</v>
      </c>
      <c r="AG500" s="168">
        <f t="shared" si="756"/>
        <v>0</v>
      </c>
      <c r="AH500" s="168">
        <f t="shared" si="756"/>
        <v>0</v>
      </c>
      <c r="AI500" s="168">
        <f t="shared" si="756"/>
        <v>0</v>
      </c>
      <c r="AJ500" s="168">
        <f t="shared" si="756"/>
        <v>0</v>
      </c>
      <c r="AK500" s="168">
        <f t="shared" si="756"/>
        <v>0</v>
      </c>
      <c r="AL500" s="168">
        <f t="shared" si="756"/>
        <v>0</v>
      </c>
      <c r="AM500" s="168">
        <f t="shared" si="756"/>
        <v>0</v>
      </c>
      <c r="AN500" s="168">
        <f t="shared" si="756"/>
        <v>0</v>
      </c>
      <c r="AO500" s="168">
        <f t="shared" si="756"/>
        <v>0</v>
      </c>
      <c r="AP500" s="168">
        <f t="shared" si="756"/>
        <v>0</v>
      </c>
      <c r="AQ500" s="168">
        <f t="shared" si="756"/>
        <v>0</v>
      </c>
      <c r="AR500" s="168">
        <f t="shared" si="756"/>
        <v>0</v>
      </c>
      <c r="AS500" s="168">
        <f t="shared" si="756"/>
        <v>0</v>
      </c>
      <c r="AT500" s="168">
        <f t="shared" si="756"/>
        <v>0</v>
      </c>
      <c r="AU500" s="168">
        <f t="shared" si="756"/>
        <v>0</v>
      </c>
      <c r="AV500" s="168">
        <f t="shared" si="756"/>
        <v>0</v>
      </c>
      <c r="AW500" s="168">
        <f t="shared" si="756"/>
        <v>0</v>
      </c>
      <c r="AX500" s="168">
        <f t="shared" si="756"/>
        <v>0</v>
      </c>
      <c r="AY500" s="168">
        <f t="shared" si="756"/>
        <v>0</v>
      </c>
      <c r="AZ500" s="168">
        <f t="shared" si="756"/>
        <v>0</v>
      </c>
      <c r="BA500" s="168">
        <f t="shared" si="756"/>
        <v>0</v>
      </c>
      <c r="BB500" s="168">
        <f t="shared" si="756"/>
        <v>0</v>
      </c>
      <c r="BC500" s="168">
        <f t="shared" si="756"/>
        <v>0</v>
      </c>
      <c r="BD500" s="168">
        <f t="shared" si="756"/>
        <v>0</v>
      </c>
      <c r="BE500" s="168">
        <f t="shared" si="756"/>
        <v>0</v>
      </c>
      <c r="BF500" s="168">
        <f t="shared" si="756"/>
        <v>0</v>
      </c>
      <c r="BG500" s="168">
        <f t="shared" si="756"/>
        <v>0</v>
      </c>
      <c r="BH500" s="168">
        <f t="shared" si="756"/>
        <v>0</v>
      </c>
      <c r="BI500" s="168">
        <f t="shared" si="756"/>
        <v>0</v>
      </c>
      <c r="BJ500" s="168">
        <f t="shared" si="756"/>
        <v>0</v>
      </c>
      <c r="BK500" s="168">
        <f t="shared" si="756"/>
        <v>0</v>
      </c>
      <c r="BL500" s="168">
        <f t="shared" si="756"/>
        <v>0</v>
      </c>
      <c r="BM500" s="168">
        <f t="shared" si="756"/>
        <v>0</v>
      </c>
      <c r="BN500" s="168">
        <f t="shared" si="756"/>
        <v>0</v>
      </c>
      <c r="BO500" s="168">
        <f t="shared" si="756"/>
        <v>0</v>
      </c>
      <c r="BP500" s="168">
        <f t="shared" si="756"/>
        <v>0</v>
      </c>
      <c r="BQ500" s="168">
        <f t="shared" si="756"/>
        <v>0</v>
      </c>
      <c r="BR500" s="168">
        <f t="shared" si="756"/>
        <v>0</v>
      </c>
      <c r="BS500" s="168">
        <f t="shared" si="756"/>
        <v>0</v>
      </c>
      <c r="BT500" s="168">
        <f t="shared" si="756"/>
        <v>0</v>
      </c>
      <c r="BU500" s="168">
        <f t="shared" si="756"/>
        <v>0</v>
      </c>
      <c r="BV500" s="168">
        <f t="shared" ref="BV500:DY500" si="757">-MIN(SUM(BV$465,BV$480),SUM(BV496:BV499))</f>
        <v>0</v>
      </c>
      <c r="BW500" s="168">
        <f t="shared" si="757"/>
        <v>0</v>
      </c>
      <c r="BX500" s="168">
        <f t="shared" si="757"/>
        <v>0</v>
      </c>
      <c r="BY500" s="168">
        <f t="shared" si="757"/>
        <v>0</v>
      </c>
      <c r="BZ500" s="168">
        <f t="shared" si="757"/>
        <v>0</v>
      </c>
      <c r="CA500" s="168">
        <f t="shared" si="757"/>
        <v>0</v>
      </c>
      <c r="CB500" s="168">
        <f t="shared" si="757"/>
        <v>0</v>
      </c>
      <c r="CC500" s="168">
        <f t="shared" si="757"/>
        <v>0</v>
      </c>
      <c r="CD500" s="168">
        <f t="shared" si="757"/>
        <v>0</v>
      </c>
      <c r="CE500" s="168">
        <f t="shared" si="757"/>
        <v>0</v>
      </c>
      <c r="CF500" s="168">
        <f t="shared" ca="1" si="757"/>
        <v>-890.2637774426903</v>
      </c>
      <c r="CG500" s="168">
        <f t="shared" ca="1" si="757"/>
        <v>0</v>
      </c>
      <c r="CH500" s="168">
        <f t="shared" ca="1" si="757"/>
        <v>0</v>
      </c>
      <c r="CI500" s="168">
        <f t="shared" ca="1" si="757"/>
        <v>0</v>
      </c>
      <c r="CJ500" s="168">
        <f t="shared" ca="1" si="757"/>
        <v>0</v>
      </c>
      <c r="CK500" s="168">
        <f t="shared" ca="1" si="757"/>
        <v>0</v>
      </c>
      <c r="CL500" s="168">
        <f t="shared" ca="1" si="757"/>
        <v>0</v>
      </c>
      <c r="CM500" s="168">
        <f t="shared" ca="1" si="757"/>
        <v>0</v>
      </c>
      <c r="CN500" s="168">
        <f t="shared" ca="1" si="757"/>
        <v>0</v>
      </c>
      <c r="CO500" s="168">
        <f t="shared" ca="1" si="757"/>
        <v>0</v>
      </c>
      <c r="CP500" s="168">
        <f t="shared" ca="1" si="757"/>
        <v>0</v>
      </c>
      <c r="CQ500" s="168">
        <f t="shared" ca="1" si="757"/>
        <v>0</v>
      </c>
      <c r="CR500" s="168">
        <f t="shared" ca="1" si="757"/>
        <v>0</v>
      </c>
      <c r="CS500" s="168">
        <f t="shared" ca="1" si="757"/>
        <v>0</v>
      </c>
      <c r="CT500" s="168">
        <f t="shared" ca="1" si="757"/>
        <v>0</v>
      </c>
      <c r="CU500" s="168">
        <f t="shared" ca="1" si="757"/>
        <v>0</v>
      </c>
      <c r="CV500" s="168">
        <f t="shared" ca="1" si="757"/>
        <v>0</v>
      </c>
      <c r="CW500" s="168">
        <f t="shared" ca="1" si="757"/>
        <v>0</v>
      </c>
      <c r="CX500" s="168">
        <f t="shared" ca="1" si="757"/>
        <v>0</v>
      </c>
      <c r="CY500" s="168">
        <f t="shared" ca="1" si="757"/>
        <v>0</v>
      </c>
      <c r="CZ500" s="168">
        <f t="shared" ca="1" si="757"/>
        <v>0</v>
      </c>
      <c r="DA500" s="168">
        <f t="shared" ca="1" si="757"/>
        <v>0</v>
      </c>
      <c r="DB500" s="168">
        <f t="shared" ca="1" si="757"/>
        <v>0</v>
      </c>
      <c r="DC500" s="168">
        <f t="shared" ca="1" si="757"/>
        <v>0</v>
      </c>
      <c r="DD500" s="168">
        <f t="shared" ca="1" si="757"/>
        <v>0</v>
      </c>
      <c r="DE500" s="168">
        <f t="shared" ca="1" si="757"/>
        <v>0</v>
      </c>
      <c r="DF500" s="168">
        <f t="shared" ca="1" si="757"/>
        <v>0</v>
      </c>
      <c r="DG500" s="168">
        <f t="shared" ca="1" si="757"/>
        <v>0</v>
      </c>
      <c r="DH500" s="168">
        <f t="shared" ca="1" si="757"/>
        <v>0</v>
      </c>
      <c r="DI500" s="168">
        <f t="shared" ca="1" si="757"/>
        <v>0</v>
      </c>
      <c r="DJ500" s="168">
        <f t="shared" ca="1" si="757"/>
        <v>0</v>
      </c>
      <c r="DK500" s="168">
        <f t="shared" ca="1" si="757"/>
        <v>0</v>
      </c>
      <c r="DL500" s="168">
        <f t="shared" ca="1" si="757"/>
        <v>0</v>
      </c>
      <c r="DM500" s="168">
        <f t="shared" ca="1" si="757"/>
        <v>0</v>
      </c>
      <c r="DN500" s="168">
        <f t="shared" ca="1" si="757"/>
        <v>0</v>
      </c>
      <c r="DO500" s="168">
        <f t="shared" ca="1" si="757"/>
        <v>0</v>
      </c>
      <c r="DP500" s="168">
        <f t="shared" ca="1" si="757"/>
        <v>0</v>
      </c>
      <c r="DQ500" s="168">
        <f t="shared" ca="1" si="757"/>
        <v>0</v>
      </c>
      <c r="DR500" s="168">
        <f t="shared" ca="1" si="757"/>
        <v>0</v>
      </c>
      <c r="DS500" s="168">
        <f t="shared" ca="1" si="757"/>
        <v>0</v>
      </c>
      <c r="DT500" s="168">
        <f t="shared" ca="1" si="757"/>
        <v>0</v>
      </c>
      <c r="DU500" s="168">
        <f t="shared" ca="1" si="757"/>
        <v>0</v>
      </c>
      <c r="DV500" s="168">
        <f t="shared" ca="1" si="757"/>
        <v>0</v>
      </c>
      <c r="DW500" s="168">
        <f t="shared" ca="1" si="757"/>
        <v>0</v>
      </c>
      <c r="DX500" s="168">
        <f t="shared" ca="1" si="757"/>
        <v>0</v>
      </c>
      <c r="DY500" s="168">
        <f t="shared" ca="1" si="757"/>
        <v>0</v>
      </c>
    </row>
    <row r="501" spans="2:129" ht="11.7" customHeight="1" outlineLevel="1" x14ac:dyDescent="0.3">
      <c r="B501" s="149" t="s">
        <v>511</v>
      </c>
      <c r="C501" s="149"/>
      <c r="D501" s="3"/>
      <c r="E501" s="3"/>
      <c r="I501" s="14">
        <f>+SUM(I496:I500)</f>
        <v>1548.7691973721776</v>
      </c>
      <c r="J501" s="14">
        <f t="shared" ref="J501:BU501" si="758">+SUM(J496:J500)</f>
        <v>1557.5261635856548</v>
      </c>
      <c r="K501" s="14">
        <f t="shared" si="758"/>
        <v>1566.3326429592557</v>
      </c>
      <c r="L501" s="14">
        <f t="shared" si="758"/>
        <v>1575.1889154475862</v>
      </c>
      <c r="M501" s="14">
        <f t="shared" si="758"/>
        <v>1584.0952625881559</v>
      </c>
      <c r="N501" s="14">
        <f t="shared" si="758"/>
        <v>1593.0519675103294</v>
      </c>
      <c r="O501" s="14">
        <f t="shared" si="758"/>
        <v>1602.0593149443248</v>
      </c>
      <c r="P501" s="14">
        <f t="shared" si="758"/>
        <v>1611.117591230267</v>
      </c>
      <c r="Q501" s="14">
        <f t="shared" si="758"/>
        <v>1620.227084327289</v>
      </c>
      <c r="R501" s="14">
        <f t="shared" si="758"/>
        <v>1629.3880838226873</v>
      </c>
      <c r="S501" s="14">
        <f t="shared" si="758"/>
        <v>1638.6008809411264</v>
      </c>
      <c r="T501" s="14">
        <f t="shared" si="758"/>
        <v>1647.8657685538979</v>
      </c>
      <c r="U501" s="14">
        <f t="shared" si="758"/>
        <v>1657.1830411882299</v>
      </c>
      <c r="V501" s="14">
        <f t="shared" si="758"/>
        <v>1666.5529950366506</v>
      </c>
      <c r="W501" s="14">
        <f t="shared" si="758"/>
        <v>2021.274135190471</v>
      </c>
      <c r="X501" s="14">
        <f t="shared" si="758"/>
        <v>2032.7027130186398</v>
      </c>
      <c r="Y501" s="14">
        <f t="shared" si="758"/>
        <v>2044.1959096874202</v>
      </c>
      <c r="Z501" s="14">
        <f t="shared" si="758"/>
        <v>2055.7540905611322</v>
      </c>
      <c r="AA501" s="14">
        <f t="shared" si="758"/>
        <v>2067.3776230699182</v>
      </c>
      <c r="AB501" s="14">
        <f t="shared" si="758"/>
        <v>2079.0668767214238</v>
      </c>
      <c r="AC501" s="14">
        <f t="shared" si="758"/>
        <v>2090.8222231125455</v>
      </c>
      <c r="AD501" s="14">
        <f t="shared" si="758"/>
        <v>2102.6440359412418</v>
      </c>
      <c r="AE501" s="14">
        <f t="shared" si="758"/>
        <v>2114.532691018414</v>
      </c>
      <c r="AF501" s="14">
        <f t="shared" si="758"/>
        <v>2126.4885662798533</v>
      </c>
      <c r="AG501" s="14">
        <f t="shared" si="758"/>
        <v>2138.5120417982548</v>
      </c>
      <c r="AH501" s="14">
        <f t="shared" si="758"/>
        <v>2150.6034997952988</v>
      </c>
      <c r="AI501" s="14">
        <f t="shared" si="758"/>
        <v>2162.7633246538039</v>
      </c>
      <c r="AJ501" s="14">
        <f t="shared" si="758"/>
        <v>2174.9919029299444</v>
      </c>
      <c r="AK501" s="14">
        <f t="shared" si="758"/>
        <v>2187.2896233655397</v>
      </c>
      <c r="AL501" s="14">
        <f t="shared" si="758"/>
        <v>2199.6568769004116</v>
      </c>
      <c r="AM501" s="14">
        <f t="shared" si="758"/>
        <v>2212.0940566848121</v>
      </c>
      <c r="AN501" s="14">
        <f t="shared" si="758"/>
        <v>2224.6015580919234</v>
      </c>
      <c r="AO501" s="14">
        <f t="shared" si="758"/>
        <v>2237.1797787304235</v>
      </c>
      <c r="AP501" s="14">
        <f t="shared" si="758"/>
        <v>2104.1936149224125</v>
      </c>
      <c r="AQ501" s="14">
        <f t="shared" si="758"/>
        <v>2116.0910315444339</v>
      </c>
      <c r="AR501" s="14">
        <f t="shared" si="758"/>
        <v>2128.0557178897707</v>
      </c>
      <c r="AS501" s="14">
        <f t="shared" si="758"/>
        <v>2140.0880543112185</v>
      </c>
      <c r="AT501" s="14">
        <f t="shared" si="758"/>
        <v>2152.1884233121432</v>
      </c>
      <c r="AU501" s="14">
        <f t="shared" si="758"/>
        <v>2164.3572095586405</v>
      </c>
      <c r="AV501" s="14">
        <f t="shared" si="758"/>
        <v>2176.5947998917641</v>
      </c>
      <c r="AW501" s="14">
        <f t="shared" si="758"/>
        <v>2188.9015833398225</v>
      </c>
      <c r="AX501" s="14">
        <f t="shared" si="758"/>
        <v>2201.2779511307476</v>
      </c>
      <c r="AY501" s="14">
        <f t="shared" si="758"/>
        <v>2213.7242967045304</v>
      </c>
      <c r="AZ501" s="14">
        <f t="shared" si="758"/>
        <v>2226.2410157257291</v>
      </c>
      <c r="BA501" s="14">
        <f t="shared" si="758"/>
        <v>2238.828506096047</v>
      </c>
      <c r="BB501" s="14">
        <f t="shared" si="758"/>
        <v>2251.4871679669814</v>
      </c>
      <c r="BC501" s="14">
        <f t="shared" si="758"/>
        <v>2264.2174037525442</v>
      </c>
      <c r="BD501" s="14">
        <f t="shared" si="758"/>
        <v>2114.889509326234</v>
      </c>
      <c r="BE501" s="14">
        <f t="shared" si="758"/>
        <v>2126.8474020902627</v>
      </c>
      <c r="BF501" s="14">
        <f t="shared" si="758"/>
        <v>2138.8729065185062</v>
      </c>
      <c r="BG501" s="14">
        <f t="shared" si="758"/>
        <v>2150.966404897144</v>
      </c>
      <c r="BH501" s="14">
        <f t="shared" si="758"/>
        <v>2163.1282816738567</v>
      </c>
      <c r="BI501" s="14">
        <f t="shared" si="758"/>
        <v>2175.3589234700489</v>
      </c>
      <c r="BJ501" s="14">
        <f t="shared" si="758"/>
        <v>2187.6587190931382</v>
      </c>
      <c r="BK501" s="14">
        <f t="shared" si="758"/>
        <v>2200.0280595489157</v>
      </c>
      <c r="BL501" s="14">
        <f t="shared" si="758"/>
        <v>2212.4673380539766</v>
      </c>
      <c r="BM501" s="14">
        <f t="shared" si="758"/>
        <v>2224.9769500482194</v>
      </c>
      <c r="BN501" s="14">
        <f t="shared" si="758"/>
        <v>2237.5572932074174</v>
      </c>
      <c r="BO501" s="14">
        <f t="shared" si="758"/>
        <v>2250.2087674558611</v>
      </c>
      <c r="BP501" s="14">
        <f t="shared" si="758"/>
        <v>2262.9317749790707</v>
      </c>
      <c r="BQ501" s="14">
        <f t="shared" si="758"/>
        <v>2275.7267202365815</v>
      </c>
      <c r="BR501" s="14">
        <f t="shared" si="758"/>
        <v>2288.5940099748022</v>
      </c>
      <c r="BS501" s="14">
        <f t="shared" si="758"/>
        <v>2301.5340532399446</v>
      </c>
      <c r="BT501" s="14">
        <f t="shared" si="758"/>
        <v>2314.5472613910274</v>
      </c>
      <c r="BU501" s="14">
        <f t="shared" si="758"/>
        <v>2327.6340481129528</v>
      </c>
      <c r="BV501" s="14">
        <f t="shared" ref="BV501:DY501" si="759">+SUM(BV496:BV500)</f>
        <v>2340.794829429658</v>
      </c>
      <c r="BW501" s="14">
        <f t="shared" si="759"/>
        <v>2354.0300237173396</v>
      </c>
      <c r="BX501" s="14">
        <f t="shared" si="759"/>
        <v>2367.3400517177547</v>
      </c>
      <c r="BY501" s="14">
        <f t="shared" si="759"/>
        <v>2380.7253365515944</v>
      </c>
      <c r="BZ501" s="14">
        <f t="shared" si="759"/>
        <v>2394.1863037319363</v>
      </c>
      <c r="CA501" s="14">
        <f t="shared" si="759"/>
        <v>2407.723381177771</v>
      </c>
      <c r="CB501" s="14">
        <f t="shared" si="759"/>
        <v>2421.3369992276052</v>
      </c>
      <c r="CC501" s="14">
        <f t="shared" si="759"/>
        <v>2435.0275906531419</v>
      </c>
      <c r="CD501" s="14">
        <f t="shared" si="759"/>
        <v>2448.7955906730381</v>
      </c>
      <c r="CE501" s="14">
        <f t="shared" si="759"/>
        <v>2462.6414369667405</v>
      </c>
      <c r="CF501" s="14">
        <f t="shared" ca="1" si="759"/>
        <v>0</v>
      </c>
      <c r="CG501" s="14">
        <f t="shared" ca="1" si="759"/>
        <v>0</v>
      </c>
      <c r="CH501" s="14">
        <f t="shared" ca="1" si="759"/>
        <v>0</v>
      </c>
      <c r="CI501" s="14">
        <f t="shared" ca="1" si="759"/>
        <v>0</v>
      </c>
      <c r="CJ501" s="14">
        <f t="shared" ca="1" si="759"/>
        <v>0</v>
      </c>
      <c r="CK501" s="14">
        <f t="shared" ca="1" si="759"/>
        <v>0</v>
      </c>
      <c r="CL501" s="14">
        <f t="shared" ca="1" si="759"/>
        <v>0</v>
      </c>
      <c r="CM501" s="14">
        <f t="shared" ca="1" si="759"/>
        <v>0</v>
      </c>
      <c r="CN501" s="14">
        <f t="shared" ca="1" si="759"/>
        <v>0</v>
      </c>
      <c r="CO501" s="14">
        <f t="shared" ca="1" si="759"/>
        <v>0</v>
      </c>
      <c r="CP501" s="14">
        <f t="shared" ca="1" si="759"/>
        <v>0</v>
      </c>
      <c r="CQ501" s="14">
        <f t="shared" ca="1" si="759"/>
        <v>0</v>
      </c>
      <c r="CR501" s="14">
        <f t="shared" ca="1" si="759"/>
        <v>0</v>
      </c>
      <c r="CS501" s="14">
        <f t="shared" ca="1" si="759"/>
        <v>0</v>
      </c>
      <c r="CT501" s="14">
        <f t="shared" ca="1" si="759"/>
        <v>0</v>
      </c>
      <c r="CU501" s="14">
        <f t="shared" ca="1" si="759"/>
        <v>0</v>
      </c>
      <c r="CV501" s="14">
        <f t="shared" ca="1" si="759"/>
        <v>0</v>
      </c>
      <c r="CW501" s="14">
        <f t="shared" ca="1" si="759"/>
        <v>0</v>
      </c>
      <c r="CX501" s="14">
        <f t="shared" ca="1" si="759"/>
        <v>0</v>
      </c>
      <c r="CY501" s="14">
        <f t="shared" ca="1" si="759"/>
        <v>0</v>
      </c>
      <c r="CZ501" s="14">
        <f t="shared" ca="1" si="759"/>
        <v>0</v>
      </c>
      <c r="DA501" s="14">
        <f t="shared" ca="1" si="759"/>
        <v>0</v>
      </c>
      <c r="DB501" s="14">
        <f t="shared" ca="1" si="759"/>
        <v>0</v>
      </c>
      <c r="DC501" s="14">
        <f t="shared" ca="1" si="759"/>
        <v>0</v>
      </c>
      <c r="DD501" s="14">
        <f t="shared" ca="1" si="759"/>
        <v>0</v>
      </c>
      <c r="DE501" s="14">
        <f t="shared" ca="1" si="759"/>
        <v>0</v>
      </c>
      <c r="DF501" s="14">
        <f t="shared" ca="1" si="759"/>
        <v>0</v>
      </c>
      <c r="DG501" s="14">
        <f t="shared" ca="1" si="759"/>
        <v>0</v>
      </c>
      <c r="DH501" s="14">
        <f t="shared" ca="1" si="759"/>
        <v>0</v>
      </c>
      <c r="DI501" s="14">
        <f t="shared" ca="1" si="759"/>
        <v>0</v>
      </c>
      <c r="DJ501" s="14">
        <f t="shared" ca="1" si="759"/>
        <v>0</v>
      </c>
      <c r="DK501" s="14">
        <f t="shared" ca="1" si="759"/>
        <v>0</v>
      </c>
      <c r="DL501" s="14">
        <f t="shared" ca="1" si="759"/>
        <v>0</v>
      </c>
      <c r="DM501" s="14">
        <f t="shared" ca="1" si="759"/>
        <v>0</v>
      </c>
      <c r="DN501" s="14">
        <f t="shared" ca="1" si="759"/>
        <v>0</v>
      </c>
      <c r="DO501" s="14">
        <f t="shared" ca="1" si="759"/>
        <v>0</v>
      </c>
      <c r="DP501" s="14">
        <f t="shared" ca="1" si="759"/>
        <v>0</v>
      </c>
      <c r="DQ501" s="14">
        <f t="shared" ca="1" si="759"/>
        <v>0</v>
      </c>
      <c r="DR501" s="14">
        <f t="shared" ca="1" si="759"/>
        <v>0</v>
      </c>
      <c r="DS501" s="14">
        <f t="shared" ca="1" si="759"/>
        <v>0</v>
      </c>
      <c r="DT501" s="14">
        <f t="shared" ca="1" si="759"/>
        <v>0</v>
      </c>
      <c r="DU501" s="14">
        <f t="shared" ca="1" si="759"/>
        <v>0</v>
      </c>
      <c r="DV501" s="14">
        <f t="shared" ca="1" si="759"/>
        <v>0</v>
      </c>
      <c r="DW501" s="14">
        <f t="shared" ca="1" si="759"/>
        <v>0</v>
      </c>
      <c r="DX501" s="14">
        <f t="shared" ca="1" si="759"/>
        <v>0</v>
      </c>
      <c r="DY501" s="14">
        <f t="shared" ca="1" si="759"/>
        <v>0</v>
      </c>
    </row>
    <row r="502" spans="2:129" ht="11.7" customHeight="1" outlineLevel="1" x14ac:dyDescent="0.3">
      <c r="B502" s="149"/>
      <c r="C502" s="149"/>
      <c r="D502" s="3"/>
      <c r="E502" s="3"/>
      <c r="I502" s="14"/>
    </row>
    <row r="503" spans="2:129" ht="11.7" customHeight="1" x14ac:dyDescent="0.3">
      <c r="B503" s="149"/>
      <c r="C503" s="149"/>
      <c r="D503" s="3"/>
      <c r="E503" s="3"/>
    </row>
    <row r="504" spans="2:129" ht="11.7" customHeight="1" x14ac:dyDescent="0.3">
      <c r="B504" s="340" t="s">
        <v>656</v>
      </c>
      <c r="C504" s="340"/>
      <c r="D504" s="340"/>
      <c r="E504" s="340"/>
      <c r="F504" s="340"/>
      <c r="G504" s="340"/>
      <c r="H504" s="340"/>
      <c r="I504" s="340"/>
      <c r="J504" s="340"/>
      <c r="K504" s="340"/>
      <c r="L504" s="340"/>
      <c r="M504" s="340"/>
      <c r="N504" s="340"/>
      <c r="O504" s="340"/>
      <c r="P504" s="340"/>
      <c r="Q504" s="340"/>
      <c r="R504" s="340"/>
      <c r="S504" s="340"/>
      <c r="T504" s="340"/>
      <c r="U504" s="340"/>
      <c r="V504" s="340"/>
      <c r="W504" s="340"/>
      <c r="X504" s="340"/>
      <c r="Y504" s="340"/>
      <c r="Z504" s="340"/>
      <c r="AA504" s="340"/>
      <c r="AB504" s="340"/>
      <c r="AC504" s="340"/>
      <c r="AD504" s="340"/>
      <c r="AE504" s="340"/>
      <c r="AF504" s="340"/>
      <c r="AG504" s="340"/>
      <c r="AH504" s="340"/>
      <c r="AI504" s="340"/>
      <c r="AJ504" s="340"/>
      <c r="AK504" s="340"/>
      <c r="AL504" s="340"/>
      <c r="AM504" s="340"/>
      <c r="AN504" s="340"/>
      <c r="AO504" s="340"/>
      <c r="AP504" s="340"/>
      <c r="AQ504" s="340"/>
      <c r="AR504" s="340"/>
      <c r="AS504" s="340"/>
      <c r="AT504" s="340"/>
      <c r="AU504" s="340"/>
      <c r="AV504" s="340"/>
      <c r="AW504" s="340"/>
      <c r="AX504" s="340"/>
      <c r="AY504" s="340"/>
      <c r="AZ504" s="340"/>
      <c r="BA504" s="340"/>
      <c r="BB504" s="340"/>
      <c r="BC504" s="340"/>
      <c r="BD504" s="340"/>
      <c r="BE504" s="340"/>
      <c r="BF504" s="340"/>
      <c r="BG504" s="340"/>
      <c r="BH504" s="340"/>
      <c r="BI504" s="340"/>
      <c r="BJ504" s="340"/>
      <c r="BK504" s="340"/>
      <c r="BL504" s="340"/>
      <c r="BM504" s="340"/>
      <c r="BN504" s="340"/>
      <c r="BO504" s="340"/>
      <c r="BP504" s="340"/>
      <c r="BQ504" s="340"/>
      <c r="BR504" s="340"/>
      <c r="BS504" s="340"/>
      <c r="BT504" s="340"/>
      <c r="BU504" s="340"/>
      <c r="BV504" s="340"/>
      <c r="BW504" s="340"/>
      <c r="BX504" s="340"/>
      <c r="BY504" s="340"/>
      <c r="BZ504" s="340"/>
      <c r="CA504" s="340"/>
      <c r="CB504" s="340"/>
      <c r="CC504" s="340"/>
      <c r="CD504" s="340"/>
      <c r="CE504" s="340"/>
      <c r="CF504" s="340"/>
      <c r="CG504" s="340"/>
      <c r="CH504" s="340"/>
      <c r="CI504" s="340"/>
      <c r="CJ504" s="340"/>
      <c r="CK504" s="340"/>
      <c r="CL504" s="340"/>
      <c r="CM504" s="340"/>
      <c r="CN504" s="340"/>
      <c r="CO504" s="340"/>
      <c r="CP504" s="340"/>
      <c r="CQ504" s="340"/>
      <c r="CR504" s="340"/>
      <c r="CS504" s="340"/>
      <c r="CT504" s="340"/>
      <c r="CU504" s="340"/>
      <c r="CV504" s="340"/>
      <c r="CW504" s="340"/>
      <c r="CX504" s="340"/>
      <c r="CY504" s="340"/>
      <c r="CZ504" s="340"/>
      <c r="DA504" s="340"/>
      <c r="DB504" s="340"/>
      <c r="DC504" s="340"/>
      <c r="DD504" s="340"/>
      <c r="DE504" s="340"/>
      <c r="DF504" s="340"/>
      <c r="DG504" s="340"/>
      <c r="DH504" s="340"/>
      <c r="DI504" s="340"/>
      <c r="DJ504" s="340"/>
      <c r="DK504" s="340"/>
      <c r="DL504" s="340"/>
      <c r="DM504" s="340"/>
      <c r="DN504" s="340"/>
      <c r="DO504" s="340"/>
      <c r="DP504" s="340"/>
      <c r="DQ504" s="340"/>
      <c r="DR504" s="340"/>
      <c r="DS504" s="340"/>
      <c r="DT504" s="340"/>
      <c r="DU504" s="340"/>
      <c r="DV504" s="340"/>
      <c r="DW504" s="340"/>
      <c r="DX504" s="340"/>
      <c r="DY504" s="340"/>
    </row>
    <row r="505" spans="2:129" ht="11.7" customHeight="1" outlineLevel="1" x14ac:dyDescent="0.3">
      <c r="B505" s="270"/>
      <c r="C505" s="270"/>
      <c r="D505" s="3"/>
      <c r="E505" s="3"/>
    </row>
    <row r="506" spans="2:129" ht="11.7" customHeight="1" outlineLevel="1" x14ac:dyDescent="0.3">
      <c r="B506" s="195" t="s">
        <v>653</v>
      </c>
      <c r="C506" s="195"/>
      <c r="D506" s="3"/>
      <c r="E506" s="3"/>
    </row>
    <row r="507" spans="2:129" ht="11.7" customHeight="1" outlineLevel="1" x14ac:dyDescent="0.3">
      <c r="B507" s="152" t="s">
        <v>507</v>
      </c>
      <c r="C507" s="152"/>
      <c r="D507" s="63"/>
      <c r="E507" s="63"/>
      <c r="F507" s="885"/>
      <c r="G507" s="886"/>
      <c r="H507" s="886"/>
      <c r="I507" s="887"/>
      <c r="J507" s="887"/>
      <c r="K507" s="887"/>
      <c r="L507" s="887"/>
      <c r="M507" s="887"/>
      <c r="N507" s="887"/>
      <c r="O507" s="887"/>
      <c r="P507" s="887"/>
      <c r="Q507" s="887"/>
      <c r="R507" s="887"/>
      <c r="S507" s="887"/>
      <c r="T507" s="887"/>
      <c r="U507" s="887"/>
      <c r="V507" s="887"/>
      <c r="W507" s="887"/>
      <c r="X507" s="887"/>
      <c r="Y507" s="887"/>
      <c r="Z507" s="887"/>
      <c r="AA507" s="887"/>
      <c r="AB507" s="887"/>
      <c r="AC507" s="887"/>
      <c r="AD507" s="887"/>
      <c r="AE507" s="887"/>
      <c r="AF507" s="887"/>
      <c r="AG507" s="887"/>
      <c r="AH507" s="887"/>
      <c r="AI507" s="887"/>
      <c r="AJ507" s="887"/>
      <c r="AK507" s="887"/>
      <c r="AL507" s="887"/>
      <c r="AM507" s="887"/>
      <c r="AN507" s="887"/>
      <c r="AO507" s="887"/>
      <c r="AP507" s="887"/>
      <c r="AQ507" s="887"/>
      <c r="AR507" s="887"/>
      <c r="AS507" s="887"/>
      <c r="AT507" s="887"/>
      <c r="AU507" s="887"/>
      <c r="AV507" s="887"/>
      <c r="AW507" s="887"/>
      <c r="AX507" s="887"/>
      <c r="AY507" s="887"/>
      <c r="AZ507" s="887"/>
      <c r="BA507" s="887"/>
      <c r="BB507" s="887"/>
      <c r="BC507" s="887"/>
      <c r="BD507" s="887"/>
      <c r="BE507" s="887"/>
      <c r="BF507" s="887"/>
      <c r="BG507" s="887"/>
      <c r="BH507" s="887"/>
      <c r="BI507" s="887"/>
      <c r="BJ507" s="887"/>
      <c r="BK507" s="887"/>
      <c r="BL507" s="887"/>
      <c r="BM507" s="887"/>
      <c r="BN507" s="887"/>
      <c r="BO507" s="887"/>
      <c r="BP507" s="887"/>
      <c r="BQ507" s="887"/>
      <c r="BR507" s="887"/>
      <c r="BS507" s="887"/>
      <c r="BT507" s="887"/>
      <c r="BU507" s="887"/>
      <c r="BV507" s="887"/>
      <c r="BW507" s="887"/>
      <c r="BX507" s="887"/>
      <c r="BY507" s="887"/>
      <c r="BZ507" s="887"/>
      <c r="CA507" s="887"/>
      <c r="CB507" s="887"/>
      <c r="CC507" s="887"/>
      <c r="CD507" s="887"/>
      <c r="CE507" s="887"/>
      <c r="CF507" s="887"/>
      <c r="CG507" s="887"/>
      <c r="CH507" s="887"/>
      <c r="CI507" s="887"/>
      <c r="CJ507" s="887"/>
      <c r="CK507" s="887"/>
      <c r="CL507" s="887"/>
      <c r="CM507" s="887"/>
      <c r="CN507" s="887"/>
      <c r="CO507" s="887"/>
      <c r="CP507" s="887"/>
      <c r="CQ507" s="887"/>
      <c r="CR507" s="887"/>
      <c r="CS507" s="887"/>
      <c r="CT507" s="887"/>
      <c r="CU507" s="887"/>
      <c r="CV507" s="887"/>
      <c r="CW507" s="887"/>
      <c r="CX507" s="887"/>
      <c r="CY507" s="887"/>
      <c r="CZ507" s="887"/>
      <c r="DA507" s="887"/>
      <c r="DB507" s="887"/>
      <c r="DC507" s="887"/>
      <c r="DD507" s="887"/>
      <c r="DE507" s="887"/>
      <c r="DF507" s="887"/>
      <c r="DG507" s="887"/>
      <c r="DH507" s="887"/>
      <c r="DI507" s="887"/>
      <c r="DJ507" s="887"/>
      <c r="DK507" s="887"/>
      <c r="DL507" s="887"/>
      <c r="DM507" s="887"/>
      <c r="DN507" s="887"/>
      <c r="DO507" s="887"/>
      <c r="DP507" s="887"/>
      <c r="DQ507" s="887"/>
      <c r="DR507" s="887"/>
      <c r="DS507" s="887"/>
      <c r="DT507" s="887"/>
      <c r="DU507" s="887"/>
      <c r="DV507" s="887"/>
      <c r="DW507" s="887"/>
      <c r="DX507" s="887"/>
      <c r="DY507" s="887"/>
    </row>
    <row r="508" spans="2:129" ht="11.7" customHeight="1" outlineLevel="1" x14ac:dyDescent="0.3">
      <c r="B508" s="889" t="s">
        <v>513</v>
      </c>
      <c r="C508" s="889"/>
      <c r="D508" s="701">
        <f>1-D509</f>
        <v>0.76200000000000001</v>
      </c>
      <c r="E508" s="3"/>
      <c r="H508" s="290">
        <f ca="1">+SUM(I508:DY508)</f>
        <v>-51046.284106087798</v>
      </c>
      <c r="I508" s="14">
        <f>-MAX(SUM(I$464,I$472,I$491)*$D$508,0)</f>
        <v>0</v>
      </c>
      <c r="J508" s="14">
        <f t="shared" ref="J508:BU508" si="760">-MAX(SUM(J$464,J$472,J$491)*$D$508,0)</f>
        <v>0</v>
      </c>
      <c r="K508" s="14">
        <f t="shared" si="760"/>
        <v>0</v>
      </c>
      <c r="L508" s="14">
        <f t="shared" si="760"/>
        <v>0</v>
      </c>
      <c r="M508" s="14">
        <f t="shared" si="760"/>
        <v>0</v>
      </c>
      <c r="N508" s="14">
        <f t="shared" si="760"/>
        <v>0</v>
      </c>
      <c r="O508" s="14">
        <f t="shared" si="760"/>
        <v>0</v>
      </c>
      <c r="P508" s="14">
        <f t="shared" si="760"/>
        <v>0</v>
      </c>
      <c r="Q508" s="14">
        <f t="shared" si="760"/>
        <v>0</v>
      </c>
      <c r="R508" s="14">
        <f t="shared" si="760"/>
        <v>0</v>
      </c>
      <c r="S508" s="14">
        <f t="shared" si="760"/>
        <v>0</v>
      </c>
      <c r="T508" s="14">
        <f t="shared" si="760"/>
        <v>0</v>
      </c>
      <c r="U508" s="14">
        <f t="shared" si="760"/>
        <v>0</v>
      </c>
      <c r="V508" s="14">
        <f t="shared" si="760"/>
        <v>0</v>
      </c>
      <c r="W508" s="14">
        <f t="shared" si="760"/>
        <v>0</v>
      </c>
      <c r="X508" s="14">
        <f t="shared" si="760"/>
        <v>0</v>
      </c>
      <c r="Y508" s="14">
        <f t="shared" si="760"/>
        <v>0</v>
      </c>
      <c r="Z508" s="14">
        <f t="shared" si="760"/>
        <v>0</v>
      </c>
      <c r="AA508" s="14">
        <f t="shared" si="760"/>
        <v>0</v>
      </c>
      <c r="AB508" s="14">
        <f t="shared" si="760"/>
        <v>0</v>
      </c>
      <c r="AC508" s="14">
        <f t="shared" si="760"/>
        <v>0</v>
      </c>
      <c r="AD508" s="14">
        <f t="shared" si="760"/>
        <v>0</v>
      </c>
      <c r="AE508" s="14">
        <f t="shared" si="760"/>
        <v>0</v>
      </c>
      <c r="AF508" s="14">
        <f t="shared" si="760"/>
        <v>0</v>
      </c>
      <c r="AG508" s="14">
        <f t="shared" si="760"/>
        <v>0</v>
      </c>
      <c r="AH508" s="14">
        <f t="shared" si="760"/>
        <v>0</v>
      </c>
      <c r="AI508" s="14">
        <f t="shared" si="760"/>
        <v>0</v>
      </c>
      <c r="AJ508" s="14">
        <f t="shared" si="760"/>
        <v>0</v>
      </c>
      <c r="AK508" s="14">
        <f t="shared" si="760"/>
        <v>0</v>
      </c>
      <c r="AL508" s="14">
        <f t="shared" si="760"/>
        <v>0</v>
      </c>
      <c r="AM508" s="14">
        <f t="shared" si="760"/>
        <v>0</v>
      </c>
      <c r="AN508" s="14">
        <f t="shared" si="760"/>
        <v>0</v>
      </c>
      <c r="AO508" s="14">
        <f t="shared" si="760"/>
        <v>0</v>
      </c>
      <c r="AP508" s="14">
        <f t="shared" si="760"/>
        <v>0</v>
      </c>
      <c r="AQ508" s="14">
        <f t="shared" si="760"/>
        <v>0</v>
      </c>
      <c r="AR508" s="14">
        <f t="shared" si="760"/>
        <v>0</v>
      </c>
      <c r="AS508" s="14">
        <f t="shared" si="760"/>
        <v>0</v>
      </c>
      <c r="AT508" s="14">
        <f t="shared" si="760"/>
        <v>0</v>
      </c>
      <c r="AU508" s="14">
        <f t="shared" si="760"/>
        <v>0</v>
      </c>
      <c r="AV508" s="14">
        <f t="shared" si="760"/>
        <v>0</v>
      </c>
      <c r="AW508" s="14">
        <f t="shared" si="760"/>
        <v>0</v>
      </c>
      <c r="AX508" s="14">
        <f t="shared" si="760"/>
        <v>0</v>
      </c>
      <c r="AY508" s="14">
        <f t="shared" si="760"/>
        <v>0</v>
      </c>
      <c r="AZ508" s="14">
        <f t="shared" si="760"/>
        <v>0</v>
      </c>
      <c r="BA508" s="14">
        <f t="shared" si="760"/>
        <v>0</v>
      </c>
      <c r="BB508" s="14">
        <f t="shared" si="760"/>
        <v>0</v>
      </c>
      <c r="BC508" s="14">
        <f t="shared" si="760"/>
        <v>0</v>
      </c>
      <c r="BD508" s="14">
        <f t="shared" si="760"/>
        <v>0</v>
      </c>
      <c r="BE508" s="14">
        <f t="shared" si="760"/>
        <v>0</v>
      </c>
      <c r="BF508" s="14">
        <f t="shared" si="760"/>
        <v>0</v>
      </c>
      <c r="BG508" s="14">
        <f t="shared" si="760"/>
        <v>0</v>
      </c>
      <c r="BH508" s="14">
        <f t="shared" si="760"/>
        <v>0</v>
      </c>
      <c r="BI508" s="14">
        <f t="shared" si="760"/>
        <v>0</v>
      </c>
      <c r="BJ508" s="14">
        <f t="shared" si="760"/>
        <v>0</v>
      </c>
      <c r="BK508" s="14">
        <f t="shared" si="760"/>
        <v>0</v>
      </c>
      <c r="BL508" s="14">
        <f t="shared" si="760"/>
        <v>0</v>
      </c>
      <c r="BM508" s="14">
        <f t="shared" si="760"/>
        <v>0</v>
      </c>
      <c r="BN508" s="14">
        <f t="shared" si="760"/>
        <v>0</v>
      </c>
      <c r="BO508" s="14">
        <f t="shared" si="760"/>
        <v>0</v>
      </c>
      <c r="BP508" s="14">
        <f t="shared" si="760"/>
        <v>0</v>
      </c>
      <c r="BQ508" s="14">
        <f t="shared" si="760"/>
        <v>0</v>
      </c>
      <c r="BR508" s="14">
        <f t="shared" si="760"/>
        <v>0</v>
      </c>
      <c r="BS508" s="14">
        <f t="shared" si="760"/>
        <v>0</v>
      </c>
      <c r="BT508" s="14">
        <f t="shared" si="760"/>
        <v>0</v>
      </c>
      <c r="BU508" s="14">
        <f t="shared" si="760"/>
        <v>0</v>
      </c>
      <c r="BV508" s="14">
        <f t="shared" ref="BV508:DY508" si="761">-MAX(SUM(BV$464,BV$472,BV$491)*$D$508,0)</f>
        <v>0</v>
      </c>
      <c r="BW508" s="14">
        <f t="shared" si="761"/>
        <v>0</v>
      </c>
      <c r="BX508" s="14">
        <f t="shared" si="761"/>
        <v>0</v>
      </c>
      <c r="BY508" s="14">
        <f t="shared" si="761"/>
        <v>0</v>
      </c>
      <c r="BZ508" s="14">
        <f t="shared" si="761"/>
        <v>0</v>
      </c>
      <c r="CA508" s="14">
        <f t="shared" si="761"/>
        <v>0</v>
      </c>
      <c r="CB508" s="14">
        <f t="shared" si="761"/>
        <v>0</v>
      </c>
      <c r="CC508" s="14">
        <f t="shared" si="761"/>
        <v>0</v>
      </c>
      <c r="CD508" s="14">
        <f t="shared" si="761"/>
        <v>0</v>
      </c>
      <c r="CE508" s="14">
        <f t="shared" si="761"/>
        <v>0</v>
      </c>
      <c r="CF508" s="14">
        <f t="shared" ca="1" si="761"/>
        <v>-43447.494260831292</v>
      </c>
      <c r="CG508" s="14">
        <f t="shared" ca="1" si="761"/>
        <v>-7598.7898452565096</v>
      </c>
      <c r="CH508" s="14">
        <f t="shared" ca="1" si="761"/>
        <v>0</v>
      </c>
      <c r="CI508" s="14">
        <f t="shared" ca="1" si="761"/>
        <v>0</v>
      </c>
      <c r="CJ508" s="14">
        <f t="shared" ca="1" si="761"/>
        <v>0</v>
      </c>
      <c r="CK508" s="14">
        <f t="shared" ca="1" si="761"/>
        <v>0</v>
      </c>
      <c r="CL508" s="14">
        <f t="shared" ca="1" si="761"/>
        <v>0</v>
      </c>
      <c r="CM508" s="14">
        <f t="shared" ca="1" si="761"/>
        <v>0</v>
      </c>
      <c r="CN508" s="14">
        <f t="shared" ca="1" si="761"/>
        <v>0</v>
      </c>
      <c r="CO508" s="14">
        <f t="shared" ca="1" si="761"/>
        <v>0</v>
      </c>
      <c r="CP508" s="14">
        <f t="shared" ca="1" si="761"/>
        <v>0</v>
      </c>
      <c r="CQ508" s="14">
        <f t="shared" ca="1" si="761"/>
        <v>0</v>
      </c>
      <c r="CR508" s="14">
        <f t="shared" ca="1" si="761"/>
        <v>0</v>
      </c>
      <c r="CS508" s="14">
        <f t="shared" ca="1" si="761"/>
        <v>0</v>
      </c>
      <c r="CT508" s="14">
        <f t="shared" ca="1" si="761"/>
        <v>0</v>
      </c>
      <c r="CU508" s="14">
        <f t="shared" ca="1" si="761"/>
        <v>0</v>
      </c>
      <c r="CV508" s="14">
        <f t="shared" ca="1" si="761"/>
        <v>0</v>
      </c>
      <c r="CW508" s="14">
        <f t="shared" ca="1" si="761"/>
        <v>0</v>
      </c>
      <c r="CX508" s="14">
        <f t="shared" ca="1" si="761"/>
        <v>0</v>
      </c>
      <c r="CY508" s="14">
        <f t="shared" ca="1" si="761"/>
        <v>0</v>
      </c>
      <c r="CZ508" s="14">
        <f t="shared" ca="1" si="761"/>
        <v>0</v>
      </c>
      <c r="DA508" s="14">
        <f t="shared" ca="1" si="761"/>
        <v>0</v>
      </c>
      <c r="DB508" s="14">
        <f t="shared" ca="1" si="761"/>
        <v>0</v>
      </c>
      <c r="DC508" s="14">
        <f t="shared" ca="1" si="761"/>
        <v>0</v>
      </c>
      <c r="DD508" s="14">
        <f t="shared" ca="1" si="761"/>
        <v>0</v>
      </c>
      <c r="DE508" s="14">
        <f t="shared" ca="1" si="761"/>
        <v>0</v>
      </c>
      <c r="DF508" s="14">
        <f t="shared" ca="1" si="761"/>
        <v>0</v>
      </c>
      <c r="DG508" s="14">
        <f t="shared" ca="1" si="761"/>
        <v>0</v>
      </c>
      <c r="DH508" s="14">
        <f t="shared" ca="1" si="761"/>
        <v>0</v>
      </c>
      <c r="DI508" s="14">
        <f t="shared" ca="1" si="761"/>
        <v>0</v>
      </c>
      <c r="DJ508" s="14">
        <f t="shared" ca="1" si="761"/>
        <v>0</v>
      </c>
      <c r="DK508" s="14">
        <f t="shared" ca="1" si="761"/>
        <v>0</v>
      </c>
      <c r="DL508" s="14">
        <f t="shared" ca="1" si="761"/>
        <v>0</v>
      </c>
      <c r="DM508" s="14">
        <f t="shared" ca="1" si="761"/>
        <v>0</v>
      </c>
      <c r="DN508" s="14">
        <f t="shared" ca="1" si="761"/>
        <v>0</v>
      </c>
      <c r="DO508" s="14">
        <f t="shared" ca="1" si="761"/>
        <v>0</v>
      </c>
      <c r="DP508" s="14">
        <f t="shared" ca="1" si="761"/>
        <v>0</v>
      </c>
      <c r="DQ508" s="14">
        <f t="shared" ca="1" si="761"/>
        <v>0</v>
      </c>
      <c r="DR508" s="14">
        <f t="shared" ca="1" si="761"/>
        <v>0</v>
      </c>
      <c r="DS508" s="14">
        <f t="shared" ca="1" si="761"/>
        <v>0</v>
      </c>
      <c r="DT508" s="14">
        <f t="shared" ca="1" si="761"/>
        <v>0</v>
      </c>
      <c r="DU508" s="14">
        <f t="shared" ca="1" si="761"/>
        <v>0</v>
      </c>
      <c r="DV508" s="14">
        <f t="shared" ca="1" si="761"/>
        <v>0</v>
      </c>
      <c r="DW508" s="14">
        <f t="shared" ca="1" si="761"/>
        <v>0</v>
      </c>
      <c r="DX508" s="14">
        <f t="shared" ca="1" si="761"/>
        <v>0</v>
      </c>
      <c r="DY508" s="14">
        <f t="shared" ca="1" si="761"/>
        <v>0</v>
      </c>
    </row>
    <row r="509" spans="2:129" ht="11.7" customHeight="1" outlineLevel="1" x14ac:dyDescent="0.3">
      <c r="B509" s="890" t="s">
        <v>514</v>
      </c>
      <c r="C509" s="890"/>
      <c r="D509" s="874">
        <v>0.23799999999999999</v>
      </c>
      <c r="E509" s="892"/>
      <c r="F509" s="885"/>
      <c r="G509" s="886"/>
      <c r="H509" s="308">
        <f ca="1">+SUM(I509:DY509)</f>
        <v>-15943.590048883065</v>
      </c>
      <c r="I509" s="168">
        <f>-MAX(SUM(I$464,I$472,I$491)*$D$509,0)</f>
        <v>0</v>
      </c>
      <c r="J509" s="168">
        <f t="shared" ref="J509:BU509" si="762">-MAX(SUM(J$464,J$472,J$491)*$D$509,0)</f>
        <v>0</v>
      </c>
      <c r="K509" s="168">
        <f t="shared" si="762"/>
        <v>0</v>
      </c>
      <c r="L509" s="168">
        <f t="shared" si="762"/>
        <v>0</v>
      </c>
      <c r="M509" s="168">
        <f t="shared" si="762"/>
        <v>0</v>
      </c>
      <c r="N509" s="168">
        <f t="shared" si="762"/>
        <v>0</v>
      </c>
      <c r="O509" s="168">
        <f t="shared" si="762"/>
        <v>0</v>
      </c>
      <c r="P509" s="168">
        <f t="shared" si="762"/>
        <v>0</v>
      </c>
      <c r="Q509" s="168">
        <f t="shared" si="762"/>
        <v>0</v>
      </c>
      <c r="R509" s="168">
        <f t="shared" si="762"/>
        <v>0</v>
      </c>
      <c r="S509" s="168">
        <f t="shared" si="762"/>
        <v>0</v>
      </c>
      <c r="T509" s="168">
        <f t="shared" si="762"/>
        <v>0</v>
      </c>
      <c r="U509" s="168">
        <f t="shared" si="762"/>
        <v>0</v>
      </c>
      <c r="V509" s="168">
        <f t="shared" si="762"/>
        <v>0</v>
      </c>
      <c r="W509" s="168">
        <f t="shared" si="762"/>
        <v>0</v>
      </c>
      <c r="X509" s="168">
        <f t="shared" si="762"/>
        <v>0</v>
      </c>
      <c r="Y509" s="168">
        <f t="shared" si="762"/>
        <v>0</v>
      </c>
      <c r="Z509" s="168">
        <f t="shared" si="762"/>
        <v>0</v>
      </c>
      <c r="AA509" s="168">
        <f t="shared" si="762"/>
        <v>0</v>
      </c>
      <c r="AB509" s="168">
        <f t="shared" si="762"/>
        <v>0</v>
      </c>
      <c r="AC509" s="168">
        <f t="shared" si="762"/>
        <v>0</v>
      </c>
      <c r="AD509" s="168">
        <f t="shared" si="762"/>
        <v>0</v>
      </c>
      <c r="AE509" s="168">
        <f t="shared" si="762"/>
        <v>0</v>
      </c>
      <c r="AF509" s="168">
        <f t="shared" si="762"/>
        <v>0</v>
      </c>
      <c r="AG509" s="168">
        <f t="shared" si="762"/>
        <v>0</v>
      </c>
      <c r="AH509" s="168">
        <f t="shared" si="762"/>
        <v>0</v>
      </c>
      <c r="AI509" s="168">
        <f t="shared" si="762"/>
        <v>0</v>
      </c>
      <c r="AJ509" s="168">
        <f t="shared" si="762"/>
        <v>0</v>
      </c>
      <c r="AK509" s="168">
        <f t="shared" si="762"/>
        <v>0</v>
      </c>
      <c r="AL509" s="168">
        <f t="shared" si="762"/>
        <v>0</v>
      </c>
      <c r="AM509" s="168">
        <f t="shared" si="762"/>
        <v>0</v>
      </c>
      <c r="AN509" s="168">
        <f t="shared" si="762"/>
        <v>0</v>
      </c>
      <c r="AO509" s="168">
        <f t="shared" si="762"/>
        <v>0</v>
      </c>
      <c r="AP509" s="168">
        <f t="shared" si="762"/>
        <v>0</v>
      </c>
      <c r="AQ509" s="168">
        <f t="shared" si="762"/>
        <v>0</v>
      </c>
      <c r="AR509" s="168">
        <f t="shared" si="762"/>
        <v>0</v>
      </c>
      <c r="AS509" s="168">
        <f t="shared" si="762"/>
        <v>0</v>
      </c>
      <c r="AT509" s="168">
        <f t="shared" si="762"/>
        <v>0</v>
      </c>
      <c r="AU509" s="168">
        <f t="shared" si="762"/>
        <v>0</v>
      </c>
      <c r="AV509" s="168">
        <f t="shared" si="762"/>
        <v>0</v>
      </c>
      <c r="AW509" s="168">
        <f t="shared" si="762"/>
        <v>0</v>
      </c>
      <c r="AX509" s="168">
        <f t="shared" si="762"/>
        <v>0</v>
      </c>
      <c r="AY509" s="168">
        <f t="shared" si="762"/>
        <v>0</v>
      </c>
      <c r="AZ509" s="168">
        <f t="shared" si="762"/>
        <v>0</v>
      </c>
      <c r="BA509" s="168">
        <f t="shared" si="762"/>
        <v>0</v>
      </c>
      <c r="BB509" s="168">
        <f t="shared" si="762"/>
        <v>0</v>
      </c>
      <c r="BC509" s="168">
        <f t="shared" si="762"/>
        <v>0</v>
      </c>
      <c r="BD509" s="168">
        <f t="shared" si="762"/>
        <v>0</v>
      </c>
      <c r="BE509" s="168">
        <f t="shared" si="762"/>
        <v>0</v>
      </c>
      <c r="BF509" s="168">
        <f t="shared" si="762"/>
        <v>0</v>
      </c>
      <c r="BG509" s="168">
        <f t="shared" si="762"/>
        <v>0</v>
      </c>
      <c r="BH509" s="168">
        <f t="shared" si="762"/>
        <v>0</v>
      </c>
      <c r="BI509" s="168">
        <f t="shared" si="762"/>
        <v>0</v>
      </c>
      <c r="BJ509" s="168">
        <f t="shared" si="762"/>
        <v>0</v>
      </c>
      <c r="BK509" s="168">
        <f t="shared" si="762"/>
        <v>0</v>
      </c>
      <c r="BL509" s="168">
        <f t="shared" si="762"/>
        <v>0</v>
      </c>
      <c r="BM509" s="168">
        <f t="shared" si="762"/>
        <v>0</v>
      </c>
      <c r="BN509" s="168">
        <f t="shared" si="762"/>
        <v>0</v>
      </c>
      <c r="BO509" s="168">
        <f t="shared" si="762"/>
        <v>0</v>
      </c>
      <c r="BP509" s="168">
        <f t="shared" si="762"/>
        <v>0</v>
      </c>
      <c r="BQ509" s="168">
        <f t="shared" si="762"/>
        <v>0</v>
      </c>
      <c r="BR509" s="168">
        <f t="shared" si="762"/>
        <v>0</v>
      </c>
      <c r="BS509" s="168">
        <f t="shared" si="762"/>
        <v>0</v>
      </c>
      <c r="BT509" s="168">
        <f t="shared" si="762"/>
        <v>0</v>
      </c>
      <c r="BU509" s="168">
        <f t="shared" si="762"/>
        <v>0</v>
      </c>
      <c r="BV509" s="168">
        <f t="shared" ref="BV509:DY509" si="763">-MAX(SUM(BV$464,BV$472,BV$491)*$D$509,0)</f>
        <v>0</v>
      </c>
      <c r="BW509" s="168">
        <f t="shared" si="763"/>
        <v>0</v>
      </c>
      <c r="BX509" s="168">
        <f t="shared" si="763"/>
        <v>0</v>
      </c>
      <c r="BY509" s="168">
        <f t="shared" si="763"/>
        <v>0</v>
      </c>
      <c r="BZ509" s="168">
        <f t="shared" si="763"/>
        <v>0</v>
      </c>
      <c r="CA509" s="168">
        <f t="shared" si="763"/>
        <v>0</v>
      </c>
      <c r="CB509" s="168">
        <f t="shared" si="763"/>
        <v>0</v>
      </c>
      <c r="CC509" s="168">
        <f t="shared" si="763"/>
        <v>0</v>
      </c>
      <c r="CD509" s="168">
        <f t="shared" si="763"/>
        <v>0</v>
      </c>
      <c r="CE509" s="168">
        <f t="shared" si="763"/>
        <v>0</v>
      </c>
      <c r="CF509" s="168">
        <f t="shared" ca="1" si="763"/>
        <v>-13570.214742884313</v>
      </c>
      <c r="CG509" s="168">
        <f t="shared" ca="1" si="763"/>
        <v>-2373.3753059987521</v>
      </c>
      <c r="CH509" s="168">
        <f t="shared" ca="1" si="763"/>
        <v>0</v>
      </c>
      <c r="CI509" s="168">
        <f t="shared" ca="1" si="763"/>
        <v>0</v>
      </c>
      <c r="CJ509" s="168">
        <f t="shared" ca="1" si="763"/>
        <v>0</v>
      </c>
      <c r="CK509" s="168">
        <f t="shared" ca="1" si="763"/>
        <v>0</v>
      </c>
      <c r="CL509" s="168">
        <f t="shared" ca="1" si="763"/>
        <v>0</v>
      </c>
      <c r="CM509" s="168">
        <f t="shared" ca="1" si="763"/>
        <v>0</v>
      </c>
      <c r="CN509" s="168">
        <f t="shared" ca="1" si="763"/>
        <v>0</v>
      </c>
      <c r="CO509" s="168">
        <f t="shared" ca="1" si="763"/>
        <v>0</v>
      </c>
      <c r="CP509" s="168">
        <f t="shared" ca="1" si="763"/>
        <v>0</v>
      </c>
      <c r="CQ509" s="168">
        <f t="shared" ca="1" si="763"/>
        <v>0</v>
      </c>
      <c r="CR509" s="168">
        <f t="shared" ca="1" si="763"/>
        <v>0</v>
      </c>
      <c r="CS509" s="168">
        <f t="shared" ca="1" si="763"/>
        <v>0</v>
      </c>
      <c r="CT509" s="168">
        <f t="shared" ca="1" si="763"/>
        <v>0</v>
      </c>
      <c r="CU509" s="168">
        <f t="shared" ca="1" si="763"/>
        <v>0</v>
      </c>
      <c r="CV509" s="168">
        <f t="shared" ca="1" si="763"/>
        <v>0</v>
      </c>
      <c r="CW509" s="168">
        <f t="shared" ca="1" si="763"/>
        <v>0</v>
      </c>
      <c r="CX509" s="168">
        <f t="shared" ca="1" si="763"/>
        <v>0</v>
      </c>
      <c r="CY509" s="168">
        <f t="shared" ca="1" si="763"/>
        <v>0</v>
      </c>
      <c r="CZ509" s="168">
        <f t="shared" ca="1" si="763"/>
        <v>0</v>
      </c>
      <c r="DA509" s="168">
        <f t="shared" ca="1" si="763"/>
        <v>0</v>
      </c>
      <c r="DB509" s="168">
        <f t="shared" ca="1" si="763"/>
        <v>0</v>
      </c>
      <c r="DC509" s="168">
        <f t="shared" ca="1" si="763"/>
        <v>0</v>
      </c>
      <c r="DD509" s="168">
        <f t="shared" ca="1" si="763"/>
        <v>0</v>
      </c>
      <c r="DE509" s="168">
        <f t="shared" ca="1" si="763"/>
        <v>0</v>
      </c>
      <c r="DF509" s="168">
        <f t="shared" ca="1" si="763"/>
        <v>0</v>
      </c>
      <c r="DG509" s="168">
        <f t="shared" ca="1" si="763"/>
        <v>0</v>
      </c>
      <c r="DH509" s="168">
        <f t="shared" ca="1" si="763"/>
        <v>0</v>
      </c>
      <c r="DI509" s="168">
        <f t="shared" ca="1" si="763"/>
        <v>0</v>
      </c>
      <c r="DJ509" s="168">
        <f t="shared" ca="1" si="763"/>
        <v>0</v>
      </c>
      <c r="DK509" s="168">
        <f t="shared" ca="1" si="763"/>
        <v>0</v>
      </c>
      <c r="DL509" s="168">
        <f t="shared" ca="1" si="763"/>
        <v>0</v>
      </c>
      <c r="DM509" s="168">
        <f t="shared" ca="1" si="763"/>
        <v>0</v>
      </c>
      <c r="DN509" s="168">
        <f t="shared" ca="1" si="763"/>
        <v>0</v>
      </c>
      <c r="DO509" s="168">
        <f t="shared" ca="1" si="763"/>
        <v>0</v>
      </c>
      <c r="DP509" s="168">
        <f t="shared" ca="1" si="763"/>
        <v>0</v>
      </c>
      <c r="DQ509" s="168">
        <f t="shared" ca="1" si="763"/>
        <v>0</v>
      </c>
      <c r="DR509" s="168">
        <f t="shared" ca="1" si="763"/>
        <v>0</v>
      </c>
      <c r="DS509" s="168">
        <f t="shared" ca="1" si="763"/>
        <v>0</v>
      </c>
      <c r="DT509" s="168">
        <f t="shared" ca="1" si="763"/>
        <v>0</v>
      </c>
      <c r="DU509" s="168">
        <f t="shared" ca="1" si="763"/>
        <v>0</v>
      </c>
      <c r="DV509" s="168">
        <f t="shared" ca="1" si="763"/>
        <v>0</v>
      </c>
      <c r="DW509" s="168">
        <f t="shared" ca="1" si="763"/>
        <v>0</v>
      </c>
      <c r="DX509" s="168">
        <f t="shared" ca="1" si="763"/>
        <v>0</v>
      </c>
      <c r="DY509" s="168">
        <f t="shared" ca="1" si="763"/>
        <v>0</v>
      </c>
    </row>
    <row r="510" spans="2:129" ht="11.7" customHeight="1" outlineLevel="1" x14ac:dyDescent="0.3">
      <c r="B510" s="149" t="s">
        <v>511</v>
      </c>
      <c r="C510" s="149"/>
      <c r="D510" s="3"/>
      <c r="E510" s="3"/>
      <c r="H510" s="290">
        <f ca="1">+SUM(I510:DY510)</f>
        <v>-66989.874154970865</v>
      </c>
      <c r="I510" s="14">
        <f t="shared" ref="I510:BT510" si="764">+SUM(I507:I509)</f>
        <v>0</v>
      </c>
      <c r="J510" s="14">
        <f t="shared" si="764"/>
        <v>0</v>
      </c>
      <c r="K510" s="14">
        <f t="shared" si="764"/>
        <v>0</v>
      </c>
      <c r="L510" s="14">
        <f t="shared" si="764"/>
        <v>0</v>
      </c>
      <c r="M510" s="14">
        <f t="shared" si="764"/>
        <v>0</v>
      </c>
      <c r="N510" s="14">
        <f t="shared" si="764"/>
        <v>0</v>
      </c>
      <c r="O510" s="14">
        <f t="shared" si="764"/>
        <v>0</v>
      </c>
      <c r="P510" s="14">
        <f t="shared" si="764"/>
        <v>0</v>
      </c>
      <c r="Q510" s="14">
        <f t="shared" si="764"/>
        <v>0</v>
      </c>
      <c r="R510" s="14">
        <f t="shared" si="764"/>
        <v>0</v>
      </c>
      <c r="S510" s="14">
        <f t="shared" si="764"/>
        <v>0</v>
      </c>
      <c r="T510" s="14">
        <f t="shared" si="764"/>
        <v>0</v>
      </c>
      <c r="U510" s="14">
        <f t="shared" si="764"/>
        <v>0</v>
      </c>
      <c r="V510" s="14">
        <f t="shared" si="764"/>
        <v>0</v>
      </c>
      <c r="W510" s="14">
        <f t="shared" si="764"/>
        <v>0</v>
      </c>
      <c r="X510" s="14">
        <f t="shared" si="764"/>
        <v>0</v>
      </c>
      <c r="Y510" s="14">
        <f t="shared" si="764"/>
        <v>0</v>
      </c>
      <c r="Z510" s="14">
        <f t="shared" si="764"/>
        <v>0</v>
      </c>
      <c r="AA510" s="14">
        <f t="shared" si="764"/>
        <v>0</v>
      </c>
      <c r="AB510" s="14">
        <f t="shared" si="764"/>
        <v>0</v>
      </c>
      <c r="AC510" s="14">
        <f t="shared" si="764"/>
        <v>0</v>
      </c>
      <c r="AD510" s="14">
        <f t="shared" si="764"/>
        <v>0</v>
      </c>
      <c r="AE510" s="14">
        <f t="shared" si="764"/>
        <v>0</v>
      </c>
      <c r="AF510" s="14">
        <f t="shared" si="764"/>
        <v>0</v>
      </c>
      <c r="AG510" s="14">
        <f t="shared" si="764"/>
        <v>0</v>
      </c>
      <c r="AH510" s="14">
        <f t="shared" si="764"/>
        <v>0</v>
      </c>
      <c r="AI510" s="14">
        <f t="shared" si="764"/>
        <v>0</v>
      </c>
      <c r="AJ510" s="14">
        <f t="shared" si="764"/>
        <v>0</v>
      </c>
      <c r="AK510" s="14">
        <f t="shared" si="764"/>
        <v>0</v>
      </c>
      <c r="AL510" s="14">
        <f t="shared" si="764"/>
        <v>0</v>
      </c>
      <c r="AM510" s="14">
        <f t="shared" si="764"/>
        <v>0</v>
      </c>
      <c r="AN510" s="14">
        <f t="shared" si="764"/>
        <v>0</v>
      </c>
      <c r="AO510" s="14">
        <f t="shared" si="764"/>
        <v>0</v>
      </c>
      <c r="AP510" s="14">
        <f t="shared" si="764"/>
        <v>0</v>
      </c>
      <c r="AQ510" s="14">
        <f t="shared" si="764"/>
        <v>0</v>
      </c>
      <c r="AR510" s="14">
        <f t="shared" si="764"/>
        <v>0</v>
      </c>
      <c r="AS510" s="14">
        <f t="shared" si="764"/>
        <v>0</v>
      </c>
      <c r="AT510" s="14">
        <f t="shared" si="764"/>
        <v>0</v>
      </c>
      <c r="AU510" s="14">
        <f t="shared" si="764"/>
        <v>0</v>
      </c>
      <c r="AV510" s="14">
        <f t="shared" si="764"/>
        <v>0</v>
      </c>
      <c r="AW510" s="14">
        <f t="shared" si="764"/>
        <v>0</v>
      </c>
      <c r="AX510" s="14">
        <f t="shared" si="764"/>
        <v>0</v>
      </c>
      <c r="AY510" s="14">
        <f t="shared" si="764"/>
        <v>0</v>
      </c>
      <c r="AZ510" s="14">
        <f t="shared" si="764"/>
        <v>0</v>
      </c>
      <c r="BA510" s="14">
        <f t="shared" si="764"/>
        <v>0</v>
      </c>
      <c r="BB510" s="14">
        <f t="shared" si="764"/>
        <v>0</v>
      </c>
      <c r="BC510" s="14">
        <f t="shared" si="764"/>
        <v>0</v>
      </c>
      <c r="BD510" s="14">
        <f t="shared" si="764"/>
        <v>0</v>
      </c>
      <c r="BE510" s="14">
        <f t="shared" si="764"/>
        <v>0</v>
      </c>
      <c r="BF510" s="14">
        <f t="shared" si="764"/>
        <v>0</v>
      </c>
      <c r="BG510" s="14">
        <f t="shared" si="764"/>
        <v>0</v>
      </c>
      <c r="BH510" s="14">
        <f t="shared" si="764"/>
        <v>0</v>
      </c>
      <c r="BI510" s="14">
        <f t="shared" si="764"/>
        <v>0</v>
      </c>
      <c r="BJ510" s="14">
        <f t="shared" si="764"/>
        <v>0</v>
      </c>
      <c r="BK510" s="14">
        <f t="shared" si="764"/>
        <v>0</v>
      </c>
      <c r="BL510" s="14">
        <f t="shared" si="764"/>
        <v>0</v>
      </c>
      <c r="BM510" s="14">
        <f t="shared" si="764"/>
        <v>0</v>
      </c>
      <c r="BN510" s="14">
        <f t="shared" si="764"/>
        <v>0</v>
      </c>
      <c r="BO510" s="14">
        <f t="shared" si="764"/>
        <v>0</v>
      </c>
      <c r="BP510" s="14">
        <f t="shared" si="764"/>
        <v>0</v>
      </c>
      <c r="BQ510" s="14">
        <f t="shared" si="764"/>
        <v>0</v>
      </c>
      <c r="BR510" s="14">
        <f t="shared" si="764"/>
        <v>0</v>
      </c>
      <c r="BS510" s="14">
        <f t="shared" si="764"/>
        <v>0</v>
      </c>
      <c r="BT510" s="14">
        <f t="shared" si="764"/>
        <v>0</v>
      </c>
      <c r="BU510" s="14">
        <f t="shared" ref="BU510:DY510" si="765">+SUM(BU507:BU509)</f>
        <v>0</v>
      </c>
      <c r="BV510" s="14">
        <f t="shared" si="765"/>
        <v>0</v>
      </c>
      <c r="BW510" s="14">
        <f t="shared" si="765"/>
        <v>0</v>
      </c>
      <c r="BX510" s="14">
        <f t="shared" si="765"/>
        <v>0</v>
      </c>
      <c r="BY510" s="14">
        <f t="shared" si="765"/>
        <v>0</v>
      </c>
      <c r="BZ510" s="14">
        <f t="shared" si="765"/>
        <v>0</v>
      </c>
      <c r="CA510" s="14">
        <f t="shared" si="765"/>
        <v>0</v>
      </c>
      <c r="CB510" s="14">
        <f t="shared" si="765"/>
        <v>0</v>
      </c>
      <c r="CC510" s="14">
        <f t="shared" si="765"/>
        <v>0</v>
      </c>
      <c r="CD510" s="14">
        <f t="shared" si="765"/>
        <v>0</v>
      </c>
      <c r="CE510" s="14">
        <f t="shared" si="765"/>
        <v>0</v>
      </c>
      <c r="CF510" s="14">
        <f t="shared" ca="1" si="765"/>
        <v>-57017.709003715601</v>
      </c>
      <c r="CG510" s="14">
        <f t="shared" ca="1" si="765"/>
        <v>-9972.1651512552617</v>
      </c>
      <c r="CH510" s="14">
        <f t="shared" ca="1" si="765"/>
        <v>0</v>
      </c>
      <c r="CI510" s="14">
        <f t="shared" ca="1" si="765"/>
        <v>0</v>
      </c>
      <c r="CJ510" s="14">
        <f t="shared" ca="1" si="765"/>
        <v>0</v>
      </c>
      <c r="CK510" s="14">
        <f t="shared" ca="1" si="765"/>
        <v>0</v>
      </c>
      <c r="CL510" s="14">
        <f t="shared" ca="1" si="765"/>
        <v>0</v>
      </c>
      <c r="CM510" s="14">
        <f t="shared" ca="1" si="765"/>
        <v>0</v>
      </c>
      <c r="CN510" s="14">
        <f t="shared" ca="1" si="765"/>
        <v>0</v>
      </c>
      <c r="CO510" s="14">
        <f t="shared" ca="1" si="765"/>
        <v>0</v>
      </c>
      <c r="CP510" s="14">
        <f t="shared" ca="1" si="765"/>
        <v>0</v>
      </c>
      <c r="CQ510" s="14">
        <f t="shared" ca="1" si="765"/>
        <v>0</v>
      </c>
      <c r="CR510" s="14">
        <f t="shared" ca="1" si="765"/>
        <v>0</v>
      </c>
      <c r="CS510" s="14">
        <f t="shared" ca="1" si="765"/>
        <v>0</v>
      </c>
      <c r="CT510" s="14">
        <f t="shared" ca="1" si="765"/>
        <v>0</v>
      </c>
      <c r="CU510" s="14">
        <f t="shared" ca="1" si="765"/>
        <v>0</v>
      </c>
      <c r="CV510" s="14">
        <f t="shared" ca="1" si="765"/>
        <v>0</v>
      </c>
      <c r="CW510" s="14">
        <f t="shared" ca="1" si="765"/>
        <v>0</v>
      </c>
      <c r="CX510" s="14">
        <f t="shared" ca="1" si="765"/>
        <v>0</v>
      </c>
      <c r="CY510" s="14">
        <f t="shared" ca="1" si="765"/>
        <v>0</v>
      </c>
      <c r="CZ510" s="14">
        <f t="shared" ca="1" si="765"/>
        <v>0</v>
      </c>
      <c r="DA510" s="14">
        <f t="shared" ca="1" si="765"/>
        <v>0</v>
      </c>
      <c r="DB510" s="14">
        <f t="shared" ca="1" si="765"/>
        <v>0</v>
      </c>
      <c r="DC510" s="14">
        <f t="shared" ca="1" si="765"/>
        <v>0</v>
      </c>
      <c r="DD510" s="14">
        <f t="shared" ca="1" si="765"/>
        <v>0</v>
      </c>
      <c r="DE510" s="14">
        <f t="shared" ca="1" si="765"/>
        <v>0</v>
      </c>
      <c r="DF510" s="14">
        <f t="shared" ca="1" si="765"/>
        <v>0</v>
      </c>
      <c r="DG510" s="14">
        <f t="shared" ca="1" si="765"/>
        <v>0</v>
      </c>
      <c r="DH510" s="14">
        <f t="shared" ca="1" si="765"/>
        <v>0</v>
      </c>
      <c r="DI510" s="14">
        <f t="shared" ca="1" si="765"/>
        <v>0</v>
      </c>
      <c r="DJ510" s="14">
        <f t="shared" ca="1" si="765"/>
        <v>0</v>
      </c>
      <c r="DK510" s="14">
        <f t="shared" ca="1" si="765"/>
        <v>0</v>
      </c>
      <c r="DL510" s="14">
        <f t="shared" ca="1" si="765"/>
        <v>0</v>
      </c>
      <c r="DM510" s="14">
        <f t="shared" ca="1" si="765"/>
        <v>0</v>
      </c>
      <c r="DN510" s="14">
        <f t="shared" ca="1" si="765"/>
        <v>0</v>
      </c>
      <c r="DO510" s="14">
        <f t="shared" ca="1" si="765"/>
        <v>0</v>
      </c>
      <c r="DP510" s="14">
        <f t="shared" ca="1" si="765"/>
        <v>0</v>
      </c>
      <c r="DQ510" s="14">
        <f t="shared" ca="1" si="765"/>
        <v>0</v>
      </c>
      <c r="DR510" s="14">
        <f t="shared" ca="1" si="765"/>
        <v>0</v>
      </c>
      <c r="DS510" s="14">
        <f t="shared" ca="1" si="765"/>
        <v>0</v>
      </c>
      <c r="DT510" s="14">
        <f t="shared" ca="1" si="765"/>
        <v>0</v>
      </c>
      <c r="DU510" s="14">
        <f t="shared" ca="1" si="765"/>
        <v>0</v>
      </c>
      <c r="DV510" s="14">
        <f t="shared" ca="1" si="765"/>
        <v>0</v>
      </c>
      <c r="DW510" s="14">
        <f t="shared" ca="1" si="765"/>
        <v>0</v>
      </c>
      <c r="DX510" s="14">
        <f t="shared" ca="1" si="765"/>
        <v>0</v>
      </c>
      <c r="DY510" s="14">
        <f t="shared" ca="1" si="765"/>
        <v>0</v>
      </c>
    </row>
    <row r="511" spans="2:129" ht="11.7" customHeight="1" outlineLevel="1" x14ac:dyDescent="0.3">
      <c r="B511" s="149"/>
      <c r="C511" s="149"/>
      <c r="D511" s="3"/>
      <c r="E511" s="3"/>
    </row>
    <row r="512" spans="2:129" ht="11.7" customHeight="1" outlineLevel="1" x14ac:dyDescent="0.3">
      <c r="B512" s="149"/>
      <c r="C512" s="149"/>
      <c r="D512" s="3"/>
      <c r="E512" s="3"/>
    </row>
    <row r="513" spans="2:129" ht="11.7" customHeight="1" outlineLevel="1" x14ac:dyDescent="0.3">
      <c r="B513" s="195" t="s">
        <v>654</v>
      </c>
      <c r="C513" s="195"/>
      <c r="D513" s="3"/>
      <c r="E513" s="3"/>
    </row>
    <row r="514" spans="2:129" ht="11.7" customHeight="1" outlineLevel="1" x14ac:dyDescent="0.3">
      <c r="B514" s="152" t="s">
        <v>507</v>
      </c>
      <c r="C514" s="152"/>
      <c r="D514" s="63"/>
      <c r="E514" s="63"/>
      <c r="F514" s="885"/>
      <c r="G514" s="886"/>
      <c r="H514" s="886"/>
      <c r="I514" s="887"/>
      <c r="J514" s="887"/>
      <c r="K514" s="887"/>
      <c r="L514" s="887"/>
      <c r="M514" s="887"/>
      <c r="N514" s="887"/>
      <c r="O514" s="887"/>
      <c r="P514" s="887"/>
      <c r="Q514" s="887"/>
      <c r="R514" s="887"/>
      <c r="S514" s="887"/>
      <c r="T514" s="887"/>
      <c r="U514" s="887"/>
      <c r="V514" s="887"/>
      <c r="W514" s="887"/>
      <c r="X514" s="887"/>
      <c r="Y514" s="887"/>
      <c r="Z514" s="887"/>
      <c r="AA514" s="887"/>
      <c r="AB514" s="887"/>
      <c r="AC514" s="887"/>
      <c r="AD514" s="887"/>
      <c r="AE514" s="887"/>
      <c r="AF514" s="887"/>
      <c r="AG514" s="887"/>
      <c r="AH514" s="887"/>
      <c r="AI514" s="887"/>
      <c r="AJ514" s="887"/>
      <c r="AK514" s="887"/>
      <c r="AL514" s="887"/>
      <c r="AM514" s="887"/>
      <c r="AN514" s="887"/>
      <c r="AO514" s="887"/>
      <c r="AP514" s="887"/>
      <c r="AQ514" s="887"/>
      <c r="AR514" s="887"/>
      <c r="AS514" s="887"/>
      <c r="AT514" s="887"/>
      <c r="AU514" s="887"/>
      <c r="AV514" s="887"/>
      <c r="AW514" s="887"/>
      <c r="AX514" s="887"/>
      <c r="AY514" s="887"/>
      <c r="AZ514" s="887"/>
      <c r="BA514" s="887"/>
      <c r="BB514" s="887"/>
      <c r="BC514" s="887"/>
      <c r="BD514" s="887"/>
      <c r="BE514" s="887"/>
      <c r="BF514" s="887"/>
      <c r="BG514" s="887"/>
      <c r="BH514" s="887"/>
      <c r="BI514" s="887"/>
      <c r="BJ514" s="887"/>
      <c r="BK514" s="887"/>
      <c r="BL514" s="887"/>
      <c r="BM514" s="887"/>
      <c r="BN514" s="887"/>
      <c r="BO514" s="887"/>
      <c r="BP514" s="887"/>
      <c r="BQ514" s="887"/>
      <c r="BR514" s="887"/>
      <c r="BS514" s="887"/>
      <c r="BT514" s="887"/>
      <c r="BU514" s="887"/>
      <c r="BV514" s="887"/>
      <c r="BW514" s="887"/>
      <c r="BX514" s="887"/>
      <c r="BY514" s="887"/>
      <c r="BZ514" s="887"/>
      <c r="CA514" s="887"/>
      <c r="CB514" s="887"/>
      <c r="CC514" s="887"/>
      <c r="CD514" s="887"/>
      <c r="CE514" s="887"/>
      <c r="CF514" s="887"/>
      <c r="CG514" s="887"/>
      <c r="CH514" s="887"/>
      <c r="CI514" s="887"/>
      <c r="CJ514" s="887"/>
      <c r="CK514" s="887"/>
      <c r="CL514" s="887"/>
      <c r="CM514" s="887"/>
      <c r="CN514" s="887"/>
      <c r="CO514" s="887"/>
      <c r="CP514" s="887"/>
      <c r="CQ514" s="887"/>
      <c r="CR514" s="887"/>
      <c r="CS514" s="887"/>
      <c r="CT514" s="887"/>
      <c r="CU514" s="887"/>
      <c r="CV514" s="887"/>
      <c r="CW514" s="887"/>
      <c r="CX514" s="887"/>
      <c r="CY514" s="887"/>
      <c r="CZ514" s="887"/>
      <c r="DA514" s="887"/>
      <c r="DB514" s="887"/>
      <c r="DC514" s="887"/>
      <c r="DD514" s="887"/>
      <c r="DE514" s="887"/>
      <c r="DF514" s="887"/>
      <c r="DG514" s="887"/>
      <c r="DH514" s="887"/>
      <c r="DI514" s="887"/>
      <c r="DJ514" s="887"/>
      <c r="DK514" s="887"/>
      <c r="DL514" s="887"/>
      <c r="DM514" s="887"/>
      <c r="DN514" s="887"/>
      <c r="DO514" s="887"/>
      <c r="DP514" s="887"/>
      <c r="DQ514" s="887"/>
      <c r="DR514" s="887"/>
      <c r="DS514" s="887"/>
      <c r="DT514" s="887"/>
      <c r="DU514" s="887"/>
      <c r="DV514" s="887"/>
      <c r="DW514" s="887"/>
      <c r="DX514" s="887"/>
      <c r="DY514" s="887"/>
    </row>
    <row r="515" spans="2:129" ht="11.7" customHeight="1" outlineLevel="1" x14ac:dyDescent="0.3">
      <c r="B515" s="889" t="s">
        <v>513</v>
      </c>
      <c r="C515" s="889"/>
      <c r="D515" s="701">
        <f>1-D516</f>
        <v>0.8</v>
      </c>
      <c r="E515" s="3"/>
      <c r="H515" s="290">
        <f ca="1">+SUM(I515:DY515)</f>
        <v>-461.24431898263947</v>
      </c>
      <c r="I515" s="14">
        <f>-MAX(SUM(I$465,I$480,I$500)*$D$515,0)</f>
        <v>0</v>
      </c>
      <c r="J515" s="14">
        <f t="shared" ref="J515:BU515" si="766">-MAX(SUM(J$465,J$480,J$500)*$D$515,0)</f>
        <v>0</v>
      </c>
      <c r="K515" s="14">
        <f t="shared" si="766"/>
        <v>0</v>
      </c>
      <c r="L515" s="14">
        <f t="shared" si="766"/>
        <v>0</v>
      </c>
      <c r="M515" s="14">
        <f t="shared" si="766"/>
        <v>0</v>
      </c>
      <c r="N515" s="14">
        <f t="shared" si="766"/>
        <v>0</v>
      </c>
      <c r="O515" s="14">
        <f t="shared" si="766"/>
        <v>0</v>
      </c>
      <c r="P515" s="14">
        <f t="shared" si="766"/>
        <v>0</v>
      </c>
      <c r="Q515" s="14">
        <f t="shared" si="766"/>
        <v>0</v>
      </c>
      <c r="R515" s="14">
        <f t="shared" si="766"/>
        <v>0</v>
      </c>
      <c r="S515" s="14">
        <f t="shared" si="766"/>
        <v>0</v>
      </c>
      <c r="T515" s="14">
        <f t="shared" si="766"/>
        <v>0</v>
      </c>
      <c r="U515" s="14">
        <f t="shared" si="766"/>
        <v>0</v>
      </c>
      <c r="V515" s="14">
        <f t="shared" si="766"/>
        <v>0</v>
      </c>
      <c r="W515" s="14">
        <f t="shared" si="766"/>
        <v>0</v>
      </c>
      <c r="X515" s="14">
        <f t="shared" si="766"/>
        <v>0</v>
      </c>
      <c r="Y515" s="14">
        <f t="shared" si="766"/>
        <v>0</v>
      </c>
      <c r="Z515" s="14">
        <f t="shared" si="766"/>
        <v>0</v>
      </c>
      <c r="AA515" s="14">
        <f t="shared" si="766"/>
        <v>0</v>
      </c>
      <c r="AB515" s="14">
        <f t="shared" si="766"/>
        <v>0</v>
      </c>
      <c r="AC515" s="14">
        <f t="shared" si="766"/>
        <v>0</v>
      </c>
      <c r="AD515" s="14">
        <f t="shared" si="766"/>
        <v>0</v>
      </c>
      <c r="AE515" s="14">
        <f t="shared" si="766"/>
        <v>0</v>
      </c>
      <c r="AF515" s="14">
        <f t="shared" si="766"/>
        <v>0</v>
      </c>
      <c r="AG515" s="14">
        <f t="shared" si="766"/>
        <v>0</v>
      </c>
      <c r="AH515" s="14">
        <f t="shared" si="766"/>
        <v>0</v>
      </c>
      <c r="AI515" s="14">
        <f t="shared" si="766"/>
        <v>0</v>
      </c>
      <c r="AJ515" s="14">
        <f t="shared" si="766"/>
        <v>0</v>
      </c>
      <c r="AK515" s="14">
        <f t="shared" si="766"/>
        <v>0</v>
      </c>
      <c r="AL515" s="14">
        <f t="shared" si="766"/>
        <v>0</v>
      </c>
      <c r="AM515" s="14">
        <f t="shared" si="766"/>
        <v>0</v>
      </c>
      <c r="AN515" s="14">
        <f t="shared" si="766"/>
        <v>0</v>
      </c>
      <c r="AO515" s="14">
        <f t="shared" si="766"/>
        <v>0</v>
      </c>
      <c r="AP515" s="14">
        <f t="shared" si="766"/>
        <v>0</v>
      </c>
      <c r="AQ515" s="14">
        <f t="shared" si="766"/>
        <v>0</v>
      </c>
      <c r="AR515" s="14">
        <f t="shared" si="766"/>
        <v>0</v>
      </c>
      <c r="AS515" s="14">
        <f t="shared" si="766"/>
        <v>0</v>
      </c>
      <c r="AT515" s="14">
        <f t="shared" si="766"/>
        <v>0</v>
      </c>
      <c r="AU515" s="14">
        <f t="shared" si="766"/>
        <v>0</v>
      </c>
      <c r="AV515" s="14">
        <f t="shared" si="766"/>
        <v>0</v>
      </c>
      <c r="AW515" s="14">
        <f t="shared" si="766"/>
        <v>0</v>
      </c>
      <c r="AX515" s="14">
        <f t="shared" si="766"/>
        <v>0</v>
      </c>
      <c r="AY515" s="14">
        <f t="shared" si="766"/>
        <v>0</v>
      </c>
      <c r="AZ515" s="14">
        <f t="shared" si="766"/>
        <v>0</v>
      </c>
      <c r="BA515" s="14">
        <f t="shared" si="766"/>
        <v>0</v>
      </c>
      <c r="BB515" s="14">
        <f t="shared" si="766"/>
        <v>0</v>
      </c>
      <c r="BC515" s="14">
        <f t="shared" si="766"/>
        <v>0</v>
      </c>
      <c r="BD515" s="14">
        <f t="shared" si="766"/>
        <v>0</v>
      </c>
      <c r="BE515" s="14">
        <f t="shared" si="766"/>
        <v>0</v>
      </c>
      <c r="BF515" s="14">
        <f t="shared" si="766"/>
        <v>0</v>
      </c>
      <c r="BG515" s="14">
        <f t="shared" si="766"/>
        <v>0</v>
      </c>
      <c r="BH515" s="14">
        <f t="shared" si="766"/>
        <v>0</v>
      </c>
      <c r="BI515" s="14">
        <f t="shared" si="766"/>
        <v>0</v>
      </c>
      <c r="BJ515" s="14">
        <f t="shared" si="766"/>
        <v>0</v>
      </c>
      <c r="BK515" s="14">
        <f t="shared" si="766"/>
        <v>0</v>
      </c>
      <c r="BL515" s="14">
        <f t="shared" si="766"/>
        <v>0</v>
      </c>
      <c r="BM515" s="14">
        <f t="shared" si="766"/>
        <v>0</v>
      </c>
      <c r="BN515" s="14">
        <f t="shared" si="766"/>
        <v>0</v>
      </c>
      <c r="BO515" s="14">
        <f t="shared" si="766"/>
        <v>0</v>
      </c>
      <c r="BP515" s="14">
        <f t="shared" si="766"/>
        <v>0</v>
      </c>
      <c r="BQ515" s="14">
        <f t="shared" si="766"/>
        <v>0</v>
      </c>
      <c r="BR515" s="14">
        <f t="shared" si="766"/>
        <v>0</v>
      </c>
      <c r="BS515" s="14">
        <f t="shared" si="766"/>
        <v>0</v>
      </c>
      <c r="BT515" s="14">
        <f t="shared" si="766"/>
        <v>0</v>
      </c>
      <c r="BU515" s="14">
        <f t="shared" si="766"/>
        <v>0</v>
      </c>
      <c r="BV515" s="14">
        <f t="shared" ref="BV515:DY515" si="767">-MAX(SUM(BV$465,BV$480,BV$500)*$D$515,0)</f>
        <v>0</v>
      </c>
      <c r="BW515" s="14">
        <f t="shared" si="767"/>
        <v>0</v>
      </c>
      <c r="BX515" s="14">
        <f t="shared" si="767"/>
        <v>0</v>
      </c>
      <c r="BY515" s="14">
        <f t="shared" si="767"/>
        <v>0</v>
      </c>
      <c r="BZ515" s="14">
        <f t="shared" si="767"/>
        <v>0</v>
      </c>
      <c r="CA515" s="14">
        <f t="shared" si="767"/>
        <v>0</v>
      </c>
      <c r="CB515" s="14">
        <f t="shared" si="767"/>
        <v>0</v>
      </c>
      <c r="CC515" s="14">
        <f t="shared" si="767"/>
        <v>0</v>
      </c>
      <c r="CD515" s="14">
        <f t="shared" si="767"/>
        <v>0</v>
      </c>
      <c r="CE515" s="14">
        <f t="shared" si="767"/>
        <v>0</v>
      </c>
      <c r="CF515" s="14">
        <f t="shared" ca="1" si="767"/>
        <v>-392.58312828786876</v>
      </c>
      <c r="CG515" s="14">
        <f t="shared" ca="1" si="767"/>
        <v>-68.661190694770738</v>
      </c>
      <c r="CH515" s="14">
        <f t="shared" ca="1" si="767"/>
        <v>0</v>
      </c>
      <c r="CI515" s="14">
        <f t="shared" ca="1" si="767"/>
        <v>0</v>
      </c>
      <c r="CJ515" s="14">
        <f t="shared" ca="1" si="767"/>
        <v>0</v>
      </c>
      <c r="CK515" s="14">
        <f t="shared" ca="1" si="767"/>
        <v>0</v>
      </c>
      <c r="CL515" s="14">
        <f t="shared" ca="1" si="767"/>
        <v>0</v>
      </c>
      <c r="CM515" s="14">
        <f t="shared" ca="1" si="767"/>
        <v>0</v>
      </c>
      <c r="CN515" s="14">
        <f t="shared" ca="1" si="767"/>
        <v>0</v>
      </c>
      <c r="CO515" s="14">
        <f t="shared" ca="1" si="767"/>
        <v>0</v>
      </c>
      <c r="CP515" s="14">
        <f t="shared" ca="1" si="767"/>
        <v>0</v>
      </c>
      <c r="CQ515" s="14">
        <f t="shared" ca="1" si="767"/>
        <v>0</v>
      </c>
      <c r="CR515" s="14">
        <f t="shared" ca="1" si="767"/>
        <v>0</v>
      </c>
      <c r="CS515" s="14">
        <f t="shared" ca="1" si="767"/>
        <v>0</v>
      </c>
      <c r="CT515" s="14">
        <f t="shared" ca="1" si="767"/>
        <v>0</v>
      </c>
      <c r="CU515" s="14">
        <f t="shared" ca="1" si="767"/>
        <v>0</v>
      </c>
      <c r="CV515" s="14">
        <f t="shared" ca="1" si="767"/>
        <v>0</v>
      </c>
      <c r="CW515" s="14">
        <f t="shared" ca="1" si="767"/>
        <v>0</v>
      </c>
      <c r="CX515" s="14">
        <f t="shared" ca="1" si="767"/>
        <v>0</v>
      </c>
      <c r="CY515" s="14">
        <f t="shared" ca="1" si="767"/>
        <v>0</v>
      </c>
      <c r="CZ515" s="14">
        <f t="shared" ca="1" si="767"/>
        <v>0</v>
      </c>
      <c r="DA515" s="14">
        <f t="shared" ca="1" si="767"/>
        <v>0</v>
      </c>
      <c r="DB515" s="14">
        <f t="shared" ca="1" si="767"/>
        <v>0</v>
      </c>
      <c r="DC515" s="14">
        <f t="shared" ca="1" si="767"/>
        <v>0</v>
      </c>
      <c r="DD515" s="14">
        <f t="shared" ca="1" si="767"/>
        <v>0</v>
      </c>
      <c r="DE515" s="14">
        <f t="shared" ca="1" si="767"/>
        <v>0</v>
      </c>
      <c r="DF515" s="14">
        <f t="shared" ca="1" si="767"/>
        <v>0</v>
      </c>
      <c r="DG515" s="14">
        <f t="shared" ca="1" si="767"/>
        <v>0</v>
      </c>
      <c r="DH515" s="14">
        <f t="shared" ca="1" si="767"/>
        <v>0</v>
      </c>
      <c r="DI515" s="14">
        <f t="shared" ca="1" si="767"/>
        <v>0</v>
      </c>
      <c r="DJ515" s="14">
        <f t="shared" ca="1" si="767"/>
        <v>0</v>
      </c>
      <c r="DK515" s="14">
        <f t="shared" ca="1" si="767"/>
        <v>0</v>
      </c>
      <c r="DL515" s="14">
        <f t="shared" ca="1" si="767"/>
        <v>0</v>
      </c>
      <c r="DM515" s="14">
        <f t="shared" ca="1" si="767"/>
        <v>0</v>
      </c>
      <c r="DN515" s="14">
        <f t="shared" ca="1" si="767"/>
        <v>0</v>
      </c>
      <c r="DO515" s="14">
        <f t="shared" ca="1" si="767"/>
        <v>0</v>
      </c>
      <c r="DP515" s="14">
        <f t="shared" ca="1" si="767"/>
        <v>0</v>
      </c>
      <c r="DQ515" s="14">
        <f t="shared" ca="1" si="767"/>
        <v>0</v>
      </c>
      <c r="DR515" s="14">
        <f t="shared" ca="1" si="767"/>
        <v>0</v>
      </c>
      <c r="DS515" s="14">
        <f t="shared" ca="1" si="767"/>
        <v>0</v>
      </c>
      <c r="DT515" s="14">
        <f t="shared" ca="1" si="767"/>
        <v>0</v>
      </c>
      <c r="DU515" s="14">
        <f t="shared" ca="1" si="767"/>
        <v>0</v>
      </c>
      <c r="DV515" s="14">
        <f t="shared" ca="1" si="767"/>
        <v>0</v>
      </c>
      <c r="DW515" s="14">
        <f t="shared" ca="1" si="767"/>
        <v>0</v>
      </c>
      <c r="DX515" s="14">
        <f t="shared" ca="1" si="767"/>
        <v>0</v>
      </c>
      <c r="DY515" s="14">
        <f t="shared" ca="1" si="767"/>
        <v>0</v>
      </c>
    </row>
    <row r="516" spans="2:129" ht="11.7" customHeight="1" outlineLevel="1" x14ac:dyDescent="0.3">
      <c r="B516" s="890" t="s">
        <v>514</v>
      </c>
      <c r="C516" s="890"/>
      <c r="D516" s="874">
        <v>0.2</v>
      </c>
      <c r="E516" s="892"/>
      <c r="F516" s="885"/>
      <c r="G516" s="886"/>
      <c r="H516" s="308">
        <f ca="1">+SUM(I516:DY516)</f>
        <v>-115.31107974565987</v>
      </c>
      <c r="I516" s="168">
        <f>-MAX(SUM(I$465,I$480,I$500)*$D$516,0)</f>
        <v>0</v>
      </c>
      <c r="J516" s="168">
        <f t="shared" ref="J516:BU516" si="768">-MAX(SUM(J$465,J$480,J$500)*$D$516,0)</f>
        <v>0</v>
      </c>
      <c r="K516" s="168">
        <f t="shared" si="768"/>
        <v>0</v>
      </c>
      <c r="L516" s="168">
        <f t="shared" si="768"/>
        <v>0</v>
      </c>
      <c r="M516" s="168">
        <f t="shared" si="768"/>
        <v>0</v>
      </c>
      <c r="N516" s="168">
        <f t="shared" si="768"/>
        <v>0</v>
      </c>
      <c r="O516" s="168">
        <f t="shared" si="768"/>
        <v>0</v>
      </c>
      <c r="P516" s="168">
        <f t="shared" si="768"/>
        <v>0</v>
      </c>
      <c r="Q516" s="168">
        <f t="shared" si="768"/>
        <v>0</v>
      </c>
      <c r="R516" s="168">
        <f t="shared" si="768"/>
        <v>0</v>
      </c>
      <c r="S516" s="168">
        <f t="shared" si="768"/>
        <v>0</v>
      </c>
      <c r="T516" s="168">
        <f t="shared" si="768"/>
        <v>0</v>
      </c>
      <c r="U516" s="168">
        <f t="shared" si="768"/>
        <v>0</v>
      </c>
      <c r="V516" s="168">
        <f t="shared" si="768"/>
        <v>0</v>
      </c>
      <c r="W516" s="168">
        <f t="shared" si="768"/>
        <v>0</v>
      </c>
      <c r="X516" s="168">
        <f t="shared" si="768"/>
        <v>0</v>
      </c>
      <c r="Y516" s="168">
        <f t="shared" si="768"/>
        <v>0</v>
      </c>
      <c r="Z516" s="168">
        <f t="shared" si="768"/>
        <v>0</v>
      </c>
      <c r="AA516" s="168">
        <f t="shared" si="768"/>
        <v>0</v>
      </c>
      <c r="AB516" s="168">
        <f t="shared" si="768"/>
        <v>0</v>
      </c>
      <c r="AC516" s="168">
        <f t="shared" si="768"/>
        <v>0</v>
      </c>
      <c r="AD516" s="168">
        <f t="shared" si="768"/>
        <v>0</v>
      </c>
      <c r="AE516" s="168">
        <f t="shared" si="768"/>
        <v>0</v>
      </c>
      <c r="AF516" s="168">
        <f t="shared" si="768"/>
        <v>0</v>
      </c>
      <c r="AG516" s="168">
        <f t="shared" si="768"/>
        <v>0</v>
      </c>
      <c r="AH516" s="168">
        <f t="shared" si="768"/>
        <v>0</v>
      </c>
      <c r="AI516" s="168">
        <f t="shared" si="768"/>
        <v>0</v>
      </c>
      <c r="AJ516" s="168">
        <f t="shared" si="768"/>
        <v>0</v>
      </c>
      <c r="AK516" s="168">
        <f t="shared" si="768"/>
        <v>0</v>
      </c>
      <c r="AL516" s="168">
        <f t="shared" si="768"/>
        <v>0</v>
      </c>
      <c r="AM516" s="168">
        <f t="shared" si="768"/>
        <v>0</v>
      </c>
      <c r="AN516" s="168">
        <f t="shared" si="768"/>
        <v>0</v>
      </c>
      <c r="AO516" s="168">
        <f t="shared" si="768"/>
        <v>0</v>
      </c>
      <c r="AP516" s="168">
        <f t="shared" si="768"/>
        <v>0</v>
      </c>
      <c r="AQ516" s="168">
        <f t="shared" si="768"/>
        <v>0</v>
      </c>
      <c r="AR516" s="168">
        <f t="shared" si="768"/>
        <v>0</v>
      </c>
      <c r="AS516" s="168">
        <f t="shared" si="768"/>
        <v>0</v>
      </c>
      <c r="AT516" s="168">
        <f t="shared" si="768"/>
        <v>0</v>
      </c>
      <c r="AU516" s="168">
        <f t="shared" si="768"/>
        <v>0</v>
      </c>
      <c r="AV516" s="168">
        <f t="shared" si="768"/>
        <v>0</v>
      </c>
      <c r="AW516" s="168">
        <f t="shared" si="768"/>
        <v>0</v>
      </c>
      <c r="AX516" s="168">
        <f t="shared" si="768"/>
        <v>0</v>
      </c>
      <c r="AY516" s="168">
        <f t="shared" si="768"/>
        <v>0</v>
      </c>
      <c r="AZ516" s="168">
        <f t="shared" si="768"/>
        <v>0</v>
      </c>
      <c r="BA516" s="168">
        <f t="shared" si="768"/>
        <v>0</v>
      </c>
      <c r="BB516" s="168">
        <f t="shared" si="768"/>
        <v>0</v>
      </c>
      <c r="BC516" s="168">
        <f t="shared" si="768"/>
        <v>0</v>
      </c>
      <c r="BD516" s="168">
        <f t="shared" si="768"/>
        <v>0</v>
      </c>
      <c r="BE516" s="168">
        <f t="shared" si="768"/>
        <v>0</v>
      </c>
      <c r="BF516" s="168">
        <f t="shared" si="768"/>
        <v>0</v>
      </c>
      <c r="BG516" s="168">
        <f t="shared" si="768"/>
        <v>0</v>
      </c>
      <c r="BH516" s="168">
        <f t="shared" si="768"/>
        <v>0</v>
      </c>
      <c r="BI516" s="168">
        <f t="shared" si="768"/>
        <v>0</v>
      </c>
      <c r="BJ516" s="168">
        <f t="shared" si="768"/>
        <v>0</v>
      </c>
      <c r="BK516" s="168">
        <f t="shared" si="768"/>
        <v>0</v>
      </c>
      <c r="BL516" s="168">
        <f t="shared" si="768"/>
        <v>0</v>
      </c>
      <c r="BM516" s="168">
        <f t="shared" si="768"/>
        <v>0</v>
      </c>
      <c r="BN516" s="168">
        <f t="shared" si="768"/>
        <v>0</v>
      </c>
      <c r="BO516" s="168">
        <f t="shared" si="768"/>
        <v>0</v>
      </c>
      <c r="BP516" s="168">
        <f t="shared" si="768"/>
        <v>0</v>
      </c>
      <c r="BQ516" s="168">
        <f t="shared" si="768"/>
        <v>0</v>
      </c>
      <c r="BR516" s="168">
        <f t="shared" si="768"/>
        <v>0</v>
      </c>
      <c r="BS516" s="168">
        <f t="shared" si="768"/>
        <v>0</v>
      </c>
      <c r="BT516" s="168">
        <f t="shared" si="768"/>
        <v>0</v>
      </c>
      <c r="BU516" s="168">
        <f t="shared" si="768"/>
        <v>0</v>
      </c>
      <c r="BV516" s="168">
        <f t="shared" ref="BV516:DY516" si="769">-MAX(SUM(BV$465,BV$480,BV$500)*$D$516,0)</f>
        <v>0</v>
      </c>
      <c r="BW516" s="168">
        <f t="shared" si="769"/>
        <v>0</v>
      </c>
      <c r="BX516" s="168">
        <f t="shared" si="769"/>
        <v>0</v>
      </c>
      <c r="BY516" s="168">
        <f t="shared" si="769"/>
        <v>0</v>
      </c>
      <c r="BZ516" s="168">
        <f t="shared" si="769"/>
        <v>0</v>
      </c>
      <c r="CA516" s="168">
        <f t="shared" si="769"/>
        <v>0</v>
      </c>
      <c r="CB516" s="168">
        <f t="shared" si="769"/>
        <v>0</v>
      </c>
      <c r="CC516" s="168">
        <f t="shared" si="769"/>
        <v>0</v>
      </c>
      <c r="CD516" s="168">
        <f t="shared" si="769"/>
        <v>0</v>
      </c>
      <c r="CE516" s="168">
        <f t="shared" si="769"/>
        <v>0</v>
      </c>
      <c r="CF516" s="168">
        <f t="shared" ca="1" si="769"/>
        <v>-98.14578207196719</v>
      </c>
      <c r="CG516" s="168">
        <f t="shared" ca="1" si="769"/>
        <v>-17.165297673692685</v>
      </c>
      <c r="CH516" s="168">
        <f t="shared" ca="1" si="769"/>
        <v>0</v>
      </c>
      <c r="CI516" s="168">
        <f t="shared" ca="1" si="769"/>
        <v>0</v>
      </c>
      <c r="CJ516" s="168">
        <f t="shared" ca="1" si="769"/>
        <v>0</v>
      </c>
      <c r="CK516" s="168">
        <f t="shared" ca="1" si="769"/>
        <v>0</v>
      </c>
      <c r="CL516" s="168">
        <f t="shared" ca="1" si="769"/>
        <v>0</v>
      </c>
      <c r="CM516" s="168">
        <f t="shared" ca="1" si="769"/>
        <v>0</v>
      </c>
      <c r="CN516" s="168">
        <f t="shared" ca="1" si="769"/>
        <v>0</v>
      </c>
      <c r="CO516" s="168">
        <f t="shared" ca="1" si="769"/>
        <v>0</v>
      </c>
      <c r="CP516" s="168">
        <f t="shared" ca="1" si="769"/>
        <v>0</v>
      </c>
      <c r="CQ516" s="168">
        <f t="shared" ca="1" si="769"/>
        <v>0</v>
      </c>
      <c r="CR516" s="168">
        <f t="shared" ca="1" si="769"/>
        <v>0</v>
      </c>
      <c r="CS516" s="168">
        <f t="shared" ca="1" si="769"/>
        <v>0</v>
      </c>
      <c r="CT516" s="168">
        <f t="shared" ca="1" si="769"/>
        <v>0</v>
      </c>
      <c r="CU516" s="168">
        <f t="shared" ca="1" si="769"/>
        <v>0</v>
      </c>
      <c r="CV516" s="168">
        <f t="shared" ca="1" si="769"/>
        <v>0</v>
      </c>
      <c r="CW516" s="168">
        <f t="shared" ca="1" si="769"/>
        <v>0</v>
      </c>
      <c r="CX516" s="168">
        <f t="shared" ca="1" si="769"/>
        <v>0</v>
      </c>
      <c r="CY516" s="168">
        <f t="shared" ca="1" si="769"/>
        <v>0</v>
      </c>
      <c r="CZ516" s="168">
        <f t="shared" ca="1" si="769"/>
        <v>0</v>
      </c>
      <c r="DA516" s="168">
        <f t="shared" ca="1" si="769"/>
        <v>0</v>
      </c>
      <c r="DB516" s="168">
        <f t="shared" ca="1" si="769"/>
        <v>0</v>
      </c>
      <c r="DC516" s="168">
        <f t="shared" ca="1" si="769"/>
        <v>0</v>
      </c>
      <c r="DD516" s="168">
        <f t="shared" ca="1" si="769"/>
        <v>0</v>
      </c>
      <c r="DE516" s="168">
        <f t="shared" ca="1" si="769"/>
        <v>0</v>
      </c>
      <c r="DF516" s="168">
        <f t="shared" ca="1" si="769"/>
        <v>0</v>
      </c>
      <c r="DG516" s="168">
        <f t="shared" ca="1" si="769"/>
        <v>0</v>
      </c>
      <c r="DH516" s="168">
        <f t="shared" ca="1" si="769"/>
        <v>0</v>
      </c>
      <c r="DI516" s="168">
        <f t="shared" ca="1" si="769"/>
        <v>0</v>
      </c>
      <c r="DJ516" s="168">
        <f t="shared" ca="1" si="769"/>
        <v>0</v>
      </c>
      <c r="DK516" s="168">
        <f t="shared" ca="1" si="769"/>
        <v>0</v>
      </c>
      <c r="DL516" s="168">
        <f t="shared" ca="1" si="769"/>
        <v>0</v>
      </c>
      <c r="DM516" s="168">
        <f t="shared" ca="1" si="769"/>
        <v>0</v>
      </c>
      <c r="DN516" s="168">
        <f t="shared" ca="1" si="769"/>
        <v>0</v>
      </c>
      <c r="DO516" s="168">
        <f t="shared" ca="1" si="769"/>
        <v>0</v>
      </c>
      <c r="DP516" s="168">
        <f t="shared" ca="1" si="769"/>
        <v>0</v>
      </c>
      <c r="DQ516" s="168">
        <f t="shared" ca="1" si="769"/>
        <v>0</v>
      </c>
      <c r="DR516" s="168">
        <f t="shared" ca="1" si="769"/>
        <v>0</v>
      </c>
      <c r="DS516" s="168">
        <f t="shared" ca="1" si="769"/>
        <v>0</v>
      </c>
      <c r="DT516" s="168">
        <f t="shared" ca="1" si="769"/>
        <v>0</v>
      </c>
      <c r="DU516" s="168">
        <f t="shared" ca="1" si="769"/>
        <v>0</v>
      </c>
      <c r="DV516" s="168">
        <f t="shared" ca="1" si="769"/>
        <v>0</v>
      </c>
      <c r="DW516" s="168">
        <f t="shared" ca="1" si="769"/>
        <v>0</v>
      </c>
      <c r="DX516" s="168">
        <f t="shared" ca="1" si="769"/>
        <v>0</v>
      </c>
      <c r="DY516" s="168">
        <f t="shared" ca="1" si="769"/>
        <v>0</v>
      </c>
    </row>
    <row r="517" spans="2:129" ht="11.7" customHeight="1" outlineLevel="1" x14ac:dyDescent="0.3">
      <c r="B517" s="149" t="s">
        <v>511</v>
      </c>
      <c r="C517" s="149"/>
      <c r="D517" s="3"/>
      <c r="E517" s="3"/>
      <c r="H517" s="290">
        <f ca="1">+SUM(I517:DY517)</f>
        <v>-576.55539872829934</v>
      </c>
      <c r="I517" s="14">
        <f t="shared" ref="I517:BT517" si="770">+SUM(I514:I516)</f>
        <v>0</v>
      </c>
      <c r="J517" s="14">
        <f t="shared" si="770"/>
        <v>0</v>
      </c>
      <c r="K517" s="14">
        <f t="shared" si="770"/>
        <v>0</v>
      </c>
      <c r="L517" s="14">
        <f t="shared" si="770"/>
        <v>0</v>
      </c>
      <c r="M517" s="14">
        <f t="shared" si="770"/>
        <v>0</v>
      </c>
      <c r="N517" s="14">
        <f t="shared" si="770"/>
        <v>0</v>
      </c>
      <c r="O517" s="14">
        <f t="shared" si="770"/>
        <v>0</v>
      </c>
      <c r="P517" s="14">
        <f t="shared" si="770"/>
        <v>0</v>
      </c>
      <c r="Q517" s="14">
        <f t="shared" si="770"/>
        <v>0</v>
      </c>
      <c r="R517" s="14">
        <f t="shared" si="770"/>
        <v>0</v>
      </c>
      <c r="S517" s="14">
        <f t="shared" si="770"/>
        <v>0</v>
      </c>
      <c r="T517" s="14">
        <f t="shared" si="770"/>
        <v>0</v>
      </c>
      <c r="U517" s="14">
        <f t="shared" si="770"/>
        <v>0</v>
      </c>
      <c r="V517" s="14">
        <f t="shared" si="770"/>
        <v>0</v>
      </c>
      <c r="W517" s="14">
        <f t="shared" si="770"/>
        <v>0</v>
      </c>
      <c r="X517" s="14">
        <f t="shared" si="770"/>
        <v>0</v>
      </c>
      <c r="Y517" s="14">
        <f t="shared" si="770"/>
        <v>0</v>
      </c>
      <c r="Z517" s="14">
        <f t="shared" si="770"/>
        <v>0</v>
      </c>
      <c r="AA517" s="14">
        <f t="shared" si="770"/>
        <v>0</v>
      </c>
      <c r="AB517" s="14">
        <f t="shared" si="770"/>
        <v>0</v>
      </c>
      <c r="AC517" s="14">
        <f t="shared" si="770"/>
        <v>0</v>
      </c>
      <c r="AD517" s="14">
        <f t="shared" si="770"/>
        <v>0</v>
      </c>
      <c r="AE517" s="14">
        <f t="shared" si="770"/>
        <v>0</v>
      </c>
      <c r="AF517" s="14">
        <f t="shared" si="770"/>
        <v>0</v>
      </c>
      <c r="AG517" s="14">
        <f t="shared" si="770"/>
        <v>0</v>
      </c>
      <c r="AH517" s="14">
        <f t="shared" si="770"/>
        <v>0</v>
      </c>
      <c r="AI517" s="14">
        <f t="shared" si="770"/>
        <v>0</v>
      </c>
      <c r="AJ517" s="14">
        <f t="shared" si="770"/>
        <v>0</v>
      </c>
      <c r="AK517" s="14">
        <f t="shared" si="770"/>
        <v>0</v>
      </c>
      <c r="AL517" s="14">
        <f t="shared" si="770"/>
        <v>0</v>
      </c>
      <c r="AM517" s="14">
        <f t="shared" si="770"/>
        <v>0</v>
      </c>
      <c r="AN517" s="14">
        <f t="shared" si="770"/>
        <v>0</v>
      </c>
      <c r="AO517" s="14">
        <f t="shared" si="770"/>
        <v>0</v>
      </c>
      <c r="AP517" s="14">
        <f t="shared" si="770"/>
        <v>0</v>
      </c>
      <c r="AQ517" s="14">
        <f t="shared" si="770"/>
        <v>0</v>
      </c>
      <c r="AR517" s="14">
        <f t="shared" si="770"/>
        <v>0</v>
      </c>
      <c r="AS517" s="14">
        <f t="shared" si="770"/>
        <v>0</v>
      </c>
      <c r="AT517" s="14">
        <f t="shared" si="770"/>
        <v>0</v>
      </c>
      <c r="AU517" s="14">
        <f t="shared" si="770"/>
        <v>0</v>
      </c>
      <c r="AV517" s="14">
        <f t="shared" si="770"/>
        <v>0</v>
      </c>
      <c r="AW517" s="14">
        <f t="shared" si="770"/>
        <v>0</v>
      </c>
      <c r="AX517" s="14">
        <f t="shared" si="770"/>
        <v>0</v>
      </c>
      <c r="AY517" s="14">
        <f t="shared" si="770"/>
        <v>0</v>
      </c>
      <c r="AZ517" s="14">
        <f t="shared" si="770"/>
        <v>0</v>
      </c>
      <c r="BA517" s="14">
        <f t="shared" si="770"/>
        <v>0</v>
      </c>
      <c r="BB517" s="14">
        <f t="shared" si="770"/>
        <v>0</v>
      </c>
      <c r="BC517" s="14">
        <f t="shared" si="770"/>
        <v>0</v>
      </c>
      <c r="BD517" s="14">
        <f t="shared" si="770"/>
        <v>0</v>
      </c>
      <c r="BE517" s="14">
        <f t="shared" si="770"/>
        <v>0</v>
      </c>
      <c r="BF517" s="14">
        <f t="shared" si="770"/>
        <v>0</v>
      </c>
      <c r="BG517" s="14">
        <f t="shared" si="770"/>
        <v>0</v>
      </c>
      <c r="BH517" s="14">
        <f t="shared" si="770"/>
        <v>0</v>
      </c>
      <c r="BI517" s="14">
        <f t="shared" si="770"/>
        <v>0</v>
      </c>
      <c r="BJ517" s="14">
        <f t="shared" si="770"/>
        <v>0</v>
      </c>
      <c r="BK517" s="14">
        <f t="shared" si="770"/>
        <v>0</v>
      </c>
      <c r="BL517" s="14">
        <f t="shared" si="770"/>
        <v>0</v>
      </c>
      <c r="BM517" s="14">
        <f t="shared" si="770"/>
        <v>0</v>
      </c>
      <c r="BN517" s="14">
        <f t="shared" si="770"/>
        <v>0</v>
      </c>
      <c r="BO517" s="14">
        <f t="shared" si="770"/>
        <v>0</v>
      </c>
      <c r="BP517" s="14">
        <f t="shared" si="770"/>
        <v>0</v>
      </c>
      <c r="BQ517" s="14">
        <f t="shared" si="770"/>
        <v>0</v>
      </c>
      <c r="BR517" s="14">
        <f t="shared" si="770"/>
        <v>0</v>
      </c>
      <c r="BS517" s="14">
        <f t="shared" si="770"/>
        <v>0</v>
      </c>
      <c r="BT517" s="14">
        <f t="shared" si="770"/>
        <v>0</v>
      </c>
      <c r="BU517" s="14">
        <f t="shared" ref="BU517:DY517" si="771">+SUM(BU514:BU516)</f>
        <v>0</v>
      </c>
      <c r="BV517" s="14">
        <f t="shared" si="771"/>
        <v>0</v>
      </c>
      <c r="BW517" s="14">
        <f t="shared" si="771"/>
        <v>0</v>
      </c>
      <c r="BX517" s="14">
        <f t="shared" si="771"/>
        <v>0</v>
      </c>
      <c r="BY517" s="14">
        <f t="shared" si="771"/>
        <v>0</v>
      </c>
      <c r="BZ517" s="14">
        <f t="shared" si="771"/>
        <v>0</v>
      </c>
      <c r="CA517" s="14">
        <f t="shared" si="771"/>
        <v>0</v>
      </c>
      <c r="CB517" s="14">
        <f t="shared" si="771"/>
        <v>0</v>
      </c>
      <c r="CC517" s="14">
        <f t="shared" si="771"/>
        <v>0</v>
      </c>
      <c r="CD517" s="14">
        <f t="shared" si="771"/>
        <v>0</v>
      </c>
      <c r="CE517" s="14">
        <f t="shared" si="771"/>
        <v>0</v>
      </c>
      <c r="CF517" s="14">
        <f t="shared" ca="1" si="771"/>
        <v>-490.72891035983594</v>
      </c>
      <c r="CG517" s="14">
        <f t="shared" ca="1" si="771"/>
        <v>-85.82648836846343</v>
      </c>
      <c r="CH517" s="14">
        <f t="shared" ca="1" si="771"/>
        <v>0</v>
      </c>
      <c r="CI517" s="14">
        <f t="shared" ca="1" si="771"/>
        <v>0</v>
      </c>
      <c r="CJ517" s="14">
        <f t="shared" ca="1" si="771"/>
        <v>0</v>
      </c>
      <c r="CK517" s="14">
        <f t="shared" ca="1" si="771"/>
        <v>0</v>
      </c>
      <c r="CL517" s="14">
        <f t="shared" ca="1" si="771"/>
        <v>0</v>
      </c>
      <c r="CM517" s="14">
        <f t="shared" ca="1" si="771"/>
        <v>0</v>
      </c>
      <c r="CN517" s="14">
        <f t="shared" ca="1" si="771"/>
        <v>0</v>
      </c>
      <c r="CO517" s="14">
        <f t="shared" ca="1" si="771"/>
        <v>0</v>
      </c>
      <c r="CP517" s="14">
        <f t="shared" ca="1" si="771"/>
        <v>0</v>
      </c>
      <c r="CQ517" s="14">
        <f t="shared" ca="1" si="771"/>
        <v>0</v>
      </c>
      <c r="CR517" s="14">
        <f t="shared" ca="1" si="771"/>
        <v>0</v>
      </c>
      <c r="CS517" s="14">
        <f t="shared" ca="1" si="771"/>
        <v>0</v>
      </c>
      <c r="CT517" s="14">
        <f t="shared" ca="1" si="771"/>
        <v>0</v>
      </c>
      <c r="CU517" s="14">
        <f ca="1">+SUM(CU514:CU516)</f>
        <v>0</v>
      </c>
      <c r="CV517" s="14">
        <f t="shared" ca="1" si="771"/>
        <v>0</v>
      </c>
      <c r="CW517" s="14">
        <f t="shared" ca="1" si="771"/>
        <v>0</v>
      </c>
      <c r="CX517" s="14">
        <f t="shared" ca="1" si="771"/>
        <v>0</v>
      </c>
      <c r="CY517" s="14">
        <f t="shared" ca="1" si="771"/>
        <v>0</v>
      </c>
      <c r="CZ517" s="14">
        <f t="shared" ca="1" si="771"/>
        <v>0</v>
      </c>
      <c r="DA517" s="14">
        <f t="shared" ca="1" si="771"/>
        <v>0</v>
      </c>
      <c r="DB517" s="14">
        <f t="shared" ca="1" si="771"/>
        <v>0</v>
      </c>
      <c r="DC517" s="14">
        <f t="shared" ca="1" si="771"/>
        <v>0</v>
      </c>
      <c r="DD517" s="14">
        <f t="shared" ca="1" si="771"/>
        <v>0</v>
      </c>
      <c r="DE517" s="14">
        <f t="shared" ca="1" si="771"/>
        <v>0</v>
      </c>
      <c r="DF517" s="14">
        <f t="shared" ca="1" si="771"/>
        <v>0</v>
      </c>
      <c r="DG517" s="14">
        <f t="shared" ca="1" si="771"/>
        <v>0</v>
      </c>
      <c r="DH517" s="14">
        <f t="shared" ca="1" si="771"/>
        <v>0</v>
      </c>
      <c r="DI517" s="14">
        <f t="shared" ca="1" si="771"/>
        <v>0</v>
      </c>
      <c r="DJ517" s="14">
        <f t="shared" ca="1" si="771"/>
        <v>0</v>
      </c>
      <c r="DK517" s="14">
        <f t="shared" ca="1" si="771"/>
        <v>0</v>
      </c>
      <c r="DL517" s="14">
        <f t="shared" ca="1" si="771"/>
        <v>0</v>
      </c>
      <c r="DM517" s="14">
        <f t="shared" ca="1" si="771"/>
        <v>0</v>
      </c>
      <c r="DN517" s="14">
        <f t="shared" ca="1" si="771"/>
        <v>0</v>
      </c>
      <c r="DO517" s="14">
        <f t="shared" ca="1" si="771"/>
        <v>0</v>
      </c>
      <c r="DP517" s="14">
        <f t="shared" ca="1" si="771"/>
        <v>0</v>
      </c>
      <c r="DQ517" s="14">
        <f t="shared" ca="1" si="771"/>
        <v>0</v>
      </c>
      <c r="DR517" s="14">
        <f t="shared" ca="1" si="771"/>
        <v>0</v>
      </c>
      <c r="DS517" s="14">
        <f t="shared" ca="1" si="771"/>
        <v>0</v>
      </c>
      <c r="DT517" s="14">
        <f t="shared" ca="1" si="771"/>
        <v>0</v>
      </c>
      <c r="DU517" s="14">
        <f t="shared" ca="1" si="771"/>
        <v>0</v>
      </c>
      <c r="DV517" s="14">
        <f t="shared" ca="1" si="771"/>
        <v>0</v>
      </c>
      <c r="DW517" s="14">
        <f t="shared" ca="1" si="771"/>
        <v>0</v>
      </c>
      <c r="DX517" s="14">
        <f t="shared" ca="1" si="771"/>
        <v>0</v>
      </c>
      <c r="DY517" s="14">
        <f t="shared" ca="1" si="771"/>
        <v>0</v>
      </c>
    </row>
    <row r="518" spans="2:129" ht="11.7" customHeight="1" outlineLevel="1" x14ac:dyDescent="0.3">
      <c r="B518" s="149"/>
      <c r="C518" s="149"/>
      <c r="D518" s="3"/>
      <c r="E518" s="3"/>
    </row>
    <row r="519" spans="2:129" ht="11.7" customHeight="1" outlineLevel="1" thickBot="1" x14ac:dyDescent="0.35">
      <c r="B519" s="178"/>
      <c r="C519" s="178"/>
      <c r="D519" s="80"/>
      <c r="E519" s="80"/>
      <c r="F519" s="893"/>
      <c r="G519" s="894"/>
      <c r="H519" s="894"/>
      <c r="I519" s="895"/>
      <c r="J519" s="895"/>
      <c r="K519" s="895"/>
      <c r="L519" s="895"/>
      <c r="M519" s="895"/>
      <c r="N519" s="895"/>
      <c r="O519" s="895"/>
      <c r="P519" s="895"/>
      <c r="Q519" s="895"/>
      <c r="R519" s="895"/>
      <c r="S519" s="895"/>
      <c r="T519" s="895"/>
      <c r="U519" s="895"/>
      <c r="V519" s="895"/>
      <c r="W519" s="895"/>
      <c r="X519" s="895"/>
      <c r="Y519" s="895"/>
      <c r="Z519" s="895"/>
      <c r="AA519" s="895"/>
      <c r="AB519" s="895"/>
      <c r="AC519" s="895"/>
      <c r="AD519" s="895"/>
      <c r="AE519" s="895"/>
      <c r="AF519" s="895"/>
      <c r="AG519" s="895"/>
      <c r="AH519" s="895"/>
      <c r="AI519" s="895"/>
      <c r="AJ519" s="895"/>
      <c r="AK519" s="895"/>
      <c r="AL519" s="895"/>
      <c r="AM519" s="895"/>
      <c r="AN519" s="895"/>
      <c r="AO519" s="895"/>
      <c r="AP519" s="895"/>
      <c r="AQ519" s="895"/>
      <c r="AR519" s="895"/>
      <c r="AS519" s="895"/>
      <c r="AT519" s="895"/>
      <c r="AU519" s="895"/>
      <c r="AV519" s="895"/>
      <c r="AW519" s="895"/>
      <c r="AX519" s="895"/>
      <c r="AY519" s="895"/>
      <c r="AZ519" s="895"/>
      <c r="BA519" s="895"/>
      <c r="BB519" s="895"/>
      <c r="BC519" s="895"/>
      <c r="BD519" s="895"/>
      <c r="BE519" s="895"/>
      <c r="BF519" s="895"/>
      <c r="BG519" s="895"/>
      <c r="BH519" s="895"/>
      <c r="BI519" s="895"/>
      <c r="BJ519" s="895"/>
      <c r="BK519" s="895"/>
      <c r="BL519" s="895"/>
      <c r="BM519" s="895"/>
      <c r="BN519" s="895"/>
      <c r="BO519" s="895"/>
      <c r="BP519" s="895"/>
      <c r="BQ519" s="895"/>
      <c r="BR519" s="895"/>
      <c r="BS519" s="895"/>
      <c r="BT519" s="895"/>
      <c r="BU519" s="895"/>
      <c r="BV519" s="895"/>
      <c r="BW519" s="895"/>
      <c r="BX519" s="895"/>
      <c r="BY519" s="895"/>
      <c r="BZ519" s="895"/>
      <c r="CA519" s="895"/>
      <c r="CB519" s="895"/>
      <c r="CC519" s="895"/>
      <c r="CD519" s="895"/>
      <c r="CE519" s="895"/>
      <c r="CF519" s="895"/>
      <c r="CG519" s="895"/>
      <c r="CH519" s="895"/>
      <c r="CI519" s="895"/>
      <c r="CJ519" s="895"/>
      <c r="CK519" s="895"/>
      <c r="CL519" s="895"/>
      <c r="CM519" s="895"/>
      <c r="CN519" s="895"/>
      <c r="CO519" s="895"/>
      <c r="CP519" s="895"/>
      <c r="CQ519" s="895"/>
      <c r="CR519" s="895"/>
      <c r="CS519" s="895"/>
      <c r="CT519" s="895"/>
      <c r="CU519" s="895"/>
      <c r="CV519" s="895"/>
      <c r="CW519" s="895"/>
      <c r="CX519" s="895"/>
      <c r="CY519" s="895"/>
      <c r="CZ519" s="895"/>
      <c r="DA519" s="895"/>
      <c r="DB519" s="895"/>
      <c r="DC519" s="895"/>
      <c r="DD519" s="895"/>
      <c r="DE519" s="895"/>
      <c r="DF519" s="895"/>
      <c r="DG519" s="895"/>
      <c r="DH519" s="895"/>
      <c r="DI519" s="895"/>
      <c r="DJ519" s="895"/>
      <c r="DK519" s="895"/>
      <c r="DL519" s="895"/>
      <c r="DM519" s="895"/>
      <c r="DN519" s="895"/>
      <c r="DO519" s="895"/>
      <c r="DP519" s="895"/>
      <c r="DQ519" s="895"/>
      <c r="DR519" s="895"/>
      <c r="DS519" s="895"/>
      <c r="DT519" s="895"/>
      <c r="DU519" s="895"/>
      <c r="DV519" s="895"/>
      <c r="DW519" s="895"/>
      <c r="DX519" s="895"/>
      <c r="DY519" s="895"/>
    </row>
    <row r="520" spans="2:129" ht="11.7" customHeight="1" outlineLevel="1" thickTop="1" thickBot="1" x14ac:dyDescent="0.35">
      <c r="B520" s="891" t="s">
        <v>657</v>
      </c>
      <c r="C520" s="178"/>
      <c r="D520" s="80"/>
      <c r="E520" s="80"/>
      <c r="F520" s="893"/>
      <c r="G520" s="894"/>
      <c r="H520" s="646">
        <f ca="1">+SUM(I520:DY520)</f>
        <v>0</v>
      </c>
      <c r="I520" s="1114">
        <f>+SUM(I472,I491,I508:I509)+I$464</f>
        <v>0</v>
      </c>
      <c r="J520" s="1114">
        <f t="shared" ref="J520:BU520" si="772">+SUM(J472,J491,J508:J509)+J$464</f>
        <v>0</v>
      </c>
      <c r="K520" s="1114">
        <f t="shared" si="772"/>
        <v>0</v>
      </c>
      <c r="L520" s="1114">
        <f t="shared" si="772"/>
        <v>0</v>
      </c>
      <c r="M520" s="1114">
        <f t="shared" si="772"/>
        <v>0</v>
      </c>
      <c r="N520" s="1114">
        <f t="shared" si="772"/>
        <v>0</v>
      </c>
      <c r="O520" s="1114">
        <f t="shared" si="772"/>
        <v>0</v>
      </c>
      <c r="P520" s="1114">
        <f t="shared" si="772"/>
        <v>0</v>
      </c>
      <c r="Q520" s="1114">
        <f t="shared" si="772"/>
        <v>0</v>
      </c>
      <c r="R520" s="1114">
        <f t="shared" si="772"/>
        <v>0</v>
      </c>
      <c r="S520" s="1114">
        <f t="shared" si="772"/>
        <v>0</v>
      </c>
      <c r="T520" s="1114">
        <f t="shared" si="772"/>
        <v>0</v>
      </c>
      <c r="U520" s="1114">
        <f t="shared" si="772"/>
        <v>0</v>
      </c>
      <c r="V520" s="1114">
        <f t="shared" si="772"/>
        <v>0</v>
      </c>
      <c r="W520" s="1114">
        <f t="shared" si="772"/>
        <v>0</v>
      </c>
      <c r="X520" s="1114">
        <f t="shared" si="772"/>
        <v>0</v>
      </c>
      <c r="Y520" s="1114">
        <f t="shared" si="772"/>
        <v>0</v>
      </c>
      <c r="Z520" s="1114">
        <f t="shared" si="772"/>
        <v>0</v>
      </c>
      <c r="AA520" s="1114">
        <f t="shared" si="772"/>
        <v>0</v>
      </c>
      <c r="AB520" s="1114">
        <f t="shared" si="772"/>
        <v>0</v>
      </c>
      <c r="AC520" s="1114">
        <f t="shared" si="772"/>
        <v>0</v>
      </c>
      <c r="AD520" s="1114">
        <f t="shared" si="772"/>
        <v>0</v>
      </c>
      <c r="AE520" s="1114">
        <f t="shared" si="772"/>
        <v>0</v>
      </c>
      <c r="AF520" s="1114">
        <f t="shared" si="772"/>
        <v>0</v>
      </c>
      <c r="AG520" s="1114">
        <f t="shared" si="772"/>
        <v>0</v>
      </c>
      <c r="AH520" s="1114">
        <f t="shared" si="772"/>
        <v>0</v>
      </c>
      <c r="AI520" s="1114">
        <f t="shared" si="772"/>
        <v>0</v>
      </c>
      <c r="AJ520" s="1114">
        <f t="shared" si="772"/>
        <v>0</v>
      </c>
      <c r="AK520" s="1114">
        <f t="shared" si="772"/>
        <v>0</v>
      </c>
      <c r="AL520" s="1114">
        <f t="shared" si="772"/>
        <v>0</v>
      </c>
      <c r="AM520" s="1114">
        <f t="shared" si="772"/>
        <v>0</v>
      </c>
      <c r="AN520" s="1114">
        <f t="shared" si="772"/>
        <v>0</v>
      </c>
      <c r="AO520" s="1114">
        <f t="shared" si="772"/>
        <v>0</v>
      </c>
      <c r="AP520" s="1114">
        <f t="shared" si="772"/>
        <v>0</v>
      </c>
      <c r="AQ520" s="1114">
        <f t="shared" si="772"/>
        <v>0</v>
      </c>
      <c r="AR520" s="1114">
        <f t="shared" si="772"/>
        <v>0</v>
      </c>
      <c r="AS520" s="1114">
        <f t="shared" si="772"/>
        <v>0</v>
      </c>
      <c r="AT520" s="1114">
        <f t="shared" si="772"/>
        <v>0</v>
      </c>
      <c r="AU520" s="1114">
        <f t="shared" si="772"/>
        <v>0</v>
      </c>
      <c r="AV520" s="1114">
        <f t="shared" si="772"/>
        <v>0</v>
      </c>
      <c r="AW520" s="1114">
        <f t="shared" si="772"/>
        <v>0</v>
      </c>
      <c r="AX520" s="1114">
        <f t="shared" si="772"/>
        <v>0</v>
      </c>
      <c r="AY520" s="1114">
        <f t="shared" si="772"/>
        <v>0</v>
      </c>
      <c r="AZ520" s="1114">
        <f t="shared" si="772"/>
        <v>0</v>
      </c>
      <c r="BA520" s="1114">
        <f t="shared" si="772"/>
        <v>0</v>
      </c>
      <c r="BB520" s="1114">
        <f t="shared" si="772"/>
        <v>0</v>
      </c>
      <c r="BC520" s="1114">
        <f t="shared" si="772"/>
        <v>0</v>
      </c>
      <c r="BD520" s="1114">
        <f t="shared" si="772"/>
        <v>0</v>
      </c>
      <c r="BE520" s="1114">
        <f t="shared" si="772"/>
        <v>0</v>
      </c>
      <c r="BF520" s="1114">
        <f t="shared" si="772"/>
        <v>0</v>
      </c>
      <c r="BG520" s="1114">
        <f t="shared" si="772"/>
        <v>0</v>
      </c>
      <c r="BH520" s="1114">
        <f t="shared" si="772"/>
        <v>0</v>
      </c>
      <c r="BI520" s="1114">
        <f t="shared" si="772"/>
        <v>0</v>
      </c>
      <c r="BJ520" s="1114">
        <f t="shared" si="772"/>
        <v>0</v>
      </c>
      <c r="BK520" s="1114">
        <f t="shared" si="772"/>
        <v>0</v>
      </c>
      <c r="BL520" s="1114">
        <f t="shared" si="772"/>
        <v>0</v>
      </c>
      <c r="BM520" s="1114">
        <f t="shared" si="772"/>
        <v>0</v>
      </c>
      <c r="BN520" s="1114">
        <f t="shared" si="772"/>
        <v>0</v>
      </c>
      <c r="BO520" s="1114">
        <f t="shared" si="772"/>
        <v>0</v>
      </c>
      <c r="BP520" s="1114">
        <f t="shared" si="772"/>
        <v>0</v>
      </c>
      <c r="BQ520" s="1114">
        <f t="shared" si="772"/>
        <v>0</v>
      </c>
      <c r="BR520" s="1114">
        <f t="shared" si="772"/>
        <v>0</v>
      </c>
      <c r="BS520" s="1114">
        <f t="shared" si="772"/>
        <v>0</v>
      </c>
      <c r="BT520" s="1114">
        <f t="shared" si="772"/>
        <v>0</v>
      </c>
      <c r="BU520" s="1114">
        <f t="shared" si="772"/>
        <v>0</v>
      </c>
      <c r="BV520" s="1114">
        <f t="shared" ref="BV520:DY520" si="773">+SUM(BV472,BV491,BV508:BV509)+BV$464</f>
        <v>0</v>
      </c>
      <c r="BW520" s="1114">
        <f t="shared" si="773"/>
        <v>0</v>
      </c>
      <c r="BX520" s="1114">
        <f t="shared" si="773"/>
        <v>0</v>
      </c>
      <c r="BY520" s="1114">
        <f t="shared" si="773"/>
        <v>0</v>
      </c>
      <c r="BZ520" s="1114">
        <f t="shared" si="773"/>
        <v>0</v>
      </c>
      <c r="CA520" s="1114">
        <f t="shared" si="773"/>
        <v>0</v>
      </c>
      <c r="CB520" s="1114">
        <f t="shared" si="773"/>
        <v>0</v>
      </c>
      <c r="CC520" s="1114">
        <f t="shared" si="773"/>
        <v>0</v>
      </c>
      <c r="CD520" s="1114">
        <f t="shared" si="773"/>
        <v>0</v>
      </c>
      <c r="CE520" s="1114">
        <f t="shared" si="773"/>
        <v>0</v>
      </c>
      <c r="CF520" s="1114">
        <f t="shared" ca="1" si="773"/>
        <v>0</v>
      </c>
      <c r="CG520" s="1114">
        <f t="shared" ca="1" si="773"/>
        <v>0</v>
      </c>
      <c r="CH520" s="1114">
        <f t="shared" ca="1" si="773"/>
        <v>0</v>
      </c>
      <c r="CI520" s="1114">
        <f t="shared" ca="1" si="773"/>
        <v>0</v>
      </c>
      <c r="CJ520" s="1114">
        <f t="shared" ca="1" si="773"/>
        <v>0</v>
      </c>
      <c r="CK520" s="1114">
        <f t="shared" ca="1" si="773"/>
        <v>0</v>
      </c>
      <c r="CL520" s="1114">
        <f t="shared" ca="1" si="773"/>
        <v>0</v>
      </c>
      <c r="CM520" s="1114">
        <f t="shared" ca="1" si="773"/>
        <v>0</v>
      </c>
      <c r="CN520" s="1114">
        <f t="shared" ca="1" si="773"/>
        <v>0</v>
      </c>
      <c r="CO520" s="1114">
        <f t="shared" ca="1" si="773"/>
        <v>0</v>
      </c>
      <c r="CP520" s="1114">
        <f t="shared" ca="1" si="773"/>
        <v>0</v>
      </c>
      <c r="CQ520" s="1114">
        <f t="shared" ca="1" si="773"/>
        <v>0</v>
      </c>
      <c r="CR520" s="1114">
        <f t="shared" ca="1" si="773"/>
        <v>0</v>
      </c>
      <c r="CS520" s="1114">
        <f t="shared" ca="1" si="773"/>
        <v>0</v>
      </c>
      <c r="CT520" s="1114">
        <f t="shared" ca="1" si="773"/>
        <v>0</v>
      </c>
      <c r="CU520" s="1114">
        <f t="shared" ca="1" si="773"/>
        <v>0</v>
      </c>
      <c r="CV520" s="1114">
        <f t="shared" ca="1" si="773"/>
        <v>0</v>
      </c>
      <c r="CW520" s="1114">
        <f t="shared" ca="1" si="773"/>
        <v>0</v>
      </c>
      <c r="CX520" s="1114">
        <f t="shared" ca="1" si="773"/>
        <v>0</v>
      </c>
      <c r="CY520" s="1114">
        <f t="shared" ca="1" si="773"/>
        <v>0</v>
      </c>
      <c r="CZ520" s="1114">
        <f t="shared" ca="1" si="773"/>
        <v>0</v>
      </c>
      <c r="DA520" s="1114">
        <f t="shared" ca="1" si="773"/>
        <v>0</v>
      </c>
      <c r="DB520" s="1114">
        <f t="shared" ca="1" si="773"/>
        <v>0</v>
      </c>
      <c r="DC520" s="1114">
        <f t="shared" ca="1" si="773"/>
        <v>0</v>
      </c>
      <c r="DD520" s="1114">
        <f t="shared" ca="1" si="773"/>
        <v>0</v>
      </c>
      <c r="DE520" s="1114">
        <f t="shared" ca="1" si="773"/>
        <v>0</v>
      </c>
      <c r="DF520" s="1114">
        <f t="shared" ca="1" si="773"/>
        <v>0</v>
      </c>
      <c r="DG520" s="1114">
        <f t="shared" ca="1" si="773"/>
        <v>0</v>
      </c>
      <c r="DH520" s="1114">
        <f t="shared" ca="1" si="773"/>
        <v>0</v>
      </c>
      <c r="DI520" s="1114">
        <f t="shared" ca="1" si="773"/>
        <v>0</v>
      </c>
      <c r="DJ520" s="1114">
        <f t="shared" ca="1" si="773"/>
        <v>0</v>
      </c>
      <c r="DK520" s="1114">
        <f t="shared" ca="1" si="773"/>
        <v>0</v>
      </c>
      <c r="DL520" s="1114">
        <f t="shared" ca="1" si="773"/>
        <v>0</v>
      </c>
      <c r="DM520" s="1114">
        <f t="shared" ca="1" si="773"/>
        <v>0</v>
      </c>
      <c r="DN520" s="1114">
        <f t="shared" ca="1" si="773"/>
        <v>0</v>
      </c>
      <c r="DO520" s="1114">
        <f t="shared" ca="1" si="773"/>
        <v>0</v>
      </c>
      <c r="DP520" s="1114">
        <f t="shared" ca="1" si="773"/>
        <v>0</v>
      </c>
      <c r="DQ520" s="1114">
        <f t="shared" ca="1" si="773"/>
        <v>0</v>
      </c>
      <c r="DR520" s="1114">
        <f t="shared" ca="1" si="773"/>
        <v>0</v>
      </c>
      <c r="DS520" s="1114">
        <f t="shared" ca="1" si="773"/>
        <v>0</v>
      </c>
      <c r="DT520" s="1114">
        <f t="shared" ca="1" si="773"/>
        <v>0</v>
      </c>
      <c r="DU520" s="1114">
        <f t="shared" ca="1" si="773"/>
        <v>0</v>
      </c>
      <c r="DV520" s="1114">
        <f t="shared" ca="1" si="773"/>
        <v>0</v>
      </c>
      <c r="DW520" s="1114">
        <f t="shared" ca="1" si="773"/>
        <v>0</v>
      </c>
      <c r="DX520" s="1114">
        <f t="shared" ca="1" si="773"/>
        <v>0</v>
      </c>
      <c r="DY520" s="1114">
        <f t="shared" ca="1" si="773"/>
        <v>0</v>
      </c>
    </row>
    <row r="521" spans="2:129" ht="11.7" customHeight="1" outlineLevel="1" thickTop="1" thickBot="1" x14ac:dyDescent="0.35">
      <c r="B521" s="891" t="s">
        <v>658</v>
      </c>
      <c r="C521" s="891"/>
      <c r="D521" s="206"/>
      <c r="E521" s="206"/>
      <c r="F521" s="1101"/>
      <c r="G521" s="1102"/>
      <c r="H521" s="646">
        <f ca="1">+SUM(I521:DY521)</f>
        <v>0</v>
      </c>
      <c r="I521" s="1114">
        <f>+SUM(I480,I500,I515:I516)+I$465</f>
        <v>0</v>
      </c>
      <c r="J521" s="1114">
        <f t="shared" ref="J521:BU521" si="774">+SUM(J480,J500,J515:J516)+J$465</f>
        <v>0</v>
      </c>
      <c r="K521" s="1114">
        <f t="shared" si="774"/>
        <v>0</v>
      </c>
      <c r="L521" s="1114">
        <f t="shared" si="774"/>
        <v>0</v>
      </c>
      <c r="M521" s="1114">
        <f t="shared" si="774"/>
        <v>0</v>
      </c>
      <c r="N521" s="1114">
        <f t="shared" si="774"/>
        <v>0</v>
      </c>
      <c r="O521" s="1114">
        <f t="shared" si="774"/>
        <v>0</v>
      </c>
      <c r="P521" s="1114">
        <f t="shared" si="774"/>
        <v>0</v>
      </c>
      <c r="Q521" s="1114">
        <f t="shared" si="774"/>
        <v>0</v>
      </c>
      <c r="R521" s="1114">
        <f t="shared" si="774"/>
        <v>0</v>
      </c>
      <c r="S521" s="1114">
        <f t="shared" si="774"/>
        <v>0</v>
      </c>
      <c r="T521" s="1114">
        <f t="shared" si="774"/>
        <v>0</v>
      </c>
      <c r="U521" s="1114">
        <f t="shared" si="774"/>
        <v>0</v>
      </c>
      <c r="V521" s="1114">
        <f t="shared" si="774"/>
        <v>0</v>
      </c>
      <c r="W521" s="1114">
        <f t="shared" si="774"/>
        <v>0</v>
      </c>
      <c r="X521" s="1114">
        <f t="shared" si="774"/>
        <v>0</v>
      </c>
      <c r="Y521" s="1114">
        <f t="shared" si="774"/>
        <v>0</v>
      </c>
      <c r="Z521" s="1114">
        <f t="shared" si="774"/>
        <v>0</v>
      </c>
      <c r="AA521" s="1114">
        <f t="shared" si="774"/>
        <v>0</v>
      </c>
      <c r="AB521" s="1114">
        <f t="shared" si="774"/>
        <v>0</v>
      </c>
      <c r="AC521" s="1114">
        <f t="shared" si="774"/>
        <v>0</v>
      </c>
      <c r="AD521" s="1114">
        <f t="shared" si="774"/>
        <v>0</v>
      </c>
      <c r="AE521" s="1114">
        <f t="shared" si="774"/>
        <v>0</v>
      </c>
      <c r="AF521" s="1114">
        <f t="shared" si="774"/>
        <v>0</v>
      </c>
      <c r="AG521" s="1114">
        <f t="shared" si="774"/>
        <v>0</v>
      </c>
      <c r="AH521" s="1114">
        <f t="shared" si="774"/>
        <v>0</v>
      </c>
      <c r="AI521" s="1114">
        <f t="shared" si="774"/>
        <v>0</v>
      </c>
      <c r="AJ521" s="1114">
        <f t="shared" si="774"/>
        <v>0</v>
      </c>
      <c r="AK521" s="1114">
        <f t="shared" si="774"/>
        <v>0</v>
      </c>
      <c r="AL521" s="1114">
        <f t="shared" si="774"/>
        <v>0</v>
      </c>
      <c r="AM521" s="1114">
        <f t="shared" si="774"/>
        <v>0</v>
      </c>
      <c r="AN521" s="1114">
        <f t="shared" si="774"/>
        <v>0</v>
      </c>
      <c r="AO521" s="1114">
        <f t="shared" si="774"/>
        <v>0</v>
      </c>
      <c r="AP521" s="1114">
        <f t="shared" si="774"/>
        <v>0</v>
      </c>
      <c r="AQ521" s="1114">
        <f t="shared" si="774"/>
        <v>0</v>
      </c>
      <c r="AR521" s="1114">
        <f t="shared" si="774"/>
        <v>0</v>
      </c>
      <c r="AS521" s="1114">
        <f t="shared" si="774"/>
        <v>0</v>
      </c>
      <c r="AT521" s="1114">
        <f t="shared" si="774"/>
        <v>0</v>
      </c>
      <c r="AU521" s="1114">
        <f t="shared" si="774"/>
        <v>0</v>
      </c>
      <c r="AV521" s="1114">
        <f t="shared" si="774"/>
        <v>0</v>
      </c>
      <c r="AW521" s="1114">
        <f t="shared" si="774"/>
        <v>0</v>
      </c>
      <c r="AX521" s="1114">
        <f t="shared" si="774"/>
        <v>0</v>
      </c>
      <c r="AY521" s="1114">
        <f t="shared" si="774"/>
        <v>0</v>
      </c>
      <c r="AZ521" s="1114">
        <f t="shared" si="774"/>
        <v>0</v>
      </c>
      <c r="BA521" s="1114">
        <f t="shared" si="774"/>
        <v>0</v>
      </c>
      <c r="BB521" s="1114">
        <f t="shared" si="774"/>
        <v>0</v>
      </c>
      <c r="BC521" s="1114">
        <f t="shared" si="774"/>
        <v>0</v>
      </c>
      <c r="BD521" s="1114">
        <f t="shared" si="774"/>
        <v>0</v>
      </c>
      <c r="BE521" s="1114">
        <f t="shared" si="774"/>
        <v>0</v>
      </c>
      <c r="BF521" s="1114">
        <f t="shared" si="774"/>
        <v>0</v>
      </c>
      <c r="BG521" s="1114">
        <f t="shared" si="774"/>
        <v>0</v>
      </c>
      <c r="BH521" s="1114">
        <f t="shared" si="774"/>
        <v>0</v>
      </c>
      <c r="BI521" s="1114">
        <f t="shared" si="774"/>
        <v>0</v>
      </c>
      <c r="BJ521" s="1114">
        <f t="shared" si="774"/>
        <v>0</v>
      </c>
      <c r="BK521" s="1114">
        <f t="shared" si="774"/>
        <v>0</v>
      </c>
      <c r="BL521" s="1114">
        <f t="shared" si="774"/>
        <v>0</v>
      </c>
      <c r="BM521" s="1114">
        <f t="shared" si="774"/>
        <v>0</v>
      </c>
      <c r="BN521" s="1114">
        <f t="shared" si="774"/>
        <v>0</v>
      </c>
      <c r="BO521" s="1114">
        <f t="shared" si="774"/>
        <v>0</v>
      </c>
      <c r="BP521" s="1114">
        <f t="shared" si="774"/>
        <v>0</v>
      </c>
      <c r="BQ521" s="1114">
        <f t="shared" si="774"/>
        <v>0</v>
      </c>
      <c r="BR521" s="1114">
        <f t="shared" si="774"/>
        <v>0</v>
      </c>
      <c r="BS521" s="1114">
        <f t="shared" si="774"/>
        <v>0</v>
      </c>
      <c r="BT521" s="1114">
        <f t="shared" si="774"/>
        <v>0</v>
      </c>
      <c r="BU521" s="1114">
        <f t="shared" si="774"/>
        <v>0</v>
      </c>
      <c r="BV521" s="1114">
        <f t="shared" ref="BV521:DY521" si="775">+SUM(BV480,BV500,BV515:BV516)+BV$465</f>
        <v>0</v>
      </c>
      <c r="BW521" s="1114">
        <f t="shared" si="775"/>
        <v>0</v>
      </c>
      <c r="BX521" s="1114">
        <f t="shared" si="775"/>
        <v>0</v>
      </c>
      <c r="BY521" s="1114">
        <f t="shared" si="775"/>
        <v>0</v>
      </c>
      <c r="BZ521" s="1114">
        <f t="shared" si="775"/>
        <v>0</v>
      </c>
      <c r="CA521" s="1114">
        <f t="shared" si="775"/>
        <v>0</v>
      </c>
      <c r="CB521" s="1114">
        <f t="shared" si="775"/>
        <v>0</v>
      </c>
      <c r="CC521" s="1114">
        <f t="shared" si="775"/>
        <v>0</v>
      </c>
      <c r="CD521" s="1114">
        <f t="shared" si="775"/>
        <v>0</v>
      </c>
      <c r="CE521" s="1114">
        <f t="shared" si="775"/>
        <v>0</v>
      </c>
      <c r="CF521" s="1114">
        <f t="shared" ca="1" si="775"/>
        <v>0</v>
      </c>
      <c r="CG521" s="1114">
        <f t="shared" ca="1" si="775"/>
        <v>0</v>
      </c>
      <c r="CH521" s="1114">
        <f t="shared" ca="1" si="775"/>
        <v>0</v>
      </c>
      <c r="CI521" s="1114">
        <f t="shared" ca="1" si="775"/>
        <v>0</v>
      </c>
      <c r="CJ521" s="1114">
        <f t="shared" ca="1" si="775"/>
        <v>0</v>
      </c>
      <c r="CK521" s="1114">
        <f t="shared" ca="1" si="775"/>
        <v>0</v>
      </c>
      <c r="CL521" s="1114">
        <f t="shared" ca="1" si="775"/>
        <v>0</v>
      </c>
      <c r="CM521" s="1114">
        <f t="shared" ca="1" si="775"/>
        <v>0</v>
      </c>
      <c r="CN521" s="1114">
        <f t="shared" ca="1" si="775"/>
        <v>0</v>
      </c>
      <c r="CO521" s="1114">
        <f t="shared" ca="1" si="775"/>
        <v>0</v>
      </c>
      <c r="CP521" s="1114">
        <f t="shared" ca="1" si="775"/>
        <v>0</v>
      </c>
      <c r="CQ521" s="1114">
        <f t="shared" ca="1" si="775"/>
        <v>0</v>
      </c>
      <c r="CR521" s="1114">
        <f t="shared" ca="1" si="775"/>
        <v>0</v>
      </c>
      <c r="CS521" s="1114">
        <f t="shared" ca="1" si="775"/>
        <v>0</v>
      </c>
      <c r="CT521" s="1114">
        <f t="shared" ca="1" si="775"/>
        <v>0</v>
      </c>
      <c r="CU521" s="1114">
        <f t="shared" ca="1" si="775"/>
        <v>0</v>
      </c>
      <c r="CV521" s="1114">
        <f t="shared" ca="1" si="775"/>
        <v>0</v>
      </c>
      <c r="CW521" s="1114">
        <f t="shared" ca="1" si="775"/>
        <v>0</v>
      </c>
      <c r="CX521" s="1114">
        <f t="shared" ca="1" si="775"/>
        <v>0</v>
      </c>
      <c r="CY521" s="1114">
        <f t="shared" ca="1" si="775"/>
        <v>0</v>
      </c>
      <c r="CZ521" s="1114">
        <f t="shared" ca="1" si="775"/>
        <v>0</v>
      </c>
      <c r="DA521" s="1114">
        <f t="shared" ca="1" si="775"/>
        <v>0</v>
      </c>
      <c r="DB521" s="1114">
        <f t="shared" ca="1" si="775"/>
        <v>0</v>
      </c>
      <c r="DC521" s="1114">
        <f t="shared" ca="1" si="775"/>
        <v>0</v>
      </c>
      <c r="DD521" s="1114">
        <f t="shared" ca="1" si="775"/>
        <v>0</v>
      </c>
      <c r="DE521" s="1114">
        <f t="shared" ca="1" si="775"/>
        <v>0</v>
      </c>
      <c r="DF521" s="1114">
        <f t="shared" ca="1" si="775"/>
        <v>0</v>
      </c>
      <c r="DG521" s="1114">
        <f t="shared" ca="1" si="775"/>
        <v>0</v>
      </c>
      <c r="DH521" s="1114">
        <f t="shared" ca="1" si="775"/>
        <v>0</v>
      </c>
      <c r="DI521" s="1114">
        <f t="shared" ca="1" si="775"/>
        <v>0</v>
      </c>
      <c r="DJ521" s="1114">
        <f t="shared" ca="1" si="775"/>
        <v>0</v>
      </c>
      <c r="DK521" s="1114">
        <f t="shared" ca="1" si="775"/>
        <v>0</v>
      </c>
      <c r="DL521" s="1114">
        <f t="shared" ca="1" si="775"/>
        <v>0</v>
      </c>
      <c r="DM521" s="1114">
        <f t="shared" ca="1" si="775"/>
        <v>0</v>
      </c>
      <c r="DN521" s="1114">
        <f t="shared" ca="1" si="775"/>
        <v>0</v>
      </c>
      <c r="DO521" s="1114">
        <f t="shared" ca="1" si="775"/>
        <v>0</v>
      </c>
      <c r="DP521" s="1114">
        <f t="shared" ca="1" si="775"/>
        <v>0</v>
      </c>
      <c r="DQ521" s="1114">
        <f t="shared" ca="1" si="775"/>
        <v>0</v>
      </c>
      <c r="DR521" s="1114">
        <f t="shared" ca="1" si="775"/>
        <v>0</v>
      </c>
      <c r="DS521" s="1114">
        <f t="shared" ca="1" si="775"/>
        <v>0</v>
      </c>
      <c r="DT521" s="1114">
        <f t="shared" ca="1" si="775"/>
        <v>0</v>
      </c>
      <c r="DU521" s="1114">
        <f t="shared" ca="1" si="775"/>
        <v>0</v>
      </c>
      <c r="DV521" s="1114">
        <f t="shared" ca="1" si="775"/>
        <v>0</v>
      </c>
      <c r="DW521" s="1114">
        <f t="shared" ca="1" si="775"/>
        <v>0</v>
      </c>
      <c r="DX521" s="1114">
        <f t="shared" ca="1" si="775"/>
        <v>0</v>
      </c>
      <c r="DY521" s="1114">
        <f t="shared" ca="1" si="775"/>
        <v>0</v>
      </c>
    </row>
    <row r="522" spans="2:129" ht="11.7" customHeight="1" outlineLevel="1" thickTop="1" x14ac:dyDescent="0.3">
      <c r="B522" s="149"/>
      <c r="C522" s="149"/>
      <c r="D522" s="3"/>
      <c r="E522" s="3"/>
    </row>
    <row r="523" spans="2:129" ht="11.7" customHeight="1" x14ac:dyDescent="0.3">
      <c r="B523" s="3"/>
      <c r="C523" s="3"/>
      <c r="D523" s="3"/>
      <c r="E523" s="3"/>
    </row>
    <row r="524" spans="2:129" ht="11.7" customHeight="1" x14ac:dyDescent="0.3">
      <c r="B524" s="313" t="s">
        <v>659</v>
      </c>
      <c r="C524" s="313"/>
      <c r="D524" s="313"/>
      <c r="E524" s="313"/>
      <c r="F524" s="313"/>
      <c r="G524" s="313"/>
      <c r="H524" s="313"/>
      <c r="I524" s="313"/>
      <c r="J524" s="313"/>
      <c r="K524" s="313"/>
      <c r="L524" s="313"/>
      <c r="M524" s="313"/>
      <c r="N524" s="313"/>
      <c r="O524" s="313"/>
      <c r="P524" s="313"/>
      <c r="Q524" s="313"/>
      <c r="R524" s="313"/>
      <c r="S524" s="313"/>
      <c r="T524" s="313"/>
      <c r="U524" s="313"/>
      <c r="V524" s="313"/>
      <c r="W524" s="313"/>
      <c r="X524" s="313"/>
      <c r="Y524" s="313"/>
      <c r="Z524" s="313"/>
      <c r="AA524" s="313"/>
      <c r="AB524" s="313"/>
      <c r="AC524" s="313"/>
      <c r="AD524" s="313"/>
      <c r="AE524" s="313"/>
      <c r="AF524" s="313"/>
      <c r="AG524" s="313"/>
      <c r="AH524" s="313"/>
      <c r="AI524" s="313"/>
      <c r="AJ524" s="313"/>
      <c r="AK524" s="313"/>
      <c r="AL524" s="313"/>
      <c r="AM524" s="313"/>
      <c r="AN524" s="313"/>
      <c r="AO524" s="313"/>
      <c r="AP524" s="313"/>
      <c r="AQ524" s="313"/>
      <c r="AR524" s="313"/>
      <c r="AS524" s="313"/>
      <c r="AT524" s="313"/>
      <c r="AU524" s="313"/>
      <c r="AV524" s="313"/>
      <c r="AW524" s="313"/>
      <c r="AX524" s="313"/>
      <c r="AY524" s="313"/>
      <c r="AZ524" s="313"/>
      <c r="BA524" s="313"/>
      <c r="BB524" s="313"/>
      <c r="BC524" s="313"/>
      <c r="BD524" s="313"/>
      <c r="BE524" s="313"/>
      <c r="BF524" s="313"/>
      <c r="BG524" s="313"/>
      <c r="BH524" s="313"/>
      <c r="BI524" s="313"/>
      <c r="BJ524" s="313"/>
      <c r="BK524" s="313"/>
      <c r="BL524" s="313"/>
      <c r="BM524" s="313"/>
      <c r="BN524" s="313"/>
      <c r="BO524" s="313"/>
      <c r="BP524" s="313"/>
      <c r="BQ524" s="313"/>
      <c r="BR524" s="313"/>
      <c r="BS524" s="313"/>
      <c r="BT524" s="313"/>
      <c r="BU524" s="313"/>
      <c r="BV524" s="313"/>
      <c r="BW524" s="313"/>
      <c r="BX524" s="313"/>
      <c r="BY524" s="313"/>
      <c r="BZ524" s="313"/>
      <c r="CA524" s="313"/>
      <c r="CB524" s="313"/>
      <c r="CC524" s="313"/>
      <c r="CD524" s="313"/>
      <c r="CE524" s="313"/>
      <c r="CF524" s="313"/>
      <c r="CG524" s="313"/>
      <c r="CH524" s="313"/>
      <c r="CI524" s="313"/>
      <c r="CJ524" s="313"/>
      <c r="CK524" s="313"/>
      <c r="CL524" s="313"/>
      <c r="CM524" s="313"/>
      <c r="CN524" s="313"/>
      <c r="CO524" s="313"/>
      <c r="CP524" s="313"/>
      <c r="CQ524" s="313"/>
      <c r="CR524" s="313"/>
      <c r="CS524" s="313"/>
      <c r="CT524" s="313"/>
      <c r="CU524" s="313"/>
      <c r="CV524" s="313"/>
      <c r="CW524" s="313"/>
      <c r="CX524" s="313"/>
      <c r="CY524" s="313"/>
      <c r="CZ524" s="313"/>
      <c r="DA524" s="313"/>
      <c r="DB524" s="313"/>
      <c r="DC524" s="313"/>
      <c r="DD524" s="313"/>
      <c r="DE524" s="313"/>
      <c r="DF524" s="313"/>
      <c r="DG524" s="313"/>
      <c r="DH524" s="313"/>
      <c r="DI524" s="313"/>
      <c r="DJ524" s="313"/>
      <c r="DK524" s="313"/>
      <c r="DL524" s="313"/>
      <c r="DM524" s="313"/>
      <c r="DN524" s="313"/>
      <c r="DO524" s="313"/>
      <c r="DP524" s="313"/>
      <c r="DQ524" s="313"/>
      <c r="DR524" s="313"/>
      <c r="DS524" s="313"/>
      <c r="DT524" s="313"/>
      <c r="DU524" s="313"/>
      <c r="DV524" s="313"/>
      <c r="DW524" s="313"/>
      <c r="DX524" s="313"/>
      <c r="DY524" s="313"/>
    </row>
    <row r="525" spans="2:129" ht="11.7" customHeight="1" outlineLevel="1" x14ac:dyDescent="0.3">
      <c r="B525" s="3"/>
      <c r="C525" s="3"/>
      <c r="D525" s="3"/>
      <c r="E525" s="3"/>
      <c r="F525" s="3"/>
    </row>
    <row r="526" spans="2:129" ht="11.7" customHeight="1" outlineLevel="1" x14ac:dyDescent="0.25">
      <c r="B526" s="149" t="s">
        <v>515</v>
      </c>
      <c r="C526" s="149"/>
      <c r="D526" s="18"/>
      <c r="E526" s="18"/>
      <c r="F526" s="18"/>
      <c r="G526" s="1103"/>
      <c r="H526" s="290">
        <f>+SUM(I526:DY526)</f>
        <v>-220071.37103355466</v>
      </c>
      <c r="I526" s="293">
        <f>+I$460</f>
        <v>-179951.23080262783</v>
      </c>
      <c r="J526" s="293">
        <f t="shared" ref="J526:BU526" si="776">+J$460</f>
        <v>0</v>
      </c>
      <c r="K526" s="293">
        <f t="shared" si="776"/>
        <v>0</v>
      </c>
      <c r="L526" s="293">
        <f t="shared" si="776"/>
        <v>0</v>
      </c>
      <c r="M526" s="293">
        <f t="shared" si="776"/>
        <v>0</v>
      </c>
      <c r="N526" s="293">
        <f t="shared" si="776"/>
        <v>0</v>
      </c>
      <c r="O526" s="293">
        <f t="shared" si="776"/>
        <v>0</v>
      </c>
      <c r="P526" s="293">
        <f t="shared" si="776"/>
        <v>0</v>
      </c>
      <c r="Q526" s="293">
        <f t="shared" si="776"/>
        <v>0</v>
      </c>
      <c r="R526" s="293">
        <f t="shared" si="776"/>
        <v>0</v>
      </c>
      <c r="S526" s="293">
        <f t="shared" si="776"/>
        <v>0</v>
      </c>
      <c r="T526" s="293">
        <f t="shared" si="776"/>
        <v>0</v>
      </c>
      <c r="U526" s="293">
        <f t="shared" si="776"/>
        <v>0</v>
      </c>
      <c r="V526" s="293">
        <f t="shared" si="776"/>
        <v>0</v>
      </c>
      <c r="W526" s="293">
        <f t="shared" si="776"/>
        <v>-40120.140230926831</v>
      </c>
      <c r="X526" s="293">
        <f t="shared" si="776"/>
        <v>0</v>
      </c>
      <c r="Y526" s="293">
        <f t="shared" si="776"/>
        <v>0</v>
      </c>
      <c r="Z526" s="293">
        <f t="shared" si="776"/>
        <v>0</v>
      </c>
      <c r="AA526" s="293">
        <f t="shared" si="776"/>
        <v>0</v>
      </c>
      <c r="AB526" s="293">
        <f t="shared" si="776"/>
        <v>0</v>
      </c>
      <c r="AC526" s="293">
        <f t="shared" si="776"/>
        <v>0</v>
      </c>
      <c r="AD526" s="293">
        <f t="shared" si="776"/>
        <v>0</v>
      </c>
      <c r="AE526" s="293">
        <f t="shared" si="776"/>
        <v>0</v>
      </c>
      <c r="AF526" s="293">
        <f t="shared" si="776"/>
        <v>0</v>
      </c>
      <c r="AG526" s="293">
        <f t="shared" si="776"/>
        <v>0</v>
      </c>
      <c r="AH526" s="293">
        <f t="shared" si="776"/>
        <v>0</v>
      </c>
      <c r="AI526" s="293">
        <f t="shared" si="776"/>
        <v>0</v>
      </c>
      <c r="AJ526" s="293">
        <f t="shared" si="776"/>
        <v>0</v>
      </c>
      <c r="AK526" s="293">
        <f t="shared" si="776"/>
        <v>0</v>
      </c>
      <c r="AL526" s="293">
        <f t="shared" si="776"/>
        <v>0</v>
      </c>
      <c r="AM526" s="293">
        <f t="shared" si="776"/>
        <v>0</v>
      </c>
      <c r="AN526" s="293">
        <f t="shared" si="776"/>
        <v>0</v>
      </c>
      <c r="AO526" s="293">
        <f t="shared" si="776"/>
        <v>0</v>
      </c>
      <c r="AP526" s="293">
        <f t="shared" si="776"/>
        <v>0</v>
      </c>
      <c r="AQ526" s="293">
        <f t="shared" si="776"/>
        <v>0</v>
      </c>
      <c r="AR526" s="293">
        <f t="shared" si="776"/>
        <v>0</v>
      </c>
      <c r="AS526" s="293">
        <f t="shared" si="776"/>
        <v>0</v>
      </c>
      <c r="AT526" s="293">
        <f t="shared" si="776"/>
        <v>0</v>
      </c>
      <c r="AU526" s="293">
        <f t="shared" si="776"/>
        <v>0</v>
      </c>
      <c r="AV526" s="293">
        <f t="shared" si="776"/>
        <v>0</v>
      </c>
      <c r="AW526" s="293">
        <f t="shared" si="776"/>
        <v>0</v>
      </c>
      <c r="AX526" s="293">
        <f t="shared" si="776"/>
        <v>0</v>
      </c>
      <c r="AY526" s="293">
        <f t="shared" si="776"/>
        <v>0</v>
      </c>
      <c r="AZ526" s="293">
        <f t="shared" si="776"/>
        <v>0</v>
      </c>
      <c r="BA526" s="293">
        <f t="shared" si="776"/>
        <v>0</v>
      </c>
      <c r="BB526" s="293">
        <f t="shared" si="776"/>
        <v>0</v>
      </c>
      <c r="BC526" s="293">
        <f t="shared" si="776"/>
        <v>0</v>
      </c>
      <c r="BD526" s="293">
        <f t="shared" si="776"/>
        <v>0</v>
      </c>
      <c r="BE526" s="293">
        <f t="shared" si="776"/>
        <v>0</v>
      </c>
      <c r="BF526" s="293">
        <f t="shared" si="776"/>
        <v>0</v>
      </c>
      <c r="BG526" s="293">
        <f t="shared" si="776"/>
        <v>0</v>
      </c>
      <c r="BH526" s="293">
        <f t="shared" si="776"/>
        <v>0</v>
      </c>
      <c r="BI526" s="293">
        <f t="shared" si="776"/>
        <v>0</v>
      </c>
      <c r="BJ526" s="293">
        <f t="shared" si="776"/>
        <v>0</v>
      </c>
      <c r="BK526" s="293">
        <f t="shared" si="776"/>
        <v>0</v>
      </c>
      <c r="BL526" s="293">
        <f t="shared" si="776"/>
        <v>0</v>
      </c>
      <c r="BM526" s="293">
        <f t="shared" si="776"/>
        <v>0</v>
      </c>
      <c r="BN526" s="293">
        <f t="shared" si="776"/>
        <v>0</v>
      </c>
      <c r="BO526" s="293">
        <f t="shared" si="776"/>
        <v>0</v>
      </c>
      <c r="BP526" s="293">
        <f t="shared" si="776"/>
        <v>0</v>
      </c>
      <c r="BQ526" s="293">
        <f t="shared" si="776"/>
        <v>0</v>
      </c>
      <c r="BR526" s="293">
        <f t="shared" si="776"/>
        <v>0</v>
      </c>
      <c r="BS526" s="293">
        <f t="shared" si="776"/>
        <v>0</v>
      </c>
      <c r="BT526" s="293">
        <f t="shared" si="776"/>
        <v>0</v>
      </c>
      <c r="BU526" s="293">
        <f t="shared" si="776"/>
        <v>0</v>
      </c>
      <c r="BV526" s="293">
        <f t="shared" ref="BV526:DY526" si="777">+BV$460</f>
        <v>0</v>
      </c>
      <c r="BW526" s="293">
        <f t="shared" si="777"/>
        <v>0</v>
      </c>
      <c r="BX526" s="293">
        <f t="shared" si="777"/>
        <v>0</v>
      </c>
      <c r="BY526" s="293">
        <f t="shared" si="777"/>
        <v>0</v>
      </c>
      <c r="BZ526" s="293">
        <f t="shared" si="777"/>
        <v>0</v>
      </c>
      <c r="CA526" s="293">
        <f t="shared" si="777"/>
        <v>0</v>
      </c>
      <c r="CB526" s="293">
        <f t="shared" si="777"/>
        <v>0</v>
      </c>
      <c r="CC526" s="293">
        <f t="shared" si="777"/>
        <v>0</v>
      </c>
      <c r="CD526" s="293">
        <f t="shared" si="777"/>
        <v>0</v>
      </c>
      <c r="CE526" s="293">
        <f t="shared" si="777"/>
        <v>0</v>
      </c>
      <c r="CF526" s="293">
        <f t="shared" si="777"/>
        <v>0</v>
      </c>
      <c r="CG526" s="293">
        <f t="shared" si="777"/>
        <v>0</v>
      </c>
      <c r="CH526" s="293">
        <f t="shared" si="777"/>
        <v>0</v>
      </c>
      <c r="CI526" s="293">
        <f t="shared" si="777"/>
        <v>0</v>
      </c>
      <c r="CJ526" s="293">
        <f t="shared" si="777"/>
        <v>0</v>
      </c>
      <c r="CK526" s="293">
        <f t="shared" si="777"/>
        <v>0</v>
      </c>
      <c r="CL526" s="293">
        <f t="shared" si="777"/>
        <v>0</v>
      </c>
      <c r="CM526" s="293">
        <f t="shared" si="777"/>
        <v>0</v>
      </c>
      <c r="CN526" s="293">
        <f t="shared" si="777"/>
        <v>0</v>
      </c>
      <c r="CO526" s="293">
        <f t="shared" si="777"/>
        <v>0</v>
      </c>
      <c r="CP526" s="293">
        <f t="shared" si="777"/>
        <v>0</v>
      </c>
      <c r="CQ526" s="293">
        <f t="shared" si="777"/>
        <v>0</v>
      </c>
      <c r="CR526" s="293">
        <f t="shared" si="777"/>
        <v>0</v>
      </c>
      <c r="CS526" s="293">
        <f t="shared" si="777"/>
        <v>0</v>
      </c>
      <c r="CT526" s="293">
        <f t="shared" si="777"/>
        <v>0</v>
      </c>
      <c r="CU526" s="293">
        <f t="shared" si="777"/>
        <v>0</v>
      </c>
      <c r="CV526" s="293">
        <f t="shared" si="777"/>
        <v>0</v>
      </c>
      <c r="CW526" s="293">
        <f t="shared" si="777"/>
        <v>0</v>
      </c>
      <c r="CX526" s="293">
        <f t="shared" si="777"/>
        <v>0</v>
      </c>
      <c r="CY526" s="293">
        <f t="shared" si="777"/>
        <v>0</v>
      </c>
      <c r="CZ526" s="293">
        <f t="shared" si="777"/>
        <v>0</v>
      </c>
      <c r="DA526" s="293">
        <f t="shared" si="777"/>
        <v>0</v>
      </c>
      <c r="DB526" s="293">
        <f t="shared" si="777"/>
        <v>0</v>
      </c>
      <c r="DC526" s="293">
        <f t="shared" si="777"/>
        <v>0</v>
      </c>
      <c r="DD526" s="293">
        <f t="shared" si="777"/>
        <v>0</v>
      </c>
      <c r="DE526" s="293">
        <f t="shared" si="777"/>
        <v>0</v>
      </c>
      <c r="DF526" s="293">
        <f t="shared" si="777"/>
        <v>0</v>
      </c>
      <c r="DG526" s="293">
        <f t="shared" si="777"/>
        <v>0</v>
      </c>
      <c r="DH526" s="293">
        <f t="shared" si="777"/>
        <v>0</v>
      </c>
      <c r="DI526" s="293">
        <f t="shared" si="777"/>
        <v>0</v>
      </c>
      <c r="DJ526" s="293">
        <f t="shared" si="777"/>
        <v>0</v>
      </c>
      <c r="DK526" s="293">
        <f t="shared" si="777"/>
        <v>0</v>
      </c>
      <c r="DL526" s="293">
        <f t="shared" si="777"/>
        <v>0</v>
      </c>
      <c r="DM526" s="293">
        <f t="shared" si="777"/>
        <v>0</v>
      </c>
      <c r="DN526" s="293">
        <f t="shared" si="777"/>
        <v>0</v>
      </c>
      <c r="DO526" s="293">
        <f t="shared" si="777"/>
        <v>0</v>
      </c>
      <c r="DP526" s="293">
        <f t="shared" si="777"/>
        <v>0</v>
      </c>
      <c r="DQ526" s="293">
        <f t="shared" si="777"/>
        <v>0</v>
      </c>
      <c r="DR526" s="293">
        <f t="shared" si="777"/>
        <v>0</v>
      </c>
      <c r="DS526" s="293">
        <f t="shared" si="777"/>
        <v>0</v>
      </c>
      <c r="DT526" s="293">
        <f t="shared" si="777"/>
        <v>0</v>
      </c>
      <c r="DU526" s="293">
        <f t="shared" si="777"/>
        <v>0</v>
      </c>
      <c r="DV526" s="293">
        <f t="shared" si="777"/>
        <v>0</v>
      </c>
      <c r="DW526" s="293">
        <f t="shared" si="777"/>
        <v>0</v>
      </c>
      <c r="DX526" s="293">
        <f t="shared" si="777"/>
        <v>0</v>
      </c>
      <c r="DY526" s="293">
        <f t="shared" si="777"/>
        <v>0</v>
      </c>
    </row>
    <row r="527" spans="2:129" ht="11.7" customHeight="1" outlineLevel="1" thickBot="1" x14ac:dyDescent="0.3">
      <c r="B527" s="178" t="s">
        <v>516</v>
      </c>
      <c r="C527" s="178"/>
      <c r="D527" s="1085"/>
      <c r="E527" s="1085"/>
      <c r="F527" s="1104"/>
      <c r="G527" s="1105"/>
      <c r="H527" s="1106">
        <f ca="1">+SUM(I527:DY527)</f>
        <v>374557.25269984029</v>
      </c>
      <c r="I527" s="1065">
        <f>-SUM(I$472,I$491,I$508)</f>
        <v>0</v>
      </c>
      <c r="J527" s="1065">
        <f t="shared" ref="J527:BU527" si="778">-SUM(J$472,J$491,J$508)</f>
        <v>0</v>
      </c>
      <c r="K527" s="1065">
        <f t="shared" si="778"/>
        <v>0</v>
      </c>
      <c r="L527" s="1065">
        <f t="shared" si="778"/>
        <v>0</v>
      </c>
      <c r="M527" s="1065">
        <f t="shared" si="778"/>
        <v>0</v>
      </c>
      <c r="N527" s="1065">
        <f t="shared" si="778"/>
        <v>0</v>
      </c>
      <c r="O527" s="1065">
        <f t="shared" si="778"/>
        <v>0</v>
      </c>
      <c r="P527" s="1065">
        <f t="shared" si="778"/>
        <v>0</v>
      </c>
      <c r="Q527" s="1065">
        <f t="shared" si="778"/>
        <v>0</v>
      </c>
      <c r="R527" s="1065">
        <f t="shared" si="778"/>
        <v>0</v>
      </c>
      <c r="S527" s="1065">
        <f t="shared" si="778"/>
        <v>0</v>
      </c>
      <c r="T527" s="1065">
        <f t="shared" si="778"/>
        <v>0</v>
      </c>
      <c r="U527" s="1065">
        <f t="shared" si="778"/>
        <v>0</v>
      </c>
      <c r="V527" s="1065">
        <f t="shared" si="778"/>
        <v>0</v>
      </c>
      <c r="W527" s="1065">
        <f t="shared" si="778"/>
        <v>0</v>
      </c>
      <c r="X527" s="1065">
        <f t="shared" si="778"/>
        <v>0</v>
      </c>
      <c r="Y527" s="1065">
        <f t="shared" si="778"/>
        <v>0</v>
      </c>
      <c r="Z527" s="1065">
        <f t="shared" si="778"/>
        <v>0</v>
      </c>
      <c r="AA527" s="1065">
        <f t="shared" si="778"/>
        <v>0</v>
      </c>
      <c r="AB527" s="1065">
        <f t="shared" si="778"/>
        <v>0</v>
      </c>
      <c r="AC527" s="1065">
        <f t="shared" si="778"/>
        <v>0</v>
      </c>
      <c r="AD527" s="1065">
        <f t="shared" si="778"/>
        <v>0</v>
      </c>
      <c r="AE527" s="1065">
        <f t="shared" si="778"/>
        <v>0</v>
      </c>
      <c r="AF527" s="1065">
        <f t="shared" si="778"/>
        <v>0</v>
      </c>
      <c r="AG527" s="1065">
        <f t="shared" si="778"/>
        <v>0</v>
      </c>
      <c r="AH527" s="1065">
        <f t="shared" si="778"/>
        <v>0</v>
      </c>
      <c r="AI527" s="1065">
        <f t="shared" si="778"/>
        <v>0</v>
      </c>
      <c r="AJ527" s="1065">
        <f t="shared" si="778"/>
        <v>0</v>
      </c>
      <c r="AK527" s="1065">
        <f t="shared" si="778"/>
        <v>0</v>
      </c>
      <c r="AL527" s="1065">
        <f t="shared" si="778"/>
        <v>0</v>
      </c>
      <c r="AM527" s="1065">
        <f t="shared" si="778"/>
        <v>0</v>
      </c>
      <c r="AN527" s="1065">
        <f t="shared" si="778"/>
        <v>0</v>
      </c>
      <c r="AO527" s="1065">
        <f t="shared" si="778"/>
        <v>0</v>
      </c>
      <c r="AP527" s="1065">
        <f t="shared" si="778"/>
        <v>16921.364496465285</v>
      </c>
      <c r="AQ527" s="1065">
        <f t="shared" si="778"/>
        <v>0</v>
      </c>
      <c r="AR527" s="1065">
        <f t="shared" si="778"/>
        <v>0</v>
      </c>
      <c r="AS527" s="1065">
        <f t="shared" si="778"/>
        <v>0</v>
      </c>
      <c r="AT527" s="1065">
        <f t="shared" si="778"/>
        <v>0</v>
      </c>
      <c r="AU527" s="1065">
        <f t="shared" si="778"/>
        <v>0</v>
      </c>
      <c r="AV527" s="1065">
        <f t="shared" si="778"/>
        <v>0</v>
      </c>
      <c r="AW527" s="1065">
        <f t="shared" si="778"/>
        <v>0</v>
      </c>
      <c r="AX527" s="1065">
        <f t="shared" si="778"/>
        <v>0</v>
      </c>
      <c r="AY527" s="1065">
        <f t="shared" si="778"/>
        <v>0</v>
      </c>
      <c r="AZ527" s="1065">
        <f t="shared" si="778"/>
        <v>0</v>
      </c>
      <c r="BA527" s="1065">
        <f t="shared" si="778"/>
        <v>0</v>
      </c>
      <c r="BB527" s="1065">
        <f t="shared" si="778"/>
        <v>0</v>
      </c>
      <c r="BC527" s="1065">
        <f t="shared" si="778"/>
        <v>0</v>
      </c>
      <c r="BD527" s="1065">
        <f t="shared" si="778"/>
        <v>18837.869891184178</v>
      </c>
      <c r="BE527" s="1065">
        <f t="shared" si="778"/>
        <v>0</v>
      </c>
      <c r="BF527" s="1065">
        <f t="shared" si="778"/>
        <v>0</v>
      </c>
      <c r="BG527" s="1065">
        <f t="shared" si="778"/>
        <v>0</v>
      </c>
      <c r="BH527" s="1065">
        <f t="shared" si="778"/>
        <v>0</v>
      </c>
      <c r="BI527" s="1065">
        <f t="shared" si="778"/>
        <v>0</v>
      </c>
      <c r="BJ527" s="1065">
        <f t="shared" si="778"/>
        <v>0</v>
      </c>
      <c r="BK527" s="1065">
        <f t="shared" si="778"/>
        <v>0</v>
      </c>
      <c r="BL527" s="1065">
        <f t="shared" si="778"/>
        <v>0</v>
      </c>
      <c r="BM527" s="1065">
        <f t="shared" si="778"/>
        <v>0</v>
      </c>
      <c r="BN527" s="1065">
        <f t="shared" si="778"/>
        <v>0</v>
      </c>
      <c r="BO527" s="1065">
        <f t="shared" si="778"/>
        <v>0</v>
      </c>
      <c r="BP527" s="1065">
        <f t="shared" si="778"/>
        <v>0</v>
      </c>
      <c r="BQ527" s="1065">
        <f t="shared" si="778"/>
        <v>0</v>
      </c>
      <c r="BR527" s="1065">
        <f t="shared" si="778"/>
        <v>0</v>
      </c>
      <c r="BS527" s="1065">
        <f t="shared" si="778"/>
        <v>0</v>
      </c>
      <c r="BT527" s="1065">
        <f t="shared" si="778"/>
        <v>0</v>
      </c>
      <c r="BU527" s="1065">
        <f t="shared" si="778"/>
        <v>0</v>
      </c>
      <c r="BV527" s="1065">
        <f t="shared" ref="BV527:DY527" si="779">-SUM(BV$472,BV$491,BV$508)</f>
        <v>0</v>
      </c>
      <c r="BW527" s="1065">
        <f t="shared" si="779"/>
        <v>0</v>
      </c>
      <c r="BX527" s="1065">
        <f t="shared" si="779"/>
        <v>0</v>
      </c>
      <c r="BY527" s="1065">
        <f t="shared" si="779"/>
        <v>0</v>
      </c>
      <c r="BZ527" s="1065">
        <f t="shared" si="779"/>
        <v>0</v>
      </c>
      <c r="CA527" s="1065">
        <f t="shared" si="779"/>
        <v>0</v>
      </c>
      <c r="CB527" s="1065">
        <f t="shared" si="779"/>
        <v>0</v>
      </c>
      <c r="CC527" s="1065">
        <f t="shared" si="779"/>
        <v>0</v>
      </c>
      <c r="CD527" s="1065">
        <f t="shared" si="779"/>
        <v>0</v>
      </c>
      <c r="CE527" s="1065">
        <f t="shared" si="779"/>
        <v>0</v>
      </c>
      <c r="CF527" s="1065">
        <f t="shared" ca="1" si="779"/>
        <v>331199.22846693435</v>
      </c>
      <c r="CG527" s="1065">
        <f t="shared" ca="1" si="779"/>
        <v>7598.7898452565096</v>
      </c>
      <c r="CH527" s="1065">
        <f t="shared" ca="1" si="779"/>
        <v>0</v>
      </c>
      <c r="CI527" s="1065">
        <f t="shared" ca="1" si="779"/>
        <v>0</v>
      </c>
      <c r="CJ527" s="1065">
        <f t="shared" ca="1" si="779"/>
        <v>0</v>
      </c>
      <c r="CK527" s="1065">
        <f t="shared" ca="1" si="779"/>
        <v>0</v>
      </c>
      <c r="CL527" s="1065">
        <f t="shared" ca="1" si="779"/>
        <v>0</v>
      </c>
      <c r="CM527" s="1065">
        <f t="shared" ca="1" si="779"/>
        <v>0</v>
      </c>
      <c r="CN527" s="1065">
        <f t="shared" ca="1" si="779"/>
        <v>0</v>
      </c>
      <c r="CO527" s="1065">
        <f t="shared" ca="1" si="779"/>
        <v>0</v>
      </c>
      <c r="CP527" s="1065">
        <f t="shared" ca="1" si="779"/>
        <v>0</v>
      </c>
      <c r="CQ527" s="1065">
        <f t="shared" ca="1" si="779"/>
        <v>0</v>
      </c>
      <c r="CR527" s="1065">
        <f t="shared" ca="1" si="779"/>
        <v>0</v>
      </c>
      <c r="CS527" s="1065">
        <f t="shared" ca="1" si="779"/>
        <v>0</v>
      </c>
      <c r="CT527" s="1065">
        <f t="shared" ca="1" si="779"/>
        <v>0</v>
      </c>
      <c r="CU527" s="1065">
        <f t="shared" ca="1" si="779"/>
        <v>0</v>
      </c>
      <c r="CV527" s="1065">
        <f t="shared" ca="1" si="779"/>
        <v>0</v>
      </c>
      <c r="CW527" s="1065">
        <f t="shared" ca="1" si="779"/>
        <v>0</v>
      </c>
      <c r="CX527" s="1065">
        <f t="shared" ca="1" si="779"/>
        <v>0</v>
      </c>
      <c r="CY527" s="1065">
        <f t="shared" ca="1" si="779"/>
        <v>0</v>
      </c>
      <c r="CZ527" s="1065">
        <f t="shared" ca="1" si="779"/>
        <v>0</v>
      </c>
      <c r="DA527" s="1065">
        <f t="shared" ca="1" si="779"/>
        <v>0</v>
      </c>
      <c r="DB527" s="1065">
        <f t="shared" ca="1" si="779"/>
        <v>0</v>
      </c>
      <c r="DC527" s="1065">
        <f t="shared" ca="1" si="779"/>
        <v>0</v>
      </c>
      <c r="DD527" s="1065">
        <f t="shared" ca="1" si="779"/>
        <v>0</v>
      </c>
      <c r="DE527" s="1065">
        <f t="shared" ca="1" si="779"/>
        <v>0</v>
      </c>
      <c r="DF527" s="1065">
        <f t="shared" ca="1" si="779"/>
        <v>0</v>
      </c>
      <c r="DG527" s="1065">
        <f t="shared" ca="1" si="779"/>
        <v>0</v>
      </c>
      <c r="DH527" s="1065">
        <f t="shared" ca="1" si="779"/>
        <v>0</v>
      </c>
      <c r="DI527" s="1065">
        <f t="shared" ca="1" si="779"/>
        <v>0</v>
      </c>
      <c r="DJ527" s="1065">
        <f t="shared" ca="1" si="779"/>
        <v>0</v>
      </c>
      <c r="DK527" s="1065">
        <f t="shared" ca="1" si="779"/>
        <v>0</v>
      </c>
      <c r="DL527" s="1065">
        <f t="shared" ca="1" si="779"/>
        <v>0</v>
      </c>
      <c r="DM527" s="1065">
        <f t="shared" ca="1" si="779"/>
        <v>0</v>
      </c>
      <c r="DN527" s="1065">
        <f t="shared" ca="1" si="779"/>
        <v>0</v>
      </c>
      <c r="DO527" s="1065">
        <f t="shared" ca="1" si="779"/>
        <v>0</v>
      </c>
      <c r="DP527" s="1065">
        <f t="shared" ca="1" si="779"/>
        <v>0</v>
      </c>
      <c r="DQ527" s="1065">
        <f t="shared" ca="1" si="779"/>
        <v>0</v>
      </c>
      <c r="DR527" s="1065">
        <f t="shared" ca="1" si="779"/>
        <v>0</v>
      </c>
      <c r="DS527" s="1065">
        <f t="shared" ca="1" si="779"/>
        <v>0</v>
      </c>
      <c r="DT527" s="1065">
        <f t="shared" ca="1" si="779"/>
        <v>0</v>
      </c>
      <c r="DU527" s="1065">
        <f t="shared" ca="1" si="779"/>
        <v>0</v>
      </c>
      <c r="DV527" s="1065">
        <f t="shared" ca="1" si="779"/>
        <v>0</v>
      </c>
      <c r="DW527" s="1065">
        <f t="shared" ca="1" si="779"/>
        <v>0</v>
      </c>
      <c r="DX527" s="1065">
        <f t="shared" ca="1" si="779"/>
        <v>0</v>
      </c>
      <c r="DY527" s="1065">
        <f t="shared" ca="1" si="779"/>
        <v>0</v>
      </c>
    </row>
    <row r="528" spans="2:129" ht="11.7" customHeight="1" outlineLevel="1" thickTop="1" thickBot="1" x14ac:dyDescent="0.35">
      <c r="B528" s="204" t="s">
        <v>517</v>
      </c>
      <c r="C528" s="204"/>
      <c r="D528" s="893"/>
      <c r="E528" s="893"/>
      <c r="F528" s="893"/>
      <c r="G528" s="1105"/>
      <c r="H528" s="646">
        <f ca="1">+SUM(I528:DY528)</f>
        <v>154485.88166628566</v>
      </c>
      <c r="I528" s="336">
        <f t="shared" ref="I528:AN528" si="780">+SUM(I526:I527)</f>
        <v>-179951.23080262783</v>
      </c>
      <c r="J528" s="336">
        <f t="shared" si="780"/>
        <v>0</v>
      </c>
      <c r="K528" s="336">
        <f t="shared" si="780"/>
        <v>0</v>
      </c>
      <c r="L528" s="336">
        <f t="shared" si="780"/>
        <v>0</v>
      </c>
      <c r="M528" s="336">
        <f t="shared" si="780"/>
        <v>0</v>
      </c>
      <c r="N528" s="336">
        <f t="shared" si="780"/>
        <v>0</v>
      </c>
      <c r="O528" s="336">
        <f t="shared" si="780"/>
        <v>0</v>
      </c>
      <c r="P528" s="336">
        <f t="shared" si="780"/>
        <v>0</v>
      </c>
      <c r="Q528" s="336">
        <f t="shared" si="780"/>
        <v>0</v>
      </c>
      <c r="R528" s="336">
        <f t="shared" si="780"/>
        <v>0</v>
      </c>
      <c r="S528" s="336">
        <f t="shared" si="780"/>
        <v>0</v>
      </c>
      <c r="T528" s="336">
        <f t="shared" si="780"/>
        <v>0</v>
      </c>
      <c r="U528" s="336">
        <f t="shared" si="780"/>
        <v>0</v>
      </c>
      <c r="V528" s="336">
        <f t="shared" si="780"/>
        <v>0</v>
      </c>
      <c r="W528" s="336">
        <f t="shared" si="780"/>
        <v>-40120.140230926831</v>
      </c>
      <c r="X528" s="336">
        <f t="shared" si="780"/>
        <v>0</v>
      </c>
      <c r="Y528" s="336">
        <f t="shared" si="780"/>
        <v>0</v>
      </c>
      <c r="Z528" s="336">
        <f t="shared" si="780"/>
        <v>0</v>
      </c>
      <c r="AA528" s="336">
        <f t="shared" si="780"/>
        <v>0</v>
      </c>
      <c r="AB528" s="336">
        <f t="shared" si="780"/>
        <v>0</v>
      </c>
      <c r="AC528" s="336">
        <f t="shared" si="780"/>
        <v>0</v>
      </c>
      <c r="AD528" s="336">
        <f t="shared" si="780"/>
        <v>0</v>
      </c>
      <c r="AE528" s="336">
        <f t="shared" si="780"/>
        <v>0</v>
      </c>
      <c r="AF528" s="336">
        <f t="shared" si="780"/>
        <v>0</v>
      </c>
      <c r="AG528" s="336">
        <f t="shared" si="780"/>
        <v>0</v>
      </c>
      <c r="AH528" s="336">
        <f t="shared" si="780"/>
        <v>0</v>
      </c>
      <c r="AI528" s="336">
        <f t="shared" si="780"/>
        <v>0</v>
      </c>
      <c r="AJ528" s="336">
        <f t="shared" si="780"/>
        <v>0</v>
      </c>
      <c r="AK528" s="336">
        <f t="shared" si="780"/>
        <v>0</v>
      </c>
      <c r="AL528" s="336">
        <f t="shared" si="780"/>
        <v>0</v>
      </c>
      <c r="AM528" s="336">
        <f t="shared" si="780"/>
        <v>0</v>
      </c>
      <c r="AN528" s="336">
        <f t="shared" si="780"/>
        <v>0</v>
      </c>
      <c r="AO528" s="336">
        <f t="shared" ref="AO528:CZ528" si="781">+SUM(AO526:AO527)</f>
        <v>0</v>
      </c>
      <c r="AP528" s="336">
        <f t="shared" si="781"/>
        <v>16921.364496465285</v>
      </c>
      <c r="AQ528" s="336">
        <f t="shared" si="781"/>
        <v>0</v>
      </c>
      <c r="AR528" s="336">
        <f t="shared" si="781"/>
        <v>0</v>
      </c>
      <c r="AS528" s="336">
        <f t="shared" si="781"/>
        <v>0</v>
      </c>
      <c r="AT528" s="336">
        <f t="shared" si="781"/>
        <v>0</v>
      </c>
      <c r="AU528" s="336">
        <f t="shared" si="781"/>
        <v>0</v>
      </c>
      <c r="AV528" s="336">
        <f t="shared" si="781"/>
        <v>0</v>
      </c>
      <c r="AW528" s="336">
        <f t="shared" si="781"/>
        <v>0</v>
      </c>
      <c r="AX528" s="336">
        <f t="shared" si="781"/>
        <v>0</v>
      </c>
      <c r="AY528" s="336">
        <f t="shared" si="781"/>
        <v>0</v>
      </c>
      <c r="AZ528" s="336">
        <f t="shared" si="781"/>
        <v>0</v>
      </c>
      <c r="BA528" s="336">
        <f t="shared" si="781"/>
        <v>0</v>
      </c>
      <c r="BB528" s="336">
        <f t="shared" si="781"/>
        <v>0</v>
      </c>
      <c r="BC528" s="336">
        <f t="shared" si="781"/>
        <v>0</v>
      </c>
      <c r="BD528" s="336">
        <f t="shared" si="781"/>
        <v>18837.869891184178</v>
      </c>
      <c r="BE528" s="336">
        <f t="shared" si="781"/>
        <v>0</v>
      </c>
      <c r="BF528" s="336">
        <f t="shared" si="781"/>
        <v>0</v>
      </c>
      <c r="BG528" s="336">
        <f t="shared" si="781"/>
        <v>0</v>
      </c>
      <c r="BH528" s="336">
        <f t="shared" si="781"/>
        <v>0</v>
      </c>
      <c r="BI528" s="336">
        <f t="shared" si="781"/>
        <v>0</v>
      </c>
      <c r="BJ528" s="336">
        <f t="shared" si="781"/>
        <v>0</v>
      </c>
      <c r="BK528" s="336">
        <f t="shared" si="781"/>
        <v>0</v>
      </c>
      <c r="BL528" s="336">
        <f t="shared" si="781"/>
        <v>0</v>
      </c>
      <c r="BM528" s="336">
        <f t="shared" si="781"/>
        <v>0</v>
      </c>
      <c r="BN528" s="336">
        <f t="shared" si="781"/>
        <v>0</v>
      </c>
      <c r="BO528" s="336">
        <f t="shared" si="781"/>
        <v>0</v>
      </c>
      <c r="BP528" s="336">
        <f t="shared" si="781"/>
        <v>0</v>
      </c>
      <c r="BQ528" s="336">
        <f t="shared" si="781"/>
        <v>0</v>
      </c>
      <c r="BR528" s="336">
        <f t="shared" si="781"/>
        <v>0</v>
      </c>
      <c r="BS528" s="336">
        <f t="shared" si="781"/>
        <v>0</v>
      </c>
      <c r="BT528" s="336">
        <f t="shared" si="781"/>
        <v>0</v>
      </c>
      <c r="BU528" s="336">
        <f t="shared" si="781"/>
        <v>0</v>
      </c>
      <c r="BV528" s="336">
        <f t="shared" si="781"/>
        <v>0</v>
      </c>
      <c r="BW528" s="336">
        <f t="shared" si="781"/>
        <v>0</v>
      </c>
      <c r="BX528" s="336">
        <f t="shared" si="781"/>
        <v>0</v>
      </c>
      <c r="BY528" s="336">
        <f t="shared" si="781"/>
        <v>0</v>
      </c>
      <c r="BZ528" s="336">
        <f t="shared" si="781"/>
        <v>0</v>
      </c>
      <c r="CA528" s="336">
        <f t="shared" si="781"/>
        <v>0</v>
      </c>
      <c r="CB528" s="336">
        <f t="shared" si="781"/>
        <v>0</v>
      </c>
      <c r="CC528" s="336">
        <f t="shared" si="781"/>
        <v>0</v>
      </c>
      <c r="CD528" s="336">
        <f t="shared" si="781"/>
        <v>0</v>
      </c>
      <c r="CE528" s="336">
        <f t="shared" si="781"/>
        <v>0</v>
      </c>
      <c r="CF528" s="336">
        <f t="shared" ca="1" si="781"/>
        <v>331199.22846693435</v>
      </c>
      <c r="CG528" s="336">
        <f t="shared" ca="1" si="781"/>
        <v>7598.7898452565096</v>
      </c>
      <c r="CH528" s="336">
        <f t="shared" ca="1" si="781"/>
        <v>0</v>
      </c>
      <c r="CI528" s="336">
        <f t="shared" ca="1" si="781"/>
        <v>0</v>
      </c>
      <c r="CJ528" s="336">
        <f t="shared" ca="1" si="781"/>
        <v>0</v>
      </c>
      <c r="CK528" s="336">
        <f t="shared" ca="1" si="781"/>
        <v>0</v>
      </c>
      <c r="CL528" s="336">
        <f t="shared" ca="1" si="781"/>
        <v>0</v>
      </c>
      <c r="CM528" s="336">
        <f t="shared" ca="1" si="781"/>
        <v>0</v>
      </c>
      <c r="CN528" s="336">
        <f t="shared" ca="1" si="781"/>
        <v>0</v>
      </c>
      <c r="CO528" s="336">
        <f t="shared" ca="1" si="781"/>
        <v>0</v>
      </c>
      <c r="CP528" s="336">
        <f t="shared" ca="1" si="781"/>
        <v>0</v>
      </c>
      <c r="CQ528" s="336">
        <f t="shared" ca="1" si="781"/>
        <v>0</v>
      </c>
      <c r="CR528" s="336">
        <f t="shared" ca="1" si="781"/>
        <v>0</v>
      </c>
      <c r="CS528" s="336">
        <f t="shared" ca="1" si="781"/>
        <v>0</v>
      </c>
      <c r="CT528" s="336">
        <f t="shared" ca="1" si="781"/>
        <v>0</v>
      </c>
      <c r="CU528" s="336">
        <f t="shared" ca="1" si="781"/>
        <v>0</v>
      </c>
      <c r="CV528" s="336">
        <f t="shared" ca="1" si="781"/>
        <v>0</v>
      </c>
      <c r="CW528" s="336">
        <f t="shared" ca="1" si="781"/>
        <v>0</v>
      </c>
      <c r="CX528" s="336">
        <f t="shared" ca="1" si="781"/>
        <v>0</v>
      </c>
      <c r="CY528" s="336">
        <f t="shared" ca="1" si="781"/>
        <v>0</v>
      </c>
      <c r="CZ528" s="336">
        <f t="shared" ca="1" si="781"/>
        <v>0</v>
      </c>
      <c r="DA528" s="336">
        <f t="shared" ref="DA528:DY528" ca="1" si="782">+SUM(DA526:DA527)</f>
        <v>0</v>
      </c>
      <c r="DB528" s="336">
        <f t="shared" ca="1" si="782"/>
        <v>0</v>
      </c>
      <c r="DC528" s="336">
        <f t="shared" ca="1" si="782"/>
        <v>0</v>
      </c>
      <c r="DD528" s="336">
        <f t="shared" ca="1" si="782"/>
        <v>0</v>
      </c>
      <c r="DE528" s="336">
        <f t="shared" ca="1" si="782"/>
        <v>0</v>
      </c>
      <c r="DF528" s="336">
        <f t="shared" ca="1" si="782"/>
        <v>0</v>
      </c>
      <c r="DG528" s="336">
        <f t="shared" ca="1" si="782"/>
        <v>0</v>
      </c>
      <c r="DH528" s="336">
        <f t="shared" ca="1" si="782"/>
        <v>0</v>
      </c>
      <c r="DI528" s="336">
        <f t="shared" ca="1" si="782"/>
        <v>0</v>
      </c>
      <c r="DJ528" s="336">
        <f t="shared" ca="1" si="782"/>
        <v>0</v>
      </c>
      <c r="DK528" s="336">
        <f t="shared" ca="1" si="782"/>
        <v>0</v>
      </c>
      <c r="DL528" s="336">
        <f t="shared" ca="1" si="782"/>
        <v>0</v>
      </c>
      <c r="DM528" s="336">
        <f t="shared" ca="1" si="782"/>
        <v>0</v>
      </c>
      <c r="DN528" s="336">
        <f t="shared" ca="1" si="782"/>
        <v>0</v>
      </c>
      <c r="DO528" s="336">
        <f t="shared" ca="1" si="782"/>
        <v>0</v>
      </c>
      <c r="DP528" s="336">
        <f t="shared" ca="1" si="782"/>
        <v>0</v>
      </c>
      <c r="DQ528" s="336">
        <f t="shared" ca="1" si="782"/>
        <v>0</v>
      </c>
      <c r="DR528" s="336">
        <f t="shared" ca="1" si="782"/>
        <v>0</v>
      </c>
      <c r="DS528" s="336">
        <f t="shared" ca="1" si="782"/>
        <v>0</v>
      </c>
      <c r="DT528" s="336">
        <f t="shared" ca="1" si="782"/>
        <v>0</v>
      </c>
      <c r="DU528" s="336">
        <f t="shared" ca="1" si="782"/>
        <v>0</v>
      </c>
      <c r="DV528" s="336">
        <f t="shared" ca="1" si="782"/>
        <v>0</v>
      </c>
      <c r="DW528" s="336">
        <f t="shared" ca="1" si="782"/>
        <v>0</v>
      </c>
      <c r="DX528" s="336">
        <f t="shared" ca="1" si="782"/>
        <v>0</v>
      </c>
      <c r="DY528" s="336">
        <f t="shared" ca="1" si="782"/>
        <v>0</v>
      </c>
    </row>
    <row r="529" spans="2:129" ht="11.7" customHeight="1" outlineLevel="1" thickTop="1" x14ac:dyDescent="0.3">
      <c r="B529" s="912" t="s">
        <v>437</v>
      </c>
      <c r="C529" s="912"/>
      <c r="D529" s="1107"/>
      <c r="E529" s="1107"/>
      <c r="F529" s="1107"/>
      <c r="G529" s="1108"/>
      <c r="H529" s="312">
        <f ca="1">+MIN(I529:DY529)</f>
        <v>-220071.37103355466</v>
      </c>
      <c r="I529" s="1109">
        <f>+I528</f>
        <v>-179951.23080262783</v>
      </c>
      <c r="J529" s="1109">
        <f>+J528+I529</f>
        <v>-179951.23080262783</v>
      </c>
      <c r="K529" s="1109">
        <f t="shared" ref="K529:BV529" si="783">+K528+J529</f>
        <v>-179951.23080262783</v>
      </c>
      <c r="L529" s="1109">
        <f t="shared" si="783"/>
        <v>-179951.23080262783</v>
      </c>
      <c r="M529" s="1109">
        <f t="shared" si="783"/>
        <v>-179951.23080262783</v>
      </c>
      <c r="N529" s="1109">
        <f t="shared" si="783"/>
        <v>-179951.23080262783</v>
      </c>
      <c r="O529" s="1109">
        <f t="shared" si="783"/>
        <v>-179951.23080262783</v>
      </c>
      <c r="P529" s="1109">
        <f t="shared" si="783"/>
        <v>-179951.23080262783</v>
      </c>
      <c r="Q529" s="1109">
        <f t="shared" si="783"/>
        <v>-179951.23080262783</v>
      </c>
      <c r="R529" s="1109">
        <f t="shared" si="783"/>
        <v>-179951.23080262783</v>
      </c>
      <c r="S529" s="1109">
        <f t="shared" si="783"/>
        <v>-179951.23080262783</v>
      </c>
      <c r="T529" s="1109">
        <f t="shared" si="783"/>
        <v>-179951.23080262783</v>
      </c>
      <c r="U529" s="1109">
        <f t="shared" si="783"/>
        <v>-179951.23080262783</v>
      </c>
      <c r="V529" s="1109">
        <f t="shared" si="783"/>
        <v>-179951.23080262783</v>
      </c>
      <c r="W529" s="1109">
        <f t="shared" si="783"/>
        <v>-220071.37103355466</v>
      </c>
      <c r="X529" s="1109">
        <f t="shared" si="783"/>
        <v>-220071.37103355466</v>
      </c>
      <c r="Y529" s="1109">
        <f t="shared" si="783"/>
        <v>-220071.37103355466</v>
      </c>
      <c r="Z529" s="1109">
        <f t="shared" si="783"/>
        <v>-220071.37103355466</v>
      </c>
      <c r="AA529" s="1109">
        <f t="shared" si="783"/>
        <v>-220071.37103355466</v>
      </c>
      <c r="AB529" s="1109">
        <f t="shared" si="783"/>
        <v>-220071.37103355466</v>
      </c>
      <c r="AC529" s="1109">
        <f t="shared" si="783"/>
        <v>-220071.37103355466</v>
      </c>
      <c r="AD529" s="1109">
        <f t="shared" si="783"/>
        <v>-220071.37103355466</v>
      </c>
      <c r="AE529" s="1109">
        <f t="shared" si="783"/>
        <v>-220071.37103355466</v>
      </c>
      <c r="AF529" s="1109">
        <f t="shared" si="783"/>
        <v>-220071.37103355466</v>
      </c>
      <c r="AG529" s="1109">
        <f t="shared" si="783"/>
        <v>-220071.37103355466</v>
      </c>
      <c r="AH529" s="1109">
        <f t="shared" si="783"/>
        <v>-220071.37103355466</v>
      </c>
      <c r="AI529" s="1109">
        <f t="shared" si="783"/>
        <v>-220071.37103355466</v>
      </c>
      <c r="AJ529" s="1109">
        <f t="shared" si="783"/>
        <v>-220071.37103355466</v>
      </c>
      <c r="AK529" s="1109">
        <f t="shared" si="783"/>
        <v>-220071.37103355466</v>
      </c>
      <c r="AL529" s="1109">
        <f t="shared" si="783"/>
        <v>-220071.37103355466</v>
      </c>
      <c r="AM529" s="1109">
        <f t="shared" si="783"/>
        <v>-220071.37103355466</v>
      </c>
      <c r="AN529" s="1109">
        <f t="shared" si="783"/>
        <v>-220071.37103355466</v>
      </c>
      <c r="AO529" s="1109">
        <f t="shared" si="783"/>
        <v>-220071.37103355466</v>
      </c>
      <c r="AP529" s="1109">
        <f t="shared" si="783"/>
        <v>-203150.00653708939</v>
      </c>
      <c r="AQ529" s="1109">
        <f t="shared" si="783"/>
        <v>-203150.00653708939</v>
      </c>
      <c r="AR529" s="1109">
        <f t="shared" si="783"/>
        <v>-203150.00653708939</v>
      </c>
      <c r="AS529" s="1109">
        <f t="shared" si="783"/>
        <v>-203150.00653708939</v>
      </c>
      <c r="AT529" s="1109">
        <f t="shared" si="783"/>
        <v>-203150.00653708939</v>
      </c>
      <c r="AU529" s="1109">
        <f t="shared" si="783"/>
        <v>-203150.00653708939</v>
      </c>
      <c r="AV529" s="1109">
        <f t="shared" si="783"/>
        <v>-203150.00653708939</v>
      </c>
      <c r="AW529" s="1109">
        <f t="shared" si="783"/>
        <v>-203150.00653708939</v>
      </c>
      <c r="AX529" s="1109">
        <f t="shared" si="783"/>
        <v>-203150.00653708939</v>
      </c>
      <c r="AY529" s="1109">
        <f t="shared" si="783"/>
        <v>-203150.00653708939</v>
      </c>
      <c r="AZ529" s="1109">
        <f t="shared" si="783"/>
        <v>-203150.00653708939</v>
      </c>
      <c r="BA529" s="1109">
        <f t="shared" si="783"/>
        <v>-203150.00653708939</v>
      </c>
      <c r="BB529" s="1109">
        <f t="shared" si="783"/>
        <v>-203150.00653708939</v>
      </c>
      <c r="BC529" s="1109">
        <f t="shared" si="783"/>
        <v>-203150.00653708939</v>
      </c>
      <c r="BD529" s="1109">
        <f t="shared" si="783"/>
        <v>-184312.13664590521</v>
      </c>
      <c r="BE529" s="1109">
        <f t="shared" si="783"/>
        <v>-184312.13664590521</v>
      </c>
      <c r="BF529" s="1109">
        <f t="shared" si="783"/>
        <v>-184312.13664590521</v>
      </c>
      <c r="BG529" s="1109">
        <f t="shared" si="783"/>
        <v>-184312.13664590521</v>
      </c>
      <c r="BH529" s="1109">
        <f t="shared" si="783"/>
        <v>-184312.13664590521</v>
      </c>
      <c r="BI529" s="1109">
        <f t="shared" si="783"/>
        <v>-184312.13664590521</v>
      </c>
      <c r="BJ529" s="1109">
        <f t="shared" si="783"/>
        <v>-184312.13664590521</v>
      </c>
      <c r="BK529" s="1109">
        <f t="shared" si="783"/>
        <v>-184312.13664590521</v>
      </c>
      <c r="BL529" s="1109">
        <f t="shared" si="783"/>
        <v>-184312.13664590521</v>
      </c>
      <c r="BM529" s="1109">
        <f t="shared" si="783"/>
        <v>-184312.13664590521</v>
      </c>
      <c r="BN529" s="1109">
        <f t="shared" si="783"/>
        <v>-184312.13664590521</v>
      </c>
      <c r="BO529" s="1109">
        <f t="shared" si="783"/>
        <v>-184312.13664590521</v>
      </c>
      <c r="BP529" s="1109">
        <f t="shared" si="783"/>
        <v>-184312.13664590521</v>
      </c>
      <c r="BQ529" s="1109">
        <f t="shared" si="783"/>
        <v>-184312.13664590521</v>
      </c>
      <c r="BR529" s="1109">
        <f t="shared" si="783"/>
        <v>-184312.13664590521</v>
      </c>
      <c r="BS529" s="1109">
        <f t="shared" si="783"/>
        <v>-184312.13664590521</v>
      </c>
      <c r="BT529" s="1109">
        <f t="shared" si="783"/>
        <v>-184312.13664590521</v>
      </c>
      <c r="BU529" s="1109">
        <f t="shared" si="783"/>
        <v>-184312.13664590521</v>
      </c>
      <c r="BV529" s="1109">
        <f t="shared" si="783"/>
        <v>-184312.13664590521</v>
      </c>
      <c r="BW529" s="1109">
        <f t="shared" ref="BW529:DY529" si="784">+BW528+BV529</f>
        <v>-184312.13664590521</v>
      </c>
      <c r="BX529" s="1109">
        <f t="shared" si="784"/>
        <v>-184312.13664590521</v>
      </c>
      <c r="BY529" s="1109">
        <f t="shared" si="784"/>
        <v>-184312.13664590521</v>
      </c>
      <c r="BZ529" s="1109">
        <f t="shared" si="784"/>
        <v>-184312.13664590521</v>
      </c>
      <c r="CA529" s="1109">
        <f t="shared" si="784"/>
        <v>-184312.13664590521</v>
      </c>
      <c r="CB529" s="1109">
        <f t="shared" si="784"/>
        <v>-184312.13664590521</v>
      </c>
      <c r="CC529" s="1109">
        <f t="shared" si="784"/>
        <v>-184312.13664590521</v>
      </c>
      <c r="CD529" s="1109">
        <f t="shared" si="784"/>
        <v>-184312.13664590521</v>
      </c>
      <c r="CE529" s="1109">
        <f t="shared" si="784"/>
        <v>-184312.13664590521</v>
      </c>
      <c r="CF529" s="1109">
        <f t="shared" ca="1" si="784"/>
        <v>146887.09182102914</v>
      </c>
      <c r="CG529" s="1109">
        <f t="shared" ca="1" si="784"/>
        <v>154485.88166628566</v>
      </c>
      <c r="CH529" s="1109">
        <f t="shared" ca="1" si="784"/>
        <v>154485.88166628566</v>
      </c>
      <c r="CI529" s="1109">
        <f t="shared" ca="1" si="784"/>
        <v>154485.88166628566</v>
      </c>
      <c r="CJ529" s="1109">
        <f t="shared" ca="1" si="784"/>
        <v>154485.88166628566</v>
      </c>
      <c r="CK529" s="1109">
        <f t="shared" ca="1" si="784"/>
        <v>154485.88166628566</v>
      </c>
      <c r="CL529" s="1109">
        <f t="shared" ca="1" si="784"/>
        <v>154485.88166628566</v>
      </c>
      <c r="CM529" s="1109">
        <f t="shared" ca="1" si="784"/>
        <v>154485.88166628566</v>
      </c>
      <c r="CN529" s="1109">
        <f t="shared" ca="1" si="784"/>
        <v>154485.88166628566</v>
      </c>
      <c r="CO529" s="1109">
        <f t="shared" ca="1" si="784"/>
        <v>154485.88166628566</v>
      </c>
      <c r="CP529" s="1109">
        <f t="shared" ca="1" si="784"/>
        <v>154485.88166628566</v>
      </c>
      <c r="CQ529" s="1109">
        <f t="shared" ca="1" si="784"/>
        <v>154485.88166628566</v>
      </c>
      <c r="CR529" s="1109">
        <f t="shared" ca="1" si="784"/>
        <v>154485.88166628566</v>
      </c>
      <c r="CS529" s="1109">
        <f t="shared" ca="1" si="784"/>
        <v>154485.88166628566</v>
      </c>
      <c r="CT529" s="1109">
        <f t="shared" ca="1" si="784"/>
        <v>154485.88166628566</v>
      </c>
      <c r="CU529" s="1109">
        <f t="shared" ca="1" si="784"/>
        <v>154485.88166628566</v>
      </c>
      <c r="CV529" s="1109">
        <f t="shared" ca="1" si="784"/>
        <v>154485.88166628566</v>
      </c>
      <c r="CW529" s="1109">
        <f t="shared" ca="1" si="784"/>
        <v>154485.88166628566</v>
      </c>
      <c r="CX529" s="1109">
        <f t="shared" ca="1" si="784"/>
        <v>154485.88166628566</v>
      </c>
      <c r="CY529" s="1109">
        <f t="shared" ca="1" si="784"/>
        <v>154485.88166628566</v>
      </c>
      <c r="CZ529" s="1109">
        <f t="shared" ca="1" si="784"/>
        <v>154485.88166628566</v>
      </c>
      <c r="DA529" s="1109">
        <f t="shared" ca="1" si="784"/>
        <v>154485.88166628566</v>
      </c>
      <c r="DB529" s="1109">
        <f t="shared" ca="1" si="784"/>
        <v>154485.88166628566</v>
      </c>
      <c r="DC529" s="1109">
        <f t="shared" ca="1" si="784"/>
        <v>154485.88166628566</v>
      </c>
      <c r="DD529" s="1109">
        <f t="shared" ca="1" si="784"/>
        <v>154485.88166628566</v>
      </c>
      <c r="DE529" s="1109">
        <f t="shared" ca="1" si="784"/>
        <v>154485.88166628566</v>
      </c>
      <c r="DF529" s="1109">
        <f t="shared" ca="1" si="784"/>
        <v>154485.88166628566</v>
      </c>
      <c r="DG529" s="1109">
        <f t="shared" ca="1" si="784"/>
        <v>154485.88166628566</v>
      </c>
      <c r="DH529" s="1109">
        <f t="shared" ca="1" si="784"/>
        <v>154485.88166628566</v>
      </c>
      <c r="DI529" s="1109">
        <f t="shared" ca="1" si="784"/>
        <v>154485.88166628566</v>
      </c>
      <c r="DJ529" s="1109">
        <f t="shared" ca="1" si="784"/>
        <v>154485.88166628566</v>
      </c>
      <c r="DK529" s="1109">
        <f t="shared" ca="1" si="784"/>
        <v>154485.88166628566</v>
      </c>
      <c r="DL529" s="1109">
        <f t="shared" ca="1" si="784"/>
        <v>154485.88166628566</v>
      </c>
      <c r="DM529" s="1109">
        <f t="shared" ca="1" si="784"/>
        <v>154485.88166628566</v>
      </c>
      <c r="DN529" s="1109">
        <f t="shared" ca="1" si="784"/>
        <v>154485.88166628566</v>
      </c>
      <c r="DO529" s="1109">
        <f t="shared" ca="1" si="784"/>
        <v>154485.88166628566</v>
      </c>
      <c r="DP529" s="1109">
        <f t="shared" ca="1" si="784"/>
        <v>154485.88166628566</v>
      </c>
      <c r="DQ529" s="1109">
        <f t="shared" ca="1" si="784"/>
        <v>154485.88166628566</v>
      </c>
      <c r="DR529" s="1109">
        <f t="shared" ca="1" si="784"/>
        <v>154485.88166628566</v>
      </c>
      <c r="DS529" s="1109">
        <f t="shared" ca="1" si="784"/>
        <v>154485.88166628566</v>
      </c>
      <c r="DT529" s="1109">
        <f t="shared" ca="1" si="784"/>
        <v>154485.88166628566</v>
      </c>
      <c r="DU529" s="1109">
        <f t="shared" ca="1" si="784"/>
        <v>154485.88166628566</v>
      </c>
      <c r="DV529" s="1109">
        <f t="shared" ca="1" si="784"/>
        <v>154485.88166628566</v>
      </c>
      <c r="DW529" s="1109">
        <f t="shared" ca="1" si="784"/>
        <v>154485.88166628566</v>
      </c>
      <c r="DX529" s="1109">
        <f t="shared" ca="1" si="784"/>
        <v>154485.88166628566</v>
      </c>
      <c r="DY529" s="1109">
        <f t="shared" ca="1" si="784"/>
        <v>154485.88166628566</v>
      </c>
    </row>
    <row r="530" spans="2:129" ht="11.7" customHeight="1" outlineLevel="1" thickBot="1" x14ac:dyDescent="0.35">
      <c r="B530" s="1110"/>
      <c r="C530" s="1110"/>
      <c r="D530" s="893"/>
      <c r="E530" s="893"/>
      <c r="F530" s="893"/>
      <c r="G530" s="1105"/>
      <c r="H530" s="1111"/>
      <c r="I530" s="336"/>
      <c r="J530" s="336"/>
      <c r="K530" s="336"/>
      <c r="L530" s="336"/>
      <c r="M530" s="336"/>
      <c r="N530" s="336"/>
      <c r="O530" s="336"/>
      <c r="P530" s="336"/>
      <c r="Q530" s="336"/>
      <c r="R530" s="336"/>
      <c r="S530" s="336"/>
      <c r="T530" s="336"/>
      <c r="U530" s="336"/>
      <c r="V530" s="336"/>
      <c r="W530" s="336"/>
      <c r="X530" s="336"/>
      <c r="Y530" s="336"/>
      <c r="Z530" s="336"/>
      <c r="AA530" s="336"/>
      <c r="AB530" s="336"/>
      <c r="AC530" s="336"/>
      <c r="AD530" s="336"/>
      <c r="AE530" s="336"/>
      <c r="AF530" s="336"/>
      <c r="AG530" s="336"/>
      <c r="AH530" s="336"/>
      <c r="AI530" s="336"/>
      <c r="AJ530" s="336"/>
      <c r="AK530" s="336"/>
      <c r="AL530" s="336"/>
      <c r="AM530" s="336"/>
      <c r="AN530" s="336"/>
      <c r="AO530" s="336"/>
      <c r="AP530" s="336"/>
      <c r="AQ530" s="336"/>
      <c r="AR530" s="336"/>
      <c r="AS530" s="336"/>
      <c r="AT530" s="336"/>
      <c r="AU530" s="336"/>
      <c r="AV530" s="336"/>
      <c r="AW530" s="336"/>
      <c r="AX530" s="336"/>
      <c r="AY530" s="336"/>
      <c r="AZ530" s="336"/>
      <c r="BA530" s="336"/>
      <c r="BB530" s="336"/>
      <c r="BC530" s="336"/>
      <c r="BD530" s="336"/>
      <c r="BE530" s="336"/>
      <c r="BF530" s="336"/>
      <c r="BG530" s="336"/>
      <c r="BH530" s="336"/>
      <c r="BI530" s="336"/>
      <c r="BJ530" s="336"/>
      <c r="BK530" s="336"/>
      <c r="BL530" s="336"/>
      <c r="BM530" s="336"/>
      <c r="BN530" s="336"/>
      <c r="BO530" s="336"/>
      <c r="BP530" s="336"/>
      <c r="BQ530" s="336"/>
      <c r="BR530" s="336"/>
      <c r="BS530" s="336"/>
      <c r="BT530" s="336"/>
      <c r="BU530" s="336"/>
      <c r="BV530" s="336"/>
      <c r="BW530" s="336"/>
      <c r="BX530" s="336"/>
      <c r="BY530" s="336"/>
      <c r="BZ530" s="336"/>
      <c r="CA530" s="336"/>
      <c r="CB530" s="336"/>
      <c r="CC530" s="336"/>
      <c r="CD530" s="336"/>
      <c r="CE530" s="336"/>
      <c r="CF530" s="336"/>
      <c r="CG530" s="336"/>
      <c r="CH530" s="336"/>
      <c r="CI530" s="336"/>
      <c r="CJ530" s="336"/>
      <c r="CK530" s="336"/>
      <c r="CL530" s="336"/>
      <c r="CM530" s="336"/>
      <c r="CN530" s="336"/>
      <c r="CO530" s="336"/>
      <c r="CP530" s="336"/>
      <c r="CQ530" s="336"/>
      <c r="CR530" s="336"/>
      <c r="CS530" s="336"/>
      <c r="CT530" s="336"/>
      <c r="CU530" s="336"/>
      <c r="CV530" s="336"/>
      <c r="CW530" s="336"/>
      <c r="CX530" s="336"/>
      <c r="CY530" s="336"/>
      <c r="CZ530" s="336"/>
      <c r="DA530" s="336"/>
      <c r="DB530" s="336"/>
      <c r="DC530" s="336"/>
      <c r="DD530" s="336"/>
      <c r="DE530" s="336"/>
      <c r="DF530" s="336"/>
      <c r="DG530" s="336"/>
      <c r="DH530" s="336"/>
      <c r="DI530" s="336"/>
      <c r="DJ530" s="336"/>
      <c r="DK530" s="336"/>
      <c r="DL530" s="336"/>
      <c r="DM530" s="336"/>
      <c r="DN530" s="336"/>
      <c r="DO530" s="336"/>
      <c r="DP530" s="336"/>
      <c r="DQ530" s="336"/>
      <c r="DR530" s="336"/>
      <c r="DS530" s="336"/>
      <c r="DT530" s="336"/>
      <c r="DU530" s="336"/>
      <c r="DV530" s="336"/>
      <c r="DW530" s="336"/>
      <c r="DX530" s="336"/>
      <c r="DY530" s="336"/>
    </row>
    <row r="531" spans="2:129" ht="11.7" customHeight="1" outlineLevel="1" thickTop="1" thickBot="1" x14ac:dyDescent="0.35">
      <c r="B531" s="204" t="s">
        <v>660</v>
      </c>
      <c r="C531" s="204"/>
      <c r="D531" s="893"/>
      <c r="E531" s="893"/>
      <c r="F531" s="893"/>
      <c r="G531" s="1105"/>
      <c r="H531" s="647">
        <f ca="1">+SUM(I531:DY531)</f>
        <v>170429.47171516874</v>
      </c>
      <c r="I531" s="336">
        <f>+I528-I509</f>
        <v>-179951.23080262783</v>
      </c>
      <c r="J531" s="336">
        <f t="shared" ref="J531:BU531" si="785">+J528-J509</f>
        <v>0</v>
      </c>
      <c r="K531" s="336">
        <f t="shared" si="785"/>
        <v>0</v>
      </c>
      <c r="L531" s="336">
        <f t="shared" si="785"/>
        <v>0</v>
      </c>
      <c r="M531" s="336">
        <f t="shared" si="785"/>
        <v>0</v>
      </c>
      <c r="N531" s="336">
        <f t="shared" si="785"/>
        <v>0</v>
      </c>
      <c r="O531" s="336">
        <f t="shared" si="785"/>
        <v>0</v>
      </c>
      <c r="P531" s="336">
        <f t="shared" si="785"/>
        <v>0</v>
      </c>
      <c r="Q531" s="336">
        <f t="shared" si="785"/>
        <v>0</v>
      </c>
      <c r="R531" s="336">
        <f t="shared" si="785"/>
        <v>0</v>
      </c>
      <c r="S531" s="336">
        <f t="shared" si="785"/>
        <v>0</v>
      </c>
      <c r="T531" s="336">
        <f t="shared" si="785"/>
        <v>0</v>
      </c>
      <c r="U531" s="336">
        <f t="shared" si="785"/>
        <v>0</v>
      </c>
      <c r="V531" s="336">
        <f t="shared" si="785"/>
        <v>0</v>
      </c>
      <c r="W531" s="336">
        <f t="shared" si="785"/>
        <v>-40120.140230926831</v>
      </c>
      <c r="X531" s="336">
        <f t="shared" si="785"/>
        <v>0</v>
      </c>
      <c r="Y531" s="336">
        <f t="shared" si="785"/>
        <v>0</v>
      </c>
      <c r="Z531" s="336">
        <f t="shared" si="785"/>
        <v>0</v>
      </c>
      <c r="AA531" s="336">
        <f t="shared" si="785"/>
        <v>0</v>
      </c>
      <c r="AB531" s="336">
        <f t="shared" si="785"/>
        <v>0</v>
      </c>
      <c r="AC531" s="336">
        <f t="shared" si="785"/>
        <v>0</v>
      </c>
      <c r="AD531" s="336">
        <f t="shared" si="785"/>
        <v>0</v>
      </c>
      <c r="AE531" s="336">
        <f t="shared" si="785"/>
        <v>0</v>
      </c>
      <c r="AF531" s="336">
        <f t="shared" si="785"/>
        <v>0</v>
      </c>
      <c r="AG531" s="336">
        <f t="shared" si="785"/>
        <v>0</v>
      </c>
      <c r="AH531" s="336">
        <f t="shared" si="785"/>
        <v>0</v>
      </c>
      <c r="AI531" s="336">
        <f t="shared" si="785"/>
        <v>0</v>
      </c>
      <c r="AJ531" s="336">
        <f t="shared" si="785"/>
        <v>0</v>
      </c>
      <c r="AK531" s="336">
        <f t="shared" si="785"/>
        <v>0</v>
      </c>
      <c r="AL531" s="336">
        <f t="shared" si="785"/>
        <v>0</v>
      </c>
      <c r="AM531" s="336">
        <f t="shared" si="785"/>
        <v>0</v>
      </c>
      <c r="AN531" s="336">
        <f t="shared" si="785"/>
        <v>0</v>
      </c>
      <c r="AO531" s="336">
        <f t="shared" si="785"/>
        <v>0</v>
      </c>
      <c r="AP531" s="336">
        <f t="shared" si="785"/>
        <v>16921.364496465285</v>
      </c>
      <c r="AQ531" s="336">
        <f t="shared" si="785"/>
        <v>0</v>
      </c>
      <c r="AR531" s="336">
        <f t="shared" si="785"/>
        <v>0</v>
      </c>
      <c r="AS531" s="336">
        <f t="shared" si="785"/>
        <v>0</v>
      </c>
      <c r="AT531" s="336">
        <f t="shared" si="785"/>
        <v>0</v>
      </c>
      <c r="AU531" s="336">
        <f t="shared" si="785"/>
        <v>0</v>
      </c>
      <c r="AV531" s="336">
        <f t="shared" si="785"/>
        <v>0</v>
      </c>
      <c r="AW531" s="336">
        <f t="shared" si="785"/>
        <v>0</v>
      </c>
      <c r="AX531" s="336">
        <f t="shared" si="785"/>
        <v>0</v>
      </c>
      <c r="AY531" s="336">
        <f t="shared" si="785"/>
        <v>0</v>
      </c>
      <c r="AZ531" s="336">
        <f t="shared" si="785"/>
        <v>0</v>
      </c>
      <c r="BA531" s="336">
        <f t="shared" si="785"/>
        <v>0</v>
      </c>
      <c r="BB531" s="336">
        <f t="shared" si="785"/>
        <v>0</v>
      </c>
      <c r="BC531" s="336">
        <f t="shared" si="785"/>
        <v>0</v>
      </c>
      <c r="BD531" s="336">
        <f t="shared" si="785"/>
        <v>18837.869891184178</v>
      </c>
      <c r="BE531" s="336">
        <f t="shared" si="785"/>
        <v>0</v>
      </c>
      <c r="BF531" s="336">
        <f t="shared" si="785"/>
        <v>0</v>
      </c>
      <c r="BG531" s="336">
        <f t="shared" si="785"/>
        <v>0</v>
      </c>
      <c r="BH531" s="336">
        <f t="shared" si="785"/>
        <v>0</v>
      </c>
      <c r="BI531" s="336">
        <f t="shared" si="785"/>
        <v>0</v>
      </c>
      <c r="BJ531" s="336">
        <f t="shared" si="785"/>
        <v>0</v>
      </c>
      <c r="BK531" s="336">
        <f t="shared" si="785"/>
        <v>0</v>
      </c>
      <c r="BL531" s="336">
        <f t="shared" si="785"/>
        <v>0</v>
      </c>
      <c r="BM531" s="336">
        <f t="shared" si="785"/>
        <v>0</v>
      </c>
      <c r="BN531" s="336">
        <f t="shared" si="785"/>
        <v>0</v>
      </c>
      <c r="BO531" s="336">
        <f t="shared" si="785"/>
        <v>0</v>
      </c>
      <c r="BP531" s="336">
        <f t="shared" si="785"/>
        <v>0</v>
      </c>
      <c r="BQ531" s="336">
        <f t="shared" si="785"/>
        <v>0</v>
      </c>
      <c r="BR531" s="336">
        <f t="shared" si="785"/>
        <v>0</v>
      </c>
      <c r="BS531" s="336">
        <f t="shared" si="785"/>
        <v>0</v>
      </c>
      <c r="BT531" s="336">
        <f t="shared" si="785"/>
        <v>0</v>
      </c>
      <c r="BU531" s="336">
        <f t="shared" si="785"/>
        <v>0</v>
      </c>
      <c r="BV531" s="336">
        <f t="shared" ref="BV531:DY531" si="786">+BV528-BV509</f>
        <v>0</v>
      </c>
      <c r="BW531" s="336">
        <f t="shared" si="786"/>
        <v>0</v>
      </c>
      <c r="BX531" s="336">
        <f t="shared" si="786"/>
        <v>0</v>
      </c>
      <c r="BY531" s="336">
        <f t="shared" si="786"/>
        <v>0</v>
      </c>
      <c r="BZ531" s="336">
        <f t="shared" si="786"/>
        <v>0</v>
      </c>
      <c r="CA531" s="336">
        <f t="shared" si="786"/>
        <v>0</v>
      </c>
      <c r="CB531" s="336">
        <f t="shared" si="786"/>
        <v>0</v>
      </c>
      <c r="CC531" s="336">
        <f t="shared" si="786"/>
        <v>0</v>
      </c>
      <c r="CD531" s="336">
        <f t="shared" si="786"/>
        <v>0</v>
      </c>
      <c r="CE531" s="336">
        <f t="shared" si="786"/>
        <v>0</v>
      </c>
      <c r="CF531" s="336">
        <f t="shared" ca="1" si="786"/>
        <v>344769.44320981868</v>
      </c>
      <c r="CG531" s="336">
        <f t="shared" ca="1" si="786"/>
        <v>9972.1651512552617</v>
      </c>
      <c r="CH531" s="336">
        <f t="shared" ca="1" si="786"/>
        <v>0</v>
      </c>
      <c r="CI531" s="336">
        <f t="shared" ca="1" si="786"/>
        <v>0</v>
      </c>
      <c r="CJ531" s="336">
        <f t="shared" ca="1" si="786"/>
        <v>0</v>
      </c>
      <c r="CK531" s="336">
        <f t="shared" ca="1" si="786"/>
        <v>0</v>
      </c>
      <c r="CL531" s="336">
        <f t="shared" ca="1" si="786"/>
        <v>0</v>
      </c>
      <c r="CM531" s="336">
        <f t="shared" ca="1" si="786"/>
        <v>0</v>
      </c>
      <c r="CN531" s="336">
        <f t="shared" ca="1" si="786"/>
        <v>0</v>
      </c>
      <c r="CO531" s="336">
        <f t="shared" ca="1" si="786"/>
        <v>0</v>
      </c>
      <c r="CP531" s="336">
        <f t="shared" ca="1" si="786"/>
        <v>0</v>
      </c>
      <c r="CQ531" s="336">
        <f t="shared" ca="1" si="786"/>
        <v>0</v>
      </c>
      <c r="CR531" s="336">
        <f t="shared" ca="1" si="786"/>
        <v>0</v>
      </c>
      <c r="CS531" s="336">
        <f t="shared" ca="1" si="786"/>
        <v>0</v>
      </c>
      <c r="CT531" s="336">
        <f t="shared" ca="1" si="786"/>
        <v>0</v>
      </c>
      <c r="CU531" s="336">
        <f t="shared" ca="1" si="786"/>
        <v>0</v>
      </c>
      <c r="CV531" s="336">
        <f t="shared" ca="1" si="786"/>
        <v>0</v>
      </c>
      <c r="CW531" s="336">
        <f t="shared" ca="1" si="786"/>
        <v>0</v>
      </c>
      <c r="CX531" s="336">
        <f t="shared" ca="1" si="786"/>
        <v>0</v>
      </c>
      <c r="CY531" s="336">
        <f t="shared" ca="1" si="786"/>
        <v>0</v>
      </c>
      <c r="CZ531" s="336">
        <f t="shared" ca="1" si="786"/>
        <v>0</v>
      </c>
      <c r="DA531" s="336">
        <f t="shared" ca="1" si="786"/>
        <v>0</v>
      </c>
      <c r="DB531" s="336">
        <f t="shared" ca="1" si="786"/>
        <v>0</v>
      </c>
      <c r="DC531" s="336">
        <f t="shared" ca="1" si="786"/>
        <v>0</v>
      </c>
      <c r="DD531" s="336">
        <f t="shared" ca="1" si="786"/>
        <v>0</v>
      </c>
      <c r="DE531" s="336">
        <f t="shared" ca="1" si="786"/>
        <v>0</v>
      </c>
      <c r="DF531" s="336">
        <f t="shared" ca="1" si="786"/>
        <v>0</v>
      </c>
      <c r="DG531" s="336">
        <f t="shared" ca="1" si="786"/>
        <v>0</v>
      </c>
      <c r="DH531" s="336">
        <f t="shared" ca="1" si="786"/>
        <v>0</v>
      </c>
      <c r="DI531" s="336">
        <f t="shared" ca="1" si="786"/>
        <v>0</v>
      </c>
      <c r="DJ531" s="336">
        <f t="shared" ca="1" si="786"/>
        <v>0</v>
      </c>
      <c r="DK531" s="336">
        <f t="shared" ca="1" si="786"/>
        <v>0</v>
      </c>
      <c r="DL531" s="336">
        <f t="shared" ca="1" si="786"/>
        <v>0</v>
      </c>
      <c r="DM531" s="336">
        <f t="shared" ca="1" si="786"/>
        <v>0</v>
      </c>
      <c r="DN531" s="336">
        <f t="shared" ca="1" si="786"/>
        <v>0</v>
      </c>
      <c r="DO531" s="336">
        <f t="shared" ca="1" si="786"/>
        <v>0</v>
      </c>
      <c r="DP531" s="336">
        <f t="shared" ca="1" si="786"/>
        <v>0</v>
      </c>
      <c r="DQ531" s="336">
        <f t="shared" ca="1" si="786"/>
        <v>0</v>
      </c>
      <c r="DR531" s="336">
        <f t="shared" ca="1" si="786"/>
        <v>0</v>
      </c>
      <c r="DS531" s="336">
        <f t="shared" ca="1" si="786"/>
        <v>0</v>
      </c>
      <c r="DT531" s="336">
        <f t="shared" ca="1" si="786"/>
        <v>0</v>
      </c>
      <c r="DU531" s="336">
        <f t="shared" ca="1" si="786"/>
        <v>0</v>
      </c>
      <c r="DV531" s="336">
        <f t="shared" ca="1" si="786"/>
        <v>0</v>
      </c>
      <c r="DW531" s="336">
        <f t="shared" ca="1" si="786"/>
        <v>0</v>
      </c>
      <c r="DX531" s="336">
        <f t="shared" ca="1" si="786"/>
        <v>0</v>
      </c>
      <c r="DY531" s="336">
        <f t="shared" ca="1" si="786"/>
        <v>0</v>
      </c>
    </row>
    <row r="532" spans="2:129" ht="11.7" customHeight="1" outlineLevel="1" thickTop="1" x14ac:dyDescent="0.3">
      <c r="B532" s="329"/>
      <c r="C532" s="329"/>
      <c r="G532" s="1103"/>
      <c r="H532" s="896"/>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c r="AT532" s="14"/>
      <c r="AU532" s="14"/>
      <c r="AV532" s="14"/>
      <c r="AW532" s="14"/>
      <c r="AX532" s="14"/>
      <c r="AY532" s="14"/>
      <c r="AZ532" s="14"/>
      <c r="BA532" s="14"/>
      <c r="BB532" s="14"/>
      <c r="BC532" s="14"/>
      <c r="BD532" s="14"/>
      <c r="BE532" s="14"/>
      <c r="BF532" s="14"/>
      <c r="BG532" s="14"/>
      <c r="BH532" s="14"/>
      <c r="BI532" s="14"/>
      <c r="BJ532" s="14"/>
      <c r="BK532" s="14"/>
      <c r="BL532" s="14"/>
      <c r="BM532" s="14"/>
      <c r="BN532" s="14"/>
      <c r="BO532" s="14"/>
      <c r="BP532" s="14"/>
      <c r="BQ532" s="14"/>
      <c r="BR532" s="14"/>
      <c r="BS532" s="14"/>
      <c r="BT532" s="14"/>
      <c r="BU532" s="14"/>
      <c r="BV532" s="14"/>
      <c r="BW532" s="14"/>
      <c r="BX532" s="14"/>
      <c r="BY532" s="14"/>
      <c r="BZ532" s="14"/>
      <c r="CA532" s="14"/>
      <c r="CB532" s="14"/>
      <c r="CC532" s="14"/>
      <c r="CD532" s="14"/>
      <c r="CE532" s="14"/>
      <c r="CF532" s="14"/>
      <c r="CG532" s="14"/>
      <c r="CH532" s="14"/>
      <c r="CI532" s="14"/>
      <c r="CJ532" s="14"/>
      <c r="CK532" s="14"/>
      <c r="CL532" s="14"/>
      <c r="CM532" s="14"/>
      <c r="CN532" s="14"/>
      <c r="CO532" s="14"/>
      <c r="CP532" s="14"/>
      <c r="CQ532" s="14"/>
      <c r="CR532" s="14"/>
      <c r="CS532" s="14"/>
      <c r="CT532" s="14"/>
      <c r="CU532" s="14"/>
      <c r="CV532" s="14"/>
      <c r="CW532" s="14"/>
      <c r="CX532" s="14"/>
      <c r="CY532" s="14"/>
      <c r="CZ532" s="14"/>
      <c r="DA532" s="14"/>
      <c r="DB532" s="14"/>
      <c r="DC532" s="14"/>
      <c r="DD532" s="14"/>
      <c r="DE532" s="14"/>
      <c r="DF532" s="14"/>
      <c r="DG532" s="14"/>
      <c r="DH532" s="14"/>
      <c r="DI532" s="14"/>
      <c r="DJ532" s="14"/>
      <c r="DK532" s="14"/>
      <c r="DL532" s="14"/>
      <c r="DM532" s="14"/>
      <c r="DN532" s="14"/>
      <c r="DO532" s="14"/>
      <c r="DP532" s="14"/>
      <c r="DQ532" s="14"/>
      <c r="DR532" s="14"/>
      <c r="DS532" s="14"/>
      <c r="DT532" s="14"/>
      <c r="DU532" s="14"/>
      <c r="DV532" s="14"/>
      <c r="DW532" s="14"/>
      <c r="DX532" s="14"/>
      <c r="DY532" s="14"/>
    </row>
    <row r="533" spans="2:129" ht="11.7" customHeight="1" outlineLevel="1" x14ac:dyDescent="0.3">
      <c r="B533" s="149"/>
      <c r="C533" s="149"/>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c r="AT533" s="14"/>
      <c r="AU533" s="14"/>
      <c r="AV533" s="14"/>
      <c r="AW533" s="14"/>
      <c r="AX533" s="14"/>
      <c r="AY533" s="14"/>
      <c r="AZ533" s="14"/>
      <c r="BA533" s="14"/>
      <c r="BB533" s="14"/>
      <c r="BC533" s="14"/>
      <c r="BD533" s="14"/>
      <c r="BE533" s="14"/>
      <c r="BF533" s="14"/>
      <c r="BG533" s="14"/>
      <c r="BH533" s="14"/>
      <c r="BI533" s="14"/>
      <c r="BJ533" s="14"/>
      <c r="BK533" s="14"/>
      <c r="BL533" s="14"/>
      <c r="BM533" s="14"/>
      <c r="BN533" s="14"/>
      <c r="BO533" s="14"/>
      <c r="BP533" s="14"/>
      <c r="BQ533" s="14"/>
      <c r="BR533" s="14"/>
      <c r="BS533" s="14"/>
      <c r="BT533" s="14"/>
      <c r="BU533" s="14"/>
      <c r="BV533" s="14"/>
      <c r="BW533" s="14"/>
      <c r="BX533" s="14"/>
      <c r="BY533" s="14"/>
      <c r="BZ533" s="14"/>
      <c r="CA533" s="14"/>
      <c r="CB533" s="14"/>
      <c r="CC533" s="14"/>
      <c r="CD533" s="14"/>
      <c r="CE533" s="14"/>
      <c r="CF533" s="14"/>
      <c r="CG533" s="14"/>
      <c r="CH533" s="14"/>
      <c r="CI533" s="14"/>
      <c r="CJ533" s="14"/>
      <c r="CK533" s="14"/>
      <c r="CL533" s="14"/>
      <c r="CM533" s="14"/>
      <c r="CN533" s="14"/>
      <c r="CO533" s="14"/>
      <c r="CP533" s="14"/>
      <c r="CQ533" s="14"/>
      <c r="CR533" s="14"/>
      <c r="CS533" s="14"/>
      <c r="CT533" s="14"/>
      <c r="CU533" s="14"/>
      <c r="CV533" s="14"/>
      <c r="CW533" s="14"/>
      <c r="CX533" s="14"/>
      <c r="CY533" s="14"/>
      <c r="CZ533" s="14"/>
      <c r="DA533" s="14"/>
      <c r="DB533" s="14"/>
      <c r="DC533" s="14"/>
      <c r="DD533" s="14"/>
      <c r="DE533" s="14"/>
      <c r="DF533" s="14"/>
      <c r="DG533" s="14"/>
      <c r="DH533" s="14"/>
      <c r="DI533" s="14"/>
      <c r="DJ533" s="14"/>
      <c r="DK533" s="14"/>
      <c r="DL533" s="14"/>
      <c r="DM533" s="14"/>
      <c r="DN533" s="14"/>
      <c r="DO533" s="14"/>
      <c r="DP533" s="14"/>
      <c r="DQ533" s="14"/>
      <c r="DR533" s="14"/>
      <c r="DS533" s="14"/>
      <c r="DT533" s="14"/>
      <c r="DU533" s="14"/>
      <c r="DV533" s="14"/>
      <c r="DW533" s="14"/>
      <c r="DX533" s="14"/>
      <c r="DY533" s="14"/>
    </row>
    <row r="534" spans="2:129" ht="11.7" customHeight="1" outlineLevel="1" x14ac:dyDescent="0.3">
      <c r="B534" s="574" t="s">
        <v>518</v>
      </c>
      <c r="C534" s="1132"/>
      <c r="D534" s="865"/>
      <c r="E534" s="865"/>
      <c r="F534" s="865"/>
      <c r="G534" s="866"/>
      <c r="H534" s="867"/>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c r="AT534" s="14"/>
      <c r="AU534" s="14"/>
      <c r="AV534" s="14"/>
      <c r="AW534" s="14"/>
      <c r="AX534" s="14"/>
      <c r="AY534" s="14"/>
      <c r="AZ534" s="14"/>
      <c r="BA534" s="14"/>
      <c r="BB534" s="14"/>
      <c r="BC534" s="14"/>
      <c r="BD534" s="14"/>
      <c r="BE534" s="14"/>
      <c r="BF534" s="14"/>
      <c r="BG534" s="14"/>
      <c r="BH534" s="14"/>
      <c r="BI534" s="14"/>
      <c r="BJ534" s="14"/>
      <c r="BK534" s="14"/>
      <c r="BL534" s="14"/>
      <c r="BM534" s="14"/>
      <c r="BN534" s="14"/>
      <c r="BO534" s="14"/>
      <c r="BP534" s="14"/>
      <c r="BQ534" s="14"/>
      <c r="BR534" s="14"/>
      <c r="BS534" s="14"/>
      <c r="BT534" s="14"/>
      <c r="BU534" s="14"/>
      <c r="BV534" s="14"/>
      <c r="BW534" s="14"/>
      <c r="BX534" s="14"/>
      <c r="BY534" s="14"/>
      <c r="BZ534" s="14"/>
      <c r="CA534" s="14"/>
      <c r="CB534" s="14"/>
      <c r="CC534" s="14"/>
      <c r="CD534" s="14"/>
      <c r="CE534" s="14"/>
      <c r="CF534" s="14"/>
      <c r="CG534" s="14"/>
      <c r="CH534" s="14"/>
      <c r="CI534" s="14"/>
      <c r="CJ534" s="14"/>
      <c r="CK534" s="14"/>
      <c r="CL534" s="14"/>
      <c r="CM534" s="14"/>
      <c r="CN534" s="14"/>
      <c r="CO534" s="14"/>
      <c r="CP534" s="14"/>
      <c r="CQ534" s="14"/>
      <c r="CR534" s="14"/>
      <c r="CS534" s="14"/>
      <c r="CT534" s="14"/>
      <c r="CU534" s="14"/>
      <c r="CV534" s="14"/>
      <c r="CW534" s="14"/>
      <c r="CX534" s="14"/>
      <c r="CY534" s="14"/>
      <c r="CZ534" s="14"/>
      <c r="DA534" s="14"/>
      <c r="DB534" s="14"/>
      <c r="DC534" s="14"/>
      <c r="DD534" s="14"/>
      <c r="DE534" s="14"/>
      <c r="DF534" s="14"/>
      <c r="DG534" s="14"/>
      <c r="DH534" s="14"/>
      <c r="DI534" s="14"/>
      <c r="DJ534" s="14"/>
      <c r="DK534" s="14"/>
      <c r="DL534" s="14"/>
      <c r="DM534" s="14"/>
      <c r="DN534" s="14"/>
      <c r="DO534" s="14"/>
      <c r="DP534" s="14"/>
      <c r="DQ534" s="14"/>
      <c r="DR534" s="14"/>
      <c r="DS534" s="14"/>
      <c r="DT534" s="14"/>
      <c r="DU534" s="14"/>
      <c r="DV534" s="14"/>
      <c r="DW534" s="14"/>
      <c r="DX534" s="14"/>
      <c r="DY534" s="14"/>
    </row>
    <row r="535" spans="2:129" ht="11.7" customHeight="1" outlineLevel="1" x14ac:dyDescent="0.3">
      <c r="B535" s="577" t="s">
        <v>661</v>
      </c>
      <c r="C535" s="1133"/>
      <c r="D535" s="1112"/>
      <c r="E535" s="1112"/>
      <c r="F535" s="1112"/>
      <c r="G535" s="1112"/>
      <c r="H535" s="589">
        <f ca="1">+XIRR($I$531:$DY$531,$I$7:$DY$7)</f>
        <v>0.10487653613090517</v>
      </c>
    </row>
    <row r="536" spans="2:129" ht="11.7" customHeight="1" outlineLevel="1" x14ac:dyDescent="0.3">
      <c r="B536" s="577" t="s">
        <v>3</v>
      </c>
      <c r="C536" s="1133"/>
      <c r="D536" s="578"/>
      <c r="E536" s="575"/>
      <c r="F536" s="575"/>
      <c r="G536" s="579"/>
      <c r="H536" s="589">
        <f ca="1">+XIRR($I$528:$DY$528,$I$7:$DY$7)</f>
        <v>9.7084969282150269E-2</v>
      </c>
    </row>
    <row r="537" spans="2:129" ht="11.7" customHeight="1" outlineLevel="1" x14ac:dyDescent="0.25">
      <c r="B537" s="577" t="s">
        <v>4</v>
      </c>
      <c r="C537" s="1133"/>
      <c r="D537" s="580"/>
      <c r="E537" s="575"/>
      <c r="F537" s="575"/>
      <c r="G537" s="579"/>
      <c r="H537" s="868">
        <f ca="1">+H538/H539+1</f>
        <v>1.7019808207707805</v>
      </c>
    </row>
    <row r="538" spans="2:129" ht="11.7" customHeight="1" outlineLevel="1" x14ac:dyDescent="0.3">
      <c r="B538" s="577" t="s">
        <v>5</v>
      </c>
      <c r="C538" s="1133"/>
      <c r="D538" s="582"/>
      <c r="E538" s="575"/>
      <c r="F538" s="575"/>
      <c r="G538" s="579"/>
      <c r="H538" s="583">
        <f ca="1">+H528</f>
        <v>154485.88166628566</v>
      </c>
    </row>
    <row r="539" spans="2:129" ht="11.7" customHeight="1" outlineLevel="1" x14ac:dyDescent="0.3">
      <c r="B539" s="584" t="s">
        <v>21</v>
      </c>
      <c r="C539" s="1134"/>
      <c r="D539" s="585"/>
      <c r="E539" s="586"/>
      <c r="F539" s="586"/>
      <c r="G539" s="587"/>
      <c r="H539" s="588">
        <f ca="1">-H529</f>
        <v>220071.37103355466</v>
      </c>
    </row>
    <row r="540" spans="2:129" ht="11.7" customHeight="1" outlineLevel="1" x14ac:dyDescent="0.3">
      <c r="I540" s="844"/>
      <c r="J540" s="844"/>
      <c r="K540" s="844"/>
      <c r="L540" s="844"/>
      <c r="M540" s="844"/>
      <c r="N540" s="844"/>
      <c r="O540" s="844"/>
      <c r="P540" s="844"/>
      <c r="Q540" s="844"/>
      <c r="R540" s="844"/>
      <c r="S540" s="844"/>
      <c r="T540" s="844"/>
      <c r="U540" s="844"/>
      <c r="V540" s="844"/>
      <c r="W540" s="844"/>
      <c r="X540" s="844"/>
      <c r="Y540" s="844"/>
      <c r="Z540" s="844"/>
      <c r="AA540" s="844"/>
      <c r="AB540" s="844"/>
      <c r="AC540" s="844"/>
      <c r="AD540" s="844"/>
      <c r="AE540" s="844"/>
      <c r="AF540" s="844"/>
      <c r="AG540" s="844"/>
      <c r="AH540" s="844"/>
      <c r="AI540" s="844"/>
      <c r="AJ540" s="844"/>
      <c r="AK540" s="844"/>
      <c r="AL540" s="844"/>
      <c r="AM540" s="844"/>
      <c r="AN540" s="844"/>
      <c r="AO540" s="844"/>
      <c r="AP540" s="844"/>
      <c r="AQ540" s="844"/>
      <c r="AR540" s="844"/>
      <c r="AS540" s="844"/>
      <c r="AT540" s="844"/>
      <c r="AU540" s="844"/>
      <c r="AV540" s="844"/>
      <c r="AW540" s="844"/>
      <c r="AX540" s="844"/>
      <c r="AY540" s="844"/>
      <c r="AZ540" s="844"/>
      <c r="BA540" s="844"/>
      <c r="BB540" s="844"/>
      <c r="BC540" s="844"/>
      <c r="BD540" s="844"/>
      <c r="BE540" s="844"/>
      <c r="BF540" s="844"/>
      <c r="BG540" s="844"/>
      <c r="BH540" s="844"/>
      <c r="BI540" s="844"/>
      <c r="BJ540" s="844"/>
      <c r="BK540" s="844"/>
      <c r="BL540" s="844"/>
      <c r="BM540" s="844"/>
      <c r="BN540" s="844"/>
      <c r="BO540" s="844"/>
      <c r="BP540" s="844"/>
      <c r="BQ540" s="844"/>
      <c r="BR540" s="844"/>
      <c r="BS540" s="844"/>
      <c r="BT540" s="844"/>
      <c r="BU540" s="844"/>
      <c r="BV540" s="844"/>
      <c r="BW540" s="844"/>
      <c r="BX540" s="844"/>
      <c r="BY540" s="844"/>
      <c r="BZ540" s="844"/>
      <c r="CA540" s="844"/>
      <c r="CB540" s="844"/>
      <c r="CC540" s="844"/>
      <c r="CD540" s="844"/>
      <c r="CE540" s="844"/>
      <c r="CF540" s="844"/>
      <c r="CG540" s="844"/>
      <c r="CH540" s="844"/>
      <c r="CI540" s="844"/>
      <c r="CJ540" s="844"/>
      <c r="CK540" s="844"/>
      <c r="CL540" s="844"/>
      <c r="CM540" s="844"/>
      <c r="CN540" s="844"/>
      <c r="CO540" s="844"/>
      <c r="CP540" s="844"/>
      <c r="CQ540" s="844"/>
      <c r="CR540" s="844"/>
      <c r="CS540" s="844"/>
      <c r="CT540" s="844"/>
      <c r="CU540" s="844"/>
      <c r="CV540" s="844"/>
      <c r="CW540" s="844"/>
      <c r="CX540" s="844"/>
      <c r="CY540" s="844"/>
      <c r="CZ540" s="844"/>
      <c r="DA540" s="844"/>
      <c r="DB540" s="844"/>
      <c r="DC540" s="844"/>
      <c r="DD540" s="844"/>
      <c r="DE540" s="844"/>
      <c r="DF540" s="844"/>
      <c r="DG540" s="844"/>
      <c r="DH540" s="844"/>
      <c r="DI540" s="844"/>
      <c r="DJ540" s="844"/>
      <c r="DK540" s="844"/>
      <c r="DL540" s="844"/>
      <c r="DM540" s="844"/>
      <c r="DN540" s="844"/>
      <c r="DO540" s="844"/>
      <c r="DP540" s="844"/>
      <c r="DQ540" s="844"/>
      <c r="DR540" s="844"/>
      <c r="DS540" s="844"/>
      <c r="DT540" s="844"/>
      <c r="DU540" s="844"/>
      <c r="DV540" s="844"/>
      <c r="DW540" s="844"/>
      <c r="DX540" s="844"/>
      <c r="DY540" s="844"/>
    </row>
    <row r="541" spans="2:129" ht="11.7" customHeight="1" x14ac:dyDescent="0.3"/>
    <row r="542" spans="2:129" ht="11.7" customHeight="1" x14ac:dyDescent="0.3">
      <c r="B542" s="313" t="s">
        <v>662</v>
      </c>
      <c r="C542" s="313"/>
      <c r="D542" s="313"/>
      <c r="E542" s="313"/>
      <c r="F542" s="313"/>
      <c r="G542" s="313"/>
      <c r="H542" s="313"/>
      <c r="I542" s="313"/>
      <c r="J542" s="313"/>
      <c r="K542" s="313"/>
      <c r="L542" s="313"/>
      <c r="M542" s="313"/>
      <c r="N542" s="313"/>
      <c r="O542" s="313"/>
      <c r="P542" s="313"/>
      <c r="Q542" s="313"/>
      <c r="R542" s="313"/>
      <c r="S542" s="313"/>
      <c r="T542" s="313"/>
      <c r="U542" s="313"/>
      <c r="V542" s="313"/>
      <c r="W542" s="313"/>
      <c r="X542" s="313"/>
      <c r="Y542" s="313"/>
      <c r="Z542" s="313"/>
      <c r="AA542" s="313"/>
      <c r="AB542" s="313"/>
      <c r="AC542" s="313"/>
      <c r="AD542" s="313"/>
      <c r="AE542" s="313"/>
      <c r="AF542" s="313"/>
      <c r="AG542" s="313"/>
      <c r="AH542" s="313"/>
      <c r="AI542" s="313"/>
      <c r="AJ542" s="313"/>
      <c r="AK542" s="313"/>
      <c r="AL542" s="313"/>
      <c r="AM542" s="313"/>
      <c r="AN542" s="313"/>
      <c r="AO542" s="313"/>
      <c r="AP542" s="313"/>
      <c r="AQ542" s="313"/>
      <c r="AR542" s="313"/>
      <c r="AS542" s="313"/>
      <c r="AT542" s="313"/>
      <c r="AU542" s="313"/>
      <c r="AV542" s="313"/>
      <c r="AW542" s="313"/>
      <c r="AX542" s="313"/>
      <c r="AY542" s="313"/>
      <c r="AZ542" s="313"/>
      <c r="BA542" s="313"/>
      <c r="BB542" s="313"/>
      <c r="BC542" s="313"/>
      <c r="BD542" s="313"/>
      <c r="BE542" s="313"/>
      <c r="BF542" s="313"/>
      <c r="BG542" s="313"/>
      <c r="BH542" s="313"/>
      <c r="BI542" s="313"/>
      <c r="BJ542" s="313"/>
      <c r="BK542" s="313"/>
      <c r="BL542" s="313"/>
      <c r="BM542" s="313"/>
      <c r="BN542" s="313"/>
      <c r="BO542" s="313"/>
      <c r="BP542" s="313"/>
      <c r="BQ542" s="313"/>
      <c r="BR542" s="313"/>
      <c r="BS542" s="313"/>
      <c r="BT542" s="313"/>
      <c r="BU542" s="313"/>
      <c r="BV542" s="313"/>
      <c r="BW542" s="313"/>
      <c r="BX542" s="313"/>
      <c r="BY542" s="313"/>
      <c r="BZ542" s="313"/>
      <c r="CA542" s="313"/>
      <c r="CB542" s="313"/>
      <c r="CC542" s="313"/>
      <c r="CD542" s="313"/>
      <c r="CE542" s="313"/>
      <c r="CF542" s="313"/>
      <c r="CG542" s="313"/>
      <c r="CH542" s="313"/>
      <c r="CI542" s="313"/>
      <c r="CJ542" s="313"/>
      <c r="CK542" s="313"/>
      <c r="CL542" s="313"/>
      <c r="CM542" s="313"/>
      <c r="CN542" s="313"/>
      <c r="CO542" s="313"/>
      <c r="CP542" s="313"/>
      <c r="CQ542" s="313"/>
      <c r="CR542" s="313"/>
      <c r="CS542" s="313"/>
      <c r="CT542" s="313"/>
      <c r="CU542" s="313"/>
      <c r="CV542" s="313"/>
      <c r="CW542" s="313"/>
      <c r="CX542" s="313"/>
      <c r="CY542" s="313"/>
      <c r="CZ542" s="313"/>
      <c r="DA542" s="313"/>
      <c r="DB542" s="313"/>
      <c r="DC542" s="313"/>
      <c r="DD542" s="313"/>
      <c r="DE542" s="313"/>
      <c r="DF542" s="313"/>
      <c r="DG542" s="313"/>
      <c r="DH542" s="313"/>
      <c r="DI542" s="313"/>
      <c r="DJ542" s="313"/>
      <c r="DK542" s="313"/>
      <c r="DL542" s="313"/>
      <c r="DM542" s="313"/>
      <c r="DN542" s="313"/>
      <c r="DO542" s="313"/>
      <c r="DP542" s="313"/>
      <c r="DQ542" s="313"/>
      <c r="DR542" s="313"/>
      <c r="DS542" s="313"/>
      <c r="DT542" s="313"/>
      <c r="DU542" s="313"/>
      <c r="DV542" s="313"/>
      <c r="DW542" s="313"/>
      <c r="DX542" s="313"/>
      <c r="DY542" s="313"/>
    </row>
    <row r="543" spans="2:129" ht="11.7" customHeight="1" outlineLevel="1" x14ac:dyDescent="0.3">
      <c r="B543" s="3"/>
      <c r="C543" s="3"/>
      <c r="D543" s="3"/>
      <c r="E543" s="3"/>
      <c r="F543" s="3"/>
      <c r="CU543" s="1100"/>
    </row>
    <row r="544" spans="2:129" ht="11.7" customHeight="1" outlineLevel="1" x14ac:dyDescent="0.25">
      <c r="B544" s="149" t="s">
        <v>515</v>
      </c>
      <c r="C544" s="149"/>
      <c r="D544" s="18"/>
      <c r="E544" s="18"/>
      <c r="F544" s="18"/>
      <c r="H544" s="290">
        <f>+SUM(I544:DY544)</f>
        <v>-1894.0674045962451</v>
      </c>
      <c r="I544" s="293">
        <f>+I$461</f>
        <v>-1548.7691973721776</v>
      </c>
      <c r="J544" s="293">
        <f t="shared" ref="J544:BU544" si="787">+J$461</f>
        <v>0</v>
      </c>
      <c r="K544" s="293">
        <f t="shared" si="787"/>
        <v>0</v>
      </c>
      <c r="L544" s="293">
        <f t="shared" si="787"/>
        <v>0</v>
      </c>
      <c r="M544" s="293">
        <f t="shared" si="787"/>
        <v>0</v>
      </c>
      <c r="N544" s="293">
        <f t="shared" si="787"/>
        <v>0</v>
      </c>
      <c r="O544" s="293">
        <f t="shared" si="787"/>
        <v>0</v>
      </c>
      <c r="P544" s="293">
        <f t="shared" si="787"/>
        <v>0</v>
      </c>
      <c r="Q544" s="293">
        <f t="shared" si="787"/>
        <v>0</v>
      </c>
      <c r="R544" s="293">
        <f t="shared" si="787"/>
        <v>0</v>
      </c>
      <c r="S544" s="293">
        <f t="shared" si="787"/>
        <v>0</v>
      </c>
      <c r="T544" s="293">
        <f t="shared" si="787"/>
        <v>0</v>
      </c>
      <c r="U544" s="293">
        <f t="shared" si="787"/>
        <v>0</v>
      </c>
      <c r="V544" s="293">
        <f t="shared" si="787"/>
        <v>0</v>
      </c>
      <c r="W544" s="293">
        <f t="shared" si="787"/>
        <v>-345.29820722406743</v>
      </c>
      <c r="X544" s="293">
        <f t="shared" si="787"/>
        <v>0</v>
      </c>
      <c r="Y544" s="293">
        <f t="shared" si="787"/>
        <v>0</v>
      </c>
      <c r="Z544" s="293">
        <f t="shared" si="787"/>
        <v>0</v>
      </c>
      <c r="AA544" s="293">
        <f t="shared" si="787"/>
        <v>0</v>
      </c>
      <c r="AB544" s="293">
        <f t="shared" si="787"/>
        <v>0</v>
      </c>
      <c r="AC544" s="293">
        <f t="shared" si="787"/>
        <v>0</v>
      </c>
      <c r="AD544" s="293">
        <f t="shared" si="787"/>
        <v>0</v>
      </c>
      <c r="AE544" s="293">
        <f t="shared" si="787"/>
        <v>0</v>
      </c>
      <c r="AF544" s="293">
        <f t="shared" si="787"/>
        <v>0</v>
      </c>
      <c r="AG544" s="293">
        <f t="shared" si="787"/>
        <v>0</v>
      </c>
      <c r="AH544" s="293">
        <f t="shared" si="787"/>
        <v>0</v>
      </c>
      <c r="AI544" s="293">
        <f t="shared" si="787"/>
        <v>0</v>
      </c>
      <c r="AJ544" s="293">
        <f t="shared" si="787"/>
        <v>0</v>
      </c>
      <c r="AK544" s="293">
        <f t="shared" si="787"/>
        <v>0</v>
      </c>
      <c r="AL544" s="293">
        <f t="shared" si="787"/>
        <v>0</v>
      </c>
      <c r="AM544" s="293">
        <f t="shared" si="787"/>
        <v>0</v>
      </c>
      <c r="AN544" s="293">
        <f t="shared" si="787"/>
        <v>0</v>
      </c>
      <c r="AO544" s="293">
        <f t="shared" si="787"/>
        <v>0</v>
      </c>
      <c r="AP544" s="293">
        <f t="shared" si="787"/>
        <v>0</v>
      </c>
      <c r="AQ544" s="293">
        <f t="shared" si="787"/>
        <v>0</v>
      </c>
      <c r="AR544" s="293">
        <f t="shared" si="787"/>
        <v>0</v>
      </c>
      <c r="AS544" s="293">
        <f t="shared" si="787"/>
        <v>0</v>
      </c>
      <c r="AT544" s="293">
        <f t="shared" si="787"/>
        <v>0</v>
      </c>
      <c r="AU544" s="293">
        <f t="shared" si="787"/>
        <v>0</v>
      </c>
      <c r="AV544" s="293">
        <f t="shared" si="787"/>
        <v>0</v>
      </c>
      <c r="AW544" s="293">
        <f t="shared" si="787"/>
        <v>0</v>
      </c>
      <c r="AX544" s="293">
        <f t="shared" si="787"/>
        <v>0</v>
      </c>
      <c r="AY544" s="293">
        <f t="shared" si="787"/>
        <v>0</v>
      </c>
      <c r="AZ544" s="293">
        <f t="shared" si="787"/>
        <v>0</v>
      </c>
      <c r="BA544" s="293">
        <f t="shared" si="787"/>
        <v>0</v>
      </c>
      <c r="BB544" s="293">
        <f t="shared" si="787"/>
        <v>0</v>
      </c>
      <c r="BC544" s="293">
        <f t="shared" si="787"/>
        <v>0</v>
      </c>
      <c r="BD544" s="293">
        <f t="shared" si="787"/>
        <v>0</v>
      </c>
      <c r="BE544" s="293">
        <f t="shared" si="787"/>
        <v>0</v>
      </c>
      <c r="BF544" s="293">
        <f t="shared" si="787"/>
        <v>0</v>
      </c>
      <c r="BG544" s="293">
        <f t="shared" si="787"/>
        <v>0</v>
      </c>
      <c r="BH544" s="293">
        <f t="shared" si="787"/>
        <v>0</v>
      </c>
      <c r="BI544" s="293">
        <f t="shared" si="787"/>
        <v>0</v>
      </c>
      <c r="BJ544" s="293">
        <f t="shared" si="787"/>
        <v>0</v>
      </c>
      <c r="BK544" s="293">
        <f t="shared" si="787"/>
        <v>0</v>
      </c>
      <c r="BL544" s="293">
        <f t="shared" si="787"/>
        <v>0</v>
      </c>
      <c r="BM544" s="293">
        <f t="shared" si="787"/>
        <v>0</v>
      </c>
      <c r="BN544" s="293">
        <f t="shared" si="787"/>
        <v>0</v>
      </c>
      <c r="BO544" s="293">
        <f t="shared" si="787"/>
        <v>0</v>
      </c>
      <c r="BP544" s="293">
        <f t="shared" si="787"/>
        <v>0</v>
      </c>
      <c r="BQ544" s="293">
        <f t="shared" si="787"/>
        <v>0</v>
      </c>
      <c r="BR544" s="293">
        <f t="shared" si="787"/>
        <v>0</v>
      </c>
      <c r="BS544" s="293">
        <f t="shared" si="787"/>
        <v>0</v>
      </c>
      <c r="BT544" s="293">
        <f t="shared" si="787"/>
        <v>0</v>
      </c>
      <c r="BU544" s="293">
        <f t="shared" si="787"/>
        <v>0</v>
      </c>
      <c r="BV544" s="293">
        <f t="shared" ref="BV544:DY544" si="788">+BV$461</f>
        <v>0</v>
      </c>
      <c r="BW544" s="293">
        <f t="shared" si="788"/>
        <v>0</v>
      </c>
      <c r="BX544" s="293">
        <f t="shared" si="788"/>
        <v>0</v>
      </c>
      <c r="BY544" s="293">
        <f t="shared" si="788"/>
        <v>0</v>
      </c>
      <c r="BZ544" s="293">
        <f t="shared" si="788"/>
        <v>0</v>
      </c>
      <c r="CA544" s="293">
        <f t="shared" si="788"/>
        <v>0</v>
      </c>
      <c r="CB544" s="293">
        <f t="shared" si="788"/>
        <v>0</v>
      </c>
      <c r="CC544" s="293">
        <f t="shared" si="788"/>
        <v>0</v>
      </c>
      <c r="CD544" s="293">
        <f t="shared" si="788"/>
        <v>0</v>
      </c>
      <c r="CE544" s="293">
        <f t="shared" si="788"/>
        <v>0</v>
      </c>
      <c r="CF544" s="293">
        <f t="shared" si="788"/>
        <v>0</v>
      </c>
      <c r="CG544" s="293">
        <f t="shared" si="788"/>
        <v>0</v>
      </c>
      <c r="CH544" s="293">
        <f t="shared" si="788"/>
        <v>0</v>
      </c>
      <c r="CI544" s="293">
        <f t="shared" si="788"/>
        <v>0</v>
      </c>
      <c r="CJ544" s="293">
        <f t="shared" si="788"/>
        <v>0</v>
      </c>
      <c r="CK544" s="293">
        <f t="shared" si="788"/>
        <v>0</v>
      </c>
      <c r="CL544" s="293">
        <f t="shared" si="788"/>
        <v>0</v>
      </c>
      <c r="CM544" s="293">
        <f t="shared" si="788"/>
        <v>0</v>
      </c>
      <c r="CN544" s="293">
        <f t="shared" si="788"/>
        <v>0</v>
      </c>
      <c r="CO544" s="293">
        <f t="shared" si="788"/>
        <v>0</v>
      </c>
      <c r="CP544" s="293">
        <f t="shared" si="788"/>
        <v>0</v>
      </c>
      <c r="CQ544" s="293">
        <f t="shared" si="788"/>
        <v>0</v>
      </c>
      <c r="CR544" s="293">
        <f t="shared" si="788"/>
        <v>0</v>
      </c>
      <c r="CS544" s="293">
        <f t="shared" si="788"/>
        <v>0</v>
      </c>
      <c r="CT544" s="293">
        <f t="shared" si="788"/>
        <v>0</v>
      </c>
      <c r="CU544" s="293">
        <f t="shared" si="788"/>
        <v>0</v>
      </c>
      <c r="CV544" s="293">
        <f t="shared" si="788"/>
        <v>0</v>
      </c>
      <c r="CW544" s="293">
        <f t="shared" si="788"/>
        <v>0</v>
      </c>
      <c r="CX544" s="293">
        <f t="shared" si="788"/>
        <v>0</v>
      </c>
      <c r="CY544" s="293">
        <f t="shared" si="788"/>
        <v>0</v>
      </c>
      <c r="CZ544" s="293">
        <f t="shared" si="788"/>
        <v>0</v>
      </c>
      <c r="DA544" s="293">
        <f t="shared" si="788"/>
        <v>0</v>
      </c>
      <c r="DB544" s="293">
        <f t="shared" si="788"/>
        <v>0</v>
      </c>
      <c r="DC544" s="293">
        <f t="shared" si="788"/>
        <v>0</v>
      </c>
      <c r="DD544" s="293">
        <f t="shared" si="788"/>
        <v>0</v>
      </c>
      <c r="DE544" s="293">
        <f t="shared" si="788"/>
        <v>0</v>
      </c>
      <c r="DF544" s="293">
        <f t="shared" si="788"/>
        <v>0</v>
      </c>
      <c r="DG544" s="293">
        <f t="shared" si="788"/>
        <v>0</v>
      </c>
      <c r="DH544" s="293">
        <f t="shared" si="788"/>
        <v>0</v>
      </c>
      <c r="DI544" s="293">
        <f t="shared" si="788"/>
        <v>0</v>
      </c>
      <c r="DJ544" s="293">
        <f t="shared" si="788"/>
        <v>0</v>
      </c>
      <c r="DK544" s="293">
        <f t="shared" si="788"/>
        <v>0</v>
      </c>
      <c r="DL544" s="293">
        <f t="shared" si="788"/>
        <v>0</v>
      </c>
      <c r="DM544" s="293">
        <f t="shared" si="788"/>
        <v>0</v>
      </c>
      <c r="DN544" s="293">
        <f t="shared" si="788"/>
        <v>0</v>
      </c>
      <c r="DO544" s="293">
        <f t="shared" si="788"/>
        <v>0</v>
      </c>
      <c r="DP544" s="293">
        <f t="shared" si="788"/>
        <v>0</v>
      </c>
      <c r="DQ544" s="293">
        <f t="shared" si="788"/>
        <v>0</v>
      </c>
      <c r="DR544" s="293">
        <f t="shared" si="788"/>
        <v>0</v>
      </c>
      <c r="DS544" s="293">
        <f t="shared" si="788"/>
        <v>0</v>
      </c>
      <c r="DT544" s="293">
        <f t="shared" si="788"/>
        <v>0</v>
      </c>
      <c r="DU544" s="293">
        <f t="shared" si="788"/>
        <v>0</v>
      </c>
      <c r="DV544" s="293">
        <f t="shared" si="788"/>
        <v>0</v>
      </c>
      <c r="DW544" s="293">
        <f t="shared" si="788"/>
        <v>0</v>
      </c>
      <c r="DX544" s="293">
        <f t="shared" si="788"/>
        <v>0</v>
      </c>
      <c r="DY544" s="293">
        <f t="shared" si="788"/>
        <v>0</v>
      </c>
    </row>
    <row r="545" spans="2:129" ht="11.7" customHeight="1" outlineLevel="1" thickBot="1" x14ac:dyDescent="0.3">
      <c r="B545" s="178" t="s">
        <v>516</v>
      </c>
      <c r="C545" s="178"/>
      <c r="D545" s="1085"/>
      <c r="E545" s="1085"/>
      <c r="F545" s="1104"/>
      <c r="G545" s="894"/>
      <c r="H545" s="1106">
        <f ca="1">+SUM(I545:DY545)</f>
        <v>3245.5755010215748</v>
      </c>
      <c r="I545" s="1065">
        <f>-SUM(I$480,I$500,I$515)</f>
        <v>0</v>
      </c>
      <c r="J545" s="1065">
        <f t="shared" ref="J545:BU545" si="789">-SUM(J$480,J$500,J$515)</f>
        <v>0</v>
      </c>
      <c r="K545" s="1065">
        <f t="shared" si="789"/>
        <v>0</v>
      </c>
      <c r="L545" s="1065">
        <f t="shared" si="789"/>
        <v>0</v>
      </c>
      <c r="M545" s="1065">
        <f t="shared" si="789"/>
        <v>0</v>
      </c>
      <c r="N545" s="1065">
        <f t="shared" si="789"/>
        <v>0</v>
      </c>
      <c r="O545" s="1065">
        <f t="shared" si="789"/>
        <v>0</v>
      </c>
      <c r="P545" s="1065">
        <f t="shared" si="789"/>
        <v>0</v>
      </c>
      <c r="Q545" s="1065">
        <f t="shared" si="789"/>
        <v>0</v>
      </c>
      <c r="R545" s="1065">
        <f t="shared" si="789"/>
        <v>0</v>
      </c>
      <c r="S545" s="1065">
        <f t="shared" si="789"/>
        <v>0</v>
      </c>
      <c r="T545" s="1065">
        <f t="shared" si="789"/>
        <v>0</v>
      </c>
      <c r="U545" s="1065">
        <f t="shared" si="789"/>
        <v>0</v>
      </c>
      <c r="V545" s="1065">
        <f t="shared" si="789"/>
        <v>0</v>
      </c>
      <c r="W545" s="1065">
        <f t="shared" si="789"/>
        <v>0</v>
      </c>
      <c r="X545" s="1065">
        <f t="shared" si="789"/>
        <v>0</v>
      </c>
      <c r="Y545" s="1065">
        <f t="shared" si="789"/>
        <v>0</v>
      </c>
      <c r="Z545" s="1065">
        <f t="shared" si="789"/>
        <v>0</v>
      </c>
      <c r="AA545" s="1065">
        <f t="shared" si="789"/>
        <v>0</v>
      </c>
      <c r="AB545" s="1065">
        <f t="shared" si="789"/>
        <v>0</v>
      </c>
      <c r="AC545" s="1065">
        <f t="shared" si="789"/>
        <v>0</v>
      </c>
      <c r="AD545" s="1065">
        <f t="shared" si="789"/>
        <v>0</v>
      </c>
      <c r="AE545" s="1065">
        <f t="shared" si="789"/>
        <v>0</v>
      </c>
      <c r="AF545" s="1065">
        <f t="shared" si="789"/>
        <v>0</v>
      </c>
      <c r="AG545" s="1065">
        <f t="shared" si="789"/>
        <v>0</v>
      </c>
      <c r="AH545" s="1065">
        <f t="shared" si="789"/>
        <v>0</v>
      </c>
      <c r="AI545" s="1065">
        <f t="shared" si="789"/>
        <v>0</v>
      </c>
      <c r="AJ545" s="1065">
        <f t="shared" si="789"/>
        <v>0</v>
      </c>
      <c r="AK545" s="1065">
        <f t="shared" si="789"/>
        <v>0</v>
      </c>
      <c r="AL545" s="1065">
        <f t="shared" si="789"/>
        <v>0</v>
      </c>
      <c r="AM545" s="1065">
        <f t="shared" si="789"/>
        <v>0</v>
      </c>
      <c r="AN545" s="1065">
        <f t="shared" si="789"/>
        <v>0</v>
      </c>
      <c r="AO545" s="1065">
        <f t="shared" si="789"/>
        <v>0</v>
      </c>
      <c r="AP545" s="1065">
        <f t="shared" si="789"/>
        <v>145.63550353471601</v>
      </c>
      <c r="AQ545" s="1065">
        <f t="shared" si="789"/>
        <v>0</v>
      </c>
      <c r="AR545" s="1065">
        <f t="shared" si="789"/>
        <v>0</v>
      </c>
      <c r="AS545" s="1065">
        <f t="shared" si="789"/>
        <v>0</v>
      </c>
      <c r="AT545" s="1065">
        <f t="shared" si="789"/>
        <v>0</v>
      </c>
      <c r="AU545" s="1065">
        <f t="shared" si="789"/>
        <v>0</v>
      </c>
      <c r="AV545" s="1065">
        <f t="shared" si="789"/>
        <v>0</v>
      </c>
      <c r="AW545" s="1065">
        <f t="shared" si="789"/>
        <v>0</v>
      </c>
      <c r="AX545" s="1065">
        <f t="shared" si="789"/>
        <v>0</v>
      </c>
      <c r="AY545" s="1065">
        <f t="shared" si="789"/>
        <v>0</v>
      </c>
      <c r="AZ545" s="1065">
        <f t="shared" si="789"/>
        <v>0</v>
      </c>
      <c r="BA545" s="1065">
        <f t="shared" si="789"/>
        <v>0</v>
      </c>
      <c r="BB545" s="1065">
        <f t="shared" si="789"/>
        <v>0</v>
      </c>
      <c r="BC545" s="1065">
        <f t="shared" si="789"/>
        <v>0</v>
      </c>
      <c r="BD545" s="1065">
        <f t="shared" si="789"/>
        <v>162.13010881582025</v>
      </c>
      <c r="BE545" s="1065">
        <f t="shared" si="789"/>
        <v>0</v>
      </c>
      <c r="BF545" s="1065">
        <f t="shared" si="789"/>
        <v>0</v>
      </c>
      <c r="BG545" s="1065">
        <f t="shared" si="789"/>
        <v>0</v>
      </c>
      <c r="BH545" s="1065">
        <f t="shared" si="789"/>
        <v>0</v>
      </c>
      <c r="BI545" s="1065">
        <f t="shared" si="789"/>
        <v>0</v>
      </c>
      <c r="BJ545" s="1065">
        <f t="shared" si="789"/>
        <v>0</v>
      </c>
      <c r="BK545" s="1065">
        <f t="shared" si="789"/>
        <v>0</v>
      </c>
      <c r="BL545" s="1065">
        <f t="shared" si="789"/>
        <v>0</v>
      </c>
      <c r="BM545" s="1065">
        <f t="shared" si="789"/>
        <v>0</v>
      </c>
      <c r="BN545" s="1065">
        <f t="shared" si="789"/>
        <v>0</v>
      </c>
      <c r="BO545" s="1065">
        <f t="shared" si="789"/>
        <v>0</v>
      </c>
      <c r="BP545" s="1065">
        <f t="shared" si="789"/>
        <v>0</v>
      </c>
      <c r="BQ545" s="1065">
        <f t="shared" si="789"/>
        <v>0</v>
      </c>
      <c r="BR545" s="1065">
        <f t="shared" si="789"/>
        <v>0</v>
      </c>
      <c r="BS545" s="1065">
        <f t="shared" si="789"/>
        <v>0</v>
      </c>
      <c r="BT545" s="1065">
        <f t="shared" si="789"/>
        <v>0</v>
      </c>
      <c r="BU545" s="1065">
        <f t="shared" si="789"/>
        <v>0</v>
      </c>
      <c r="BV545" s="1065">
        <f t="shared" ref="BV545:DY545" si="790">-SUM(BV$480,BV$500,BV$515)</f>
        <v>0</v>
      </c>
      <c r="BW545" s="1065">
        <f t="shared" si="790"/>
        <v>0</v>
      </c>
      <c r="BX545" s="1065">
        <f t="shared" si="790"/>
        <v>0</v>
      </c>
      <c r="BY545" s="1065">
        <f t="shared" si="790"/>
        <v>0</v>
      </c>
      <c r="BZ545" s="1065">
        <f t="shared" si="790"/>
        <v>0</v>
      </c>
      <c r="CA545" s="1065">
        <f t="shared" si="790"/>
        <v>0</v>
      </c>
      <c r="CB545" s="1065">
        <f t="shared" si="790"/>
        <v>0</v>
      </c>
      <c r="CC545" s="1065">
        <f t="shared" si="790"/>
        <v>0</v>
      </c>
      <c r="CD545" s="1065">
        <f t="shared" si="790"/>
        <v>0</v>
      </c>
      <c r="CE545" s="1065">
        <f t="shared" si="790"/>
        <v>0</v>
      </c>
      <c r="CF545" s="1065">
        <f t="shared" ca="1" si="790"/>
        <v>2869.1486979762681</v>
      </c>
      <c r="CG545" s="1065">
        <f t="shared" ca="1" si="790"/>
        <v>68.661190694770738</v>
      </c>
      <c r="CH545" s="1065">
        <f t="shared" ca="1" si="790"/>
        <v>0</v>
      </c>
      <c r="CI545" s="1065">
        <f t="shared" ca="1" si="790"/>
        <v>0</v>
      </c>
      <c r="CJ545" s="1065">
        <f t="shared" ca="1" si="790"/>
        <v>0</v>
      </c>
      <c r="CK545" s="1065">
        <f t="shared" ca="1" si="790"/>
        <v>0</v>
      </c>
      <c r="CL545" s="1065">
        <f t="shared" ca="1" si="790"/>
        <v>0</v>
      </c>
      <c r="CM545" s="1065">
        <f t="shared" ca="1" si="790"/>
        <v>0</v>
      </c>
      <c r="CN545" s="1065">
        <f t="shared" ca="1" si="790"/>
        <v>0</v>
      </c>
      <c r="CO545" s="1065">
        <f t="shared" ca="1" si="790"/>
        <v>0</v>
      </c>
      <c r="CP545" s="1065">
        <f t="shared" ca="1" si="790"/>
        <v>0</v>
      </c>
      <c r="CQ545" s="1065">
        <f t="shared" ca="1" si="790"/>
        <v>0</v>
      </c>
      <c r="CR545" s="1065">
        <f t="shared" ca="1" si="790"/>
        <v>0</v>
      </c>
      <c r="CS545" s="1065">
        <f t="shared" ca="1" si="790"/>
        <v>0</v>
      </c>
      <c r="CT545" s="1065">
        <f t="shared" ca="1" si="790"/>
        <v>0</v>
      </c>
      <c r="CU545" s="1065">
        <f t="shared" ca="1" si="790"/>
        <v>0</v>
      </c>
      <c r="CV545" s="1065">
        <f t="shared" ca="1" si="790"/>
        <v>0</v>
      </c>
      <c r="CW545" s="1065">
        <f t="shared" ca="1" si="790"/>
        <v>0</v>
      </c>
      <c r="CX545" s="1065">
        <f t="shared" ca="1" si="790"/>
        <v>0</v>
      </c>
      <c r="CY545" s="1065">
        <f t="shared" ca="1" si="790"/>
        <v>0</v>
      </c>
      <c r="CZ545" s="1065">
        <f t="shared" ca="1" si="790"/>
        <v>0</v>
      </c>
      <c r="DA545" s="1065">
        <f t="shared" ca="1" si="790"/>
        <v>0</v>
      </c>
      <c r="DB545" s="1065">
        <f t="shared" ca="1" si="790"/>
        <v>0</v>
      </c>
      <c r="DC545" s="1065">
        <f t="shared" ca="1" si="790"/>
        <v>0</v>
      </c>
      <c r="DD545" s="1065">
        <f t="shared" ca="1" si="790"/>
        <v>0</v>
      </c>
      <c r="DE545" s="1065">
        <f t="shared" ca="1" si="790"/>
        <v>0</v>
      </c>
      <c r="DF545" s="1065">
        <f t="shared" ca="1" si="790"/>
        <v>0</v>
      </c>
      <c r="DG545" s="1065">
        <f t="shared" ca="1" si="790"/>
        <v>0</v>
      </c>
      <c r="DH545" s="1065">
        <f t="shared" ca="1" si="790"/>
        <v>0</v>
      </c>
      <c r="DI545" s="1065">
        <f t="shared" ca="1" si="790"/>
        <v>0</v>
      </c>
      <c r="DJ545" s="1065">
        <f t="shared" ca="1" si="790"/>
        <v>0</v>
      </c>
      <c r="DK545" s="1065">
        <f t="shared" ca="1" si="790"/>
        <v>0</v>
      </c>
      <c r="DL545" s="1065">
        <f t="shared" ca="1" si="790"/>
        <v>0</v>
      </c>
      <c r="DM545" s="1065">
        <f t="shared" ca="1" si="790"/>
        <v>0</v>
      </c>
      <c r="DN545" s="1065">
        <f t="shared" ca="1" si="790"/>
        <v>0</v>
      </c>
      <c r="DO545" s="1065">
        <f t="shared" ca="1" si="790"/>
        <v>0</v>
      </c>
      <c r="DP545" s="1065">
        <f t="shared" ca="1" si="790"/>
        <v>0</v>
      </c>
      <c r="DQ545" s="1065">
        <f t="shared" ca="1" si="790"/>
        <v>0</v>
      </c>
      <c r="DR545" s="1065">
        <f t="shared" ca="1" si="790"/>
        <v>0</v>
      </c>
      <c r="DS545" s="1065">
        <f t="shared" ca="1" si="790"/>
        <v>0</v>
      </c>
      <c r="DT545" s="1065">
        <f t="shared" ca="1" si="790"/>
        <v>0</v>
      </c>
      <c r="DU545" s="1065">
        <f t="shared" ca="1" si="790"/>
        <v>0</v>
      </c>
      <c r="DV545" s="1065">
        <f t="shared" ca="1" si="790"/>
        <v>0</v>
      </c>
      <c r="DW545" s="1065">
        <f t="shared" ca="1" si="790"/>
        <v>0</v>
      </c>
      <c r="DX545" s="1065">
        <f t="shared" ca="1" si="790"/>
        <v>0</v>
      </c>
      <c r="DY545" s="1065">
        <f t="shared" ca="1" si="790"/>
        <v>0</v>
      </c>
    </row>
    <row r="546" spans="2:129" ht="11.7" customHeight="1" outlineLevel="1" thickTop="1" thickBot="1" x14ac:dyDescent="0.35">
      <c r="B546" s="204" t="s">
        <v>517</v>
      </c>
      <c r="C546" s="204"/>
      <c r="D546" s="893"/>
      <c r="E546" s="893"/>
      <c r="F546" s="893"/>
      <c r="G546" s="894"/>
      <c r="H546" s="647">
        <f ca="1">+SUM(I546:DY546)</f>
        <v>1351.50809642533</v>
      </c>
      <c r="I546" s="336">
        <f>+SUM(I544:I545)</f>
        <v>-1548.7691973721776</v>
      </c>
      <c r="J546" s="336">
        <f t="shared" ref="J546:AN546" si="791">+SUM(J544:J545)</f>
        <v>0</v>
      </c>
      <c r="K546" s="336">
        <f t="shared" si="791"/>
        <v>0</v>
      </c>
      <c r="L546" s="336">
        <f t="shared" si="791"/>
        <v>0</v>
      </c>
      <c r="M546" s="336">
        <f t="shared" si="791"/>
        <v>0</v>
      </c>
      <c r="N546" s="336">
        <f t="shared" si="791"/>
        <v>0</v>
      </c>
      <c r="O546" s="336">
        <f t="shared" si="791"/>
        <v>0</v>
      </c>
      <c r="P546" s="336">
        <f t="shared" si="791"/>
        <v>0</v>
      </c>
      <c r="Q546" s="336">
        <f t="shared" si="791"/>
        <v>0</v>
      </c>
      <c r="R546" s="336">
        <f t="shared" si="791"/>
        <v>0</v>
      </c>
      <c r="S546" s="336">
        <f t="shared" si="791"/>
        <v>0</v>
      </c>
      <c r="T546" s="336">
        <f t="shared" si="791"/>
        <v>0</v>
      </c>
      <c r="U546" s="336">
        <f t="shared" si="791"/>
        <v>0</v>
      </c>
      <c r="V546" s="336">
        <f t="shared" si="791"/>
        <v>0</v>
      </c>
      <c r="W546" s="336">
        <f t="shared" si="791"/>
        <v>-345.29820722406743</v>
      </c>
      <c r="X546" s="336">
        <f t="shared" si="791"/>
        <v>0</v>
      </c>
      <c r="Y546" s="336">
        <f t="shared" si="791"/>
        <v>0</v>
      </c>
      <c r="Z546" s="336">
        <f t="shared" si="791"/>
        <v>0</v>
      </c>
      <c r="AA546" s="336">
        <f t="shared" si="791"/>
        <v>0</v>
      </c>
      <c r="AB546" s="336">
        <f t="shared" si="791"/>
        <v>0</v>
      </c>
      <c r="AC546" s="336">
        <f t="shared" si="791"/>
        <v>0</v>
      </c>
      <c r="AD546" s="336">
        <f t="shared" si="791"/>
        <v>0</v>
      </c>
      <c r="AE546" s="336">
        <f t="shared" si="791"/>
        <v>0</v>
      </c>
      <c r="AF546" s="336">
        <f t="shared" si="791"/>
        <v>0</v>
      </c>
      <c r="AG546" s="336">
        <f t="shared" si="791"/>
        <v>0</v>
      </c>
      <c r="AH546" s="336">
        <f t="shared" si="791"/>
        <v>0</v>
      </c>
      <c r="AI546" s="336">
        <f t="shared" si="791"/>
        <v>0</v>
      </c>
      <c r="AJ546" s="336">
        <f t="shared" si="791"/>
        <v>0</v>
      </c>
      <c r="AK546" s="336">
        <f t="shared" si="791"/>
        <v>0</v>
      </c>
      <c r="AL546" s="336">
        <f t="shared" si="791"/>
        <v>0</v>
      </c>
      <c r="AM546" s="336">
        <f t="shared" si="791"/>
        <v>0</v>
      </c>
      <c r="AN546" s="336">
        <f t="shared" si="791"/>
        <v>0</v>
      </c>
      <c r="AO546" s="336">
        <f t="shared" ref="AO546:CZ546" si="792">+SUM(AO544:AO545)</f>
        <v>0</v>
      </c>
      <c r="AP546" s="336">
        <f t="shared" si="792"/>
        <v>145.63550353471601</v>
      </c>
      <c r="AQ546" s="336">
        <f t="shared" si="792"/>
        <v>0</v>
      </c>
      <c r="AR546" s="336">
        <f t="shared" si="792"/>
        <v>0</v>
      </c>
      <c r="AS546" s="336">
        <f t="shared" si="792"/>
        <v>0</v>
      </c>
      <c r="AT546" s="336">
        <f t="shared" si="792"/>
        <v>0</v>
      </c>
      <c r="AU546" s="336">
        <f t="shared" si="792"/>
        <v>0</v>
      </c>
      <c r="AV546" s="336">
        <f t="shared" si="792"/>
        <v>0</v>
      </c>
      <c r="AW546" s="336">
        <f t="shared" si="792"/>
        <v>0</v>
      </c>
      <c r="AX546" s="336">
        <f t="shared" si="792"/>
        <v>0</v>
      </c>
      <c r="AY546" s="336">
        <f t="shared" si="792"/>
        <v>0</v>
      </c>
      <c r="AZ546" s="336">
        <f t="shared" si="792"/>
        <v>0</v>
      </c>
      <c r="BA546" s="336">
        <f t="shared" si="792"/>
        <v>0</v>
      </c>
      <c r="BB546" s="336">
        <f t="shared" si="792"/>
        <v>0</v>
      </c>
      <c r="BC546" s="336">
        <f t="shared" si="792"/>
        <v>0</v>
      </c>
      <c r="BD546" s="336">
        <f t="shared" si="792"/>
        <v>162.13010881582025</v>
      </c>
      <c r="BE546" s="336">
        <f t="shared" si="792"/>
        <v>0</v>
      </c>
      <c r="BF546" s="336">
        <f t="shared" si="792"/>
        <v>0</v>
      </c>
      <c r="BG546" s="336">
        <f t="shared" si="792"/>
        <v>0</v>
      </c>
      <c r="BH546" s="336">
        <f t="shared" si="792"/>
        <v>0</v>
      </c>
      <c r="BI546" s="336">
        <f t="shared" si="792"/>
        <v>0</v>
      </c>
      <c r="BJ546" s="336">
        <f t="shared" si="792"/>
        <v>0</v>
      </c>
      <c r="BK546" s="336">
        <f t="shared" si="792"/>
        <v>0</v>
      </c>
      <c r="BL546" s="336">
        <f t="shared" si="792"/>
        <v>0</v>
      </c>
      <c r="BM546" s="336">
        <f t="shared" si="792"/>
        <v>0</v>
      </c>
      <c r="BN546" s="336">
        <f t="shared" si="792"/>
        <v>0</v>
      </c>
      <c r="BO546" s="336">
        <f t="shared" si="792"/>
        <v>0</v>
      </c>
      <c r="BP546" s="336">
        <f t="shared" si="792"/>
        <v>0</v>
      </c>
      <c r="BQ546" s="336">
        <f t="shared" si="792"/>
        <v>0</v>
      </c>
      <c r="BR546" s="336">
        <f t="shared" si="792"/>
        <v>0</v>
      </c>
      <c r="BS546" s="336">
        <f t="shared" si="792"/>
        <v>0</v>
      </c>
      <c r="BT546" s="336">
        <f t="shared" si="792"/>
        <v>0</v>
      </c>
      <c r="BU546" s="336">
        <f t="shared" si="792"/>
        <v>0</v>
      </c>
      <c r="BV546" s="336">
        <f t="shared" si="792"/>
        <v>0</v>
      </c>
      <c r="BW546" s="336">
        <f t="shared" si="792"/>
        <v>0</v>
      </c>
      <c r="BX546" s="336">
        <f t="shared" si="792"/>
        <v>0</v>
      </c>
      <c r="BY546" s="336">
        <f t="shared" si="792"/>
        <v>0</v>
      </c>
      <c r="BZ546" s="336">
        <f t="shared" si="792"/>
        <v>0</v>
      </c>
      <c r="CA546" s="336">
        <f t="shared" si="792"/>
        <v>0</v>
      </c>
      <c r="CB546" s="336">
        <f t="shared" si="792"/>
        <v>0</v>
      </c>
      <c r="CC546" s="336">
        <f t="shared" si="792"/>
        <v>0</v>
      </c>
      <c r="CD546" s="336">
        <f t="shared" si="792"/>
        <v>0</v>
      </c>
      <c r="CE546" s="336">
        <f t="shared" si="792"/>
        <v>0</v>
      </c>
      <c r="CF546" s="336">
        <f t="shared" ca="1" si="792"/>
        <v>2869.1486979762681</v>
      </c>
      <c r="CG546" s="336">
        <f t="shared" ca="1" si="792"/>
        <v>68.661190694770738</v>
      </c>
      <c r="CH546" s="336">
        <f t="shared" ca="1" si="792"/>
        <v>0</v>
      </c>
      <c r="CI546" s="336">
        <f t="shared" ca="1" si="792"/>
        <v>0</v>
      </c>
      <c r="CJ546" s="336">
        <f t="shared" ca="1" si="792"/>
        <v>0</v>
      </c>
      <c r="CK546" s="336">
        <f t="shared" ca="1" si="792"/>
        <v>0</v>
      </c>
      <c r="CL546" s="336">
        <f t="shared" ca="1" si="792"/>
        <v>0</v>
      </c>
      <c r="CM546" s="336">
        <f t="shared" ca="1" si="792"/>
        <v>0</v>
      </c>
      <c r="CN546" s="336">
        <f t="shared" ca="1" si="792"/>
        <v>0</v>
      </c>
      <c r="CO546" s="336">
        <f t="shared" ca="1" si="792"/>
        <v>0</v>
      </c>
      <c r="CP546" s="336">
        <f t="shared" ca="1" si="792"/>
        <v>0</v>
      </c>
      <c r="CQ546" s="336">
        <f t="shared" ca="1" si="792"/>
        <v>0</v>
      </c>
      <c r="CR546" s="336">
        <f t="shared" ca="1" si="792"/>
        <v>0</v>
      </c>
      <c r="CS546" s="336">
        <f t="shared" ca="1" si="792"/>
        <v>0</v>
      </c>
      <c r="CT546" s="336">
        <f t="shared" ca="1" si="792"/>
        <v>0</v>
      </c>
      <c r="CU546" s="336">
        <f t="shared" ca="1" si="792"/>
        <v>0</v>
      </c>
      <c r="CV546" s="336">
        <f t="shared" ca="1" si="792"/>
        <v>0</v>
      </c>
      <c r="CW546" s="336">
        <f t="shared" ca="1" si="792"/>
        <v>0</v>
      </c>
      <c r="CX546" s="336">
        <f t="shared" ca="1" si="792"/>
        <v>0</v>
      </c>
      <c r="CY546" s="336">
        <f t="shared" ca="1" si="792"/>
        <v>0</v>
      </c>
      <c r="CZ546" s="336">
        <f t="shared" ca="1" si="792"/>
        <v>0</v>
      </c>
      <c r="DA546" s="336">
        <f t="shared" ref="DA546:DY546" ca="1" si="793">+SUM(DA544:DA545)</f>
        <v>0</v>
      </c>
      <c r="DB546" s="336">
        <f t="shared" ca="1" si="793"/>
        <v>0</v>
      </c>
      <c r="DC546" s="336">
        <f t="shared" ca="1" si="793"/>
        <v>0</v>
      </c>
      <c r="DD546" s="336">
        <f t="shared" ca="1" si="793"/>
        <v>0</v>
      </c>
      <c r="DE546" s="336">
        <f t="shared" ca="1" si="793"/>
        <v>0</v>
      </c>
      <c r="DF546" s="336">
        <f t="shared" ca="1" si="793"/>
        <v>0</v>
      </c>
      <c r="DG546" s="336">
        <f t="shared" ca="1" si="793"/>
        <v>0</v>
      </c>
      <c r="DH546" s="336">
        <f t="shared" ca="1" si="793"/>
        <v>0</v>
      </c>
      <c r="DI546" s="336">
        <f t="shared" ca="1" si="793"/>
        <v>0</v>
      </c>
      <c r="DJ546" s="336">
        <f t="shared" ca="1" si="793"/>
        <v>0</v>
      </c>
      <c r="DK546" s="336">
        <f t="shared" ca="1" si="793"/>
        <v>0</v>
      </c>
      <c r="DL546" s="336">
        <f t="shared" ca="1" si="793"/>
        <v>0</v>
      </c>
      <c r="DM546" s="336">
        <f t="shared" ca="1" si="793"/>
        <v>0</v>
      </c>
      <c r="DN546" s="336">
        <f t="shared" ca="1" si="793"/>
        <v>0</v>
      </c>
      <c r="DO546" s="336">
        <f t="shared" ca="1" si="793"/>
        <v>0</v>
      </c>
      <c r="DP546" s="336">
        <f t="shared" ca="1" si="793"/>
        <v>0</v>
      </c>
      <c r="DQ546" s="336">
        <f t="shared" ca="1" si="793"/>
        <v>0</v>
      </c>
      <c r="DR546" s="336">
        <f t="shared" ca="1" si="793"/>
        <v>0</v>
      </c>
      <c r="DS546" s="336">
        <f t="shared" ca="1" si="793"/>
        <v>0</v>
      </c>
      <c r="DT546" s="336">
        <f t="shared" ca="1" si="793"/>
        <v>0</v>
      </c>
      <c r="DU546" s="336">
        <f t="shared" ca="1" si="793"/>
        <v>0</v>
      </c>
      <c r="DV546" s="336">
        <f t="shared" ca="1" si="793"/>
        <v>0</v>
      </c>
      <c r="DW546" s="336">
        <f t="shared" ca="1" si="793"/>
        <v>0</v>
      </c>
      <c r="DX546" s="336">
        <f t="shared" ca="1" si="793"/>
        <v>0</v>
      </c>
      <c r="DY546" s="336">
        <f t="shared" ca="1" si="793"/>
        <v>0</v>
      </c>
    </row>
    <row r="547" spans="2:129" ht="11.7" customHeight="1" outlineLevel="1" thickTop="1" x14ac:dyDescent="0.3">
      <c r="B547" s="141" t="s">
        <v>437</v>
      </c>
      <c r="C547" s="141"/>
      <c r="H547" s="312">
        <f ca="1">+MIN(I547:DY547)</f>
        <v>-1894.0674045962451</v>
      </c>
      <c r="I547" s="14">
        <f>+I546</f>
        <v>-1548.7691973721776</v>
      </c>
      <c r="J547" s="14">
        <f>+J546+I547</f>
        <v>-1548.7691973721776</v>
      </c>
      <c r="K547" s="14">
        <f t="shared" ref="K547:BV547" si="794">+K546+J547</f>
        <v>-1548.7691973721776</v>
      </c>
      <c r="L547" s="14">
        <f t="shared" si="794"/>
        <v>-1548.7691973721776</v>
      </c>
      <c r="M547" s="14">
        <f t="shared" si="794"/>
        <v>-1548.7691973721776</v>
      </c>
      <c r="N547" s="14">
        <f t="shared" si="794"/>
        <v>-1548.7691973721776</v>
      </c>
      <c r="O547" s="14">
        <f t="shared" si="794"/>
        <v>-1548.7691973721776</v>
      </c>
      <c r="P547" s="14">
        <f t="shared" si="794"/>
        <v>-1548.7691973721776</v>
      </c>
      <c r="Q547" s="14">
        <f t="shared" si="794"/>
        <v>-1548.7691973721776</v>
      </c>
      <c r="R547" s="14">
        <f t="shared" si="794"/>
        <v>-1548.7691973721776</v>
      </c>
      <c r="S547" s="14">
        <f t="shared" si="794"/>
        <v>-1548.7691973721776</v>
      </c>
      <c r="T547" s="14">
        <f t="shared" si="794"/>
        <v>-1548.7691973721776</v>
      </c>
      <c r="U547" s="14">
        <f t="shared" si="794"/>
        <v>-1548.7691973721776</v>
      </c>
      <c r="V547" s="14">
        <f t="shared" si="794"/>
        <v>-1548.7691973721776</v>
      </c>
      <c r="W547" s="14">
        <f t="shared" si="794"/>
        <v>-1894.0674045962451</v>
      </c>
      <c r="X547" s="14">
        <f t="shared" si="794"/>
        <v>-1894.0674045962451</v>
      </c>
      <c r="Y547" s="14">
        <f t="shared" si="794"/>
        <v>-1894.0674045962451</v>
      </c>
      <c r="Z547" s="14">
        <f t="shared" si="794"/>
        <v>-1894.0674045962451</v>
      </c>
      <c r="AA547" s="14">
        <f t="shared" si="794"/>
        <v>-1894.0674045962451</v>
      </c>
      <c r="AB547" s="14">
        <f t="shared" si="794"/>
        <v>-1894.0674045962451</v>
      </c>
      <c r="AC547" s="14">
        <f t="shared" si="794"/>
        <v>-1894.0674045962451</v>
      </c>
      <c r="AD547" s="14">
        <f t="shared" si="794"/>
        <v>-1894.0674045962451</v>
      </c>
      <c r="AE547" s="14">
        <f t="shared" si="794"/>
        <v>-1894.0674045962451</v>
      </c>
      <c r="AF547" s="14">
        <f t="shared" si="794"/>
        <v>-1894.0674045962451</v>
      </c>
      <c r="AG547" s="14">
        <f t="shared" si="794"/>
        <v>-1894.0674045962451</v>
      </c>
      <c r="AH547" s="14">
        <f t="shared" si="794"/>
        <v>-1894.0674045962451</v>
      </c>
      <c r="AI547" s="14">
        <f t="shared" si="794"/>
        <v>-1894.0674045962451</v>
      </c>
      <c r="AJ547" s="14">
        <f t="shared" si="794"/>
        <v>-1894.0674045962451</v>
      </c>
      <c r="AK547" s="14">
        <f t="shared" si="794"/>
        <v>-1894.0674045962451</v>
      </c>
      <c r="AL547" s="14">
        <f t="shared" si="794"/>
        <v>-1894.0674045962451</v>
      </c>
      <c r="AM547" s="14">
        <f t="shared" si="794"/>
        <v>-1894.0674045962451</v>
      </c>
      <c r="AN547" s="14">
        <f t="shared" si="794"/>
        <v>-1894.0674045962451</v>
      </c>
      <c r="AO547" s="14">
        <f t="shared" si="794"/>
        <v>-1894.0674045962451</v>
      </c>
      <c r="AP547" s="14">
        <f t="shared" si="794"/>
        <v>-1748.4319010615291</v>
      </c>
      <c r="AQ547" s="14">
        <f t="shared" si="794"/>
        <v>-1748.4319010615291</v>
      </c>
      <c r="AR547" s="14">
        <f t="shared" si="794"/>
        <v>-1748.4319010615291</v>
      </c>
      <c r="AS547" s="14">
        <f t="shared" si="794"/>
        <v>-1748.4319010615291</v>
      </c>
      <c r="AT547" s="14">
        <f t="shared" si="794"/>
        <v>-1748.4319010615291</v>
      </c>
      <c r="AU547" s="14">
        <f t="shared" si="794"/>
        <v>-1748.4319010615291</v>
      </c>
      <c r="AV547" s="14">
        <f t="shared" si="794"/>
        <v>-1748.4319010615291</v>
      </c>
      <c r="AW547" s="14">
        <f t="shared" si="794"/>
        <v>-1748.4319010615291</v>
      </c>
      <c r="AX547" s="14">
        <f t="shared" si="794"/>
        <v>-1748.4319010615291</v>
      </c>
      <c r="AY547" s="14">
        <f t="shared" si="794"/>
        <v>-1748.4319010615291</v>
      </c>
      <c r="AZ547" s="14">
        <f t="shared" si="794"/>
        <v>-1748.4319010615291</v>
      </c>
      <c r="BA547" s="14">
        <f t="shared" si="794"/>
        <v>-1748.4319010615291</v>
      </c>
      <c r="BB547" s="14">
        <f t="shared" si="794"/>
        <v>-1748.4319010615291</v>
      </c>
      <c r="BC547" s="14">
        <f t="shared" si="794"/>
        <v>-1748.4319010615291</v>
      </c>
      <c r="BD547" s="14">
        <f t="shared" si="794"/>
        <v>-1586.3017922457088</v>
      </c>
      <c r="BE547" s="14">
        <f t="shared" si="794"/>
        <v>-1586.3017922457088</v>
      </c>
      <c r="BF547" s="14">
        <f t="shared" si="794"/>
        <v>-1586.3017922457088</v>
      </c>
      <c r="BG547" s="14">
        <f t="shared" si="794"/>
        <v>-1586.3017922457088</v>
      </c>
      <c r="BH547" s="14">
        <f t="shared" si="794"/>
        <v>-1586.3017922457088</v>
      </c>
      <c r="BI547" s="14">
        <f t="shared" si="794"/>
        <v>-1586.3017922457088</v>
      </c>
      <c r="BJ547" s="14">
        <f t="shared" si="794"/>
        <v>-1586.3017922457088</v>
      </c>
      <c r="BK547" s="14">
        <f t="shared" si="794"/>
        <v>-1586.3017922457088</v>
      </c>
      <c r="BL547" s="14">
        <f t="shared" si="794"/>
        <v>-1586.3017922457088</v>
      </c>
      <c r="BM547" s="14">
        <f t="shared" si="794"/>
        <v>-1586.3017922457088</v>
      </c>
      <c r="BN547" s="14">
        <f t="shared" si="794"/>
        <v>-1586.3017922457088</v>
      </c>
      <c r="BO547" s="14">
        <f t="shared" si="794"/>
        <v>-1586.3017922457088</v>
      </c>
      <c r="BP547" s="14">
        <f t="shared" si="794"/>
        <v>-1586.3017922457088</v>
      </c>
      <c r="BQ547" s="14">
        <f t="shared" si="794"/>
        <v>-1586.3017922457088</v>
      </c>
      <c r="BR547" s="14">
        <f t="shared" si="794"/>
        <v>-1586.3017922457088</v>
      </c>
      <c r="BS547" s="14">
        <f t="shared" si="794"/>
        <v>-1586.3017922457088</v>
      </c>
      <c r="BT547" s="14">
        <f t="shared" si="794"/>
        <v>-1586.3017922457088</v>
      </c>
      <c r="BU547" s="14">
        <f t="shared" si="794"/>
        <v>-1586.3017922457088</v>
      </c>
      <c r="BV547" s="14">
        <f t="shared" si="794"/>
        <v>-1586.3017922457088</v>
      </c>
      <c r="BW547" s="14">
        <f t="shared" ref="BW547:DY547" si="795">+BW546+BV547</f>
        <v>-1586.3017922457088</v>
      </c>
      <c r="BX547" s="14">
        <f t="shared" si="795"/>
        <v>-1586.3017922457088</v>
      </c>
      <c r="BY547" s="14">
        <f t="shared" si="795"/>
        <v>-1586.3017922457088</v>
      </c>
      <c r="BZ547" s="14">
        <f t="shared" si="795"/>
        <v>-1586.3017922457088</v>
      </c>
      <c r="CA547" s="14">
        <f t="shared" si="795"/>
        <v>-1586.3017922457088</v>
      </c>
      <c r="CB547" s="14">
        <f t="shared" si="795"/>
        <v>-1586.3017922457088</v>
      </c>
      <c r="CC547" s="14">
        <f t="shared" si="795"/>
        <v>-1586.3017922457088</v>
      </c>
      <c r="CD547" s="14">
        <f t="shared" si="795"/>
        <v>-1586.3017922457088</v>
      </c>
      <c r="CE547" s="14">
        <f t="shared" si="795"/>
        <v>-1586.3017922457088</v>
      </c>
      <c r="CF547" s="14">
        <f t="shared" ca="1" si="795"/>
        <v>1282.8469057305592</v>
      </c>
      <c r="CG547" s="14">
        <f t="shared" ca="1" si="795"/>
        <v>1351.50809642533</v>
      </c>
      <c r="CH547" s="14">
        <f t="shared" ca="1" si="795"/>
        <v>1351.50809642533</v>
      </c>
      <c r="CI547" s="14">
        <f t="shared" ca="1" si="795"/>
        <v>1351.50809642533</v>
      </c>
      <c r="CJ547" s="14">
        <f t="shared" ca="1" si="795"/>
        <v>1351.50809642533</v>
      </c>
      <c r="CK547" s="14">
        <f t="shared" ca="1" si="795"/>
        <v>1351.50809642533</v>
      </c>
      <c r="CL547" s="14">
        <f t="shared" ca="1" si="795"/>
        <v>1351.50809642533</v>
      </c>
      <c r="CM547" s="14">
        <f t="shared" ca="1" si="795"/>
        <v>1351.50809642533</v>
      </c>
      <c r="CN547" s="14">
        <f t="shared" ca="1" si="795"/>
        <v>1351.50809642533</v>
      </c>
      <c r="CO547" s="14">
        <f t="shared" ca="1" si="795"/>
        <v>1351.50809642533</v>
      </c>
      <c r="CP547" s="14">
        <f t="shared" ca="1" si="795"/>
        <v>1351.50809642533</v>
      </c>
      <c r="CQ547" s="14">
        <f t="shared" ca="1" si="795"/>
        <v>1351.50809642533</v>
      </c>
      <c r="CR547" s="14">
        <f t="shared" ca="1" si="795"/>
        <v>1351.50809642533</v>
      </c>
      <c r="CS547" s="14">
        <f t="shared" ca="1" si="795"/>
        <v>1351.50809642533</v>
      </c>
      <c r="CT547" s="14">
        <f t="shared" ca="1" si="795"/>
        <v>1351.50809642533</v>
      </c>
      <c r="CU547" s="14">
        <f t="shared" ca="1" si="795"/>
        <v>1351.50809642533</v>
      </c>
      <c r="CV547" s="14">
        <f t="shared" ca="1" si="795"/>
        <v>1351.50809642533</v>
      </c>
      <c r="CW547" s="14">
        <f t="shared" ca="1" si="795"/>
        <v>1351.50809642533</v>
      </c>
      <c r="CX547" s="14">
        <f t="shared" ca="1" si="795"/>
        <v>1351.50809642533</v>
      </c>
      <c r="CY547" s="14">
        <f t="shared" ca="1" si="795"/>
        <v>1351.50809642533</v>
      </c>
      <c r="CZ547" s="14">
        <f t="shared" ca="1" si="795"/>
        <v>1351.50809642533</v>
      </c>
      <c r="DA547" s="14">
        <f t="shared" ca="1" si="795"/>
        <v>1351.50809642533</v>
      </c>
      <c r="DB547" s="14">
        <f t="shared" ca="1" si="795"/>
        <v>1351.50809642533</v>
      </c>
      <c r="DC547" s="14">
        <f t="shared" ca="1" si="795"/>
        <v>1351.50809642533</v>
      </c>
      <c r="DD547" s="14">
        <f t="shared" ca="1" si="795"/>
        <v>1351.50809642533</v>
      </c>
      <c r="DE547" s="14">
        <f t="shared" ca="1" si="795"/>
        <v>1351.50809642533</v>
      </c>
      <c r="DF547" s="14">
        <f t="shared" ca="1" si="795"/>
        <v>1351.50809642533</v>
      </c>
      <c r="DG547" s="14">
        <f t="shared" ca="1" si="795"/>
        <v>1351.50809642533</v>
      </c>
      <c r="DH547" s="14">
        <f t="shared" ca="1" si="795"/>
        <v>1351.50809642533</v>
      </c>
      <c r="DI547" s="14">
        <f t="shared" ca="1" si="795"/>
        <v>1351.50809642533</v>
      </c>
      <c r="DJ547" s="14">
        <f t="shared" ca="1" si="795"/>
        <v>1351.50809642533</v>
      </c>
      <c r="DK547" s="14">
        <f t="shared" ca="1" si="795"/>
        <v>1351.50809642533</v>
      </c>
      <c r="DL547" s="14">
        <f t="shared" ca="1" si="795"/>
        <v>1351.50809642533</v>
      </c>
      <c r="DM547" s="14">
        <f t="shared" ca="1" si="795"/>
        <v>1351.50809642533</v>
      </c>
      <c r="DN547" s="14">
        <f t="shared" ca="1" si="795"/>
        <v>1351.50809642533</v>
      </c>
      <c r="DO547" s="14">
        <f t="shared" ca="1" si="795"/>
        <v>1351.50809642533</v>
      </c>
      <c r="DP547" s="14">
        <f t="shared" ca="1" si="795"/>
        <v>1351.50809642533</v>
      </c>
      <c r="DQ547" s="14">
        <f t="shared" ca="1" si="795"/>
        <v>1351.50809642533</v>
      </c>
      <c r="DR547" s="14">
        <f t="shared" ca="1" si="795"/>
        <v>1351.50809642533</v>
      </c>
      <c r="DS547" s="14">
        <f t="shared" ca="1" si="795"/>
        <v>1351.50809642533</v>
      </c>
      <c r="DT547" s="14">
        <f t="shared" ca="1" si="795"/>
        <v>1351.50809642533</v>
      </c>
      <c r="DU547" s="14">
        <f t="shared" ca="1" si="795"/>
        <v>1351.50809642533</v>
      </c>
      <c r="DV547" s="14">
        <f t="shared" ca="1" si="795"/>
        <v>1351.50809642533</v>
      </c>
      <c r="DW547" s="14">
        <f t="shared" ca="1" si="795"/>
        <v>1351.50809642533</v>
      </c>
      <c r="DX547" s="14">
        <f t="shared" ca="1" si="795"/>
        <v>1351.50809642533</v>
      </c>
      <c r="DY547" s="14">
        <f t="shared" ca="1" si="795"/>
        <v>1351.50809642533</v>
      </c>
    </row>
    <row r="548" spans="2:129" ht="11.7" customHeight="1" outlineLevel="1" thickBot="1" x14ac:dyDescent="0.35">
      <c r="B548" s="1110"/>
      <c r="C548" s="1110"/>
      <c r="D548" s="893"/>
      <c r="E548" s="893"/>
      <c r="F548" s="893"/>
      <c r="G548" s="1105"/>
      <c r="H548" s="1111"/>
      <c r="I548" s="336"/>
      <c r="J548" s="336"/>
      <c r="K548" s="336"/>
      <c r="L548" s="336"/>
      <c r="M548" s="336"/>
      <c r="N548" s="336"/>
      <c r="O548" s="336"/>
      <c r="P548" s="336"/>
      <c r="Q548" s="336"/>
      <c r="R548" s="336"/>
      <c r="S548" s="336"/>
      <c r="T548" s="336"/>
      <c r="U548" s="336"/>
      <c r="V548" s="336"/>
      <c r="W548" s="336"/>
      <c r="X548" s="336"/>
      <c r="Y548" s="336"/>
      <c r="Z548" s="336"/>
      <c r="AA548" s="336"/>
      <c r="AB548" s="336"/>
      <c r="AC548" s="336"/>
      <c r="AD548" s="336"/>
      <c r="AE548" s="336"/>
      <c r="AF548" s="336"/>
      <c r="AG548" s="336"/>
      <c r="AH548" s="336"/>
      <c r="AI548" s="336"/>
      <c r="AJ548" s="336"/>
      <c r="AK548" s="336"/>
      <c r="AL548" s="336"/>
      <c r="AM548" s="336"/>
      <c r="AN548" s="336"/>
      <c r="AO548" s="336"/>
      <c r="AP548" s="336"/>
      <c r="AQ548" s="336"/>
      <c r="AR548" s="336"/>
      <c r="AS548" s="336"/>
      <c r="AT548" s="336"/>
      <c r="AU548" s="336"/>
      <c r="AV548" s="336"/>
      <c r="AW548" s="336"/>
      <c r="AX548" s="336"/>
      <c r="AY548" s="336"/>
      <c r="AZ548" s="336"/>
      <c r="BA548" s="336"/>
      <c r="BB548" s="336"/>
      <c r="BC548" s="336"/>
      <c r="BD548" s="336"/>
      <c r="BE548" s="336"/>
      <c r="BF548" s="336"/>
      <c r="BG548" s="336"/>
      <c r="BH548" s="336"/>
      <c r="BI548" s="336"/>
      <c r="BJ548" s="336"/>
      <c r="BK548" s="336"/>
      <c r="BL548" s="336"/>
      <c r="BM548" s="336"/>
      <c r="BN548" s="336"/>
      <c r="BO548" s="336"/>
      <c r="BP548" s="336"/>
      <c r="BQ548" s="336"/>
      <c r="BR548" s="336"/>
      <c r="BS548" s="336"/>
      <c r="BT548" s="336"/>
      <c r="BU548" s="336"/>
      <c r="BV548" s="336"/>
      <c r="BW548" s="336"/>
      <c r="BX548" s="336"/>
      <c r="BY548" s="336"/>
      <c r="BZ548" s="336"/>
      <c r="CA548" s="336"/>
      <c r="CB548" s="336"/>
      <c r="CC548" s="336"/>
      <c r="CD548" s="336"/>
      <c r="CE548" s="336"/>
      <c r="CF548" s="336"/>
      <c r="CG548" s="336"/>
      <c r="CH548" s="336"/>
      <c r="CI548" s="336"/>
      <c r="CJ548" s="336"/>
      <c r="CK548" s="336"/>
      <c r="CL548" s="336"/>
      <c r="CM548" s="336"/>
      <c r="CN548" s="336"/>
      <c r="CO548" s="336"/>
      <c r="CP548" s="336"/>
      <c r="CQ548" s="336"/>
      <c r="CR548" s="336"/>
      <c r="CS548" s="336"/>
      <c r="CT548" s="336"/>
      <c r="CU548" s="336"/>
      <c r="CV548" s="336"/>
      <c r="CW548" s="336"/>
      <c r="CX548" s="336"/>
      <c r="CY548" s="336"/>
      <c r="CZ548" s="336"/>
      <c r="DA548" s="336"/>
      <c r="DB548" s="336"/>
      <c r="DC548" s="336"/>
      <c r="DD548" s="336"/>
      <c r="DE548" s="336"/>
      <c r="DF548" s="336"/>
      <c r="DG548" s="336"/>
      <c r="DH548" s="336"/>
      <c r="DI548" s="336"/>
      <c r="DJ548" s="336"/>
      <c r="DK548" s="336"/>
      <c r="DL548" s="336"/>
      <c r="DM548" s="336"/>
      <c r="DN548" s="336"/>
      <c r="DO548" s="336"/>
      <c r="DP548" s="336"/>
      <c r="DQ548" s="336"/>
      <c r="DR548" s="336"/>
      <c r="DS548" s="336"/>
      <c r="DT548" s="336"/>
      <c r="DU548" s="336"/>
      <c r="DV548" s="336"/>
      <c r="DW548" s="336"/>
      <c r="DX548" s="336"/>
      <c r="DY548" s="336"/>
    </row>
    <row r="549" spans="2:129" ht="11.7" customHeight="1" outlineLevel="1" thickTop="1" thickBot="1" x14ac:dyDescent="0.35">
      <c r="B549" s="204" t="s">
        <v>660</v>
      </c>
      <c r="C549" s="204"/>
      <c r="D549" s="893"/>
      <c r="E549" s="893"/>
      <c r="F549" s="893"/>
      <c r="G549" s="1105"/>
      <c r="H549" s="647">
        <f ca="1">+SUM(I549:DY549)</f>
        <v>1466.8191761709897</v>
      </c>
      <c r="I549" s="336">
        <f>+I546-I516</f>
        <v>-1548.7691973721776</v>
      </c>
      <c r="J549" s="336">
        <f t="shared" ref="J549:BU549" si="796">+J546-J516</f>
        <v>0</v>
      </c>
      <c r="K549" s="336">
        <f t="shared" si="796"/>
        <v>0</v>
      </c>
      <c r="L549" s="336">
        <f t="shared" si="796"/>
        <v>0</v>
      </c>
      <c r="M549" s="336">
        <f t="shared" si="796"/>
        <v>0</v>
      </c>
      <c r="N549" s="336">
        <f t="shared" si="796"/>
        <v>0</v>
      </c>
      <c r="O549" s="336">
        <f t="shared" si="796"/>
        <v>0</v>
      </c>
      <c r="P549" s="336">
        <f t="shared" si="796"/>
        <v>0</v>
      </c>
      <c r="Q549" s="336">
        <f t="shared" si="796"/>
        <v>0</v>
      </c>
      <c r="R549" s="336">
        <f t="shared" si="796"/>
        <v>0</v>
      </c>
      <c r="S549" s="336">
        <f t="shared" si="796"/>
        <v>0</v>
      </c>
      <c r="T549" s="336">
        <f t="shared" si="796"/>
        <v>0</v>
      </c>
      <c r="U549" s="336">
        <f t="shared" si="796"/>
        <v>0</v>
      </c>
      <c r="V549" s="336">
        <f t="shared" si="796"/>
        <v>0</v>
      </c>
      <c r="W549" s="336">
        <f t="shared" si="796"/>
        <v>-345.29820722406743</v>
      </c>
      <c r="X549" s="336">
        <f t="shared" si="796"/>
        <v>0</v>
      </c>
      <c r="Y549" s="336">
        <f t="shared" si="796"/>
        <v>0</v>
      </c>
      <c r="Z549" s="336">
        <f t="shared" si="796"/>
        <v>0</v>
      </c>
      <c r="AA549" s="336">
        <f t="shared" si="796"/>
        <v>0</v>
      </c>
      <c r="AB549" s="336">
        <f t="shared" si="796"/>
        <v>0</v>
      </c>
      <c r="AC549" s="336">
        <f t="shared" si="796"/>
        <v>0</v>
      </c>
      <c r="AD549" s="336">
        <f t="shared" si="796"/>
        <v>0</v>
      </c>
      <c r="AE549" s="336">
        <f t="shared" si="796"/>
        <v>0</v>
      </c>
      <c r="AF549" s="336">
        <f t="shared" si="796"/>
        <v>0</v>
      </c>
      <c r="AG549" s="336">
        <f t="shared" si="796"/>
        <v>0</v>
      </c>
      <c r="AH549" s="336">
        <f t="shared" si="796"/>
        <v>0</v>
      </c>
      <c r="AI549" s="336">
        <f t="shared" si="796"/>
        <v>0</v>
      </c>
      <c r="AJ549" s="336">
        <f t="shared" si="796"/>
        <v>0</v>
      </c>
      <c r="AK549" s="336">
        <f t="shared" si="796"/>
        <v>0</v>
      </c>
      <c r="AL549" s="336">
        <f t="shared" si="796"/>
        <v>0</v>
      </c>
      <c r="AM549" s="336">
        <f t="shared" si="796"/>
        <v>0</v>
      </c>
      <c r="AN549" s="336">
        <f t="shared" si="796"/>
        <v>0</v>
      </c>
      <c r="AO549" s="336">
        <f t="shared" si="796"/>
        <v>0</v>
      </c>
      <c r="AP549" s="336">
        <f t="shared" si="796"/>
        <v>145.63550353471601</v>
      </c>
      <c r="AQ549" s="336">
        <f t="shared" si="796"/>
        <v>0</v>
      </c>
      <c r="AR549" s="336">
        <f t="shared" si="796"/>
        <v>0</v>
      </c>
      <c r="AS549" s="336">
        <f t="shared" si="796"/>
        <v>0</v>
      </c>
      <c r="AT549" s="336">
        <f t="shared" si="796"/>
        <v>0</v>
      </c>
      <c r="AU549" s="336">
        <f t="shared" si="796"/>
        <v>0</v>
      </c>
      <c r="AV549" s="336">
        <f t="shared" si="796"/>
        <v>0</v>
      </c>
      <c r="AW549" s="336">
        <f t="shared" si="796"/>
        <v>0</v>
      </c>
      <c r="AX549" s="336">
        <f t="shared" si="796"/>
        <v>0</v>
      </c>
      <c r="AY549" s="336">
        <f t="shared" si="796"/>
        <v>0</v>
      </c>
      <c r="AZ549" s="336">
        <f t="shared" si="796"/>
        <v>0</v>
      </c>
      <c r="BA549" s="336">
        <f t="shared" si="796"/>
        <v>0</v>
      </c>
      <c r="BB549" s="336">
        <f t="shared" si="796"/>
        <v>0</v>
      </c>
      <c r="BC549" s="336">
        <f t="shared" si="796"/>
        <v>0</v>
      </c>
      <c r="BD549" s="336">
        <f t="shared" si="796"/>
        <v>162.13010881582025</v>
      </c>
      <c r="BE549" s="336">
        <f t="shared" si="796"/>
        <v>0</v>
      </c>
      <c r="BF549" s="336">
        <f t="shared" si="796"/>
        <v>0</v>
      </c>
      <c r="BG549" s="336">
        <f t="shared" si="796"/>
        <v>0</v>
      </c>
      <c r="BH549" s="336">
        <f t="shared" si="796"/>
        <v>0</v>
      </c>
      <c r="BI549" s="336">
        <f t="shared" si="796"/>
        <v>0</v>
      </c>
      <c r="BJ549" s="336">
        <f t="shared" si="796"/>
        <v>0</v>
      </c>
      <c r="BK549" s="336">
        <f t="shared" si="796"/>
        <v>0</v>
      </c>
      <c r="BL549" s="336">
        <f t="shared" si="796"/>
        <v>0</v>
      </c>
      <c r="BM549" s="336">
        <f t="shared" si="796"/>
        <v>0</v>
      </c>
      <c r="BN549" s="336">
        <f t="shared" si="796"/>
        <v>0</v>
      </c>
      <c r="BO549" s="336">
        <f t="shared" si="796"/>
        <v>0</v>
      </c>
      <c r="BP549" s="336">
        <f t="shared" si="796"/>
        <v>0</v>
      </c>
      <c r="BQ549" s="336">
        <f t="shared" si="796"/>
        <v>0</v>
      </c>
      <c r="BR549" s="336">
        <f t="shared" si="796"/>
        <v>0</v>
      </c>
      <c r="BS549" s="336">
        <f t="shared" si="796"/>
        <v>0</v>
      </c>
      <c r="BT549" s="336">
        <f t="shared" si="796"/>
        <v>0</v>
      </c>
      <c r="BU549" s="336">
        <f t="shared" si="796"/>
        <v>0</v>
      </c>
      <c r="BV549" s="336">
        <f t="shared" ref="BV549:DY549" si="797">+BV546-BV516</f>
        <v>0</v>
      </c>
      <c r="BW549" s="336">
        <f t="shared" si="797"/>
        <v>0</v>
      </c>
      <c r="BX549" s="336">
        <f t="shared" si="797"/>
        <v>0</v>
      </c>
      <c r="BY549" s="336">
        <f t="shared" si="797"/>
        <v>0</v>
      </c>
      <c r="BZ549" s="336">
        <f t="shared" si="797"/>
        <v>0</v>
      </c>
      <c r="CA549" s="336">
        <f t="shared" si="797"/>
        <v>0</v>
      </c>
      <c r="CB549" s="336">
        <f t="shared" si="797"/>
        <v>0</v>
      </c>
      <c r="CC549" s="336">
        <f t="shared" si="797"/>
        <v>0</v>
      </c>
      <c r="CD549" s="336">
        <f t="shared" si="797"/>
        <v>0</v>
      </c>
      <c r="CE549" s="336">
        <f t="shared" si="797"/>
        <v>0</v>
      </c>
      <c r="CF549" s="336">
        <f t="shared" ca="1" si="797"/>
        <v>2967.2944800482351</v>
      </c>
      <c r="CG549" s="336">
        <f t="shared" ca="1" si="797"/>
        <v>85.82648836846343</v>
      </c>
      <c r="CH549" s="336">
        <f t="shared" ca="1" si="797"/>
        <v>0</v>
      </c>
      <c r="CI549" s="336">
        <f t="shared" ca="1" si="797"/>
        <v>0</v>
      </c>
      <c r="CJ549" s="336">
        <f t="shared" ca="1" si="797"/>
        <v>0</v>
      </c>
      <c r="CK549" s="336">
        <f t="shared" ca="1" si="797"/>
        <v>0</v>
      </c>
      <c r="CL549" s="336">
        <f t="shared" ca="1" si="797"/>
        <v>0</v>
      </c>
      <c r="CM549" s="336">
        <f t="shared" ca="1" si="797"/>
        <v>0</v>
      </c>
      <c r="CN549" s="336">
        <f t="shared" ca="1" si="797"/>
        <v>0</v>
      </c>
      <c r="CO549" s="336">
        <f t="shared" ca="1" si="797"/>
        <v>0</v>
      </c>
      <c r="CP549" s="336">
        <f t="shared" ca="1" si="797"/>
        <v>0</v>
      </c>
      <c r="CQ549" s="336">
        <f t="shared" ca="1" si="797"/>
        <v>0</v>
      </c>
      <c r="CR549" s="336">
        <f t="shared" ca="1" si="797"/>
        <v>0</v>
      </c>
      <c r="CS549" s="336">
        <f t="shared" ca="1" si="797"/>
        <v>0</v>
      </c>
      <c r="CT549" s="336">
        <f t="shared" ca="1" si="797"/>
        <v>0</v>
      </c>
      <c r="CU549" s="336">
        <f t="shared" ca="1" si="797"/>
        <v>0</v>
      </c>
      <c r="CV549" s="336">
        <f t="shared" ca="1" si="797"/>
        <v>0</v>
      </c>
      <c r="CW549" s="336">
        <f t="shared" ca="1" si="797"/>
        <v>0</v>
      </c>
      <c r="CX549" s="336">
        <f t="shared" ca="1" si="797"/>
        <v>0</v>
      </c>
      <c r="CY549" s="336">
        <f t="shared" ca="1" si="797"/>
        <v>0</v>
      </c>
      <c r="CZ549" s="336">
        <f t="shared" ca="1" si="797"/>
        <v>0</v>
      </c>
      <c r="DA549" s="336">
        <f t="shared" ca="1" si="797"/>
        <v>0</v>
      </c>
      <c r="DB549" s="336">
        <f t="shared" ca="1" si="797"/>
        <v>0</v>
      </c>
      <c r="DC549" s="336">
        <f t="shared" ca="1" si="797"/>
        <v>0</v>
      </c>
      <c r="DD549" s="336">
        <f t="shared" ca="1" si="797"/>
        <v>0</v>
      </c>
      <c r="DE549" s="336">
        <f t="shared" ca="1" si="797"/>
        <v>0</v>
      </c>
      <c r="DF549" s="336">
        <f t="shared" ca="1" si="797"/>
        <v>0</v>
      </c>
      <c r="DG549" s="336">
        <f t="shared" ca="1" si="797"/>
        <v>0</v>
      </c>
      <c r="DH549" s="336">
        <f t="shared" ca="1" si="797"/>
        <v>0</v>
      </c>
      <c r="DI549" s="336">
        <f t="shared" ca="1" si="797"/>
        <v>0</v>
      </c>
      <c r="DJ549" s="336">
        <f t="shared" ca="1" si="797"/>
        <v>0</v>
      </c>
      <c r="DK549" s="336">
        <f t="shared" ca="1" si="797"/>
        <v>0</v>
      </c>
      <c r="DL549" s="336">
        <f t="shared" ca="1" si="797"/>
        <v>0</v>
      </c>
      <c r="DM549" s="336">
        <f t="shared" ca="1" si="797"/>
        <v>0</v>
      </c>
      <c r="DN549" s="336">
        <f t="shared" ca="1" si="797"/>
        <v>0</v>
      </c>
      <c r="DO549" s="336">
        <f t="shared" ca="1" si="797"/>
        <v>0</v>
      </c>
      <c r="DP549" s="336">
        <f t="shared" ca="1" si="797"/>
        <v>0</v>
      </c>
      <c r="DQ549" s="336">
        <f t="shared" ca="1" si="797"/>
        <v>0</v>
      </c>
      <c r="DR549" s="336">
        <f t="shared" ca="1" si="797"/>
        <v>0</v>
      </c>
      <c r="DS549" s="336">
        <f t="shared" ca="1" si="797"/>
        <v>0</v>
      </c>
      <c r="DT549" s="336">
        <f t="shared" ca="1" si="797"/>
        <v>0</v>
      </c>
      <c r="DU549" s="336">
        <f t="shared" ca="1" si="797"/>
        <v>0</v>
      </c>
      <c r="DV549" s="336">
        <f t="shared" ca="1" si="797"/>
        <v>0</v>
      </c>
      <c r="DW549" s="336">
        <f t="shared" ca="1" si="797"/>
        <v>0</v>
      </c>
      <c r="DX549" s="336">
        <f t="shared" ca="1" si="797"/>
        <v>0</v>
      </c>
      <c r="DY549" s="336">
        <f t="shared" ca="1" si="797"/>
        <v>0</v>
      </c>
    </row>
    <row r="550" spans="2:129" ht="11.7" customHeight="1" outlineLevel="1" thickTop="1" x14ac:dyDescent="0.3">
      <c r="B550" s="149"/>
      <c r="C550" s="149"/>
      <c r="H550" s="1113"/>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c r="AT550" s="14"/>
      <c r="AU550" s="14"/>
      <c r="AV550" s="14"/>
      <c r="AW550" s="14"/>
      <c r="AX550" s="14"/>
      <c r="AY550" s="14"/>
      <c r="AZ550" s="14"/>
      <c r="BA550" s="14"/>
      <c r="BB550" s="14"/>
      <c r="BC550" s="14"/>
      <c r="BD550" s="14"/>
      <c r="BE550" s="14"/>
      <c r="BF550" s="14"/>
      <c r="BG550" s="14"/>
      <c r="BH550" s="14"/>
      <c r="BI550" s="14"/>
      <c r="BJ550" s="14"/>
      <c r="BK550" s="14"/>
      <c r="BL550" s="14"/>
      <c r="BM550" s="14"/>
      <c r="BN550" s="14"/>
      <c r="BO550" s="14"/>
      <c r="BP550" s="14"/>
      <c r="BQ550" s="14"/>
      <c r="BR550" s="14"/>
      <c r="BS550" s="14"/>
      <c r="BT550" s="14"/>
      <c r="BU550" s="14"/>
      <c r="BV550" s="14"/>
      <c r="BW550" s="14"/>
      <c r="BX550" s="14"/>
      <c r="BY550" s="14"/>
      <c r="BZ550" s="14"/>
      <c r="CA550" s="14"/>
      <c r="CB550" s="14"/>
      <c r="CC550" s="14"/>
      <c r="CD550" s="14"/>
      <c r="CE550" s="14"/>
      <c r="CF550" s="14"/>
      <c r="CG550" s="14"/>
      <c r="CH550" s="14"/>
      <c r="CI550" s="14"/>
      <c r="CJ550" s="14"/>
      <c r="CK550" s="14"/>
      <c r="CL550" s="14"/>
      <c r="CM550" s="14"/>
      <c r="CN550" s="14"/>
      <c r="CO550" s="14"/>
      <c r="CP550" s="14"/>
      <c r="CQ550" s="14"/>
      <c r="CR550" s="14"/>
      <c r="CS550" s="14"/>
      <c r="CT550" s="14"/>
      <c r="CU550" s="14"/>
      <c r="CV550" s="14"/>
      <c r="CW550" s="14"/>
      <c r="CX550" s="14"/>
      <c r="CY550" s="14"/>
      <c r="CZ550" s="14"/>
      <c r="DA550" s="14"/>
      <c r="DB550" s="14"/>
      <c r="DC550" s="14"/>
      <c r="DD550" s="14"/>
      <c r="DE550" s="14"/>
      <c r="DF550" s="14"/>
      <c r="DG550" s="14"/>
      <c r="DH550" s="14"/>
      <c r="DI550" s="14"/>
      <c r="DJ550" s="14"/>
      <c r="DK550" s="14"/>
      <c r="DL550" s="14"/>
      <c r="DM550" s="14"/>
      <c r="DN550" s="14"/>
      <c r="DO550" s="14"/>
      <c r="DP550" s="14"/>
      <c r="DQ550" s="14"/>
      <c r="DR550" s="14"/>
      <c r="DS550" s="14"/>
      <c r="DT550" s="14"/>
      <c r="DU550" s="14"/>
      <c r="DV550" s="14"/>
      <c r="DW550" s="14"/>
      <c r="DX550" s="14"/>
      <c r="DY550" s="14"/>
    </row>
    <row r="551" spans="2:129" ht="11.7" customHeight="1" outlineLevel="1" x14ac:dyDescent="0.3">
      <c r="B551" s="149"/>
      <c r="C551" s="149"/>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c r="AQ551" s="14"/>
      <c r="AR551" s="14"/>
      <c r="AS551" s="14"/>
      <c r="AT551" s="14"/>
      <c r="AU551" s="14"/>
      <c r="AV551" s="14"/>
      <c r="AW551" s="14"/>
      <c r="AX551" s="14"/>
      <c r="AY551" s="14"/>
      <c r="AZ551" s="14"/>
      <c r="BA551" s="14"/>
      <c r="BB551" s="14"/>
      <c r="BC551" s="14"/>
      <c r="BD551" s="14"/>
      <c r="BE551" s="14"/>
      <c r="BF551" s="14"/>
      <c r="BG551" s="14"/>
      <c r="BH551" s="14"/>
      <c r="BI551" s="14"/>
      <c r="BJ551" s="14"/>
      <c r="BK551" s="14"/>
      <c r="BL551" s="14"/>
      <c r="BM551" s="14"/>
      <c r="BN551" s="14"/>
      <c r="BO551" s="14"/>
      <c r="BP551" s="14"/>
      <c r="BQ551" s="14"/>
      <c r="BR551" s="14"/>
      <c r="BS551" s="14"/>
      <c r="BT551" s="14"/>
      <c r="BU551" s="14"/>
      <c r="BV551" s="14"/>
      <c r="BW551" s="14"/>
      <c r="BX551" s="14"/>
      <c r="BY551" s="14"/>
      <c r="BZ551" s="14"/>
      <c r="CA551" s="14"/>
      <c r="CB551" s="14"/>
      <c r="CC551" s="14"/>
      <c r="CD551" s="14"/>
      <c r="CE551" s="14"/>
      <c r="CF551" s="14"/>
      <c r="CG551" s="14"/>
      <c r="CH551" s="14"/>
      <c r="CI551" s="14"/>
      <c r="CJ551" s="14"/>
      <c r="CK551" s="14"/>
      <c r="CL551" s="14"/>
      <c r="CM551" s="14"/>
      <c r="CN551" s="14"/>
      <c r="CO551" s="14"/>
      <c r="CP551" s="14"/>
      <c r="CQ551" s="14"/>
      <c r="CR551" s="14"/>
      <c r="CS551" s="14"/>
      <c r="CT551" s="14"/>
      <c r="CU551" s="14"/>
      <c r="CV551" s="14"/>
      <c r="CW551" s="14"/>
      <c r="CX551" s="14"/>
      <c r="CY551" s="14"/>
      <c r="CZ551" s="14"/>
      <c r="DA551" s="14"/>
      <c r="DB551" s="14"/>
      <c r="DC551" s="14"/>
      <c r="DD551" s="14"/>
      <c r="DE551" s="14"/>
      <c r="DF551" s="14"/>
      <c r="DG551" s="14"/>
      <c r="DH551" s="14"/>
      <c r="DI551" s="14"/>
      <c r="DJ551" s="14"/>
      <c r="DK551" s="14"/>
      <c r="DL551" s="14"/>
      <c r="DM551" s="14"/>
      <c r="DN551" s="14"/>
      <c r="DO551" s="14"/>
      <c r="DP551" s="14"/>
      <c r="DQ551" s="14"/>
      <c r="DR551" s="14"/>
      <c r="DS551" s="14"/>
      <c r="DT551" s="14"/>
      <c r="DU551" s="14"/>
      <c r="DV551" s="14"/>
      <c r="DW551" s="14"/>
      <c r="DX551" s="14"/>
      <c r="DY551" s="14"/>
    </row>
    <row r="552" spans="2:129" ht="11.7" customHeight="1" outlineLevel="1" x14ac:dyDescent="0.3">
      <c r="B552" s="574" t="s">
        <v>518</v>
      </c>
      <c r="C552" s="1132"/>
      <c r="D552" s="865"/>
      <c r="E552" s="865"/>
      <c r="F552" s="865"/>
      <c r="G552" s="866"/>
      <c r="H552" s="867"/>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c r="AS552" s="14"/>
      <c r="AT552" s="14"/>
      <c r="AU552" s="14"/>
      <c r="AV552" s="14"/>
      <c r="AW552" s="14"/>
      <c r="AX552" s="14"/>
      <c r="AY552" s="14"/>
      <c r="AZ552" s="14"/>
      <c r="BA552" s="14"/>
      <c r="BB552" s="14"/>
      <c r="BC552" s="14"/>
      <c r="BD552" s="14"/>
      <c r="BE552" s="14"/>
      <c r="BF552" s="14"/>
      <c r="BG552" s="14"/>
      <c r="BH552" s="14"/>
      <c r="BI552" s="14"/>
      <c r="BJ552" s="14"/>
      <c r="BK552" s="14"/>
      <c r="BL552" s="14"/>
      <c r="BM552" s="14"/>
      <c r="BN552" s="14"/>
      <c r="BO552" s="14"/>
      <c r="BP552" s="14"/>
      <c r="BQ552" s="14"/>
      <c r="BR552" s="14"/>
      <c r="BS552" s="14"/>
      <c r="BT552" s="14"/>
      <c r="BU552" s="14"/>
      <c r="BV552" s="14"/>
      <c r="BW552" s="14"/>
      <c r="BX552" s="14"/>
      <c r="BY552" s="14"/>
      <c r="BZ552" s="14"/>
      <c r="CA552" s="14"/>
      <c r="CB552" s="14"/>
      <c r="CC552" s="14"/>
      <c r="CD552" s="14"/>
      <c r="CE552" s="14"/>
      <c r="CF552" s="14"/>
      <c r="CG552" s="14"/>
      <c r="CH552" s="14"/>
      <c r="CI552" s="14"/>
      <c r="CJ552" s="14"/>
      <c r="CK552" s="14"/>
      <c r="CL552" s="14"/>
      <c r="CM552" s="14"/>
      <c r="CN552" s="14"/>
      <c r="CO552" s="14"/>
      <c r="CP552" s="14"/>
      <c r="CQ552" s="14"/>
      <c r="CR552" s="14"/>
      <c r="CS552" s="14"/>
      <c r="CT552" s="14"/>
      <c r="CU552" s="14"/>
      <c r="CV552" s="14"/>
      <c r="CW552" s="14"/>
      <c r="CX552" s="14"/>
      <c r="CY552" s="14"/>
      <c r="CZ552" s="14"/>
      <c r="DA552" s="14"/>
      <c r="DB552" s="14"/>
      <c r="DC552" s="14"/>
      <c r="DD552" s="14"/>
      <c r="DE552" s="14"/>
      <c r="DF552" s="14"/>
      <c r="DG552" s="14"/>
      <c r="DH552" s="14"/>
      <c r="DI552" s="14"/>
      <c r="DJ552" s="14"/>
      <c r="DK552" s="14"/>
      <c r="DL552" s="14"/>
      <c r="DM552" s="14"/>
      <c r="DN552" s="14"/>
      <c r="DO552" s="14"/>
      <c r="DP552" s="14"/>
      <c r="DQ552" s="14"/>
      <c r="DR552" s="14"/>
      <c r="DS552" s="14"/>
      <c r="DT552" s="14"/>
      <c r="DU552" s="14"/>
      <c r="DV552" s="14"/>
      <c r="DW552" s="14"/>
      <c r="DX552" s="14"/>
      <c r="DY552" s="14"/>
    </row>
    <row r="553" spans="2:129" ht="11.7" customHeight="1" outlineLevel="1" x14ac:dyDescent="0.3">
      <c r="B553" s="577" t="s">
        <v>661</v>
      </c>
      <c r="C553" s="1133"/>
      <c r="D553" s="578"/>
      <c r="E553" s="575"/>
      <c r="F553" s="575"/>
      <c r="G553" s="579"/>
      <c r="H553" s="589">
        <f ca="1">+XIRR($I$549:$DY$549,$I$7:$DY$7)</f>
        <v>0.10487653613090517</v>
      </c>
    </row>
    <row r="554" spans="2:129" ht="11.7" customHeight="1" outlineLevel="1" x14ac:dyDescent="0.3">
      <c r="B554" s="577" t="s">
        <v>3</v>
      </c>
      <c r="C554" s="1133"/>
      <c r="D554" s="578"/>
      <c r="E554" s="575"/>
      <c r="F554" s="575"/>
      <c r="G554" s="579"/>
      <c r="H554" s="589">
        <f ca="1">+XIRR($I$546:$DY$546,$I$7:$DY$7)</f>
        <v>9.8348802328109775E-2</v>
      </c>
    </row>
    <row r="555" spans="2:129" ht="11.7" customHeight="1" outlineLevel="1" x14ac:dyDescent="0.25">
      <c r="B555" s="577" t="s">
        <v>4</v>
      </c>
      <c r="C555" s="1133"/>
      <c r="D555" s="580"/>
      <c r="E555" s="575"/>
      <c r="F555" s="575"/>
      <c r="G555" s="579"/>
      <c r="H555" s="868">
        <f ca="1">+H556/H557+1</f>
        <v>1.7135480464663972</v>
      </c>
    </row>
    <row r="556" spans="2:129" ht="11.7" customHeight="1" outlineLevel="1" x14ac:dyDescent="0.3">
      <c r="B556" s="577" t="s">
        <v>5</v>
      </c>
      <c r="C556" s="1133"/>
      <c r="D556" s="582"/>
      <c r="E556" s="575"/>
      <c r="F556" s="575"/>
      <c r="G556" s="579"/>
      <c r="H556" s="583">
        <f ca="1">+H546</f>
        <v>1351.50809642533</v>
      </c>
    </row>
    <row r="557" spans="2:129" ht="11.7" customHeight="1" outlineLevel="1" x14ac:dyDescent="0.3">
      <c r="B557" s="584" t="s">
        <v>21</v>
      </c>
      <c r="C557" s="1134"/>
      <c r="D557" s="585"/>
      <c r="E557" s="586"/>
      <c r="F557" s="586"/>
      <c r="G557" s="587"/>
      <c r="H557" s="588">
        <f ca="1">-H547</f>
        <v>1894.0674045962451</v>
      </c>
    </row>
    <row r="558" spans="2:129" s="3" customFormat="1" ht="11.7" customHeight="1" x14ac:dyDescent="0.3">
      <c r="B558" s="149"/>
      <c r="C558" s="149"/>
      <c r="D558" s="7"/>
      <c r="G558" s="127"/>
      <c r="H558" s="127"/>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c r="AS558" s="14"/>
      <c r="AT558" s="14"/>
      <c r="AU558" s="14"/>
      <c r="AV558" s="14"/>
      <c r="AW558" s="14"/>
      <c r="AX558" s="14"/>
      <c r="AY558" s="14"/>
      <c r="AZ558" s="14"/>
      <c r="BA558" s="14"/>
      <c r="BB558" s="14"/>
      <c r="BC558" s="14"/>
      <c r="BD558" s="14"/>
      <c r="BE558" s="14"/>
      <c r="BF558" s="14"/>
      <c r="BG558" s="14"/>
      <c r="BH558" s="14"/>
      <c r="BI558" s="14"/>
      <c r="BJ558" s="14"/>
      <c r="BK558" s="14"/>
      <c r="BL558" s="14"/>
      <c r="BM558" s="14"/>
      <c r="BN558" s="14"/>
      <c r="BO558" s="14"/>
      <c r="BP558" s="14"/>
      <c r="BQ558" s="14"/>
      <c r="BR558" s="14"/>
      <c r="BS558" s="14"/>
      <c r="BT558" s="14"/>
      <c r="BU558" s="14"/>
      <c r="BV558" s="14"/>
      <c r="BW558" s="14"/>
      <c r="BX558" s="14"/>
      <c r="BY558" s="14"/>
      <c r="BZ558" s="14"/>
      <c r="CA558" s="14"/>
      <c r="CB558" s="14"/>
      <c r="CC558" s="14"/>
      <c r="CD558" s="14"/>
      <c r="CE558" s="14"/>
      <c r="CF558" s="14"/>
      <c r="CG558" s="14"/>
      <c r="CH558" s="14"/>
      <c r="CI558" s="14"/>
      <c r="CJ558" s="14"/>
      <c r="CK558" s="14"/>
      <c r="CL558" s="14"/>
      <c r="CM558" s="14"/>
      <c r="CN558" s="14"/>
      <c r="CO558" s="14"/>
      <c r="CP558" s="14"/>
      <c r="CQ558" s="14"/>
      <c r="CR558" s="14"/>
      <c r="CS558" s="14"/>
      <c r="CT558" s="14"/>
      <c r="CU558" s="14"/>
      <c r="CV558" s="14"/>
      <c r="CW558" s="14"/>
      <c r="CX558" s="14"/>
      <c r="CY558" s="14"/>
      <c r="CZ558" s="14"/>
      <c r="DA558" s="14"/>
      <c r="DB558" s="14"/>
      <c r="DC558" s="14"/>
      <c r="DD558" s="14"/>
      <c r="DE558" s="14"/>
      <c r="DF558" s="14"/>
      <c r="DG558" s="14"/>
      <c r="DH558" s="14"/>
      <c r="DI558" s="14"/>
      <c r="DJ558" s="14"/>
      <c r="DK558" s="14"/>
      <c r="DL558" s="14"/>
      <c r="DM558" s="14"/>
      <c r="DN558" s="14"/>
      <c r="DO558" s="14"/>
      <c r="DP558" s="14"/>
      <c r="DQ558" s="14"/>
      <c r="DR558" s="14"/>
      <c r="DS558" s="14"/>
      <c r="DT558" s="14"/>
      <c r="DU558" s="14"/>
      <c r="DV558" s="14"/>
      <c r="DW558" s="14"/>
      <c r="DX558" s="14"/>
      <c r="DY558" s="14"/>
    </row>
    <row r="559" spans="2:129" ht="11.7" customHeight="1" x14ac:dyDescent="0.3"/>
    <row r="560" spans="2:129" ht="11.7" customHeight="1" x14ac:dyDescent="0.3"/>
    <row r="561" ht="11.7" customHeight="1" x14ac:dyDescent="0.3"/>
    <row r="562" ht="11.7" customHeight="1" x14ac:dyDescent="0.3"/>
  </sheetData>
  <conditionalFormatting sqref="I13:DY14 I90:DY90 I290:DY290">
    <cfRule type="cellIs" dxfId="41" priority="6" operator="greaterThan">
      <formula>0</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39997558519241921"/>
  </sheetPr>
  <dimension ref="A1:EO231"/>
  <sheetViews>
    <sheetView showGridLines="0" zoomScale="80" zoomScaleNormal="80" workbookViewId="0">
      <selection activeCell="K26" sqref="K26"/>
    </sheetView>
  </sheetViews>
  <sheetFormatPr baseColWidth="10" defaultColWidth="0" defaultRowHeight="10.8" zeroHeight="1" x14ac:dyDescent="0.25"/>
  <cols>
    <col min="1" max="1" width="3.33203125" style="28" customWidth="1"/>
    <col min="2" max="2" width="50.109375" style="2" customWidth="1"/>
    <col min="3" max="4" width="7" style="2" customWidth="1"/>
    <col min="5" max="11" width="20.6640625" style="2" customWidth="1"/>
    <col min="12" max="12" width="3.33203125" style="28" customWidth="1"/>
    <col min="13" max="145" width="0" style="2" hidden="1" customWidth="1"/>
    <col min="146" max="16384" width="8.88671875" style="2" hidden="1"/>
  </cols>
  <sheetData>
    <row r="1" spans="2:134" ht="12.75" customHeight="1" x14ac:dyDescent="0.25">
      <c r="B1" s="303"/>
      <c r="C1" s="303"/>
    </row>
    <row r="2" spans="2:134" s="3" customFormat="1" ht="33.9" customHeight="1" x14ac:dyDescent="0.3">
      <c r="B2" s="344" t="str">
        <f>+'Project Layout'!$B$2</f>
        <v>Antonio Bellet</v>
      </c>
      <c r="C2" s="191"/>
      <c r="D2" s="191"/>
      <c r="E2" s="191"/>
      <c r="F2" s="304"/>
      <c r="G2" s="304"/>
      <c r="H2" s="304"/>
      <c r="I2" s="304"/>
      <c r="J2" s="304"/>
      <c r="K2" s="304"/>
      <c r="M2" s="111"/>
      <c r="N2" s="111"/>
      <c r="O2" s="111"/>
      <c r="P2" s="111"/>
      <c r="Q2" s="111"/>
      <c r="R2" s="111"/>
      <c r="S2" s="111"/>
      <c r="T2" s="111"/>
      <c r="U2" s="111"/>
      <c r="V2" s="111"/>
      <c r="W2" s="111"/>
      <c r="X2" s="111"/>
      <c r="Y2" s="111"/>
      <c r="Z2" s="111"/>
      <c r="AA2" s="111"/>
      <c r="AB2" s="111"/>
      <c r="AC2" s="111"/>
      <c r="AD2" s="111"/>
      <c r="AE2" s="111"/>
      <c r="AF2" s="111"/>
      <c r="AG2" s="111"/>
      <c r="AH2" s="111"/>
      <c r="AI2" s="111"/>
      <c r="AJ2" s="111"/>
      <c r="AK2" s="111"/>
      <c r="AL2" s="111"/>
      <c r="AM2" s="111"/>
      <c r="AN2" s="111"/>
      <c r="AO2" s="111"/>
      <c r="AP2" s="111"/>
      <c r="AQ2" s="111"/>
      <c r="AR2" s="111"/>
      <c r="AS2" s="111"/>
      <c r="AT2" s="111"/>
      <c r="AU2" s="111"/>
      <c r="AV2" s="111"/>
      <c r="AW2" s="111"/>
      <c r="AX2" s="111"/>
      <c r="AY2" s="111"/>
      <c r="AZ2" s="111"/>
      <c r="BA2" s="111"/>
      <c r="BB2" s="111"/>
      <c r="BC2" s="111"/>
      <c r="BD2" s="111"/>
      <c r="BE2" s="111"/>
      <c r="BF2" s="111"/>
      <c r="BG2" s="111"/>
      <c r="BH2" s="111"/>
      <c r="BI2" s="111"/>
      <c r="BJ2" s="111"/>
      <c r="BK2" s="111"/>
      <c r="BL2" s="111"/>
      <c r="BM2" s="111"/>
      <c r="BN2" s="111"/>
      <c r="BO2" s="111"/>
      <c r="BP2" s="111"/>
      <c r="BQ2" s="111"/>
      <c r="BR2" s="111"/>
      <c r="BS2" s="111"/>
      <c r="BT2" s="111"/>
      <c r="BU2" s="111"/>
      <c r="BV2" s="111"/>
      <c r="BW2" s="111"/>
      <c r="BX2" s="111"/>
      <c r="BY2" s="111"/>
      <c r="BZ2" s="111"/>
      <c r="CA2" s="111"/>
      <c r="CB2" s="111"/>
      <c r="CC2" s="111"/>
      <c r="CD2" s="111"/>
      <c r="CE2" s="111"/>
      <c r="CF2" s="111"/>
      <c r="CG2" s="111"/>
      <c r="CH2" s="111"/>
      <c r="CI2" s="111"/>
      <c r="CJ2" s="111"/>
      <c r="CK2" s="111"/>
      <c r="CL2" s="111"/>
      <c r="CM2" s="111"/>
      <c r="CN2" s="111"/>
      <c r="CO2" s="111"/>
      <c r="CP2" s="111"/>
      <c r="CQ2" s="111"/>
      <c r="CR2" s="111"/>
      <c r="CS2" s="111"/>
      <c r="CT2" s="111"/>
      <c r="CU2" s="111"/>
      <c r="CV2" s="111"/>
      <c r="CW2" s="111"/>
      <c r="CX2" s="111"/>
      <c r="CY2" s="111"/>
      <c r="CZ2" s="111"/>
      <c r="DA2" s="111"/>
      <c r="DB2" s="111"/>
      <c r="DC2" s="111"/>
      <c r="DD2" s="111"/>
      <c r="DE2" s="111"/>
      <c r="DF2" s="111"/>
      <c r="DG2" s="111"/>
      <c r="DH2" s="111"/>
      <c r="DI2" s="111"/>
      <c r="DJ2" s="111"/>
      <c r="DK2" s="111"/>
      <c r="DL2" s="111"/>
      <c r="DM2" s="111"/>
      <c r="DN2" s="111"/>
      <c r="DO2" s="111"/>
      <c r="DP2" s="111"/>
      <c r="DQ2" s="111"/>
      <c r="DR2" s="111"/>
      <c r="DS2" s="111"/>
      <c r="DT2" s="111"/>
      <c r="DU2" s="111"/>
      <c r="DV2" s="111"/>
      <c r="DW2" s="111"/>
      <c r="DX2" s="111"/>
      <c r="DY2" s="111"/>
      <c r="DZ2" s="111"/>
      <c r="EA2" s="111"/>
      <c r="EB2" s="111"/>
      <c r="EC2" s="111"/>
      <c r="ED2" s="111"/>
    </row>
    <row r="3" spans="2:134" s="3" customFormat="1" ht="23.1" customHeight="1" x14ac:dyDescent="0.3">
      <c r="B3" s="345" t="s">
        <v>311</v>
      </c>
      <c r="C3" s="860"/>
      <c r="D3" s="860"/>
      <c r="E3" s="191"/>
      <c r="F3" s="304"/>
      <c r="G3" s="304"/>
      <c r="H3" s="304"/>
      <c r="I3" s="304"/>
      <c r="J3" s="304"/>
      <c r="K3" s="304"/>
      <c r="M3" s="111"/>
      <c r="N3" s="111"/>
      <c r="O3" s="111"/>
      <c r="P3" s="111"/>
      <c r="Q3" s="111"/>
      <c r="R3" s="111"/>
      <c r="S3" s="111"/>
      <c r="T3" s="111"/>
      <c r="U3" s="111"/>
      <c r="V3" s="111"/>
      <c r="W3" s="111"/>
      <c r="X3" s="111"/>
      <c r="Y3" s="111"/>
      <c r="Z3" s="111"/>
      <c r="AA3" s="111"/>
      <c r="AB3" s="111"/>
      <c r="AC3" s="111"/>
      <c r="AD3" s="111"/>
      <c r="AE3" s="111"/>
      <c r="AF3" s="111"/>
      <c r="AG3" s="111"/>
      <c r="AH3" s="111"/>
      <c r="AI3" s="111"/>
      <c r="AJ3" s="111"/>
      <c r="AK3" s="111"/>
      <c r="AL3" s="111"/>
      <c r="AM3" s="111"/>
      <c r="AN3" s="111"/>
      <c r="AO3" s="111"/>
      <c r="AP3" s="111"/>
      <c r="AQ3" s="111"/>
      <c r="AR3" s="111"/>
      <c r="AS3" s="111"/>
      <c r="AT3" s="111"/>
      <c r="AU3" s="111"/>
      <c r="AV3" s="111"/>
      <c r="AW3" s="111"/>
      <c r="AX3" s="111"/>
      <c r="AY3" s="111"/>
      <c r="AZ3" s="111"/>
      <c r="BA3" s="111"/>
      <c r="BB3" s="111"/>
      <c r="BC3" s="111"/>
      <c r="BD3" s="111"/>
      <c r="BE3" s="111"/>
      <c r="BF3" s="111"/>
      <c r="BG3" s="111"/>
      <c r="BH3" s="111"/>
      <c r="BI3" s="111"/>
      <c r="BJ3" s="111"/>
      <c r="BK3" s="111"/>
      <c r="BL3" s="111"/>
      <c r="BM3" s="111"/>
      <c r="BN3" s="111"/>
      <c r="BO3" s="111"/>
      <c r="BP3" s="111"/>
      <c r="BQ3" s="111"/>
      <c r="BR3" s="111"/>
      <c r="BS3" s="111"/>
      <c r="BT3" s="111"/>
      <c r="BU3" s="111"/>
      <c r="BV3" s="111"/>
      <c r="BW3" s="111"/>
      <c r="BX3" s="111"/>
      <c r="BY3" s="111"/>
      <c r="BZ3" s="111"/>
      <c r="CA3" s="111"/>
      <c r="CB3" s="111"/>
      <c r="CC3" s="111"/>
      <c r="CD3" s="111"/>
      <c r="CE3" s="111"/>
      <c r="CF3" s="111"/>
      <c r="CG3" s="111"/>
      <c r="CH3" s="111"/>
      <c r="CI3" s="111"/>
      <c r="CJ3" s="111"/>
      <c r="CK3" s="111"/>
      <c r="CL3" s="111"/>
      <c r="CM3" s="111"/>
      <c r="CN3" s="111"/>
      <c r="CO3" s="111"/>
      <c r="CP3" s="111"/>
      <c r="CQ3" s="111"/>
      <c r="CR3" s="111"/>
      <c r="CS3" s="111"/>
      <c r="CT3" s="111"/>
      <c r="CU3" s="111"/>
      <c r="CV3" s="111"/>
      <c r="CW3" s="111"/>
      <c r="CX3" s="111"/>
      <c r="CY3" s="111"/>
      <c r="CZ3" s="111"/>
      <c r="DA3" s="111"/>
      <c r="DB3" s="111"/>
      <c r="DC3" s="111"/>
      <c r="DD3" s="111"/>
      <c r="DE3" s="111"/>
      <c r="DF3" s="111"/>
      <c r="DG3" s="111"/>
      <c r="DH3" s="111"/>
      <c r="DI3" s="111"/>
      <c r="DJ3" s="111"/>
      <c r="DK3" s="111"/>
      <c r="DL3" s="111"/>
      <c r="DM3" s="111"/>
      <c r="DN3" s="111"/>
      <c r="DO3" s="111"/>
      <c r="DP3" s="111"/>
      <c r="DQ3" s="111"/>
      <c r="DR3" s="111"/>
      <c r="DS3" s="111"/>
      <c r="DT3" s="111"/>
      <c r="DU3" s="111"/>
      <c r="DV3" s="111"/>
      <c r="DW3" s="111"/>
      <c r="DX3" s="111"/>
      <c r="DY3" s="111"/>
      <c r="DZ3" s="111"/>
      <c r="EA3" s="111"/>
      <c r="EB3" s="111"/>
      <c r="EC3" s="111"/>
      <c r="ED3" s="111"/>
    </row>
    <row r="4" spans="2:134" s="305" customFormat="1" ht="5.25" customHeight="1" x14ac:dyDescent="0.3">
      <c r="B4" s="306"/>
      <c r="C4" s="307"/>
      <c r="D4" s="307"/>
      <c r="E4" s="307"/>
      <c r="F4" s="307"/>
      <c r="G4" s="307"/>
      <c r="H4" s="307"/>
      <c r="I4" s="307"/>
      <c r="J4" s="307"/>
      <c r="K4" s="307"/>
      <c r="M4" s="486"/>
      <c r="N4" s="486"/>
      <c r="O4" s="486"/>
      <c r="P4" s="486"/>
      <c r="Q4" s="486"/>
      <c r="R4" s="486"/>
      <c r="S4" s="486"/>
      <c r="T4" s="486"/>
      <c r="U4" s="486"/>
      <c r="V4" s="486"/>
      <c r="W4" s="486"/>
      <c r="X4" s="486"/>
      <c r="Y4" s="486"/>
      <c r="Z4" s="486"/>
      <c r="AA4" s="486"/>
      <c r="AB4" s="486"/>
      <c r="AC4" s="486"/>
      <c r="AD4" s="486"/>
      <c r="AE4" s="486"/>
      <c r="AF4" s="486"/>
      <c r="AG4" s="486"/>
      <c r="AH4" s="486"/>
      <c r="AI4" s="486"/>
      <c r="AJ4" s="486"/>
      <c r="AK4" s="486"/>
      <c r="AL4" s="486"/>
      <c r="AM4" s="486"/>
      <c r="AN4" s="486"/>
      <c r="AO4" s="486"/>
      <c r="AP4" s="486"/>
      <c r="AQ4" s="486"/>
      <c r="AR4" s="486"/>
      <c r="AS4" s="486"/>
      <c r="AT4" s="486"/>
      <c r="AU4" s="486"/>
      <c r="AV4" s="486"/>
      <c r="AW4" s="486"/>
      <c r="AX4" s="486"/>
      <c r="AY4" s="486"/>
      <c r="AZ4" s="486"/>
      <c r="BA4" s="486"/>
      <c r="BB4" s="486"/>
      <c r="BC4" s="486"/>
      <c r="BD4" s="486"/>
      <c r="BE4" s="486"/>
      <c r="BF4" s="486"/>
      <c r="BG4" s="486"/>
      <c r="BH4" s="486"/>
      <c r="BI4" s="486"/>
      <c r="BJ4" s="486"/>
      <c r="BK4" s="486"/>
      <c r="BL4" s="486"/>
      <c r="BM4" s="486"/>
      <c r="BN4" s="486"/>
      <c r="BO4" s="486"/>
      <c r="BP4" s="486"/>
      <c r="BQ4" s="486"/>
      <c r="BR4" s="486"/>
      <c r="BS4" s="486"/>
      <c r="BT4" s="486"/>
      <c r="BU4" s="486"/>
      <c r="BV4" s="486"/>
      <c r="BW4" s="486"/>
      <c r="BX4" s="486"/>
      <c r="BY4" s="486"/>
      <c r="BZ4" s="486"/>
      <c r="CA4" s="486"/>
      <c r="CB4" s="486"/>
      <c r="CC4" s="486"/>
      <c r="CD4" s="486"/>
      <c r="CE4" s="486"/>
      <c r="CF4" s="486"/>
      <c r="CG4" s="486"/>
      <c r="CH4" s="486"/>
      <c r="CI4" s="486"/>
      <c r="CJ4" s="486"/>
      <c r="CK4" s="486"/>
      <c r="CL4" s="486"/>
      <c r="CM4" s="486"/>
      <c r="CN4" s="486"/>
      <c r="CO4" s="486"/>
      <c r="CP4" s="486"/>
      <c r="CQ4" s="486"/>
      <c r="CR4" s="486"/>
      <c r="CS4" s="486"/>
      <c r="CT4" s="486"/>
      <c r="CU4" s="486"/>
      <c r="CV4" s="486"/>
      <c r="CW4" s="486"/>
      <c r="CX4" s="486"/>
      <c r="CY4" s="486"/>
      <c r="CZ4" s="486"/>
      <c r="DA4" s="486"/>
      <c r="DB4" s="486"/>
      <c r="DC4" s="486"/>
      <c r="DD4" s="486"/>
      <c r="DE4" s="486"/>
      <c r="DF4" s="486"/>
      <c r="DG4" s="486"/>
      <c r="DH4" s="486"/>
      <c r="DI4" s="486"/>
      <c r="DJ4" s="486"/>
      <c r="DK4" s="486"/>
      <c r="DL4" s="486"/>
      <c r="DM4" s="486"/>
      <c r="DN4" s="486"/>
      <c r="DO4" s="486"/>
      <c r="DP4" s="486"/>
      <c r="DQ4" s="486"/>
      <c r="DR4" s="486"/>
      <c r="DS4" s="486"/>
      <c r="DT4" s="486"/>
      <c r="DU4" s="486"/>
      <c r="DV4" s="486"/>
      <c r="DW4" s="486"/>
      <c r="DX4" s="486"/>
      <c r="DY4" s="486"/>
      <c r="DZ4" s="486"/>
      <c r="EA4" s="486"/>
      <c r="EB4" s="486"/>
      <c r="EC4" s="486"/>
      <c r="ED4" s="486"/>
    </row>
    <row r="5" spans="2:134" ht="12.75" customHeight="1" x14ac:dyDescent="0.25">
      <c r="B5" s="303"/>
    </row>
    <row r="6" spans="2:134" ht="12.75" customHeight="1" x14ac:dyDescent="0.25">
      <c r="B6" s="2" t="s">
        <v>421</v>
      </c>
      <c r="K6" s="404">
        <f>+Inputs!$L$119</f>
        <v>35110.980000000003</v>
      </c>
    </row>
    <row r="7" spans="2:134" ht="12.75" customHeight="1" x14ac:dyDescent="0.25">
      <c r="B7" s="2" t="s">
        <v>577</v>
      </c>
      <c r="K7" s="404">
        <f>+Inputs!$L$121</f>
        <v>608088</v>
      </c>
    </row>
    <row r="8" spans="2:134" ht="12.75" customHeight="1" x14ac:dyDescent="0.25">
      <c r="K8" s="516"/>
    </row>
    <row r="9" spans="2:134" ht="12.75" customHeight="1" x14ac:dyDescent="0.25">
      <c r="B9" s="488" t="s">
        <v>308</v>
      </c>
      <c r="C9" s="489"/>
      <c r="D9" s="489"/>
      <c r="E9" s="489"/>
      <c r="F9" s="489"/>
      <c r="G9" s="489"/>
      <c r="H9" s="489"/>
      <c r="I9" s="489"/>
      <c r="J9" s="489"/>
      <c r="K9" s="489"/>
    </row>
    <row r="10" spans="2:134" ht="12.75" customHeight="1" x14ac:dyDescent="0.25">
      <c r="B10" s="416"/>
      <c r="C10" s="408"/>
      <c r="D10" s="408"/>
      <c r="E10" s="408"/>
      <c r="F10" s="408"/>
      <c r="G10" s="408"/>
      <c r="H10" s="408"/>
      <c r="I10" s="408"/>
      <c r="J10" s="408"/>
      <c r="K10" s="409"/>
    </row>
    <row r="11" spans="2:134" ht="12.75" customHeight="1" x14ac:dyDescent="0.25">
      <c r="B11" s="492" t="s">
        <v>384</v>
      </c>
      <c r="E11" s="496" t="s">
        <v>107</v>
      </c>
      <c r="F11" s="496" t="s">
        <v>1</v>
      </c>
      <c r="G11" s="318" t="s">
        <v>383</v>
      </c>
      <c r="H11" s="318" t="s">
        <v>385</v>
      </c>
      <c r="I11" s="318" t="s">
        <v>386</v>
      </c>
      <c r="J11" s="318" t="s">
        <v>382</v>
      </c>
      <c r="K11" s="319" t="s">
        <v>315</v>
      </c>
    </row>
    <row r="12" spans="2:134" ht="12.75" customHeight="1" x14ac:dyDescent="0.25">
      <c r="B12" s="493" t="s">
        <v>262</v>
      </c>
      <c r="E12" s="490">
        <f t="shared" ref="E12:E21" si="0">+F12/$F$22</f>
        <v>0.48521935006420663</v>
      </c>
      <c r="F12" s="459">
        <f>+$K$62</f>
        <v>3075.9608532715401</v>
      </c>
      <c r="G12" s="459">
        <f t="shared" ref="G12:G21" si="1">+F12*$K$36</f>
        <v>2764.5709627842143</v>
      </c>
      <c r="H12" s="459">
        <f>+IFERROR(G12/Inputs!$G$23,0)</f>
        <v>20.631126587941896</v>
      </c>
      <c r="I12" s="459">
        <f t="shared" ref="I12:I21" si="2">+F12*$K$37</f>
        <v>311.38989048732594</v>
      </c>
      <c r="J12" s="491">
        <f>+F12/Inputs!$D$17</f>
        <v>0.45283264754001568</v>
      </c>
      <c r="K12" s="494">
        <f>+J12/12</f>
        <v>3.7736053961667973E-2</v>
      </c>
    </row>
    <row r="13" spans="2:134" ht="12.75" customHeight="1" x14ac:dyDescent="0.25">
      <c r="B13" s="493" t="s">
        <v>265</v>
      </c>
      <c r="E13" s="490">
        <f t="shared" si="0"/>
        <v>0.12760542769814093</v>
      </c>
      <c r="F13" s="459">
        <f>+$K$69</f>
        <v>808.9316722684589</v>
      </c>
      <c r="G13" s="459">
        <f t="shared" si="1"/>
        <v>727.04079105926041</v>
      </c>
      <c r="H13" s="459">
        <f>+IFERROR(G13/Inputs!$G$23,0)</f>
        <v>5.4256775452183614</v>
      </c>
      <c r="I13" s="253">
        <f t="shared" si="2"/>
        <v>81.890881209198596</v>
      </c>
      <c r="J13" s="491">
        <f>+F13/Inputs!$D$17</f>
        <v>0.11908820960536498</v>
      </c>
      <c r="K13" s="494">
        <f t="shared" ref="K13:K21" si="3">+J13/12</f>
        <v>9.924017467113749E-3</v>
      </c>
    </row>
    <row r="14" spans="2:134" ht="12.75" customHeight="1" x14ac:dyDescent="0.25">
      <c r="B14" s="493" t="s">
        <v>267</v>
      </c>
      <c r="E14" s="490">
        <f t="shared" si="0"/>
        <v>3.6991347750423342E-2</v>
      </c>
      <c r="F14" s="459">
        <f>+$K$77</f>
        <v>234.5</v>
      </c>
      <c r="G14" s="459">
        <f t="shared" si="1"/>
        <v>210.7607741767539</v>
      </c>
      <c r="H14" s="459">
        <f>+IFERROR(G14/Inputs!$G$23,0)</f>
        <v>1.5728415983339843</v>
      </c>
      <c r="I14" s="253">
        <f t="shared" si="2"/>
        <v>23.739225823246127</v>
      </c>
      <c r="J14" s="491">
        <f>+F14/Inputs!$D$17</f>
        <v>3.4522304058321344E-2</v>
      </c>
      <c r="K14" s="494">
        <f t="shared" si="3"/>
        <v>2.8768586715267786E-3</v>
      </c>
    </row>
    <row r="15" spans="2:134" ht="12.75" customHeight="1" x14ac:dyDescent="0.25">
      <c r="B15" s="493" t="s">
        <v>269</v>
      </c>
      <c r="E15" s="490">
        <f t="shared" si="0"/>
        <v>0.1129344629024243</v>
      </c>
      <c r="F15" s="459">
        <f>+$K$86</f>
        <v>715.92772800000012</v>
      </c>
      <c r="G15" s="459">
        <f t="shared" si="1"/>
        <v>643.45194971379328</v>
      </c>
      <c r="H15" s="459">
        <f>+IFERROR(G15/Inputs!$G$23,0)</f>
        <v>4.8018802217447263</v>
      </c>
      <c r="I15" s="253">
        <f t="shared" si="2"/>
        <v>72.47577828620696</v>
      </c>
      <c r="J15" s="491">
        <f>+F15/Inputs!$D$17</f>
        <v>0.10539648063880248</v>
      </c>
      <c r="K15" s="494">
        <f t="shared" si="3"/>
        <v>8.7830400532335397E-3</v>
      </c>
    </row>
    <row r="16" spans="2:134" ht="12.75" customHeight="1" x14ac:dyDescent="0.25">
      <c r="B16" s="493" t="s">
        <v>272</v>
      </c>
      <c r="E16" s="490">
        <f t="shared" si="0"/>
        <v>3.7858948657149692E-2</v>
      </c>
      <c r="F16" s="459">
        <f>+$K$92</f>
        <v>240</v>
      </c>
      <c r="G16" s="459">
        <f t="shared" si="1"/>
        <v>215.7039906286607</v>
      </c>
      <c r="H16" s="459">
        <f>+IFERROR(G16/Inputs!$G$23,0)</f>
        <v>1.6097312733482143</v>
      </c>
      <c r="I16" s="253">
        <f t="shared" si="2"/>
        <v>24.29600937133932</v>
      </c>
      <c r="J16" s="491">
        <f>+F16/Inputs!$D$17</f>
        <v>3.5331995624721203E-2</v>
      </c>
      <c r="K16" s="494">
        <f t="shared" si="3"/>
        <v>2.9443329687267668E-3</v>
      </c>
    </row>
    <row r="17" spans="1:12" ht="12.75" customHeight="1" x14ac:dyDescent="0.25">
      <c r="B17" s="493" t="s">
        <v>274</v>
      </c>
      <c r="E17" s="490">
        <f t="shared" si="0"/>
        <v>3.7858948657149692E-2</v>
      </c>
      <c r="F17" s="459">
        <f>+$K$97</f>
        <v>240</v>
      </c>
      <c r="G17" s="459">
        <f t="shared" si="1"/>
        <v>215.7039906286607</v>
      </c>
      <c r="H17" s="459">
        <f>+IFERROR(G17/Inputs!$G$23,0)</f>
        <v>1.6097312733482143</v>
      </c>
      <c r="I17" s="253">
        <f t="shared" si="2"/>
        <v>24.29600937133932</v>
      </c>
      <c r="J17" s="491">
        <f>+F17/Inputs!$D$17</f>
        <v>3.5331995624721203E-2</v>
      </c>
      <c r="K17" s="494">
        <f t="shared" si="3"/>
        <v>2.9443329687267668E-3</v>
      </c>
    </row>
    <row r="18" spans="1:12" ht="12.75" customHeight="1" x14ac:dyDescent="0.25">
      <c r="B18" s="493" t="s">
        <v>276</v>
      </c>
      <c r="E18" s="490">
        <f t="shared" si="0"/>
        <v>0.15774561940479037</v>
      </c>
      <c r="F18" s="459">
        <f>+$K$102</f>
        <v>1000</v>
      </c>
      <c r="G18" s="459">
        <f t="shared" si="1"/>
        <v>898.76662761941964</v>
      </c>
      <c r="H18" s="459">
        <f>+IFERROR(G18/Inputs!$G$23,0)</f>
        <v>6.7072136389508925</v>
      </c>
      <c r="I18" s="253">
        <f t="shared" si="2"/>
        <v>101.23337238058051</v>
      </c>
      <c r="J18" s="491">
        <f>+F18/Inputs!$D$17</f>
        <v>0.14721664843633836</v>
      </c>
      <c r="K18" s="494">
        <f t="shared" si="3"/>
        <v>1.2268054036361531E-2</v>
      </c>
    </row>
    <row r="19" spans="1:12" ht="12.75" customHeight="1" x14ac:dyDescent="0.25">
      <c r="B19" s="493" t="s">
        <v>96</v>
      </c>
      <c r="E19" s="490">
        <f t="shared" si="0"/>
        <v>0</v>
      </c>
      <c r="F19" s="459">
        <f>+$K$112</f>
        <v>0</v>
      </c>
      <c r="G19" s="459">
        <f t="shared" si="1"/>
        <v>0</v>
      </c>
      <c r="H19" s="459">
        <f>+IFERROR(G19/Inputs!$G$23,0)</f>
        <v>0</v>
      </c>
      <c r="I19" s="253">
        <f t="shared" si="2"/>
        <v>0</v>
      </c>
      <c r="J19" s="491">
        <f>+F19/Inputs!$D$17</f>
        <v>0</v>
      </c>
      <c r="K19" s="494">
        <f t="shared" si="3"/>
        <v>0</v>
      </c>
    </row>
    <row r="20" spans="1:12" ht="12.75" customHeight="1" x14ac:dyDescent="0.25">
      <c r="A20" s="43"/>
      <c r="B20" s="493" t="s">
        <v>280</v>
      </c>
      <c r="E20" s="490">
        <f t="shared" si="0"/>
        <v>0</v>
      </c>
      <c r="F20" s="459">
        <f>+$K$122+$K$126</f>
        <v>0</v>
      </c>
      <c r="G20" s="459">
        <f t="shared" si="1"/>
        <v>0</v>
      </c>
      <c r="H20" s="459">
        <f>+IFERROR(G20/Inputs!$G$23,0)</f>
        <v>0</v>
      </c>
      <c r="I20" s="253">
        <f t="shared" si="2"/>
        <v>0</v>
      </c>
      <c r="J20" s="491">
        <f>+F20/Inputs!$D$17</f>
        <v>0</v>
      </c>
      <c r="K20" s="494">
        <f>+J20/12</f>
        <v>0</v>
      </c>
      <c r="L20" s="43"/>
    </row>
    <row r="21" spans="1:12" ht="12.75" customHeight="1" x14ac:dyDescent="0.25">
      <c r="B21" s="493" t="s">
        <v>282</v>
      </c>
      <c r="E21" s="490">
        <f t="shared" si="0"/>
        <v>3.785894865714969E-3</v>
      </c>
      <c r="F21" s="459">
        <f>+$K$131</f>
        <v>24</v>
      </c>
      <c r="G21" s="459">
        <f t="shared" si="1"/>
        <v>21.57039906286607</v>
      </c>
      <c r="H21" s="459">
        <f>+IFERROR(G21/Inputs!$G$23,0)</f>
        <v>0.16097312733482141</v>
      </c>
      <c r="I21" s="253">
        <f t="shared" si="2"/>
        <v>2.429600937133932</v>
      </c>
      <c r="J21" s="491">
        <f>+F21/Inputs!$D$17</f>
        <v>3.5331995624721204E-3</v>
      </c>
      <c r="K21" s="494">
        <f t="shared" si="3"/>
        <v>2.944332968726767E-4</v>
      </c>
    </row>
    <row r="22" spans="1:12" ht="12.75" customHeight="1" x14ac:dyDescent="0.25">
      <c r="B22" s="425" t="s">
        <v>285</v>
      </c>
      <c r="C22" s="426"/>
      <c r="D22" s="426"/>
      <c r="E22" s="511">
        <f>+SUM(E12:E21)</f>
        <v>0.99999999999999989</v>
      </c>
      <c r="F22" s="431">
        <f>SUM(F12:F21)</f>
        <v>6339.3202535399996</v>
      </c>
      <c r="G22" s="431">
        <f>SUM(G12:G21)</f>
        <v>5697.5694856736291</v>
      </c>
      <c r="H22" s="431">
        <f>+SUM(H12:H21)</f>
        <v>42.519175266221112</v>
      </c>
      <c r="I22" s="431">
        <f>+SUM(I12:I21)</f>
        <v>641.75076786637067</v>
      </c>
      <c r="J22" s="569">
        <f>+SUM(J12:J21)</f>
        <v>0.93325348109075734</v>
      </c>
      <c r="K22" s="570">
        <f>+SUM(K12:K21)</f>
        <v>7.7771123424229788E-2</v>
      </c>
    </row>
    <row r="23" spans="1:12" ht="12.75" customHeight="1" x14ac:dyDescent="0.25">
      <c r="B23" s="492"/>
      <c r="E23" s="458"/>
      <c r="F23" s="458"/>
      <c r="G23" s="461"/>
      <c r="H23" s="461"/>
      <c r="I23" s="461"/>
      <c r="J23" s="461"/>
      <c r="K23" s="495"/>
    </row>
    <row r="24" spans="1:12" ht="12.75" customHeight="1" x14ac:dyDescent="0.25">
      <c r="B24" s="492"/>
      <c r="E24" s="458"/>
      <c r="F24" s="458"/>
      <c r="G24" s="461"/>
      <c r="H24" s="461"/>
      <c r="I24" s="461"/>
      <c r="J24" s="461"/>
      <c r="K24" s="495"/>
    </row>
    <row r="25" spans="1:12" ht="12.75" customHeight="1" x14ac:dyDescent="0.25">
      <c r="B25" s="492" t="s">
        <v>288</v>
      </c>
      <c r="E25" s="496" t="s">
        <v>107</v>
      </c>
      <c r="F25" s="496" t="s">
        <v>261</v>
      </c>
      <c r="G25" s="318" t="s">
        <v>312</v>
      </c>
      <c r="H25" s="318" t="s">
        <v>10</v>
      </c>
      <c r="I25" s="318" t="s">
        <v>313</v>
      </c>
      <c r="J25" s="318" t="s">
        <v>314</v>
      </c>
      <c r="K25" s="319" t="s">
        <v>315</v>
      </c>
    </row>
    <row r="26" spans="1:12" ht="12.75" customHeight="1" x14ac:dyDescent="0.25">
      <c r="B26" s="493" t="s">
        <v>98</v>
      </c>
      <c r="E26" s="490">
        <f>+F26/$F$28</f>
        <v>0.88729416213813161</v>
      </c>
      <c r="F26" s="459">
        <f>+K157</f>
        <v>4454.2418788596915</v>
      </c>
      <c r="G26" s="459">
        <f>+F26*$K$36</f>
        <v>4003.3239520639122</v>
      </c>
      <c r="H26" s="459">
        <f>+IFERROR(G26/Inputs!$G$23,0)</f>
        <v>29.875551881073971</v>
      </c>
      <c r="I26" s="253">
        <f>+F26-G26</f>
        <v>450.91792679577929</v>
      </c>
      <c r="J26" s="491">
        <f>+F26/Inputs!$D$17</f>
        <v>0.65573856073050241</v>
      </c>
      <c r="K26" s="494">
        <f>+J26/12</f>
        <v>5.4644880060875201E-2</v>
      </c>
    </row>
    <row r="27" spans="1:12" ht="12.75" customHeight="1" x14ac:dyDescent="0.25">
      <c r="B27" s="493" t="s">
        <v>291</v>
      </c>
      <c r="E27" s="490">
        <f>+F27/$F$28</f>
        <v>0.11270583786186841</v>
      </c>
      <c r="F27" s="459">
        <f>+K171</f>
        <v>565.78650510511477</v>
      </c>
      <c r="G27" s="459">
        <f>+F27*$K$36</f>
        <v>508.51002914590151</v>
      </c>
      <c r="H27" s="459">
        <f>+IFERROR(G27/Inputs!$G$23,0)</f>
        <v>3.7948509637753842</v>
      </c>
      <c r="I27" s="253">
        <f>+F27*$K$37</f>
        <v>57.276475959213293</v>
      </c>
      <c r="J27" s="491">
        <f>+F27/Inputs!$D$17</f>
        <v>8.3293193012084238E-2</v>
      </c>
      <c r="K27" s="494">
        <f>+J27/12</f>
        <v>6.9410994176736865E-3</v>
      </c>
    </row>
    <row r="28" spans="1:12" ht="12.75" customHeight="1" x14ac:dyDescent="0.25">
      <c r="B28" s="425" t="s">
        <v>293</v>
      </c>
      <c r="C28" s="426"/>
      <c r="D28" s="426"/>
      <c r="E28" s="511">
        <f t="shared" ref="E28:K28" si="4">+SUM(E26:E27)</f>
        <v>1</v>
      </c>
      <c r="F28" s="431">
        <f t="shared" si="4"/>
        <v>5020.0283839648064</v>
      </c>
      <c r="G28" s="431">
        <f t="shared" si="4"/>
        <v>4511.8339812098138</v>
      </c>
      <c r="H28" s="431">
        <f t="shared" si="4"/>
        <v>33.670402844849356</v>
      </c>
      <c r="I28" s="431">
        <f t="shared" si="4"/>
        <v>508.19440275499261</v>
      </c>
      <c r="J28" s="569">
        <f t="shared" si="4"/>
        <v>0.73903175374258667</v>
      </c>
      <c r="K28" s="570">
        <f t="shared" si="4"/>
        <v>6.1585979478548887E-2</v>
      </c>
    </row>
    <row r="29" spans="1:12" ht="12.75" customHeight="1" thickBot="1" x14ac:dyDescent="0.3">
      <c r="B29" s="500"/>
      <c r="C29" s="501"/>
      <c r="D29" s="501"/>
      <c r="E29" s="501"/>
      <c r="F29" s="501"/>
      <c r="G29" s="502"/>
      <c r="H29" s="502"/>
      <c r="I29" s="502"/>
      <c r="J29" s="502"/>
      <c r="K29" s="503"/>
    </row>
    <row r="30" spans="1:12" ht="12.75" customHeight="1" thickTop="1" x14ac:dyDescent="0.25">
      <c r="B30" s="497" t="s">
        <v>294</v>
      </c>
      <c r="C30" s="498"/>
      <c r="D30" s="498"/>
      <c r="E30" s="498"/>
      <c r="F30" s="499">
        <f t="shared" ref="F30:K30" si="5">+SUM(F22,F28)</f>
        <v>11359.348637504805</v>
      </c>
      <c r="G30" s="499">
        <f t="shared" si="5"/>
        <v>10209.403466883443</v>
      </c>
      <c r="H30" s="499">
        <f t="shared" si="5"/>
        <v>76.18957811107046</v>
      </c>
      <c r="I30" s="499">
        <f t="shared" si="5"/>
        <v>1149.9451706213633</v>
      </c>
      <c r="J30" s="571">
        <f t="shared" si="5"/>
        <v>1.6722852348333439</v>
      </c>
      <c r="K30" s="572">
        <f t="shared" si="5"/>
        <v>0.13935710290277867</v>
      </c>
    </row>
    <row r="31" spans="1:12" ht="12.75" customHeight="1" x14ac:dyDescent="0.25"/>
    <row r="32" spans="1:12" ht="12.75" customHeight="1" x14ac:dyDescent="0.25"/>
    <row r="33" spans="2:11" ht="12.75" customHeight="1" x14ac:dyDescent="0.25">
      <c r="B33" s="488" t="s">
        <v>343</v>
      </c>
      <c r="C33" s="489"/>
      <c r="D33" s="489"/>
      <c r="E33" s="489"/>
      <c r="F33" s="489"/>
      <c r="G33" s="489"/>
      <c r="H33" s="489"/>
      <c r="I33" s="489"/>
      <c r="J33" s="489"/>
      <c r="K33" s="489"/>
    </row>
    <row r="34" spans="2:11" ht="12.75" customHeight="1" x14ac:dyDescent="0.25">
      <c r="B34" s="416"/>
      <c r="C34" s="408"/>
      <c r="D34" s="408"/>
      <c r="E34" s="408"/>
      <c r="F34" s="408"/>
      <c r="G34" s="408"/>
      <c r="H34" s="408"/>
      <c r="I34" s="408"/>
      <c r="J34" s="408"/>
      <c r="K34" s="409"/>
    </row>
    <row r="35" spans="2:11" ht="12.75" customHeight="1" x14ac:dyDescent="0.25">
      <c r="B35" s="556" t="s">
        <v>380</v>
      </c>
      <c r="K35" s="411"/>
    </row>
    <row r="36" spans="2:11" ht="12.75" customHeight="1" x14ac:dyDescent="0.25">
      <c r="B36" s="433" t="s">
        <v>344</v>
      </c>
      <c r="J36" s="535">
        <f>+Inputs!$C$14</f>
        <v>8631.5300000000007</v>
      </c>
      <c r="K36" s="558">
        <f>J36/SUM($J$36:$J$37)</f>
        <v>0.89876662761941961</v>
      </c>
    </row>
    <row r="37" spans="2:11" ht="12.75" customHeight="1" x14ac:dyDescent="0.25">
      <c r="B37" s="433" t="s">
        <v>345</v>
      </c>
      <c r="J37" s="535">
        <f>+Inputs!$C$15+Inputs!$C$16</f>
        <v>972.22</v>
      </c>
      <c r="K37" s="558">
        <f>J37/SUM($J$36:$J$37)</f>
        <v>0.1012333723805805</v>
      </c>
    </row>
    <row r="38" spans="2:11" ht="12.75" customHeight="1" x14ac:dyDescent="0.25">
      <c r="B38" s="433"/>
      <c r="J38" s="535"/>
      <c r="K38" s="558"/>
    </row>
    <row r="39" spans="2:11" ht="12.75" customHeight="1" x14ac:dyDescent="0.25">
      <c r="B39" s="556" t="s">
        <v>380</v>
      </c>
      <c r="K39" s="411"/>
    </row>
    <row r="40" spans="2:11" ht="12.75" customHeight="1" x14ac:dyDescent="0.25">
      <c r="B40" s="433" t="s">
        <v>344</v>
      </c>
      <c r="J40" s="535">
        <f>+Inputs!$C$14</f>
        <v>8631.5300000000007</v>
      </c>
      <c r="K40" s="558">
        <f>+J40/SUM($J$40:$J$42)</f>
        <v>0.5990033185702528</v>
      </c>
    </row>
    <row r="41" spans="2:11" ht="12.75" customHeight="1" x14ac:dyDescent="0.25">
      <c r="B41" s="433" t="s">
        <v>345</v>
      </c>
      <c r="J41" s="535">
        <f>+Inputs!$C$15+Inputs!$C$16</f>
        <v>972.22</v>
      </c>
      <c r="K41" s="558">
        <f>+J41/SUM($J$40:$J$42)</f>
        <v>6.7469267485645204E-2</v>
      </c>
    </row>
    <row r="42" spans="2:11" ht="12.75" customHeight="1" x14ac:dyDescent="0.25">
      <c r="B42" s="557" t="s">
        <v>426</v>
      </c>
      <c r="C42" s="413"/>
      <c r="D42" s="413"/>
      <c r="E42" s="413"/>
      <c r="F42" s="413"/>
      <c r="G42" s="413"/>
      <c r="H42" s="413"/>
      <c r="I42" s="413"/>
      <c r="J42" s="537">
        <f>+Inputs!$C$18</f>
        <v>4806.07</v>
      </c>
      <c r="K42" s="559">
        <f>+J42/SUM($J$40:$J$42)</f>
        <v>0.33352741394410201</v>
      </c>
    </row>
    <row r="43" spans="2:11" ht="12.75" customHeight="1" x14ac:dyDescent="0.25">
      <c r="B43" s="463"/>
      <c r="J43" s="535"/>
      <c r="K43" s="573"/>
    </row>
    <row r="44" spans="2:11" ht="12.75" customHeight="1" x14ac:dyDescent="0.25"/>
    <row r="45" spans="2:11" ht="12.75" customHeight="1" x14ac:dyDescent="0.25">
      <c r="B45" s="488" t="s">
        <v>316</v>
      </c>
      <c r="C45" s="489"/>
      <c r="D45" s="489"/>
      <c r="E45" s="489"/>
      <c r="F45" s="489"/>
      <c r="G45" s="489"/>
      <c r="H45" s="489"/>
      <c r="I45" s="489"/>
      <c r="J45" s="489"/>
      <c r="K45" s="513"/>
    </row>
    <row r="46" spans="2:11" ht="12.75" customHeight="1" x14ac:dyDescent="0.25">
      <c r="B46" s="508"/>
      <c r="C46" s="509"/>
      <c r="D46" s="509"/>
      <c r="E46" s="509"/>
      <c r="F46" s="509"/>
      <c r="G46" s="509"/>
      <c r="H46" s="509"/>
      <c r="I46" s="509"/>
      <c r="J46" s="509"/>
      <c r="K46" s="510"/>
    </row>
    <row r="47" spans="2:11" ht="12.75" customHeight="1" x14ac:dyDescent="0.25">
      <c r="B47" s="512"/>
      <c r="C47" s="504"/>
      <c r="D47" s="504"/>
      <c r="E47" s="504"/>
      <c r="F47" s="504"/>
      <c r="G47" s="504"/>
      <c r="H47" s="496" t="s">
        <v>317</v>
      </c>
      <c r="I47" s="496" t="s">
        <v>339</v>
      </c>
      <c r="J47" s="496" t="s">
        <v>339</v>
      </c>
      <c r="K47" s="514" t="s">
        <v>340</v>
      </c>
    </row>
    <row r="48" spans="2:11" ht="12.75" customHeight="1" x14ac:dyDescent="0.25">
      <c r="B48" s="492" t="s">
        <v>262</v>
      </c>
      <c r="E48" s="504"/>
      <c r="F48" s="504"/>
      <c r="G48" s="504"/>
      <c r="I48" s="469" t="s">
        <v>318</v>
      </c>
      <c r="J48" s="469" t="s">
        <v>319</v>
      </c>
      <c r="K48" s="515" t="s">
        <v>341</v>
      </c>
    </row>
    <row r="49" spans="2:11" ht="12.75" customHeight="1" x14ac:dyDescent="0.25">
      <c r="B49" s="493" t="s">
        <v>263</v>
      </c>
      <c r="E49" s="490"/>
      <c r="F49" s="459"/>
      <c r="G49" s="459"/>
      <c r="H49" s="566">
        <v>0.5</v>
      </c>
      <c r="I49" s="566">
        <v>500000</v>
      </c>
      <c r="J49" s="642">
        <f t="shared" ref="J49:J61" si="6">+I49/$K$6</f>
        <v>14.240559505886761</v>
      </c>
      <c r="K49" s="494">
        <f t="shared" ref="K49:K61" si="7">+H49*J49*(1+$K$63)</f>
        <v>8.9003496911792261</v>
      </c>
    </row>
    <row r="50" spans="2:11" ht="12.75" customHeight="1" x14ac:dyDescent="0.25">
      <c r="B50" s="493" t="s">
        <v>266</v>
      </c>
      <c r="E50" s="490"/>
      <c r="F50" s="459"/>
      <c r="G50" s="459"/>
      <c r="H50" s="566">
        <v>0</v>
      </c>
      <c r="I50" s="566">
        <v>8000000</v>
      </c>
      <c r="J50" s="642">
        <f t="shared" si="6"/>
        <v>227.84895209418818</v>
      </c>
      <c r="K50" s="494">
        <f t="shared" si="7"/>
        <v>0</v>
      </c>
    </row>
    <row r="51" spans="2:11" ht="12.75" customHeight="1" x14ac:dyDescent="0.25">
      <c r="B51" s="493" t="s">
        <v>268</v>
      </c>
      <c r="E51" s="490"/>
      <c r="F51" s="459"/>
      <c r="G51" s="459"/>
      <c r="H51" s="566">
        <v>1</v>
      </c>
      <c r="I51" s="566">
        <v>1800000</v>
      </c>
      <c r="J51" s="642">
        <f t="shared" si="6"/>
        <v>51.266014221192343</v>
      </c>
      <c r="K51" s="494">
        <f t="shared" si="7"/>
        <v>64.082517776490434</v>
      </c>
    </row>
    <row r="52" spans="2:11" ht="12.75" customHeight="1" x14ac:dyDescent="0.25">
      <c r="B52" s="493" t="s">
        <v>270</v>
      </c>
      <c r="E52" s="490"/>
      <c r="F52" s="459"/>
      <c r="G52" s="459"/>
      <c r="H52" s="566">
        <v>0</v>
      </c>
      <c r="I52" s="566">
        <v>1000000</v>
      </c>
      <c r="J52" s="642">
        <f t="shared" si="6"/>
        <v>28.481119011773522</v>
      </c>
      <c r="K52" s="494">
        <f t="shared" si="7"/>
        <v>0</v>
      </c>
    </row>
    <row r="53" spans="2:11" ht="12.75" customHeight="1" x14ac:dyDescent="0.25">
      <c r="B53" s="493" t="s">
        <v>273</v>
      </c>
      <c r="E53" s="490"/>
      <c r="F53" s="459"/>
      <c r="G53" s="459"/>
      <c r="H53" s="566">
        <v>1</v>
      </c>
      <c r="I53" s="566">
        <v>600000</v>
      </c>
      <c r="J53" s="642">
        <f t="shared" si="6"/>
        <v>17.088671407064112</v>
      </c>
      <c r="K53" s="494">
        <f t="shared" si="7"/>
        <v>21.36083925883014</v>
      </c>
    </row>
    <row r="54" spans="2:11" ht="12.75" customHeight="1" x14ac:dyDescent="0.25">
      <c r="B54" s="493" t="s">
        <v>275</v>
      </c>
      <c r="E54" s="490"/>
      <c r="F54" s="459"/>
      <c r="G54" s="459"/>
      <c r="H54" s="566">
        <v>1</v>
      </c>
      <c r="I54" s="566">
        <v>350000</v>
      </c>
      <c r="J54" s="642">
        <f t="shared" si="6"/>
        <v>9.9683916541207331</v>
      </c>
      <c r="K54" s="494">
        <f t="shared" si="7"/>
        <v>12.460489567650917</v>
      </c>
    </row>
    <row r="55" spans="2:11" ht="12.75" customHeight="1" x14ac:dyDescent="0.25">
      <c r="B55" s="493" t="s">
        <v>277</v>
      </c>
      <c r="E55" s="490"/>
      <c r="F55" s="459"/>
      <c r="G55" s="459"/>
      <c r="H55" s="566">
        <v>0</v>
      </c>
      <c r="I55" s="566">
        <v>250000</v>
      </c>
      <c r="J55" s="642">
        <f t="shared" si="6"/>
        <v>7.1202797529433806</v>
      </c>
      <c r="K55" s="494">
        <f t="shared" si="7"/>
        <v>0</v>
      </c>
    </row>
    <row r="56" spans="2:11" ht="12.75" customHeight="1" x14ac:dyDescent="0.25">
      <c r="B56" s="493" t="s">
        <v>278</v>
      </c>
      <c r="E56" s="490"/>
      <c r="F56" s="459"/>
      <c r="G56" s="459"/>
      <c r="H56" s="566">
        <v>0</v>
      </c>
      <c r="I56" s="566">
        <v>1800000</v>
      </c>
      <c r="J56" s="642">
        <f t="shared" si="6"/>
        <v>51.266014221192343</v>
      </c>
      <c r="K56" s="494">
        <f t="shared" si="7"/>
        <v>0</v>
      </c>
    </row>
    <row r="57" spans="2:11" ht="12.75" customHeight="1" x14ac:dyDescent="0.25">
      <c r="B57" s="493" t="s">
        <v>279</v>
      </c>
      <c r="E57" s="490"/>
      <c r="F57" s="459"/>
      <c r="G57" s="459"/>
      <c r="H57" s="566">
        <v>2</v>
      </c>
      <c r="I57" s="566">
        <v>800000</v>
      </c>
      <c r="J57" s="642">
        <f t="shared" si="6"/>
        <v>22.784895209418817</v>
      </c>
      <c r="K57" s="494">
        <f t="shared" si="7"/>
        <v>56.962238023547044</v>
      </c>
    </row>
    <row r="58" spans="2:11" ht="12.75" customHeight="1" x14ac:dyDescent="0.25">
      <c r="B58" s="493" t="s">
        <v>281</v>
      </c>
      <c r="E58" s="490"/>
      <c r="F58" s="459"/>
      <c r="G58" s="459"/>
      <c r="H58" s="568">
        <f>+ROUND(K208,0)</f>
        <v>3</v>
      </c>
      <c r="I58" s="566">
        <v>300000</v>
      </c>
      <c r="J58" s="642">
        <f t="shared" si="6"/>
        <v>8.544335703532056</v>
      </c>
      <c r="K58" s="494">
        <f t="shared" si="7"/>
        <v>32.04125888824521</v>
      </c>
    </row>
    <row r="59" spans="2:11" ht="12.75" customHeight="1" x14ac:dyDescent="0.25">
      <c r="B59" s="493" t="s">
        <v>283</v>
      </c>
      <c r="E59" s="490"/>
      <c r="F59" s="459"/>
      <c r="G59" s="459"/>
      <c r="H59" s="566">
        <v>0</v>
      </c>
      <c r="I59" s="566">
        <v>2000000</v>
      </c>
      <c r="J59" s="642">
        <f t="shared" si="6"/>
        <v>56.962238023547044</v>
      </c>
      <c r="K59" s="494">
        <f t="shared" si="7"/>
        <v>0</v>
      </c>
    </row>
    <row r="60" spans="2:11" ht="12.75" customHeight="1" x14ac:dyDescent="0.25">
      <c r="B60" s="493" t="s">
        <v>286</v>
      </c>
      <c r="E60" s="490"/>
      <c r="F60" s="459"/>
      <c r="G60" s="459"/>
      <c r="H60" s="566">
        <v>1</v>
      </c>
      <c r="I60" s="566">
        <v>1000000</v>
      </c>
      <c r="J60" s="642">
        <f t="shared" si="6"/>
        <v>28.481119011773522</v>
      </c>
      <c r="K60" s="494">
        <f t="shared" si="7"/>
        <v>35.601398764716905</v>
      </c>
    </row>
    <row r="61" spans="2:11" ht="12.75" customHeight="1" x14ac:dyDescent="0.25">
      <c r="B61" s="493" t="s">
        <v>287</v>
      </c>
      <c r="E61" s="490"/>
      <c r="F61" s="459"/>
      <c r="G61" s="459"/>
      <c r="H61" s="566">
        <v>1</v>
      </c>
      <c r="I61" s="566">
        <v>700000</v>
      </c>
      <c r="J61" s="642">
        <f t="shared" si="6"/>
        <v>19.936783308241466</v>
      </c>
      <c r="K61" s="494">
        <f t="shared" si="7"/>
        <v>24.920979135301835</v>
      </c>
    </row>
    <row r="62" spans="2:11" ht="12.75" customHeight="1" x14ac:dyDescent="0.25">
      <c r="B62" s="429" t="s">
        <v>324</v>
      </c>
      <c r="C62" s="430"/>
      <c r="D62" s="430"/>
      <c r="E62" s="517"/>
      <c r="F62" s="518"/>
      <c r="G62" s="518"/>
      <c r="H62" s="518"/>
      <c r="I62" s="518"/>
      <c r="J62" s="518"/>
      <c r="K62" s="519">
        <f>+SUM(K49:K61)*12</f>
        <v>3075.9608532715401</v>
      </c>
    </row>
    <row r="63" spans="2:11" ht="12.75" customHeight="1" x14ac:dyDescent="0.25">
      <c r="B63" s="520" t="s">
        <v>290</v>
      </c>
      <c r="C63" s="408"/>
      <c r="D63" s="408"/>
      <c r="E63" s="509"/>
      <c r="F63" s="509"/>
      <c r="G63" s="509"/>
      <c r="H63" s="509"/>
      <c r="I63" s="509"/>
      <c r="J63" s="509"/>
      <c r="K63" s="521">
        <v>0.25</v>
      </c>
    </row>
    <row r="64" spans="2:11" ht="12.75" customHeight="1" x14ac:dyDescent="0.25">
      <c r="B64" s="522"/>
      <c r="E64" s="504"/>
      <c r="F64" s="504"/>
      <c r="G64" s="504"/>
      <c r="H64" s="504"/>
      <c r="I64" s="504"/>
      <c r="J64" s="504"/>
      <c r="K64" s="523"/>
    </row>
    <row r="65" spans="2:11" ht="12.75" customHeight="1" x14ac:dyDescent="0.25">
      <c r="B65" s="522"/>
      <c r="E65" s="504"/>
      <c r="F65" s="504"/>
      <c r="G65" s="504"/>
      <c r="H65" s="504"/>
      <c r="I65" s="504"/>
      <c r="J65" s="504"/>
      <c r="K65" s="411"/>
    </row>
    <row r="66" spans="2:11" ht="12.75" customHeight="1" x14ac:dyDescent="0.25">
      <c r="B66" s="492" t="s">
        <v>292</v>
      </c>
      <c r="E66" s="504"/>
      <c r="F66" s="504"/>
      <c r="G66" s="504"/>
      <c r="H66" s="504"/>
      <c r="K66" s="514" t="s">
        <v>340</v>
      </c>
    </row>
    <row r="67" spans="2:11" ht="12.75" customHeight="1" x14ac:dyDescent="0.25">
      <c r="B67" s="433" t="s">
        <v>342</v>
      </c>
      <c r="E67" s="504"/>
      <c r="F67" s="504"/>
      <c r="G67" s="504"/>
      <c r="H67" s="504"/>
      <c r="I67" s="461"/>
      <c r="J67" s="461"/>
      <c r="K67" s="565">
        <v>9.924017467113749E-3</v>
      </c>
    </row>
    <row r="68" spans="2:11" ht="12.75" customHeight="1" x14ac:dyDescent="0.25">
      <c r="B68" s="433" t="s">
        <v>338</v>
      </c>
      <c r="E68" s="504"/>
      <c r="F68" s="504"/>
      <c r="G68" s="504"/>
      <c r="H68" s="504"/>
      <c r="I68" s="462"/>
      <c r="J68" s="462"/>
      <c r="K68" s="541">
        <f>+Inputs!$D$17</f>
        <v>6792.7100000000009</v>
      </c>
    </row>
    <row r="69" spans="2:11" ht="12.75" customHeight="1" x14ac:dyDescent="0.25">
      <c r="B69" s="425" t="s">
        <v>325</v>
      </c>
      <c r="C69" s="426"/>
      <c r="D69" s="426"/>
      <c r="E69" s="511"/>
      <c r="F69" s="431"/>
      <c r="G69" s="431"/>
      <c r="H69" s="431"/>
      <c r="I69" s="431"/>
      <c r="J69" s="431"/>
      <c r="K69" s="432">
        <f>+K68*K67*12</f>
        <v>808.9316722684589</v>
      </c>
    </row>
    <row r="70" spans="2:11" ht="12.75" customHeight="1" x14ac:dyDescent="0.25">
      <c r="B70" s="530" t="s">
        <v>295</v>
      </c>
      <c r="E70" s="504"/>
      <c r="F70" s="504"/>
      <c r="G70" s="504"/>
      <c r="H70" s="504"/>
      <c r="K70" s="525"/>
    </row>
    <row r="71" spans="2:11" ht="12.75" customHeight="1" x14ac:dyDescent="0.25">
      <c r="B71" s="530"/>
      <c r="E71" s="504"/>
      <c r="F71" s="504"/>
      <c r="G71" s="504"/>
      <c r="H71" s="504"/>
      <c r="K71" s="525"/>
    </row>
    <row r="72" spans="2:11" ht="12.75" customHeight="1" x14ac:dyDescent="0.25">
      <c r="B72" s="522"/>
      <c r="E72" s="504"/>
      <c r="F72" s="504"/>
      <c r="G72" s="504"/>
      <c r="H72" s="504"/>
      <c r="K72" s="411"/>
    </row>
    <row r="73" spans="2:11" ht="12.75" customHeight="1" x14ac:dyDescent="0.25">
      <c r="B73" s="492" t="s">
        <v>267</v>
      </c>
      <c r="E73" s="504"/>
      <c r="F73" s="504"/>
      <c r="G73" s="504"/>
      <c r="H73" s="504"/>
      <c r="K73" s="515"/>
    </row>
    <row r="74" spans="2:11" ht="12.75" customHeight="1" x14ac:dyDescent="0.25">
      <c r="B74" s="433" t="s">
        <v>337</v>
      </c>
      <c r="E74" s="504"/>
      <c r="F74" s="504"/>
      <c r="G74" s="504"/>
      <c r="H74" s="504"/>
      <c r="I74" s="465"/>
      <c r="J74" s="465"/>
      <c r="K74" s="564">
        <v>3.5</v>
      </c>
    </row>
    <row r="75" spans="2:11" ht="12.75" customHeight="1" x14ac:dyDescent="0.25">
      <c r="B75" s="433" t="s">
        <v>223</v>
      </c>
      <c r="E75" s="504"/>
      <c r="F75" s="504"/>
      <c r="G75" s="504"/>
      <c r="H75" s="504"/>
      <c r="I75" s="465"/>
      <c r="J75" s="465"/>
      <c r="K75" s="532">
        <f>+Inputs!$G$23</f>
        <v>134</v>
      </c>
    </row>
    <row r="76" spans="2:11" ht="12.75" customHeight="1" x14ac:dyDescent="0.25">
      <c r="B76" s="433" t="s">
        <v>298</v>
      </c>
      <c r="E76" s="504"/>
      <c r="F76" s="504"/>
      <c r="G76" s="504"/>
      <c r="H76" s="504"/>
      <c r="I76" s="466"/>
      <c r="J76" s="466"/>
      <c r="K76" s="563">
        <v>0.5</v>
      </c>
    </row>
    <row r="77" spans="2:11" ht="12.75" customHeight="1" x14ac:dyDescent="0.25">
      <c r="B77" s="425" t="s">
        <v>326</v>
      </c>
      <c r="C77" s="426"/>
      <c r="D77" s="426"/>
      <c r="E77" s="511"/>
      <c r="F77" s="431"/>
      <c r="G77" s="431"/>
      <c r="H77" s="431"/>
      <c r="I77" s="431"/>
      <c r="J77" s="431"/>
      <c r="K77" s="432">
        <f>+K74*K75*K76</f>
        <v>234.5</v>
      </c>
    </row>
    <row r="78" spans="2:11" ht="12.75" customHeight="1" x14ac:dyDescent="0.25">
      <c r="B78" s="391"/>
      <c r="E78" s="504"/>
      <c r="F78" s="504"/>
      <c r="G78" s="504"/>
      <c r="H78" s="504"/>
      <c r="K78" s="411"/>
    </row>
    <row r="79" spans="2:11" ht="12.75" customHeight="1" x14ac:dyDescent="0.25">
      <c r="B79" s="391"/>
      <c r="E79" s="504"/>
      <c r="F79" s="504"/>
      <c r="G79" s="504"/>
      <c r="H79" s="504"/>
      <c r="J79" s="496" t="s">
        <v>340</v>
      </c>
      <c r="K79" s="514" t="s">
        <v>340</v>
      </c>
    </row>
    <row r="80" spans="2:11" ht="12.75" customHeight="1" x14ac:dyDescent="0.25">
      <c r="B80" s="492" t="s">
        <v>300</v>
      </c>
      <c r="E80" s="504"/>
      <c r="F80" s="504"/>
      <c r="G80" s="504"/>
      <c r="H80" s="504"/>
      <c r="I80" s="403"/>
      <c r="J80" s="469" t="s">
        <v>347</v>
      </c>
      <c r="K80" s="515" t="s">
        <v>348</v>
      </c>
    </row>
    <row r="81" spans="2:11" ht="12.75" customHeight="1" x14ac:dyDescent="0.25">
      <c r="B81" s="433" t="s">
        <v>320</v>
      </c>
      <c r="C81" s="467"/>
      <c r="E81" s="504"/>
      <c r="F81" s="504"/>
      <c r="G81" s="504"/>
      <c r="H81" s="504"/>
      <c r="I81" s="460"/>
      <c r="J81" s="567">
        <v>1.8E-3</v>
      </c>
      <c r="K81" s="526">
        <f>+J81*$K$85</f>
        <v>12.226878000000001</v>
      </c>
    </row>
    <row r="82" spans="2:11" ht="12.75" customHeight="1" x14ac:dyDescent="0.25">
      <c r="B82" s="433" t="s">
        <v>321</v>
      </c>
      <c r="C82" s="467"/>
      <c r="E82" s="504"/>
      <c r="F82" s="504"/>
      <c r="G82" s="504"/>
      <c r="H82" s="504"/>
      <c r="I82" s="460"/>
      <c r="J82" s="567">
        <v>2.2000000000000001E-3</v>
      </c>
      <c r="K82" s="526">
        <f>+J82*$J$36</f>
        <v>18.989366000000004</v>
      </c>
    </row>
    <row r="83" spans="2:11" ht="12.75" customHeight="1" x14ac:dyDescent="0.25">
      <c r="B83" s="433" t="s">
        <v>322</v>
      </c>
      <c r="C83" s="467"/>
      <c r="E83" s="504"/>
      <c r="F83" s="504"/>
      <c r="G83" s="504"/>
      <c r="H83" s="504"/>
      <c r="I83" s="460"/>
      <c r="J83" s="567">
        <v>0.02</v>
      </c>
      <c r="K83" s="526">
        <f>+J83*$J$37</f>
        <v>19.444400000000002</v>
      </c>
    </row>
    <row r="84" spans="2:11" ht="12.75" customHeight="1" x14ac:dyDescent="0.25">
      <c r="B84" s="433" t="s">
        <v>336</v>
      </c>
      <c r="C84" s="467"/>
      <c r="E84" s="504"/>
      <c r="F84" s="504"/>
      <c r="G84" s="504"/>
      <c r="H84" s="504"/>
      <c r="I84" s="460"/>
      <c r="J84" s="567">
        <v>1.8</v>
      </c>
      <c r="K84" s="526">
        <f>+J84*K191</f>
        <v>9</v>
      </c>
    </row>
    <row r="85" spans="2:11" ht="12.75" customHeight="1" x14ac:dyDescent="0.25">
      <c r="B85" s="433" t="s">
        <v>303</v>
      </c>
      <c r="E85" s="504"/>
      <c r="F85" s="504"/>
      <c r="G85" s="504"/>
      <c r="H85" s="504"/>
      <c r="I85" s="468"/>
      <c r="J85" s="468"/>
      <c r="K85" s="541">
        <f>+Inputs!$D$17</f>
        <v>6792.7100000000009</v>
      </c>
    </row>
    <row r="86" spans="2:11" ht="12.75" customHeight="1" x14ac:dyDescent="0.25">
      <c r="B86" s="425" t="s">
        <v>327</v>
      </c>
      <c r="C86" s="426"/>
      <c r="D86" s="426"/>
      <c r="E86" s="511"/>
      <c r="F86" s="431"/>
      <c r="G86" s="431"/>
      <c r="H86" s="431"/>
      <c r="I86" s="431"/>
      <c r="J86" s="431"/>
      <c r="K86" s="432">
        <f>SUM(K81:K84)*12</f>
        <v>715.92772800000012</v>
      </c>
    </row>
    <row r="87" spans="2:11" ht="12.75" customHeight="1" x14ac:dyDescent="0.25">
      <c r="B87" s="391"/>
      <c r="E87" s="504"/>
      <c r="F87" s="504"/>
      <c r="G87" s="504"/>
      <c r="H87" s="504"/>
      <c r="K87" s="411"/>
    </row>
    <row r="88" spans="2:11" ht="12.75" customHeight="1" x14ac:dyDescent="0.25">
      <c r="B88" s="391"/>
      <c r="E88" s="504"/>
      <c r="F88" s="504"/>
      <c r="G88" s="504"/>
      <c r="H88" s="504"/>
      <c r="K88" s="411"/>
    </row>
    <row r="89" spans="2:11" ht="12.75" customHeight="1" x14ac:dyDescent="0.25">
      <c r="B89" s="492" t="s">
        <v>272</v>
      </c>
      <c r="C89" s="458"/>
      <c r="J89" s="496"/>
      <c r="K89" s="514" t="s">
        <v>340</v>
      </c>
    </row>
    <row r="90" spans="2:11" ht="12.75" customHeight="1" x14ac:dyDescent="0.25">
      <c r="B90" s="433" t="s">
        <v>296</v>
      </c>
      <c r="C90" s="463"/>
      <c r="D90" s="464"/>
      <c r="E90" s="464"/>
      <c r="K90" s="554">
        <v>0</v>
      </c>
    </row>
    <row r="91" spans="2:11" ht="12.75" customHeight="1" x14ac:dyDescent="0.25">
      <c r="B91" s="433" t="s">
        <v>297</v>
      </c>
      <c r="C91" s="463"/>
      <c r="J91" s="974"/>
      <c r="K91" s="554">
        <v>20</v>
      </c>
    </row>
    <row r="92" spans="2:11" ht="12.75" customHeight="1" x14ac:dyDescent="0.25">
      <c r="B92" s="425" t="s">
        <v>346</v>
      </c>
      <c r="C92" s="426"/>
      <c r="D92" s="426"/>
      <c r="E92" s="511"/>
      <c r="F92" s="431"/>
      <c r="G92" s="431"/>
      <c r="H92" s="431"/>
      <c r="I92" s="431"/>
      <c r="J92" s="431"/>
      <c r="K92" s="432">
        <f>+SUM(K90:K91)*12</f>
        <v>240</v>
      </c>
    </row>
    <row r="93" spans="2:11" ht="12.75" customHeight="1" x14ac:dyDescent="0.25">
      <c r="B93" s="507"/>
      <c r="C93" s="505"/>
      <c r="K93" s="524"/>
    </row>
    <row r="94" spans="2:11" ht="12.75" customHeight="1" x14ac:dyDescent="0.25">
      <c r="B94" s="507"/>
      <c r="C94" s="505"/>
      <c r="K94" s="524"/>
    </row>
    <row r="95" spans="2:11" ht="12.75" customHeight="1" x14ac:dyDescent="0.25">
      <c r="B95" s="492" t="s">
        <v>274</v>
      </c>
      <c r="K95" s="514" t="s">
        <v>340</v>
      </c>
    </row>
    <row r="96" spans="2:11" ht="12.75" customHeight="1" x14ac:dyDescent="0.25">
      <c r="B96" s="433" t="s">
        <v>102</v>
      </c>
      <c r="K96" s="553">
        <v>20</v>
      </c>
    </row>
    <row r="97" spans="2:11" ht="12.75" customHeight="1" x14ac:dyDescent="0.25">
      <c r="B97" s="425" t="s">
        <v>264</v>
      </c>
      <c r="C97" s="426"/>
      <c r="D97" s="426"/>
      <c r="E97" s="511"/>
      <c r="F97" s="431"/>
      <c r="G97" s="431"/>
      <c r="H97" s="431"/>
      <c r="I97" s="431"/>
      <c r="J97" s="431"/>
      <c r="K97" s="432">
        <f>+SUM(K96)*12</f>
        <v>240</v>
      </c>
    </row>
    <row r="98" spans="2:11" ht="12.75" customHeight="1" x14ac:dyDescent="0.25">
      <c r="B98" s="540"/>
      <c r="K98" s="524"/>
    </row>
    <row r="99" spans="2:11" ht="12.75" customHeight="1" x14ac:dyDescent="0.25">
      <c r="B99" s="522"/>
      <c r="K99" s="524"/>
    </row>
    <row r="100" spans="2:11" ht="12.75" customHeight="1" x14ac:dyDescent="0.25">
      <c r="B100" s="492" t="s">
        <v>276</v>
      </c>
      <c r="K100" s="514" t="s">
        <v>340</v>
      </c>
    </row>
    <row r="101" spans="2:11" ht="12.75" customHeight="1" x14ac:dyDescent="0.25">
      <c r="B101" s="433" t="s">
        <v>276</v>
      </c>
      <c r="K101" s="553">
        <v>83.333333333333329</v>
      </c>
    </row>
    <row r="102" spans="2:11" ht="12.75" customHeight="1" x14ac:dyDescent="0.25">
      <c r="B102" s="425" t="s">
        <v>271</v>
      </c>
      <c r="C102" s="426"/>
      <c r="D102" s="426"/>
      <c r="E102" s="511"/>
      <c r="F102" s="431"/>
      <c r="G102" s="431"/>
      <c r="H102" s="431"/>
      <c r="I102" s="431"/>
      <c r="J102" s="431"/>
      <c r="K102" s="432">
        <f>+SUM(K101)*12</f>
        <v>1000</v>
      </c>
    </row>
    <row r="103" spans="2:11" ht="12.75" customHeight="1" x14ac:dyDescent="0.25">
      <c r="B103" s="522"/>
      <c r="K103" s="524"/>
    </row>
    <row r="104" spans="2:11" ht="12.75" customHeight="1" x14ac:dyDescent="0.25">
      <c r="B104" s="433"/>
      <c r="J104" s="496" t="s">
        <v>339</v>
      </c>
      <c r="K104" s="524"/>
    </row>
    <row r="105" spans="2:11" ht="12.75" customHeight="1" x14ac:dyDescent="0.25">
      <c r="B105" s="492" t="s">
        <v>96</v>
      </c>
      <c r="J105" s="469" t="s">
        <v>318</v>
      </c>
      <c r="K105" s="524"/>
    </row>
    <row r="106" spans="2:11" ht="12.75" customHeight="1" x14ac:dyDescent="0.25">
      <c r="B106" s="433" t="s">
        <v>349</v>
      </c>
      <c r="C106" s="463"/>
      <c r="D106" s="464"/>
      <c r="E106" s="464"/>
      <c r="K106" s="554">
        <v>0</v>
      </c>
    </row>
    <row r="107" spans="2:11" ht="12.75" customHeight="1" x14ac:dyDescent="0.25">
      <c r="B107" s="433" t="s">
        <v>353</v>
      </c>
      <c r="C107" s="463"/>
      <c r="D107" s="464"/>
      <c r="E107" s="464"/>
      <c r="J107" s="553">
        <v>750000</v>
      </c>
      <c r="K107" s="528">
        <f>+J107/$K$6</f>
        <v>21.360839258830143</v>
      </c>
    </row>
    <row r="108" spans="2:11" ht="12.75" customHeight="1" x14ac:dyDescent="0.25">
      <c r="B108" s="534" t="s">
        <v>284</v>
      </c>
      <c r="C108" s="463"/>
      <c r="D108" s="464"/>
      <c r="E108" s="464"/>
      <c r="K108" s="539"/>
    </row>
    <row r="109" spans="2:11" ht="12.75" customHeight="1" x14ac:dyDescent="0.25">
      <c r="B109" s="533" t="s">
        <v>350</v>
      </c>
      <c r="C109" s="463"/>
      <c r="D109" s="464"/>
      <c r="E109" s="464"/>
      <c r="K109" s="539">
        <v>7</v>
      </c>
    </row>
    <row r="110" spans="2:11" ht="12.75" customHeight="1" x14ac:dyDescent="0.25">
      <c r="B110" s="533" t="s">
        <v>351</v>
      </c>
      <c r="C110" s="463"/>
      <c r="D110" s="464"/>
      <c r="E110" s="464"/>
      <c r="K110" s="539">
        <v>23</v>
      </c>
    </row>
    <row r="111" spans="2:11" ht="12.75" customHeight="1" x14ac:dyDescent="0.25">
      <c r="B111" s="533" t="s">
        <v>352</v>
      </c>
      <c r="C111" s="463"/>
      <c r="D111" s="464"/>
      <c r="E111" s="464"/>
      <c r="K111" s="528">
        <f>+K110-K109</f>
        <v>16</v>
      </c>
    </row>
    <row r="112" spans="2:11" ht="12.75" customHeight="1" x14ac:dyDescent="0.25">
      <c r="B112" s="425" t="s">
        <v>289</v>
      </c>
      <c r="C112" s="426"/>
      <c r="D112" s="426"/>
      <c r="E112" s="511"/>
      <c r="F112" s="431"/>
      <c r="G112" s="431"/>
      <c r="H112" s="431"/>
      <c r="I112" s="431"/>
      <c r="J112" s="431"/>
      <c r="K112" s="432">
        <f>+K106*K107*12*(1+K63)*ROUND((K111*7/K175),0)</f>
        <v>0</v>
      </c>
    </row>
    <row r="113" spans="2:11" ht="12.75" customHeight="1" x14ac:dyDescent="0.25">
      <c r="B113" s="391"/>
      <c r="K113" s="524"/>
    </row>
    <row r="114" spans="2:11" ht="12.75" customHeight="1" x14ac:dyDescent="0.25">
      <c r="B114" s="391"/>
      <c r="K114" s="524"/>
    </row>
    <row r="115" spans="2:11" ht="12.75" customHeight="1" x14ac:dyDescent="0.25">
      <c r="B115" s="492" t="s">
        <v>280</v>
      </c>
      <c r="K115" s="524"/>
    </row>
    <row r="116" spans="2:11" ht="12.75" customHeight="1" x14ac:dyDescent="0.25">
      <c r="B116" s="433" t="s">
        <v>354</v>
      </c>
      <c r="K116" s="542">
        <f>+Inputs!$C$18</f>
        <v>4806.07</v>
      </c>
    </row>
    <row r="117" spans="2:11" ht="12.75" customHeight="1" x14ac:dyDescent="0.25">
      <c r="B117" s="433" t="s">
        <v>237</v>
      </c>
      <c r="K117" s="532">
        <f>+Inputs!$G$25</f>
        <v>103</v>
      </c>
    </row>
    <row r="118" spans="2:11" ht="12.75" customHeight="1" x14ac:dyDescent="0.25">
      <c r="B118" s="433" t="s">
        <v>355</v>
      </c>
      <c r="K118" s="528">
        <f>+IFERROR(K116/K117,0)</f>
        <v>46.660873786407763</v>
      </c>
    </row>
    <row r="119" spans="2:11" ht="12.75" customHeight="1" x14ac:dyDescent="0.25">
      <c r="B119" s="433"/>
      <c r="K119" s="528"/>
    </row>
    <row r="120" spans="2:11" ht="12.75" customHeight="1" x14ac:dyDescent="0.25">
      <c r="B120" s="433" t="s">
        <v>357</v>
      </c>
      <c r="K120" s="562">
        <v>0</v>
      </c>
    </row>
    <row r="121" spans="2:11" ht="12.75" customHeight="1" x14ac:dyDescent="0.25">
      <c r="B121" s="433" t="s">
        <v>238</v>
      </c>
      <c r="K121" s="532">
        <f>+Inputs!$E$176</f>
        <v>85</v>
      </c>
    </row>
    <row r="122" spans="2:11" ht="12.75" customHeight="1" x14ac:dyDescent="0.25">
      <c r="B122" s="425" t="s">
        <v>356</v>
      </c>
      <c r="C122" s="426"/>
      <c r="D122" s="426"/>
      <c r="E122" s="511"/>
      <c r="F122" s="431"/>
      <c r="G122" s="431"/>
      <c r="H122" s="431"/>
      <c r="I122" s="431"/>
      <c r="J122" s="431"/>
      <c r="K122" s="432">
        <f>+K120*K121*12</f>
        <v>0</v>
      </c>
    </row>
    <row r="123" spans="2:11" ht="12.75" customHeight="1" x14ac:dyDescent="0.25">
      <c r="B123" s="543"/>
      <c r="C123" s="544"/>
      <c r="D123" s="544"/>
      <c r="E123" s="545"/>
      <c r="F123" s="546"/>
      <c r="G123" s="546"/>
      <c r="H123" s="546"/>
      <c r="I123" s="546"/>
      <c r="J123" s="546"/>
      <c r="K123" s="547"/>
    </row>
    <row r="124" spans="2:11" ht="12.75" customHeight="1" x14ac:dyDescent="0.25">
      <c r="B124" s="433" t="s">
        <v>299</v>
      </c>
      <c r="K124" s="532">
        <f>+Inputs!$E$177</f>
        <v>18</v>
      </c>
    </row>
    <row r="125" spans="2:11" ht="12.75" customHeight="1" x14ac:dyDescent="0.25">
      <c r="B125" s="433" t="s">
        <v>357</v>
      </c>
      <c r="K125" s="562">
        <v>0</v>
      </c>
    </row>
    <row r="126" spans="2:11" ht="12.75" customHeight="1" x14ac:dyDescent="0.25">
      <c r="B126" s="425" t="s">
        <v>301</v>
      </c>
      <c r="C126" s="426"/>
      <c r="D126" s="426"/>
      <c r="E126" s="511"/>
      <c r="F126" s="431"/>
      <c r="G126" s="431"/>
      <c r="H126" s="431"/>
      <c r="I126" s="431"/>
      <c r="J126" s="431"/>
      <c r="K126" s="432">
        <f>+K124*K125*12</f>
        <v>0</v>
      </c>
    </row>
    <row r="127" spans="2:11" ht="12.75" customHeight="1" x14ac:dyDescent="0.25">
      <c r="B127" s="433"/>
      <c r="K127" s="524"/>
    </row>
    <row r="128" spans="2:11" ht="12.75" customHeight="1" x14ac:dyDescent="0.25">
      <c r="B128" s="391"/>
      <c r="K128" s="524"/>
    </row>
    <row r="129" spans="2:11" ht="12.75" customHeight="1" x14ac:dyDescent="0.25">
      <c r="B129" s="492" t="s">
        <v>282</v>
      </c>
      <c r="K129" s="524"/>
    </row>
    <row r="130" spans="2:11" ht="12.75" customHeight="1" x14ac:dyDescent="0.25">
      <c r="B130" s="433" t="s">
        <v>358</v>
      </c>
      <c r="K130" s="554">
        <v>2</v>
      </c>
    </row>
    <row r="131" spans="2:11" ht="12.75" customHeight="1" x14ac:dyDescent="0.25">
      <c r="B131" s="425" t="s">
        <v>302</v>
      </c>
      <c r="C131" s="426"/>
      <c r="D131" s="426"/>
      <c r="E131" s="511"/>
      <c r="F131" s="431"/>
      <c r="G131" s="431"/>
      <c r="H131" s="431"/>
      <c r="I131" s="431"/>
      <c r="J131" s="431"/>
      <c r="K131" s="432">
        <f>+SUM(K130)*12</f>
        <v>24</v>
      </c>
    </row>
    <row r="132" spans="2:11" ht="12.75" customHeight="1" x14ac:dyDescent="0.25">
      <c r="B132" s="507"/>
      <c r="C132" s="505"/>
      <c r="K132" s="524"/>
    </row>
    <row r="133" spans="2:11" ht="12.75" customHeight="1" x14ac:dyDescent="0.25">
      <c r="B133" s="507"/>
      <c r="C133" s="505"/>
      <c r="K133" s="817"/>
    </row>
    <row r="134" spans="2:11" ht="12.75" customHeight="1" x14ac:dyDescent="0.25">
      <c r="B134" s="492" t="s">
        <v>323</v>
      </c>
      <c r="E134" s="504"/>
      <c r="F134" s="504"/>
      <c r="G134" s="504"/>
      <c r="H134" s="504"/>
      <c r="I134" s="496" t="s">
        <v>164</v>
      </c>
      <c r="J134" s="496" t="s">
        <v>332</v>
      </c>
      <c r="K134" s="514" t="s">
        <v>333</v>
      </c>
    </row>
    <row r="135" spans="2:11" ht="12.75" customHeight="1" x14ac:dyDescent="0.25">
      <c r="B135" s="534" t="s">
        <v>304</v>
      </c>
      <c r="C135" s="458"/>
      <c r="E135" s="504"/>
      <c r="F135" s="504"/>
      <c r="G135" s="504"/>
      <c r="H135" s="504"/>
      <c r="J135" s="469" t="s">
        <v>328</v>
      </c>
      <c r="K135" s="515" t="s">
        <v>329</v>
      </c>
    </row>
    <row r="136" spans="2:11" ht="12.75" customHeight="1" x14ac:dyDescent="0.25">
      <c r="B136" s="533" t="s">
        <v>748</v>
      </c>
      <c r="C136" s="463"/>
      <c r="E136" s="504"/>
      <c r="F136" s="504"/>
      <c r="G136" s="504"/>
      <c r="H136" s="804"/>
      <c r="I136" s="535">
        <f>+'Project Layout'!$R$44</f>
        <v>9134.2099999999991</v>
      </c>
      <c r="J136" s="1011">
        <v>814405</v>
      </c>
      <c r="K136" s="527">
        <f>+J136/$K$6*I136</f>
        <v>211869.51475151075</v>
      </c>
    </row>
    <row r="137" spans="2:11" ht="12.75" customHeight="1" x14ac:dyDescent="0.25">
      <c r="B137" s="533" t="s">
        <v>749</v>
      </c>
      <c r="E137" s="504"/>
      <c r="F137" s="504"/>
      <c r="G137" s="504"/>
      <c r="H137" s="804"/>
      <c r="I137" s="535">
        <f>+'Project Layout'!$R$45</f>
        <v>972.22</v>
      </c>
      <c r="J137" s="1011">
        <v>814405</v>
      </c>
      <c r="K137" s="527">
        <f>+J137/$K$6*I137</f>
        <v>22550.804024837813</v>
      </c>
    </row>
    <row r="138" spans="2:11" ht="12.75" customHeight="1" x14ac:dyDescent="0.25">
      <c r="B138" s="533" t="s">
        <v>750</v>
      </c>
      <c r="E138" s="504"/>
      <c r="F138" s="504"/>
      <c r="G138" s="504"/>
      <c r="H138" s="643">
        <v>0.7</v>
      </c>
      <c r="I138" s="535">
        <f>+'Project Layout'!$R$47</f>
        <v>4806.07</v>
      </c>
      <c r="J138" s="1011">
        <v>358088</v>
      </c>
      <c r="K138" s="527">
        <f>+J138/$K$6*I138*H138</f>
        <v>34311.124209919515</v>
      </c>
    </row>
    <row r="139" spans="2:11" ht="12.75" customHeight="1" x14ac:dyDescent="0.25">
      <c r="B139" s="533" t="s">
        <v>305</v>
      </c>
      <c r="E139" s="504"/>
      <c r="F139" s="504"/>
      <c r="G139" s="504"/>
      <c r="H139" s="836"/>
      <c r="I139" s="535">
        <f>+Inputs!$C$11</f>
        <v>1626</v>
      </c>
      <c r="J139" s="1011"/>
      <c r="K139" s="539">
        <f>+(435019899+407752640+450012855)/K6</f>
        <v>36819.974663196524</v>
      </c>
    </row>
    <row r="140" spans="2:11" ht="12.75" customHeight="1" x14ac:dyDescent="0.25">
      <c r="B140" s="533" t="s">
        <v>331</v>
      </c>
      <c r="C140" s="505"/>
      <c r="E140" s="504"/>
      <c r="F140" s="504"/>
      <c r="G140" s="504"/>
      <c r="H140" s="504"/>
      <c r="I140" s="303"/>
      <c r="J140" s="487"/>
      <c r="K140" s="524">
        <f>SUM(K136:K139)</f>
        <v>305551.41764946462</v>
      </c>
    </row>
    <row r="141" spans="2:11" ht="12.75" customHeight="1" x14ac:dyDescent="0.25">
      <c r="B141" s="533"/>
      <c r="C141" s="505"/>
      <c r="E141" s="504"/>
      <c r="F141" s="504"/>
      <c r="G141" s="504"/>
      <c r="H141" s="504"/>
      <c r="I141" s="303"/>
      <c r="J141" s="487"/>
      <c r="K141" s="524"/>
    </row>
    <row r="142" spans="2:11" ht="12.75" customHeight="1" x14ac:dyDescent="0.25">
      <c r="B142" s="534" t="s">
        <v>567</v>
      </c>
      <c r="E142" s="504"/>
      <c r="F142" s="504"/>
      <c r="G142" s="504"/>
      <c r="H142" s="504"/>
      <c r="K142" s="644"/>
    </row>
    <row r="143" spans="2:11" ht="12.75" customHeight="1" x14ac:dyDescent="0.25">
      <c r="B143" s="533" t="s">
        <v>568</v>
      </c>
      <c r="E143" s="504"/>
      <c r="F143" s="504"/>
      <c r="G143" s="504"/>
      <c r="H143" s="504"/>
      <c r="K143" s="928">
        <v>1.042E-2</v>
      </c>
    </row>
    <row r="144" spans="2:11" ht="12.75" customHeight="1" x14ac:dyDescent="0.25">
      <c r="B144" s="533" t="s">
        <v>569</v>
      </c>
      <c r="E144" s="504"/>
      <c r="F144" s="504"/>
      <c r="G144" s="504"/>
      <c r="H144" s="504"/>
      <c r="K144" s="928">
        <v>1.042E-2</v>
      </c>
    </row>
    <row r="145" spans="2:11" ht="12.75" customHeight="1" x14ac:dyDescent="0.25">
      <c r="B145" s="929" t="s">
        <v>570</v>
      </c>
      <c r="E145" s="504"/>
      <c r="F145" s="504"/>
      <c r="G145" s="504"/>
      <c r="H145" s="504"/>
      <c r="K145" s="930"/>
    </row>
    <row r="146" spans="2:11" ht="12.75" customHeight="1" x14ac:dyDescent="0.25">
      <c r="B146" s="931" t="s">
        <v>571</v>
      </c>
      <c r="E146" s="504"/>
      <c r="F146" s="504"/>
      <c r="G146" s="504"/>
      <c r="H146" s="504"/>
      <c r="K146" s="932">
        <v>1</v>
      </c>
    </row>
    <row r="147" spans="2:11" ht="12.75" customHeight="1" x14ac:dyDescent="0.25">
      <c r="B147" s="931" t="s">
        <v>572</v>
      </c>
      <c r="E147" s="504"/>
      <c r="F147" s="504"/>
      <c r="G147" s="504"/>
      <c r="H147" s="504"/>
      <c r="K147" s="933">
        <f>+SUM(Inputs!$L$84:$L$86)/Inputs!$L$74</f>
        <v>0.42</v>
      </c>
    </row>
    <row r="148" spans="2:11" ht="12.75" customHeight="1" x14ac:dyDescent="0.25">
      <c r="B148" s="929" t="s">
        <v>573</v>
      </c>
      <c r="E148" s="504"/>
      <c r="F148" s="504"/>
      <c r="G148" s="504"/>
      <c r="H148" s="504"/>
      <c r="K148" s="930"/>
    </row>
    <row r="149" spans="2:11" ht="12.75" customHeight="1" x14ac:dyDescent="0.25">
      <c r="B149" s="931" t="s">
        <v>306</v>
      </c>
      <c r="E149" s="504"/>
      <c r="F149" s="504"/>
      <c r="G149" s="504"/>
      <c r="H149" s="504"/>
      <c r="K149" s="539">
        <v>0</v>
      </c>
    </row>
    <row r="150" spans="2:11" ht="12.75" customHeight="1" x14ac:dyDescent="0.25">
      <c r="B150" s="931" t="s">
        <v>574</v>
      </c>
      <c r="E150" s="504"/>
      <c r="F150" s="504"/>
      <c r="G150" s="504"/>
      <c r="H150" s="504"/>
      <c r="K150" s="539">
        <v>0</v>
      </c>
    </row>
    <row r="151" spans="2:11" ht="12.75" customHeight="1" x14ac:dyDescent="0.25">
      <c r="B151" s="929" t="s">
        <v>575</v>
      </c>
      <c r="C151" s="463"/>
      <c r="E151" s="504"/>
      <c r="F151" s="504"/>
      <c r="G151" s="504"/>
      <c r="H151" s="504"/>
      <c r="K151" s="930"/>
    </row>
    <row r="152" spans="2:11" ht="12.75" customHeight="1" x14ac:dyDescent="0.25">
      <c r="B152" s="931" t="s">
        <v>576</v>
      </c>
      <c r="C152" s="463"/>
      <c r="E152" s="504"/>
      <c r="F152" s="504"/>
      <c r="G152" s="504"/>
      <c r="H152" s="504"/>
      <c r="K152" s="928">
        <v>2.5000000000000001E-4</v>
      </c>
    </row>
    <row r="153" spans="2:11" ht="12.75" customHeight="1" x14ac:dyDescent="0.25">
      <c r="B153" s="931" t="s">
        <v>493</v>
      </c>
      <c r="C153" s="463"/>
      <c r="E153" s="504"/>
      <c r="F153" s="504"/>
      <c r="G153" s="504"/>
      <c r="H153" s="504"/>
      <c r="I153" s="934">
        <v>670</v>
      </c>
      <c r="J153" s="935">
        <f>+I153*$K$7/$K$6</f>
        <v>11603.747887412996</v>
      </c>
      <c r="K153" s="928">
        <v>7.5000000000000002E-4</v>
      </c>
    </row>
    <row r="154" spans="2:11" ht="12.75" customHeight="1" x14ac:dyDescent="0.25">
      <c r="B154" s="931" t="s">
        <v>494</v>
      </c>
      <c r="C154" s="463"/>
      <c r="E154" s="504"/>
      <c r="F154" s="504"/>
      <c r="G154" s="504"/>
      <c r="H154" s="504"/>
      <c r="I154" s="934">
        <v>1175</v>
      </c>
      <c r="J154" s="935">
        <f>+I154*$K$7/$K$6</f>
        <v>20349.856369716821</v>
      </c>
      <c r="K154" s="928">
        <v>1.5E-3</v>
      </c>
    </row>
    <row r="155" spans="2:11" ht="12.75" customHeight="1" x14ac:dyDescent="0.25">
      <c r="B155" s="936" t="s">
        <v>495</v>
      </c>
      <c r="C155" s="463"/>
      <c r="E155" s="504"/>
      <c r="F155" s="504"/>
      <c r="G155" s="504"/>
      <c r="H155" s="504"/>
      <c r="I155" s="934">
        <v>1510</v>
      </c>
      <c r="J155" s="935">
        <f>+I155*$K$7/$K$6</f>
        <v>26151.730313423319</v>
      </c>
      <c r="K155" s="928">
        <v>4.2500000000000003E-3</v>
      </c>
    </row>
    <row r="156" spans="2:11" ht="12.75" customHeight="1" x14ac:dyDescent="0.25">
      <c r="B156" s="425" t="s">
        <v>578</v>
      </c>
      <c r="C156" s="426"/>
      <c r="D156" s="426"/>
      <c r="E156" s="511"/>
      <c r="F156" s="431"/>
      <c r="G156" s="431"/>
      <c r="H156" s="431"/>
      <c r="I156" s="431"/>
      <c r="J156" s="431"/>
      <c r="K156" s="432">
        <f>+($K$143*($K$150-$K$149)+$K$144*($K$139-$K$150)+$K$144*($K$139-$K$150))*$K$147+($K$143*($K$150-$K$149)+$K$144*($K$139-$K$149))*(1-$K$147)</f>
        <v>544.80307310652108</v>
      </c>
    </row>
    <row r="157" spans="2:11" ht="12.75" customHeight="1" x14ac:dyDescent="0.25">
      <c r="B157" s="425" t="s">
        <v>579</v>
      </c>
      <c r="C157" s="426"/>
      <c r="D157" s="426"/>
      <c r="E157" s="511"/>
      <c r="F157" s="431"/>
      <c r="G157" s="431"/>
      <c r="H157" s="431"/>
      <c r="I157" s="431"/>
      <c r="J157" s="431"/>
      <c r="K157" s="432">
        <f>+(($K$143*($K$150)+$K$144*($K$140-$K$150)+$K$152*($K$140-$K$150)+$K$153*($J$154-$J$153)+$K$154*($J$155-$J$155)+$K$155*($K$140-$J$155)))-(K149*Inputs!$G$23*'OpEx Budget'!$K$143)</f>
        <v>4454.2418788596915</v>
      </c>
    </row>
    <row r="158" spans="2:11" ht="12.75" customHeight="1" x14ac:dyDescent="0.25">
      <c r="B158" s="533" t="s">
        <v>412</v>
      </c>
      <c r="E158" s="504"/>
      <c r="F158" s="504"/>
      <c r="G158" s="504"/>
      <c r="H158" s="504"/>
      <c r="K158" s="625">
        <f>+'Project Layout'!$T$61</f>
        <v>1</v>
      </c>
    </row>
    <row r="159" spans="2:11" ht="12.75" customHeight="1" x14ac:dyDescent="0.25">
      <c r="B159" s="391"/>
      <c r="E159" s="504"/>
      <c r="F159" s="504"/>
      <c r="G159" s="504"/>
      <c r="H159" s="504"/>
      <c r="K159" s="411"/>
    </row>
    <row r="160" spans="2:11" ht="12.75" customHeight="1" x14ac:dyDescent="0.25">
      <c r="B160" s="391"/>
      <c r="E160" s="504"/>
      <c r="F160" s="504"/>
      <c r="G160" s="504"/>
      <c r="H160" s="504"/>
      <c r="K160" s="411"/>
    </row>
    <row r="161" spans="2:11" ht="12.75" customHeight="1" x14ac:dyDescent="0.25">
      <c r="B161" s="492" t="s">
        <v>566</v>
      </c>
      <c r="E161" s="504"/>
      <c r="F161" s="504"/>
      <c r="G161" s="504"/>
      <c r="H161" s="504"/>
      <c r="K161" s="411"/>
    </row>
    <row r="162" spans="2:11" ht="12.75" customHeight="1" x14ac:dyDescent="0.25">
      <c r="B162" s="533" t="s">
        <v>330</v>
      </c>
      <c r="E162" s="504"/>
      <c r="F162" s="504"/>
      <c r="G162" s="504"/>
      <c r="H162" s="504"/>
      <c r="K162" s="527">
        <f>+IFERROR(SUM(K136)/Inputs!$G$23,0)*K158</f>
        <v>1581.1157817276921</v>
      </c>
    </row>
    <row r="163" spans="2:11" ht="12.75" customHeight="1" x14ac:dyDescent="0.25">
      <c r="B163" s="533" t="s">
        <v>334</v>
      </c>
      <c r="E163" s="504"/>
      <c r="F163" s="504"/>
      <c r="G163" s="504"/>
      <c r="H163" s="504"/>
      <c r="J163" s="560">
        <v>0.11</v>
      </c>
      <c r="K163" s="527">
        <f>+J163*K162</f>
        <v>173.92273599004614</v>
      </c>
    </row>
    <row r="164" spans="2:11" ht="12.75" customHeight="1" x14ac:dyDescent="0.25">
      <c r="B164" s="533" t="s">
        <v>381</v>
      </c>
      <c r="E164" s="504"/>
      <c r="F164" s="504"/>
      <c r="G164" s="504"/>
      <c r="H164" s="504"/>
      <c r="K164" s="528">
        <f>+K163/12</f>
        <v>14.493561332503845</v>
      </c>
    </row>
    <row r="165" spans="2:11" ht="12.75" customHeight="1" x14ac:dyDescent="0.25">
      <c r="B165" s="425" t="s">
        <v>427</v>
      </c>
      <c r="C165" s="426"/>
      <c r="D165" s="426"/>
      <c r="E165" s="511"/>
      <c r="F165" s="431"/>
      <c r="G165" s="431"/>
      <c r="H165" s="431"/>
      <c r="I165" s="431"/>
      <c r="J165" s="431"/>
      <c r="K165" s="570">
        <f>+IFERROR(K164/UnitMix!G$33,0)</f>
        <v>0.33367246031786241</v>
      </c>
    </row>
    <row r="166" spans="2:11" ht="12.75" customHeight="1" x14ac:dyDescent="0.25">
      <c r="B166" s="391"/>
      <c r="E166" s="504"/>
      <c r="F166" s="504"/>
      <c r="G166" s="504"/>
      <c r="H166" s="504"/>
      <c r="K166" s="411"/>
    </row>
    <row r="167" spans="2:11" ht="12.75" customHeight="1" x14ac:dyDescent="0.25">
      <c r="B167" s="391"/>
      <c r="E167" s="504"/>
      <c r="F167" s="504"/>
      <c r="G167" s="504"/>
      <c r="H167" s="504"/>
      <c r="K167" s="411"/>
    </row>
    <row r="168" spans="2:11" ht="12.75" customHeight="1" x14ac:dyDescent="0.25">
      <c r="B168" s="492" t="s">
        <v>291</v>
      </c>
      <c r="E168" s="504"/>
      <c r="F168" s="504"/>
      <c r="G168" s="504"/>
      <c r="H168" s="504"/>
      <c r="K168" s="411"/>
    </row>
    <row r="169" spans="2:11" ht="12.75" customHeight="1" x14ac:dyDescent="0.25">
      <c r="B169" s="433" t="s">
        <v>359</v>
      </c>
      <c r="C169" s="463"/>
      <c r="E169" s="504"/>
      <c r="F169" s="504"/>
      <c r="G169" s="504"/>
      <c r="H169" s="504"/>
      <c r="K169" s="561">
        <v>1.8E-3</v>
      </c>
    </row>
    <row r="170" spans="2:11" ht="12.75" customHeight="1" x14ac:dyDescent="0.25">
      <c r="B170" s="433" t="s">
        <v>307</v>
      </c>
      <c r="E170" s="504"/>
      <c r="F170" s="504"/>
      <c r="G170" s="504"/>
      <c r="H170" s="504"/>
      <c r="K170" s="532">
        <f>+'CapEx Budget'!$G$54</f>
        <v>314325.83616950823</v>
      </c>
    </row>
    <row r="171" spans="2:11" ht="12.75" customHeight="1" x14ac:dyDescent="0.25">
      <c r="B171" s="425" t="s">
        <v>335</v>
      </c>
      <c r="C171" s="426"/>
      <c r="D171" s="426"/>
      <c r="E171" s="511"/>
      <c r="F171" s="431"/>
      <c r="G171" s="431"/>
      <c r="H171" s="431"/>
      <c r="I171" s="431"/>
      <c r="J171" s="431"/>
      <c r="K171" s="432">
        <f>+K169*K170</f>
        <v>565.78650510511477</v>
      </c>
    </row>
    <row r="172" spans="2:11" ht="12.75" customHeight="1" x14ac:dyDescent="0.25">
      <c r="B172" s="433"/>
      <c r="K172" s="524"/>
    </row>
    <row r="173" spans="2:11" ht="12.75" customHeight="1" x14ac:dyDescent="0.25">
      <c r="B173" s="391"/>
      <c r="K173" s="524"/>
    </row>
    <row r="174" spans="2:11" ht="12.75" customHeight="1" x14ac:dyDescent="0.25">
      <c r="B174" s="506" t="s">
        <v>362</v>
      </c>
      <c r="C174" s="464"/>
      <c r="D174" s="464"/>
      <c r="E174" s="464"/>
      <c r="F174" s="464"/>
      <c r="G174" s="464"/>
      <c r="J174" s="464"/>
      <c r="K174" s="529"/>
    </row>
    <row r="175" spans="2:11" ht="12.75" customHeight="1" x14ac:dyDescent="0.25">
      <c r="B175" s="433" t="s">
        <v>360</v>
      </c>
      <c r="C175" s="464"/>
      <c r="K175" s="539">
        <v>45</v>
      </c>
    </row>
    <row r="176" spans="2:11" ht="12.75" customHeight="1" x14ac:dyDescent="0.25">
      <c r="B176" s="433" t="s">
        <v>186</v>
      </c>
      <c r="C176" s="464"/>
      <c r="D176" s="464"/>
      <c r="E176" s="464"/>
      <c r="F176" s="464"/>
      <c r="J176" s="464"/>
      <c r="K176" s="532">
        <f>+Inputs!$G$23</f>
        <v>134</v>
      </c>
    </row>
    <row r="177" spans="2:11" ht="12.75" customHeight="1" x14ac:dyDescent="0.25">
      <c r="B177" s="506"/>
      <c r="C177" s="464"/>
      <c r="D177" s="464"/>
      <c r="E177" s="464"/>
      <c r="F177" s="464"/>
      <c r="G177" s="464"/>
      <c r="J177" s="464"/>
      <c r="K177" s="529"/>
    </row>
    <row r="178" spans="2:11" ht="12.75" customHeight="1" x14ac:dyDescent="0.25">
      <c r="B178" s="534" t="s">
        <v>188</v>
      </c>
      <c r="C178" s="464"/>
      <c r="D178" s="464"/>
      <c r="E178" s="464"/>
      <c r="F178" s="464"/>
      <c r="G178" s="464"/>
      <c r="J178" s="464"/>
      <c r="K178" s="529"/>
    </row>
    <row r="179" spans="2:11" ht="12.75" customHeight="1" x14ac:dyDescent="0.25">
      <c r="B179" s="533" t="s">
        <v>366</v>
      </c>
      <c r="D179" s="464"/>
      <c r="E179" s="464"/>
      <c r="F179" s="464"/>
      <c r="G179" s="464"/>
      <c r="J179" s="549"/>
      <c r="K179" s="550">
        <f>+Inputs!$G$85</f>
        <v>0</v>
      </c>
    </row>
    <row r="180" spans="2:11" ht="12.75" customHeight="1" x14ac:dyDescent="0.25">
      <c r="B180" s="533" t="s">
        <v>471</v>
      </c>
      <c r="C180" s="464"/>
      <c r="D180" s="464"/>
      <c r="E180" s="464"/>
      <c r="F180" s="464"/>
      <c r="G180" s="464"/>
      <c r="J180" s="549"/>
      <c r="K180" s="532">
        <f>+Inputs!$G$86</f>
        <v>1</v>
      </c>
    </row>
    <row r="181" spans="2:11" ht="12.75" customHeight="1" x14ac:dyDescent="0.25">
      <c r="B181" s="533" t="s">
        <v>250</v>
      </c>
      <c r="C181" s="464"/>
      <c r="D181" s="464"/>
      <c r="E181" s="464"/>
      <c r="F181" s="464"/>
      <c r="G181" s="464"/>
      <c r="J181" s="549"/>
      <c r="K181" s="730">
        <f>+K180*4</f>
        <v>4</v>
      </c>
    </row>
    <row r="182" spans="2:11" ht="12.75" customHeight="1" x14ac:dyDescent="0.25">
      <c r="B182" s="533" t="s">
        <v>368</v>
      </c>
      <c r="C182" s="464"/>
      <c r="D182" s="464"/>
      <c r="E182" s="464"/>
      <c r="F182" s="464"/>
      <c r="G182" s="464"/>
      <c r="J182" s="549"/>
      <c r="K182" s="730">
        <f>+K176*K179*K180*K181</f>
        <v>0</v>
      </c>
    </row>
    <row r="183" spans="2:11" ht="12.75" customHeight="1" x14ac:dyDescent="0.25">
      <c r="B183" s="533"/>
      <c r="C183" s="464"/>
      <c r="D183" s="464"/>
      <c r="E183" s="464"/>
      <c r="F183" s="464"/>
      <c r="G183" s="464"/>
      <c r="J183" s="549"/>
      <c r="K183" s="548"/>
    </row>
    <row r="184" spans="2:11" ht="12.75" customHeight="1" x14ac:dyDescent="0.25">
      <c r="B184" s="533" t="s">
        <v>377</v>
      </c>
      <c r="C184" s="464"/>
      <c r="D184" s="464"/>
      <c r="E184" s="464"/>
      <c r="F184" s="464"/>
      <c r="G184" s="464"/>
      <c r="J184" s="549"/>
      <c r="K184" s="554">
        <v>2</v>
      </c>
    </row>
    <row r="185" spans="2:11" ht="12.75" customHeight="1" x14ac:dyDescent="0.25">
      <c r="B185" s="533" t="s">
        <v>371</v>
      </c>
      <c r="C185" s="464"/>
      <c r="D185" s="464"/>
      <c r="E185" s="552"/>
      <c r="F185" s="464"/>
      <c r="G185" s="464"/>
      <c r="J185" s="549"/>
      <c r="K185" s="548">
        <f>+K175*4/K184</f>
        <v>90</v>
      </c>
    </row>
    <row r="186" spans="2:11" ht="12.75" customHeight="1" x14ac:dyDescent="0.25">
      <c r="B186" s="937" t="s">
        <v>363</v>
      </c>
      <c r="C186" s="938"/>
      <c r="D186" s="938"/>
      <c r="E186" s="939"/>
      <c r="F186" s="940"/>
      <c r="G186" s="940"/>
      <c r="H186" s="940"/>
      <c r="I186" s="940"/>
      <c r="J186" s="940"/>
      <c r="K186" s="941">
        <f>+K182/K185</f>
        <v>0</v>
      </c>
    </row>
    <row r="187" spans="2:11" ht="12.75" customHeight="1" x14ac:dyDescent="0.25">
      <c r="B187" s="391"/>
      <c r="G187" s="464"/>
      <c r="J187" s="538"/>
      <c r="K187" s="411"/>
    </row>
    <row r="188" spans="2:11" ht="12.75" customHeight="1" x14ac:dyDescent="0.25">
      <c r="B188" s="534" t="s">
        <v>361</v>
      </c>
      <c r="C188" s="464"/>
      <c r="D188" s="464"/>
      <c r="E188" s="464"/>
      <c r="F188" s="464"/>
      <c r="G188" s="464"/>
      <c r="J188" s="549"/>
      <c r="K188" s="529"/>
    </row>
    <row r="189" spans="2:11" ht="12.75" customHeight="1" x14ac:dyDescent="0.25">
      <c r="B189" s="533" t="s">
        <v>369</v>
      </c>
      <c r="D189" s="464"/>
      <c r="E189" s="552"/>
      <c r="F189" s="464"/>
      <c r="G189" s="464"/>
      <c r="J189" s="549"/>
      <c r="K189" s="554">
        <v>7</v>
      </c>
    </row>
    <row r="190" spans="2:11" ht="12.75" customHeight="1" x14ac:dyDescent="0.25">
      <c r="B190" s="533" t="s">
        <v>370</v>
      </c>
      <c r="D190" s="464"/>
      <c r="E190" s="464"/>
      <c r="F190" s="464"/>
      <c r="G190" s="464"/>
      <c r="J190" s="549"/>
      <c r="K190" s="730">
        <f>+K189*4</f>
        <v>28</v>
      </c>
    </row>
    <row r="191" spans="2:11" ht="12.75" customHeight="1" x14ac:dyDescent="0.25">
      <c r="B191" s="533" t="s">
        <v>367</v>
      </c>
      <c r="C191" s="464"/>
      <c r="D191" s="464"/>
      <c r="E191" s="464"/>
      <c r="F191" s="464"/>
      <c r="J191" s="549"/>
      <c r="K191" s="554">
        <v>5</v>
      </c>
    </row>
    <row r="192" spans="2:11" ht="12.75" customHeight="1" x14ac:dyDescent="0.25">
      <c r="B192" s="533"/>
      <c r="C192" s="464"/>
      <c r="D192" s="464"/>
      <c r="E192" s="552"/>
      <c r="F192" s="464"/>
      <c r="J192" s="549"/>
      <c r="K192" s="531"/>
    </row>
    <row r="193" spans="2:11" ht="12.75" customHeight="1" x14ac:dyDescent="0.25">
      <c r="B193" s="533" t="s">
        <v>378</v>
      </c>
      <c r="C193" s="464"/>
      <c r="D193" s="464"/>
      <c r="E193" s="464"/>
      <c r="F193" s="464"/>
      <c r="J193" s="549"/>
      <c r="K193" s="554">
        <v>1</v>
      </c>
    </row>
    <row r="194" spans="2:11" ht="12.75" customHeight="1" x14ac:dyDescent="0.25">
      <c r="B194" s="533" t="s">
        <v>372</v>
      </c>
      <c r="C194" s="464"/>
      <c r="D194" s="464"/>
      <c r="E194" s="464"/>
      <c r="F194" s="464"/>
      <c r="J194" s="549"/>
      <c r="K194" s="528">
        <f>+K190*K191*K193</f>
        <v>140</v>
      </c>
    </row>
    <row r="195" spans="2:11" ht="12.75" customHeight="1" x14ac:dyDescent="0.25">
      <c r="B195" s="533"/>
      <c r="C195" s="464"/>
      <c r="D195" s="464"/>
      <c r="E195" s="464"/>
      <c r="F195" s="464"/>
      <c r="J195" s="549"/>
      <c r="K195" s="528"/>
    </row>
    <row r="196" spans="2:11" ht="12.75" customHeight="1" x14ac:dyDescent="0.25">
      <c r="B196" s="937" t="s">
        <v>363</v>
      </c>
      <c r="C196" s="938"/>
      <c r="D196" s="938"/>
      <c r="E196" s="939"/>
      <c r="F196" s="940"/>
      <c r="G196" s="940"/>
      <c r="H196" s="940"/>
      <c r="I196" s="940"/>
      <c r="J196" s="940"/>
      <c r="K196" s="941">
        <f>+K194/(K175*4)</f>
        <v>0.77777777777777779</v>
      </c>
    </row>
    <row r="197" spans="2:11" ht="12.75" customHeight="1" x14ac:dyDescent="0.25">
      <c r="B197" s="391"/>
      <c r="J197" s="538"/>
      <c r="K197" s="411"/>
    </row>
    <row r="198" spans="2:11" ht="12.75" customHeight="1" x14ac:dyDescent="0.25">
      <c r="B198" s="534" t="s">
        <v>364</v>
      </c>
      <c r="C198" s="464"/>
      <c r="D198" s="464"/>
      <c r="E198" s="552"/>
      <c r="F198" s="464"/>
      <c r="J198" s="549"/>
      <c r="K198" s="529"/>
    </row>
    <row r="199" spans="2:11" ht="12.75" customHeight="1" x14ac:dyDescent="0.25">
      <c r="B199" s="533" t="s">
        <v>373</v>
      </c>
      <c r="D199" s="464"/>
      <c r="E199" s="464"/>
      <c r="F199" s="464"/>
      <c r="J199" s="549"/>
      <c r="K199" s="554">
        <v>6</v>
      </c>
    </row>
    <row r="200" spans="2:11" ht="12.75" customHeight="1" x14ac:dyDescent="0.25">
      <c r="B200" s="533" t="s">
        <v>374</v>
      </c>
      <c r="D200" s="464"/>
      <c r="E200" s="552"/>
      <c r="F200" s="464"/>
      <c r="J200" s="549"/>
      <c r="K200" s="528">
        <f>+K199*4</f>
        <v>24</v>
      </c>
    </row>
    <row r="201" spans="2:11" ht="12.75" customHeight="1" x14ac:dyDescent="0.25">
      <c r="B201" s="533" t="s">
        <v>375</v>
      </c>
      <c r="C201" s="464"/>
      <c r="D201" s="464"/>
      <c r="E201" s="464"/>
      <c r="F201" s="464"/>
      <c r="J201" s="549"/>
      <c r="K201" s="554">
        <v>17</v>
      </c>
    </row>
    <row r="202" spans="2:11" ht="12.75" customHeight="1" x14ac:dyDescent="0.25">
      <c r="B202" s="391"/>
      <c r="K202" s="411"/>
    </row>
    <row r="203" spans="2:11" ht="12.75" customHeight="1" x14ac:dyDescent="0.25">
      <c r="B203" s="533" t="s">
        <v>379</v>
      </c>
      <c r="C203" s="464"/>
      <c r="D203" s="464"/>
      <c r="E203" s="464"/>
      <c r="F203" s="464"/>
      <c r="J203" s="549"/>
      <c r="K203" s="554">
        <v>1</v>
      </c>
    </row>
    <row r="204" spans="2:11" ht="12.75" customHeight="1" x14ac:dyDescent="0.25">
      <c r="B204" s="533" t="s">
        <v>376</v>
      </c>
      <c r="C204" s="464"/>
      <c r="D204" s="464"/>
      <c r="E204" s="551"/>
      <c r="F204" s="464"/>
      <c r="J204" s="549"/>
      <c r="K204" s="528">
        <f>+K200*K201*K203</f>
        <v>408</v>
      </c>
    </row>
    <row r="205" spans="2:11" ht="12.75" customHeight="1" x14ac:dyDescent="0.25">
      <c r="B205" s="533"/>
      <c r="C205" s="464"/>
      <c r="D205" s="464"/>
      <c r="E205" s="464"/>
      <c r="F205" s="464"/>
      <c r="J205" s="549"/>
      <c r="K205" s="528"/>
    </row>
    <row r="206" spans="2:11" ht="12.75" customHeight="1" x14ac:dyDescent="0.25">
      <c r="B206" s="937" t="s">
        <v>363</v>
      </c>
      <c r="C206" s="938"/>
      <c r="D206" s="938"/>
      <c r="E206" s="939"/>
      <c r="F206" s="940"/>
      <c r="G206" s="940"/>
      <c r="H206" s="940"/>
      <c r="I206" s="940"/>
      <c r="J206" s="940"/>
      <c r="K206" s="941">
        <f>+K204/(K175*4)</f>
        <v>2.2666666666666666</v>
      </c>
    </row>
    <row r="207" spans="2:11" ht="12.75" customHeight="1" x14ac:dyDescent="0.25">
      <c r="B207" s="391"/>
      <c r="J207" s="538"/>
      <c r="K207" s="411"/>
    </row>
    <row r="208" spans="2:11" ht="12.75" customHeight="1" x14ac:dyDescent="0.25">
      <c r="B208" s="425" t="s">
        <v>365</v>
      </c>
      <c r="C208" s="426"/>
      <c r="D208" s="426"/>
      <c r="E208" s="511"/>
      <c r="F208" s="431"/>
      <c r="G208" s="431"/>
      <c r="H208" s="431"/>
      <c r="I208" s="431"/>
      <c r="J208" s="431"/>
      <c r="K208" s="555">
        <f>+SUM(K186,K196,K206)</f>
        <v>3.0444444444444443</v>
      </c>
    </row>
    <row r="209" spans="10:10" ht="12.75" customHeight="1" x14ac:dyDescent="0.25">
      <c r="J209" s="538"/>
    </row>
    <row r="210" spans="10:10" ht="12.75" customHeight="1" x14ac:dyDescent="0.25">
      <c r="J210" s="538"/>
    </row>
    <row r="211" spans="10:10" x14ac:dyDescent="0.25"/>
    <row r="212" spans="10:10" x14ac:dyDescent="0.25"/>
    <row r="213" spans="10:10" x14ac:dyDescent="0.25"/>
    <row r="214" spans="10:10" x14ac:dyDescent="0.25"/>
    <row r="215" spans="10:10" x14ac:dyDescent="0.25"/>
    <row r="216" spans="10:10" x14ac:dyDescent="0.25"/>
    <row r="217" spans="10:10" x14ac:dyDescent="0.25"/>
    <row r="218" spans="10:10" x14ac:dyDescent="0.25"/>
    <row r="219" spans="10:10" x14ac:dyDescent="0.25"/>
    <row r="220" spans="10:10" x14ac:dyDescent="0.25"/>
    <row r="221" spans="10:10" x14ac:dyDescent="0.25"/>
    <row r="222" spans="10:10" x14ac:dyDescent="0.25"/>
    <row r="223" spans="10:10" x14ac:dyDescent="0.25"/>
    <row r="224" spans="10:10" x14ac:dyDescent="0.25"/>
    <row r="225" x14ac:dyDescent="0.25"/>
    <row r="226" x14ac:dyDescent="0.25"/>
    <row r="227" x14ac:dyDescent="0.25"/>
    <row r="228" x14ac:dyDescent="0.25"/>
    <row r="229" x14ac:dyDescent="0.25"/>
    <row r="230" x14ac:dyDescent="0.25"/>
    <row r="231" x14ac:dyDescent="0.25"/>
  </sheetData>
  <sortState xmlns:xlrd2="http://schemas.microsoft.com/office/spreadsheetml/2017/richdata2" ref="A37:EP49">
    <sortCondition ref="A11"/>
  </sortState>
  <conditionalFormatting sqref="B143:J155">
    <cfRule type="expression" dxfId="40" priority="4">
      <formula>ISEVEN(ROW())</formula>
    </cfRule>
  </conditionalFormatting>
  <conditionalFormatting sqref="B12:K21 B26:K27 B49:G61 B67:J68 B74:J74 B75:K75 B76:J76 B81:I84 B85:J85 B90:J91 B106:I107 B108:K111 B116:K119 B120:J120 B121:K121 B124:K124 B125:J125 B162:K164 B169:J169 B170:K170">
    <cfRule type="expression" dxfId="39" priority="57">
      <formula>ISEVEN(ROW())</formula>
    </cfRule>
  </conditionalFormatting>
  <conditionalFormatting sqref="B136:K140">
    <cfRule type="expression" dxfId="38" priority="1">
      <formula>ISEVEN(ROW())</formula>
    </cfRule>
  </conditionalFormatting>
  <conditionalFormatting sqref="B142:K142">
    <cfRule type="expression" dxfId="37" priority="15">
      <formula>ISEVEN(ROW())</formula>
    </cfRule>
  </conditionalFormatting>
  <conditionalFormatting sqref="J106">
    <cfRule type="expression" dxfId="36" priority="35">
      <formula>ISEVEN(ROW())</formula>
    </cfRule>
  </conditionalFormatting>
  <conditionalFormatting sqref="J49:K61">
    <cfRule type="expression" dxfId="35" priority="51">
      <formula>ISEVEN(ROW())</formula>
    </cfRule>
  </conditionalFormatting>
  <conditionalFormatting sqref="K68">
    <cfRule type="expression" dxfId="34" priority="31">
      <formula>ISEVEN(ROW())</formula>
    </cfRule>
  </conditionalFormatting>
  <conditionalFormatting sqref="K81:K85">
    <cfRule type="expression" dxfId="33" priority="38">
      <formula>ISEVEN(ROW())</formula>
    </cfRule>
  </conditionalFormatting>
  <conditionalFormatting sqref="K107">
    <cfRule type="expression" dxfId="32" priority="41">
      <formula>ISEVEN(ROW())</formula>
    </cfRule>
  </conditionalFormatting>
  <conditionalFormatting sqref="K145">
    <cfRule type="expression" dxfId="31" priority="10">
      <formula>ISEVEN(ROW())</formula>
    </cfRule>
  </conditionalFormatting>
  <conditionalFormatting sqref="K147:K151">
    <cfRule type="expression" dxfId="30" priority="2">
      <formula>ISEVEN(ROW())</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39997558519241921"/>
  </sheetPr>
  <dimension ref="A1:Q115"/>
  <sheetViews>
    <sheetView showGridLines="0" zoomScale="80" zoomScaleNormal="80" workbookViewId="0">
      <selection activeCell="F32" sqref="F32"/>
    </sheetView>
  </sheetViews>
  <sheetFormatPr baseColWidth="10" defaultColWidth="0" defaultRowHeight="0" customHeight="1" zeroHeight="1" x14ac:dyDescent="0.25"/>
  <cols>
    <col min="1" max="1" width="3.33203125" style="28" customWidth="1"/>
    <col min="2" max="2" width="50.109375" style="3" customWidth="1"/>
    <col min="3" max="13" width="17.6640625" style="3" customWidth="1"/>
    <col min="14" max="14" width="3.33203125" style="28" customWidth="1"/>
    <col min="15" max="17" width="0" style="3" hidden="1" customWidth="1"/>
    <col min="18" max="16384" width="10.6640625" style="3" hidden="1"/>
  </cols>
  <sheetData>
    <row r="1" spans="1:14" ht="12.75" customHeight="1" x14ac:dyDescent="0.25">
      <c r="B1" s="5"/>
    </row>
    <row r="2" spans="1:14" s="16" customFormat="1" ht="33.9" customHeight="1" x14ac:dyDescent="0.3">
      <c r="B2" s="344" t="str">
        <f>+'Project Layout'!$B$2</f>
        <v>Antonio Bellet</v>
      </c>
      <c r="C2" s="20"/>
      <c r="D2" s="20"/>
      <c r="E2" s="20"/>
      <c r="F2" s="20"/>
      <c r="G2" s="20"/>
      <c r="H2" s="21"/>
      <c r="I2" s="21"/>
      <c r="J2" s="22"/>
      <c r="K2" s="22"/>
      <c r="L2" s="22"/>
      <c r="M2" s="22"/>
    </row>
    <row r="3" spans="1:14" s="16" customFormat="1" ht="23.1" customHeight="1" x14ac:dyDescent="0.3">
      <c r="B3" s="345" t="s">
        <v>310</v>
      </c>
      <c r="C3" s="20"/>
      <c r="D3" s="20"/>
      <c r="E3" s="20"/>
      <c r="F3" s="20"/>
      <c r="G3" s="20"/>
      <c r="H3" s="21"/>
      <c r="I3" s="21"/>
      <c r="J3" s="22"/>
      <c r="K3" s="22"/>
      <c r="L3" s="22"/>
      <c r="M3" s="22"/>
    </row>
    <row r="4" spans="1:14" s="27" customFormat="1" ht="5.25" customHeight="1" x14ac:dyDescent="0.3">
      <c r="A4" s="23"/>
      <c r="B4" s="24"/>
      <c r="C4" s="25"/>
      <c r="D4" s="25"/>
      <c r="E4" s="25"/>
      <c r="F4" s="25"/>
      <c r="G4" s="25"/>
      <c r="H4" s="25"/>
      <c r="I4" s="25"/>
      <c r="J4" s="25"/>
      <c r="K4" s="25"/>
      <c r="L4" s="25"/>
      <c r="M4" s="25"/>
      <c r="N4" s="23"/>
    </row>
    <row r="5" spans="1:14" ht="12.75" customHeight="1" x14ac:dyDescent="0.25">
      <c r="B5" s="861"/>
    </row>
    <row r="6" spans="1:14" ht="12.75" customHeight="1" x14ac:dyDescent="0.25">
      <c r="B6" s="861"/>
    </row>
    <row r="7" spans="1:14" ht="12.75" customHeight="1" x14ac:dyDescent="0.25">
      <c r="B7" s="3" t="s">
        <v>144</v>
      </c>
      <c r="M7" s="258">
        <f>Inputs!L73</f>
        <v>43008</v>
      </c>
    </row>
    <row r="8" spans="1:14" ht="12.75" customHeight="1" x14ac:dyDescent="0.25">
      <c r="B8" s="270" t="s">
        <v>149</v>
      </c>
      <c r="M8" s="259">
        <f>+M7</f>
        <v>43008</v>
      </c>
    </row>
    <row r="9" spans="1:14" ht="12.75" customHeight="1" x14ac:dyDescent="0.25">
      <c r="B9" s="149" t="s">
        <v>147</v>
      </c>
      <c r="M9" s="275">
        <f>+Inputs!$L$84</f>
        <v>10</v>
      </c>
    </row>
    <row r="10" spans="1:14" ht="12.75" customHeight="1" x14ac:dyDescent="0.25">
      <c r="B10" s="149" t="s">
        <v>57</v>
      </c>
      <c r="M10" s="275">
        <f>+Inputs!$L$85</f>
        <v>3</v>
      </c>
    </row>
    <row r="11" spans="1:14" ht="12.75" customHeight="1" x14ac:dyDescent="0.25">
      <c r="B11" s="149" t="s">
        <v>94</v>
      </c>
      <c r="M11" s="275">
        <f>+Inputs!$L$86</f>
        <v>8</v>
      </c>
    </row>
    <row r="12" spans="1:14" ht="12.75" customHeight="1" x14ac:dyDescent="0.25">
      <c r="B12" s="195" t="s">
        <v>92</v>
      </c>
      <c r="M12" s="275">
        <f>+Inputs!$L$87</f>
        <v>27</v>
      </c>
    </row>
    <row r="13" spans="1:14" ht="12.75" customHeight="1" x14ac:dyDescent="0.25">
      <c r="A13" s="721"/>
      <c r="B13" s="196" t="s">
        <v>156</v>
      </c>
      <c r="M13" s="275">
        <f>+Inputs!$L$93</f>
        <v>11</v>
      </c>
    </row>
    <row r="14" spans="1:14" ht="12.75" customHeight="1" x14ac:dyDescent="0.25">
      <c r="A14" s="721"/>
      <c r="B14" s="149" t="s">
        <v>93</v>
      </c>
      <c r="M14" s="275">
        <f>+Inputs!$L$91</f>
        <v>2</v>
      </c>
    </row>
    <row r="15" spans="1:14" ht="12.75" customHeight="1" x14ac:dyDescent="0.25">
      <c r="B15" s="3" t="s">
        <v>60</v>
      </c>
      <c r="M15" s="15">
        <f>+SUM(M9,M10,M11,M12,M14)</f>
        <v>50</v>
      </c>
    </row>
    <row r="16" spans="1:14" ht="12.75" customHeight="1" x14ac:dyDescent="0.25">
      <c r="B16" s="3" t="s">
        <v>148</v>
      </c>
      <c r="G16" s="7"/>
      <c r="M16" s="259">
        <f>+EOMONTH(M8,M15)</f>
        <v>44530</v>
      </c>
    </row>
    <row r="17" spans="2:14" ht="12.75" customHeight="1" x14ac:dyDescent="0.25"/>
    <row r="18" spans="2:14" ht="12.75" customHeight="1" x14ac:dyDescent="0.25">
      <c r="B18" s="420" t="s">
        <v>465</v>
      </c>
      <c r="C18" s="423"/>
      <c r="D18" s="423"/>
      <c r="E18" s="423"/>
      <c r="F18" s="423"/>
      <c r="G18" s="423"/>
      <c r="H18" s="423"/>
      <c r="I18" s="423"/>
      <c r="J18" s="423"/>
      <c r="K18" s="423"/>
      <c r="L18" s="423"/>
      <c r="M18" s="424"/>
    </row>
    <row r="19" spans="2:14" ht="12.75" customHeight="1" x14ac:dyDescent="0.3">
      <c r="B19" s="406"/>
      <c r="C19" s="407"/>
      <c r="D19" s="407"/>
      <c r="E19" s="407"/>
      <c r="F19" s="407"/>
      <c r="G19" s="738"/>
      <c r="H19" s="408"/>
      <c r="I19" s="408"/>
      <c r="J19" s="408"/>
      <c r="K19" s="408"/>
      <c r="L19" s="408"/>
      <c r="M19" s="409"/>
    </row>
    <row r="20" spans="2:14" ht="12.75" customHeight="1" x14ac:dyDescent="0.3">
      <c r="B20" s="543"/>
      <c r="C20" s="544"/>
      <c r="D20" s="544"/>
      <c r="E20" s="544"/>
      <c r="F20" s="544"/>
      <c r="G20"/>
      <c r="H20" s="2"/>
      <c r="I20" s="2"/>
      <c r="J20" s="2"/>
      <c r="K20" s="2"/>
      <c r="L20" s="739" t="s">
        <v>164</v>
      </c>
      <c r="M20" s="740" t="s">
        <v>101</v>
      </c>
    </row>
    <row r="21" spans="2:14" ht="12.75" customHeight="1" x14ac:dyDescent="0.3">
      <c r="B21" s="391" t="s">
        <v>44</v>
      </c>
      <c r="C21" s="405"/>
      <c r="D21" s="2"/>
      <c r="E21" s="2"/>
      <c r="F21" s="410"/>
      <c r="G21"/>
      <c r="H21" s="2"/>
      <c r="I21" s="2"/>
      <c r="J21" s="2"/>
      <c r="K21" s="2"/>
      <c r="L21" s="630">
        <f>+'Project Layout'!$R$44</f>
        <v>9134.2099999999991</v>
      </c>
      <c r="M21" s="741">
        <f>+L21/SUM($L$21:$L$23)</f>
        <v>0.61252036881810568</v>
      </c>
    </row>
    <row r="22" spans="2:14" ht="12.75" customHeight="1" x14ac:dyDescent="0.3">
      <c r="B22" s="391" t="s">
        <v>462</v>
      </c>
      <c r="C22" s="405"/>
      <c r="D22" s="2"/>
      <c r="E22" s="2"/>
      <c r="F22" s="410"/>
      <c r="G22"/>
      <c r="H22" s="742"/>
      <c r="I22" s="742"/>
      <c r="J22" s="2"/>
      <c r="K22" s="2"/>
      <c r="L22" s="630">
        <f>+'Project Layout'!$R$46+'Project Layout'!R45</f>
        <v>972.22</v>
      </c>
      <c r="M22" s="741">
        <f>+L22/SUM($L$21:$L$23)</f>
        <v>6.519497066219615E-2</v>
      </c>
    </row>
    <row r="23" spans="2:14" ht="12.75" customHeight="1" x14ac:dyDescent="0.3">
      <c r="B23" s="391" t="s">
        <v>61</v>
      </c>
      <c r="C23" s="405"/>
      <c r="D23" s="2"/>
      <c r="E23" s="2"/>
      <c r="F23" s="880"/>
      <c r="G23"/>
      <c r="H23" s="2"/>
      <c r="I23" s="2"/>
      <c r="J23" s="2"/>
      <c r="K23" s="2"/>
      <c r="L23" s="630">
        <f>+'Project Layout'!$R$47</f>
        <v>4806.07</v>
      </c>
      <c r="M23" s="741">
        <f>+L23/SUM($L$21:$L$23)</f>
        <v>0.32228466051969828</v>
      </c>
    </row>
    <row r="24" spans="2:14" ht="12.75" customHeight="1" x14ac:dyDescent="0.3">
      <c r="B24" s="391"/>
      <c r="C24" s="405"/>
      <c r="D24" s="2"/>
      <c r="E24" s="2"/>
      <c r="F24" s="410"/>
      <c r="G24"/>
      <c r="H24" s="2"/>
      <c r="I24" s="2"/>
      <c r="J24" s="2"/>
      <c r="K24" s="2"/>
      <c r="L24" s="630"/>
      <c r="M24" s="741"/>
    </row>
    <row r="25" spans="2:14" ht="12.75" customHeight="1" x14ac:dyDescent="0.3">
      <c r="B25" s="391" t="s">
        <v>44</v>
      </c>
      <c r="C25" s="405"/>
      <c r="D25" s="2"/>
      <c r="E25" s="2"/>
      <c r="F25" s="816"/>
      <c r="G25"/>
      <c r="H25" s="2"/>
      <c r="I25" s="2"/>
      <c r="J25" s="2"/>
      <c r="K25" s="2"/>
      <c r="L25" s="630">
        <f>+'Project Layout'!$R$44</f>
        <v>9134.2099999999991</v>
      </c>
      <c r="M25" s="741">
        <f>+L25/SUM($L$25:$L$26)</f>
        <v>0.90380183704829509</v>
      </c>
    </row>
    <row r="26" spans="2:14" ht="12.75" customHeight="1" x14ac:dyDescent="0.3">
      <c r="B26" s="434" t="s">
        <v>462</v>
      </c>
      <c r="C26" s="412"/>
      <c r="D26" s="413"/>
      <c r="E26" s="413"/>
      <c r="F26" s="414"/>
      <c r="G26" s="415"/>
      <c r="H26" s="413"/>
      <c r="I26" s="413"/>
      <c r="J26" s="413"/>
      <c r="K26" s="413"/>
      <c r="L26" s="743">
        <f>+'Project Layout'!$R$46+'Project Layout'!$R$45</f>
        <v>972.22</v>
      </c>
      <c r="M26" s="744">
        <f>+L26/SUM($L$25:$L$26)</f>
        <v>9.6198162951705024E-2</v>
      </c>
    </row>
    <row r="27" spans="2:14" ht="12.75" customHeight="1" x14ac:dyDescent="0.3">
      <c r="B27" s="745"/>
      <c r="C27" s="412"/>
      <c r="D27" s="413"/>
      <c r="E27" s="413"/>
      <c r="F27" s="414"/>
      <c r="G27" s="415"/>
      <c r="H27" s="413"/>
      <c r="I27" s="413"/>
      <c r="J27" s="413"/>
      <c r="K27" s="413"/>
      <c r="L27" s="413"/>
      <c r="M27" s="413"/>
    </row>
    <row r="28" spans="2:14" ht="12.75" customHeight="1" x14ac:dyDescent="0.25">
      <c r="B28" s="420" t="s">
        <v>106</v>
      </c>
      <c r="C28" s="421"/>
      <c r="D28" s="420"/>
      <c r="E28" s="420"/>
      <c r="F28" s="1202" t="s">
        <v>62</v>
      </c>
      <c r="G28" s="1203"/>
      <c r="H28" s="1203"/>
      <c r="I28" s="1204"/>
      <c r="J28" s="1202" t="s">
        <v>70</v>
      </c>
      <c r="K28" s="1203"/>
      <c r="L28" s="1204"/>
      <c r="M28" s="422"/>
    </row>
    <row r="29" spans="2:14" ht="12.75" customHeight="1" x14ac:dyDescent="0.25">
      <c r="B29" s="1205" t="s">
        <v>110</v>
      </c>
      <c r="C29" s="1207" t="s">
        <v>63</v>
      </c>
      <c r="D29" s="1207" t="s">
        <v>611</v>
      </c>
      <c r="E29" s="1207" t="s">
        <v>612</v>
      </c>
      <c r="F29" s="1213" t="s">
        <v>111</v>
      </c>
      <c r="G29" s="1209" t="s">
        <v>1</v>
      </c>
      <c r="H29" s="1209" t="s">
        <v>165</v>
      </c>
      <c r="I29" s="1211" t="s">
        <v>166</v>
      </c>
      <c r="J29" s="1213" t="s">
        <v>1</v>
      </c>
      <c r="K29" s="1209" t="s">
        <v>584</v>
      </c>
      <c r="L29" s="1211" t="s">
        <v>585</v>
      </c>
      <c r="M29" s="1207" t="s">
        <v>107</v>
      </c>
    </row>
    <row r="30" spans="2:14" ht="12.75" customHeight="1" x14ac:dyDescent="0.25">
      <c r="B30" s="1206"/>
      <c r="C30" s="1208"/>
      <c r="D30" s="1208"/>
      <c r="E30" s="1208"/>
      <c r="F30" s="1214"/>
      <c r="G30" s="1210"/>
      <c r="H30" s="1210"/>
      <c r="I30" s="1212"/>
      <c r="J30" s="1214"/>
      <c r="K30" s="1210"/>
      <c r="L30" s="1212"/>
      <c r="M30" s="1208"/>
      <c r="N30" s="43"/>
    </row>
    <row r="31" spans="2:14" ht="12.75" customHeight="1" x14ac:dyDescent="0.25">
      <c r="B31" s="88"/>
      <c r="C31" s="67"/>
      <c r="D31" s="67"/>
      <c r="E31" s="67"/>
      <c r="F31" s="67"/>
      <c r="G31" s="67"/>
      <c r="H31" s="67"/>
      <c r="I31" s="67"/>
      <c r="J31" s="67"/>
      <c r="K31" s="67"/>
      <c r="L31" s="67"/>
      <c r="M31" s="89"/>
    </row>
    <row r="32" spans="2:14" ht="12.75" customHeight="1" x14ac:dyDescent="0.25">
      <c r="B32" s="90" t="s">
        <v>46</v>
      </c>
      <c r="C32" s="63"/>
      <c r="D32" s="63"/>
      <c r="E32" s="63"/>
      <c r="F32" s="797"/>
      <c r="G32" s="797"/>
      <c r="H32" s="63"/>
      <c r="I32" s="63"/>
      <c r="J32" s="63"/>
      <c r="K32" s="63"/>
      <c r="L32" s="63"/>
      <c r="M32" s="91"/>
    </row>
    <row r="33" spans="2:13" ht="12.75" customHeight="1" x14ac:dyDescent="0.25">
      <c r="B33" s="92" t="s">
        <v>26</v>
      </c>
      <c r="C33" s="77" t="s">
        <v>155</v>
      </c>
      <c r="D33" s="998">
        <v>148941.59999999948</v>
      </c>
      <c r="E33" s="1003">
        <f>+IFERROR(G33/D33-1,0)</f>
        <v>0</v>
      </c>
      <c r="F33" s="1070">
        <f>+G33/Inputs!C11</f>
        <v>91.599999999999682</v>
      </c>
      <c r="G33" s="68">
        <v>148941.59999999948</v>
      </c>
      <c r="H33" s="632">
        <f>IFERROR(G33/'Project Layout'!$R$48,0)</f>
        <v>9.9877015926236048</v>
      </c>
      <c r="I33" s="632">
        <f>IFERROR(G33/'Project Layout'!$S$48,0)</f>
        <v>20.415851654263786</v>
      </c>
      <c r="J33" s="277">
        <f>G33*Inputs!$L$120</f>
        <v>6084263.7534967391</v>
      </c>
      <c r="K33" s="632">
        <f>IFERROR(J33/Inputs!$E$19,0)</f>
        <v>39.226523709261578</v>
      </c>
      <c r="L33" s="632">
        <f>IFERROR(J33/Inputs!$F$19,0)</f>
        <v>83.213790354098975</v>
      </c>
      <c r="M33" s="93">
        <f t="shared" ref="M33:M46" si="0">+IFERROR(G33/$G$72,0)</f>
        <v>0.2402890484404053</v>
      </c>
    </row>
    <row r="34" spans="2:13" ht="12.75" customHeight="1" x14ac:dyDescent="0.25">
      <c r="B34" s="92" t="s">
        <v>27</v>
      </c>
      <c r="C34" s="77" t="s">
        <v>62</v>
      </c>
      <c r="D34" s="999">
        <v>90</v>
      </c>
      <c r="E34" s="1004">
        <f t="shared" ref="E34:E46" si="1">+IFERROR(G34/D34-1,0)</f>
        <v>-0.12451414099643932</v>
      </c>
      <c r="F34" s="1070">
        <f>+G34</f>
        <v>78.793727310320463</v>
      </c>
      <c r="G34" s="68">
        <v>78.793727310320463</v>
      </c>
      <c r="H34" s="632">
        <f>IFERROR(G34/'Project Layout'!$R$48,0)</f>
        <v>5.2837369529133591E-3</v>
      </c>
      <c r="I34" s="632">
        <f>IFERROR(G34/'Project Layout'!$S$48,0)</f>
        <v>1.0800481853652849E-2</v>
      </c>
      <c r="J34" s="72">
        <f>G34*Inputs!$L$120</f>
        <v>3218.7234397716325</v>
      </c>
      <c r="K34" s="632">
        <f>IFERROR(J34/Inputs!$E$19,0)</f>
        <v>2.0751784675868849E-2</v>
      </c>
      <c r="L34" s="632">
        <f>IFERROR(J34/Inputs!$F$19,0)</f>
        <v>4.40221181027938E-2</v>
      </c>
      <c r="M34" s="93">
        <f t="shared" si="0"/>
        <v>1.2711874827764537E-4</v>
      </c>
    </row>
    <row r="35" spans="2:13" ht="12.75" customHeight="1" x14ac:dyDescent="0.25">
      <c r="B35" s="92" t="s">
        <v>69</v>
      </c>
      <c r="C35" s="77" t="s">
        <v>26</v>
      </c>
      <c r="D35" s="999">
        <v>2979</v>
      </c>
      <c r="E35" s="1004">
        <f t="shared" si="1"/>
        <v>-5.1000932573729285E-3</v>
      </c>
      <c r="F35" s="1072">
        <f>+G35/G33</f>
        <v>1.9899120341034984E-2</v>
      </c>
      <c r="G35" s="68">
        <v>2963.8068221862859</v>
      </c>
      <c r="H35" s="632">
        <f>IFERROR(G35/'Project Layout'!$R$48,0)</f>
        <v>0.19874647592196387</v>
      </c>
      <c r="I35" s="632">
        <f>IFERROR(G35/'Project Layout'!$S$48,0)</f>
        <v>0.40625748893291319</v>
      </c>
      <c r="J35" s="277">
        <f>G35*Inputs!$L$120</f>
        <v>121071.49661742881</v>
      </c>
      <c r="K35" s="632">
        <f>IFERROR(J35/Inputs!$E$19,0)</f>
        <v>0.78057331585105805</v>
      </c>
      <c r="L35" s="632">
        <f>IFERROR(J35/Inputs!$F$19,0)</f>
        <v>1.6558812282898716</v>
      </c>
      <c r="M35" s="93">
        <f t="shared" si="0"/>
        <v>4.7815406915484096E-3</v>
      </c>
    </row>
    <row r="36" spans="2:13" ht="12.75" customHeight="1" x14ac:dyDescent="0.25">
      <c r="B36" s="92" t="s">
        <v>485</v>
      </c>
      <c r="C36" s="77" t="s">
        <v>62</v>
      </c>
      <c r="D36" s="999">
        <v>600</v>
      </c>
      <c r="E36" s="1004">
        <f t="shared" si="1"/>
        <v>4.3390207494236499E-2</v>
      </c>
      <c r="F36" s="1070">
        <f t="shared" ref="F36:F41" si="2">+G36</f>
        <v>626.03412449654195</v>
      </c>
      <c r="G36" s="68">
        <v>626.03412449654195</v>
      </c>
      <c r="H36" s="632">
        <f>IFERROR(G36/'Project Layout'!$R$48,0)</f>
        <v>4.1980494517789908E-2</v>
      </c>
      <c r="I36" s="632">
        <f>IFERROR(G36/'Project Layout'!$S$48,0)</f>
        <v>8.5812290295178451E-2</v>
      </c>
      <c r="J36" s="277">
        <f>G36*Inputs!$L$120</f>
        <v>25573.491436417953</v>
      </c>
      <c r="K36" s="632">
        <f>IFERROR(J36/Inputs!$E$19,0)</f>
        <v>0.16487765961538281</v>
      </c>
      <c r="L36" s="632">
        <f>IFERROR(J36/Inputs!$F$19,0)</f>
        <v>0.34976576316064362</v>
      </c>
      <c r="M36" s="93">
        <f t="shared" si="0"/>
        <v>1.0099874317618235E-3</v>
      </c>
    </row>
    <row r="37" spans="2:13" ht="12.75" customHeight="1" x14ac:dyDescent="0.25">
      <c r="B37" s="92" t="s">
        <v>153</v>
      </c>
      <c r="C37" s="77" t="s">
        <v>62</v>
      </c>
      <c r="D37" s="999">
        <v>300</v>
      </c>
      <c r="E37" s="1004">
        <f t="shared" si="1"/>
        <v>-1</v>
      </c>
      <c r="F37" s="1070">
        <f t="shared" si="2"/>
        <v>0</v>
      </c>
      <c r="G37" s="68">
        <v>0</v>
      </c>
      <c r="H37" s="632">
        <f>IFERROR(G37/'Project Layout'!$R$48,0)</f>
        <v>0</v>
      </c>
      <c r="I37" s="632">
        <f>IFERROR(G37/'Project Layout'!$S$48,0)</f>
        <v>0</v>
      </c>
      <c r="J37" s="277">
        <f>G37*Inputs!$L$120</f>
        <v>0</v>
      </c>
      <c r="K37" s="632">
        <f>IFERROR(J37/Inputs!$E$19,0)</f>
        <v>0</v>
      </c>
      <c r="L37" s="632">
        <f>IFERROR(J37/Inputs!$F$19,0)</f>
        <v>0</v>
      </c>
      <c r="M37" s="93">
        <f t="shared" si="0"/>
        <v>0</v>
      </c>
    </row>
    <row r="38" spans="2:13" ht="12.75" customHeight="1" x14ac:dyDescent="0.25">
      <c r="B38" s="92" t="s">
        <v>30</v>
      </c>
      <c r="C38" s="271" t="s">
        <v>62</v>
      </c>
      <c r="D38" s="999">
        <v>2500</v>
      </c>
      <c r="E38" s="1004">
        <f t="shared" si="1"/>
        <v>4.0000000000000036E-2</v>
      </c>
      <c r="F38" s="1070">
        <f t="shared" si="2"/>
        <v>2600</v>
      </c>
      <c r="G38" s="68">
        <v>2600</v>
      </c>
      <c r="H38" s="632">
        <f>IFERROR(G38/'Project Layout'!$R$48,0)</f>
        <v>0.1743503772003353</v>
      </c>
      <c r="I38" s="632">
        <f>IFERROR(G38/'Project Layout'!$S$48,0)</f>
        <v>0.35638944593777711</v>
      </c>
      <c r="J38" s="277">
        <f>G38*Inputs!$L$120</f>
        <v>106209.98941257228</v>
      </c>
      <c r="K38" s="632">
        <f>IFERROR(J38/Inputs!$E$19,0)</f>
        <v>0.6847580638591263</v>
      </c>
      <c r="L38" s="632">
        <f>IFERROR(J38/Inputs!$F$19,0)</f>
        <v>1.4526220674456167</v>
      </c>
      <c r="M38" s="93">
        <f t="shared" si="0"/>
        <v>4.194607322232714E-3</v>
      </c>
    </row>
    <row r="39" spans="2:13" ht="12.75" customHeight="1" x14ac:dyDescent="0.25">
      <c r="B39" s="92" t="s">
        <v>29</v>
      </c>
      <c r="C39" s="77" t="s">
        <v>62</v>
      </c>
      <c r="D39" s="999">
        <v>320</v>
      </c>
      <c r="E39" s="1004">
        <f t="shared" si="1"/>
        <v>0.84069894908773501</v>
      </c>
      <c r="F39" s="1070">
        <f t="shared" si="2"/>
        <v>589.02366370807522</v>
      </c>
      <c r="G39" s="68">
        <v>589.02366370807522</v>
      </c>
      <c r="H39" s="632">
        <f>IFERROR(G39/'Project Layout'!$R$48,0)</f>
        <v>3.949865305670245E-2</v>
      </c>
      <c r="I39" s="632">
        <f>IFERROR(G39/'Project Layout'!$S$48,0)</f>
        <v>8.0739160443523264E-2</v>
      </c>
      <c r="J39" s="277">
        <f>G39*Inputs!$L$120</f>
        <v>24061.614263918924</v>
      </c>
      <c r="K39" s="632">
        <f>IFERROR(J39/Inputs!$E$19,0)</f>
        <v>0.15513027058767334</v>
      </c>
      <c r="L39" s="632">
        <f>IFERROR(J39/Inputs!$F$19,0)</f>
        <v>0.32908798928846766</v>
      </c>
      <c r="M39" s="93">
        <f t="shared" si="0"/>
        <v>9.5027806644547384E-4</v>
      </c>
    </row>
    <row r="40" spans="2:13" ht="12.75" customHeight="1" x14ac:dyDescent="0.25">
      <c r="B40" s="92" t="s">
        <v>28</v>
      </c>
      <c r="C40" s="77" t="s">
        <v>62</v>
      </c>
      <c r="D40" s="999">
        <v>300</v>
      </c>
      <c r="E40" s="1004">
        <f t="shared" si="1"/>
        <v>-1</v>
      </c>
      <c r="F40" s="1070">
        <f t="shared" si="2"/>
        <v>0</v>
      </c>
      <c r="G40" s="68">
        <v>0</v>
      </c>
      <c r="H40" s="632">
        <f>IFERROR(G40/'Project Layout'!$R$48,0)</f>
        <v>0</v>
      </c>
      <c r="I40" s="632">
        <f>IFERROR(G40/'Project Layout'!$S$48,0)</f>
        <v>0</v>
      </c>
      <c r="J40" s="277">
        <f>G40*Inputs!$L$120</f>
        <v>0</v>
      </c>
      <c r="K40" s="632">
        <f>IFERROR(J40/Inputs!$E$19,0)</f>
        <v>0</v>
      </c>
      <c r="L40" s="632">
        <f>IFERROR(J40/Inputs!$F$19,0)</f>
        <v>0</v>
      </c>
      <c r="M40" s="93">
        <f t="shared" si="0"/>
        <v>0</v>
      </c>
    </row>
    <row r="41" spans="2:13" ht="12.75" customHeight="1" x14ac:dyDescent="0.25">
      <c r="B41" s="92" t="s">
        <v>108</v>
      </c>
      <c r="C41" s="77" t="s">
        <v>62</v>
      </c>
      <c r="D41" s="999">
        <v>1000</v>
      </c>
      <c r="E41" s="1004">
        <f t="shared" si="1"/>
        <v>-1</v>
      </c>
      <c r="F41" s="1070">
        <f t="shared" si="2"/>
        <v>0</v>
      </c>
      <c r="G41" s="68">
        <v>0</v>
      </c>
      <c r="H41" s="632">
        <f>IFERROR(G41/'Project Layout'!$R$48,0)</f>
        <v>0</v>
      </c>
      <c r="I41" s="632">
        <f>IFERROR(G41/'Project Layout'!$S$48,0)</f>
        <v>0</v>
      </c>
      <c r="J41" s="277">
        <f>G41*Inputs!$L$120</f>
        <v>0</v>
      </c>
      <c r="K41" s="632">
        <f>IFERROR(J41/Inputs!$E$19,0)</f>
        <v>0</v>
      </c>
      <c r="L41" s="632">
        <f>IFERROR(J41/Inputs!$F$19,0)</f>
        <v>0</v>
      </c>
      <c r="M41" s="93">
        <f t="shared" si="0"/>
        <v>0</v>
      </c>
    </row>
    <row r="42" spans="2:13" ht="12.75" customHeight="1" x14ac:dyDescent="0.25">
      <c r="B42" s="92" t="s">
        <v>66</v>
      </c>
      <c r="C42" s="77" t="s">
        <v>154</v>
      </c>
      <c r="D42" s="999">
        <v>1115</v>
      </c>
      <c r="E42" s="1004">
        <f t="shared" si="1"/>
        <v>-0.8957600297376036</v>
      </c>
      <c r="F42" s="1073">
        <f>+G42/'Project Layout'!R48</f>
        <v>7.7939692769536974E-3</v>
      </c>
      <c r="G42" s="68">
        <v>116.227566842572</v>
      </c>
      <c r="H42" s="632">
        <f>IFERROR(G42/'Project Layout'!$R$48,0)</f>
        <v>7.7939692769536974E-3</v>
      </c>
      <c r="I42" s="632">
        <f>IFERROR(G42/'Project Layout'!$S$48,0)</f>
        <v>1.5931645442200073E-2</v>
      </c>
      <c r="J42" s="277">
        <f>G42*Inputs!$L$120</f>
        <v>4747.8956322302347</v>
      </c>
      <c r="K42" s="632">
        <f>IFERROR(J42/Inputs!$E$19,0)</f>
        <v>3.0610678322375694E-2</v>
      </c>
      <c r="L42" s="632">
        <f>IFERROR(J42/Inputs!$F$19,0)</f>
        <v>6.4936434015780989E-2</v>
      </c>
      <c r="M42" s="93">
        <f t="shared" si="0"/>
        <v>1.8751115497044028E-4</v>
      </c>
    </row>
    <row r="43" spans="2:13" ht="12.75" customHeight="1" x14ac:dyDescent="0.25">
      <c r="B43" s="92" t="s">
        <v>486</v>
      </c>
      <c r="C43" s="77" t="s">
        <v>26</v>
      </c>
      <c r="D43" s="999">
        <v>297.89999999999998</v>
      </c>
      <c r="E43" s="1004">
        <f t="shared" si="1"/>
        <v>-0.89614497253046621</v>
      </c>
      <c r="F43" s="1071">
        <f>+G43/G33</f>
        <v>2.0772176935909248E-4</v>
      </c>
      <c r="G43" s="68">
        <v>30.9384126831741</v>
      </c>
      <c r="H43" s="632">
        <f>IFERROR(G43/'Project Layout'!$R$48,0)</f>
        <v>2.074663046650401E-3</v>
      </c>
      <c r="I43" s="632">
        <f>IFERROR(G43/'Project Layout'!$S$48,0)</f>
        <v>4.2408168285964281E-3</v>
      </c>
      <c r="J43" s="277">
        <f>G43*Inputs!$L$120</f>
        <v>1263.8340321237358</v>
      </c>
      <c r="K43" s="632">
        <f>IFERROR(J43/Inputs!$E$19,0)</f>
        <v>8.148202910694206E-3</v>
      </c>
      <c r="L43" s="632">
        <f>IFERROR(J43/Inputs!$F$19,0)</f>
        <v>1.7285315767430021E-2</v>
      </c>
      <c r="M43" s="93">
        <f t="shared" si="0"/>
        <v>4.9913266299653669E-5</v>
      </c>
    </row>
    <row r="44" spans="2:13" ht="12.75" customHeight="1" x14ac:dyDescent="0.25">
      <c r="B44" s="92" t="s">
        <v>415</v>
      </c>
      <c r="C44" s="77" t="s">
        <v>62</v>
      </c>
      <c r="D44" s="999">
        <v>350</v>
      </c>
      <c r="E44" s="1004">
        <f t="shared" si="1"/>
        <v>-0.37685544421626815</v>
      </c>
      <c r="F44" s="1070">
        <f>+G44</f>
        <v>218.10059452430616</v>
      </c>
      <c r="G44" s="68">
        <v>218.10059452430616</v>
      </c>
      <c r="H44" s="632">
        <f>IFERROR(G44/'Project Layout'!$R$48,0)</f>
        <v>1.4625354201126987E-2</v>
      </c>
      <c r="I44" s="632">
        <f>IFERROR(G44/'Project Layout'!$S$48,0)</f>
        <v>2.9895673092775868E-2</v>
      </c>
      <c r="J44" s="277">
        <f>G44*Inputs!$L$120</f>
        <v>8909.4083981931835</v>
      </c>
      <c r="K44" s="632">
        <f>IFERROR(J44/Inputs!$E$19,0)</f>
        <v>5.7440823397303178E-2</v>
      </c>
      <c r="L44" s="632">
        <f>IFERROR(J44/Inputs!$F$19,0)</f>
        <v>0.12185297558808299</v>
      </c>
      <c r="M44" s="93">
        <f t="shared" si="0"/>
        <v>3.5186398106729338E-4</v>
      </c>
    </row>
    <row r="45" spans="2:13" ht="12.75" customHeight="1" x14ac:dyDescent="0.25">
      <c r="B45" s="94" t="s">
        <v>487</v>
      </c>
      <c r="C45" s="591" t="s">
        <v>62</v>
      </c>
      <c r="D45" s="1000">
        <v>60</v>
      </c>
      <c r="E45" s="1005">
        <f t="shared" si="1"/>
        <v>1.0831068254423051</v>
      </c>
      <c r="F45" s="1074">
        <f>+G45</f>
        <v>124.98640952653831</v>
      </c>
      <c r="G45" s="71">
        <v>124.98640952653831</v>
      </c>
      <c r="H45" s="633">
        <f>IFERROR(G45/'Project Layout'!$R$48,0)</f>
        <v>8.3813183253336684E-3</v>
      </c>
      <c r="I45" s="633">
        <f>IFERROR(G45/'Project Layout'!$S$48,0)</f>
        <v>1.7132245092659652E-2</v>
      </c>
      <c r="J45" s="278">
        <f>G45*Inputs!$L$120</f>
        <v>5105.6943202034836</v>
      </c>
      <c r="K45" s="633">
        <f>IFERROR(J45/Inputs!$E$19,0)</f>
        <v>3.2917481460037014E-2</v>
      </c>
      <c r="L45" s="633">
        <f>IFERROR(J45/Inputs!$F$19,0)</f>
        <v>6.9830006388094085E-2</v>
      </c>
      <c r="M45" s="95">
        <f t="shared" si="0"/>
        <v>2.0164188791522855E-4</v>
      </c>
    </row>
    <row r="46" spans="2:13" ht="12.75" customHeight="1" x14ac:dyDescent="0.25">
      <c r="B46" s="96" t="s">
        <v>31</v>
      </c>
      <c r="C46" s="78"/>
      <c r="D46" s="279">
        <f>+SUM(D33:D45)</f>
        <v>158853.49999999948</v>
      </c>
      <c r="E46" s="97">
        <f t="shared" si="1"/>
        <v>-1.6140586633106691E-2</v>
      </c>
      <c r="F46" s="279"/>
      <c r="G46" s="279">
        <f>+SUM(G33:G45)</f>
        <v>156289.51132127727</v>
      </c>
      <c r="H46" s="636">
        <f>IFERROR(G46/'Project Layout'!$R$48,0)</f>
        <v>10.480436635123372</v>
      </c>
      <c r="I46" s="634">
        <f>IFERROR(G46/'Project Layout'!$S$48,0)</f>
        <v>21.423050902183057</v>
      </c>
      <c r="J46" s="280">
        <f>+SUM(J33:J45)</f>
        <v>6384425.9010496009</v>
      </c>
      <c r="K46" s="74">
        <f>IFERROR(J46/Inputs!$E$19,0)</f>
        <v>41.16173198994111</v>
      </c>
      <c r="L46" s="640">
        <f>IFERROR(J46/Inputs!$F$19,0)</f>
        <v>87.319074252145782</v>
      </c>
      <c r="M46" s="97">
        <f t="shared" si="0"/>
        <v>0.25214351099092397</v>
      </c>
    </row>
    <row r="47" spans="2:13" ht="12.75" customHeight="1" x14ac:dyDescent="0.25">
      <c r="B47" s="96"/>
      <c r="C47" s="5"/>
      <c r="D47" s="5"/>
      <c r="E47" s="5"/>
      <c r="F47" s="856"/>
      <c r="G47" s="60"/>
      <c r="H47" s="61"/>
      <c r="I47" s="61"/>
      <c r="J47" s="31"/>
      <c r="K47" s="62"/>
      <c r="L47" s="62"/>
      <c r="M47" s="98"/>
    </row>
    <row r="48" spans="2:13" ht="12.75" customHeight="1" x14ac:dyDescent="0.25">
      <c r="B48" s="90" t="s">
        <v>35</v>
      </c>
      <c r="C48" s="63"/>
      <c r="D48" s="63"/>
      <c r="E48" s="63"/>
      <c r="F48" s="63"/>
      <c r="G48" s="64"/>
      <c r="H48" s="63"/>
      <c r="I48" s="63"/>
      <c r="J48" s="65"/>
      <c r="K48" s="65"/>
      <c r="L48" s="65"/>
      <c r="M48" s="99"/>
    </row>
    <row r="49" spans="1:13" ht="12.75" customHeight="1" x14ac:dyDescent="0.25">
      <c r="B49" s="92" t="s">
        <v>57</v>
      </c>
      <c r="C49" s="76" t="s">
        <v>155</v>
      </c>
      <c r="D49" s="998">
        <v>2439</v>
      </c>
      <c r="E49" s="1003">
        <f t="shared" ref="E49:E54" si="3">+IFERROR(G49/D49-1,0)</f>
        <v>-0.65230286026757978</v>
      </c>
      <c r="F49" s="1001">
        <f>+G49/Inputs!C11</f>
        <v>0.52154570959863034</v>
      </c>
      <c r="G49" s="68">
        <v>848.03332380737288</v>
      </c>
      <c r="H49" s="632">
        <f>IFERROR(G49/'Project Layout'!$R$48,0)</f>
        <v>5.6867280724719062E-2</v>
      </c>
      <c r="I49" s="705">
        <f>IFERROR(G49/'Project Layout'!$S$48,0)</f>
        <v>0.1162423563109543</v>
      </c>
      <c r="J49" s="216">
        <f>IFERROR(G49*Inputs!$L$120,0)</f>
        <v>34642.157824265218</v>
      </c>
      <c r="K49" s="216">
        <f>IFERROR(J49/Inputs!$E$19,0)</f>
        <v>0.22334525265321395</v>
      </c>
      <c r="L49" s="283">
        <f>IFERROR(J49/Inputs!$F$19,0)</f>
        <v>0.47379689234301703</v>
      </c>
      <c r="M49" s="311">
        <f t="shared" ref="M49:M54" si="4">+IFERROR(G49/$G$72,0)</f>
        <v>1.3681410728999047E-3</v>
      </c>
    </row>
    <row r="50" spans="1:13" ht="12.75" customHeight="1" x14ac:dyDescent="0.25">
      <c r="B50" s="92" t="s">
        <v>497</v>
      </c>
      <c r="C50" s="271" t="s">
        <v>154</v>
      </c>
      <c r="D50" s="999">
        <v>15160.041999999999</v>
      </c>
      <c r="E50" s="1004">
        <f t="shared" si="3"/>
        <v>-1.071181352871764E-3</v>
      </c>
      <c r="F50" s="1001">
        <f>+G50/'Project Layout'!E38</f>
        <v>3.1509742566589432</v>
      </c>
      <c r="G50" s="68">
        <v>15143.802845700846</v>
      </c>
      <c r="H50" s="632">
        <f>IFERROR(G50/'Project Layout'!$R$48,0)</f>
        <v>1.0155106686136361</v>
      </c>
      <c r="I50" s="632">
        <f>IFERROR(G50/'Project Layout'!$S$48,0)</f>
        <v>2.0758044252193297</v>
      </c>
      <c r="J50" s="277">
        <f>IFERROR(G50*Inputs!$L$120,0)</f>
        <v>618624.28457998799</v>
      </c>
      <c r="K50" s="216">
        <f>IFERROR(J50/Inputs!$E$19,0)</f>
        <v>3.9884004292640149</v>
      </c>
      <c r="L50" s="284">
        <f>IFERROR(J50/Inputs!$F$19,0)</f>
        <v>8.4608546918118375</v>
      </c>
      <c r="M50" s="104">
        <f t="shared" si="4"/>
        <v>2.4431656270394377E-2</v>
      </c>
    </row>
    <row r="51" spans="1:13" ht="12.75" customHeight="1" x14ac:dyDescent="0.25">
      <c r="B51" s="92" t="s">
        <v>498</v>
      </c>
      <c r="C51" s="271" t="s">
        <v>154</v>
      </c>
      <c r="D51" s="999">
        <v>253077.95800000001</v>
      </c>
      <c r="E51" s="1004">
        <f t="shared" si="3"/>
        <v>9.4465129199438058E-2</v>
      </c>
      <c r="F51" s="1001">
        <f>+G51/'Project Layout'!E37</f>
        <v>27.406809328318705</v>
      </c>
      <c r="G51" s="68">
        <v>276985</v>
      </c>
      <c r="H51" s="632">
        <f>IFERROR(G51/'Project Layout'!$R$48,0)</f>
        <v>18.574015088013414</v>
      </c>
      <c r="I51" s="632">
        <f>IFERROR(G51/'Project Layout'!$S$48,0)</f>
        <v>37.967127185798155</v>
      </c>
      <c r="J51" s="277">
        <f>IFERROR(G51*Inputs!$L$120,0)</f>
        <v>11314836.122092821</v>
      </c>
      <c r="K51" s="216">
        <f>IFERROR(J51/Inputs!$E$19,0)</f>
        <v>72.949120122315435</v>
      </c>
      <c r="L51" s="284">
        <f>IFERROR(J51/Inputs!$F$19,0)</f>
        <v>154.75173975054776</v>
      </c>
      <c r="M51" s="104">
        <f t="shared" si="4"/>
        <v>0.44686281121101085</v>
      </c>
    </row>
    <row r="52" spans="1:13" ht="12.75" customHeight="1" x14ac:dyDescent="0.25">
      <c r="A52" s="43"/>
      <c r="B52" s="92" t="s">
        <v>162</v>
      </c>
      <c r="C52" s="271" t="s">
        <v>109</v>
      </c>
      <c r="D52" s="999">
        <v>13411.900000000001</v>
      </c>
      <c r="E52" s="1004">
        <f t="shared" si="3"/>
        <v>-0.17058731425077733</v>
      </c>
      <c r="F52" s="1075">
        <f>+G52/SUM(G50:G51)</f>
        <v>3.8079093508200122E-2</v>
      </c>
      <c r="G52" s="68">
        <v>11124</v>
      </c>
      <c r="H52" s="632">
        <f>IFERROR(G52/'Project Layout'!$R$48,0)</f>
        <v>0.7459513830678961</v>
      </c>
      <c r="I52" s="632">
        <f>IFERROR(G52/'Project Layout'!$S$48,0)</f>
        <v>1.5247985371583972</v>
      </c>
      <c r="J52" s="277">
        <f>IFERROR(G52*Inputs!$L$120,0)</f>
        <v>454415.35470209771</v>
      </c>
      <c r="K52" s="216">
        <f>IFERROR(J52/Inputs!$E$19,0)</f>
        <v>2.9297110393726622</v>
      </c>
      <c r="L52" s="216">
        <f>IFERROR(J52/Inputs!$F$19,0)</f>
        <v>6.2149876454865538</v>
      </c>
      <c r="M52" s="93">
        <f t="shared" si="4"/>
        <v>1.7946466097121812E-2</v>
      </c>
    </row>
    <row r="53" spans="1:13" ht="12.75" customHeight="1" x14ac:dyDescent="0.25">
      <c r="B53" s="94" t="s">
        <v>64</v>
      </c>
      <c r="C53" s="272" t="s">
        <v>62</v>
      </c>
      <c r="D53" s="1000">
        <v>12430</v>
      </c>
      <c r="E53" s="1005">
        <f t="shared" si="3"/>
        <v>-0.17739340305711992</v>
      </c>
      <c r="F53" s="1074">
        <f>+G53/Inputs!G23</f>
        <v>76.305970149253724</v>
      </c>
      <c r="G53" s="71">
        <v>10225</v>
      </c>
      <c r="H53" s="633">
        <f>IFERROR(G53/'Project Layout'!$R$48,0)</f>
        <v>0.68566638725901097</v>
      </c>
      <c r="I53" s="633">
        <f>IFERROR(G53/'Project Layout'!$S$48,0)</f>
        <v>1.4015700325822196</v>
      </c>
      <c r="J53" s="278">
        <f>IFERROR(G53*Inputs!$L$120,0)</f>
        <v>417691.20836290444</v>
      </c>
      <c r="K53" s="217">
        <f>IFERROR(J53/Inputs!$E$19,0)</f>
        <v>2.692942770369064</v>
      </c>
      <c r="L53" s="285">
        <f>IFERROR(J53/Inputs!$F$19,0)</f>
        <v>5.7127156306274731</v>
      </c>
      <c r="M53" s="105">
        <f t="shared" si="4"/>
        <v>1.6496099949934423E-2</v>
      </c>
    </row>
    <row r="54" spans="1:13" ht="12.75" customHeight="1" x14ac:dyDescent="0.25">
      <c r="B54" s="96" t="s">
        <v>51</v>
      </c>
      <c r="C54" s="79"/>
      <c r="D54" s="279">
        <f>+SUM(D49:D53)</f>
        <v>296518.90000000002</v>
      </c>
      <c r="E54" s="100">
        <f t="shared" si="3"/>
        <v>6.0053292284263149E-2</v>
      </c>
      <c r="F54" s="279"/>
      <c r="G54" s="279">
        <f>SUM(G49:G53)</f>
        <v>314325.83616950823</v>
      </c>
      <c r="H54" s="637">
        <f>IFERROR(G54/'Project Layout'!$R$48,0)</f>
        <v>21.078010807678677</v>
      </c>
      <c r="I54" s="634">
        <f>IFERROR(G54/'Project Layout'!$S$48,0)</f>
        <v>43.085542537069053</v>
      </c>
      <c r="J54" s="280">
        <f>IFERROR(G54*Inputs!$L$120,0)</f>
        <v>12840209.127562076</v>
      </c>
      <c r="K54" s="74">
        <f>IFERROR(J54/Inputs!$E$19,0)</f>
        <v>82.783519613974377</v>
      </c>
      <c r="L54" s="640">
        <f>IFERROR(J54/Inputs!$F$19,0)</f>
        <v>175.61409461081664</v>
      </c>
      <c r="M54" s="97">
        <f t="shared" si="4"/>
        <v>0.5071051746013614</v>
      </c>
    </row>
    <row r="55" spans="1:13" ht="12.75" customHeight="1" x14ac:dyDescent="0.25">
      <c r="B55" s="101"/>
      <c r="C55" s="4"/>
      <c r="D55" s="4"/>
      <c r="E55" s="4"/>
      <c r="F55" s="4"/>
      <c r="G55" s="7"/>
      <c r="J55" s="11"/>
      <c r="K55" s="11"/>
      <c r="L55" s="11"/>
      <c r="M55" s="102"/>
    </row>
    <row r="56" spans="1:13" ht="12.75" customHeight="1" x14ac:dyDescent="0.25">
      <c r="B56" s="90" t="s">
        <v>47</v>
      </c>
      <c r="C56" s="73"/>
      <c r="D56" s="73"/>
      <c r="E56" s="73"/>
      <c r="F56" s="63"/>
      <c r="G56" s="64"/>
      <c r="J56" s="11"/>
      <c r="K56" s="11"/>
      <c r="L56" s="11"/>
      <c r="M56" s="99"/>
    </row>
    <row r="57" spans="1:13" ht="12.75" customHeight="1" x14ac:dyDescent="0.25">
      <c r="B57" s="92" t="s">
        <v>98</v>
      </c>
      <c r="C57" s="76" t="s">
        <v>634</v>
      </c>
      <c r="D57" s="998">
        <v>1123</v>
      </c>
      <c r="E57" s="1003">
        <f t="shared" ref="E57:E65" si="5">+IFERROR(G57/D57-1,0)</f>
        <v>1.331373593837085</v>
      </c>
      <c r="F57" s="70">
        <f>+G57/M15*3</f>
        <v>157.08795275274278</v>
      </c>
      <c r="G57" s="68">
        <v>2618.1325458790466</v>
      </c>
      <c r="H57" s="635">
        <f>IFERROR(G57/'Project Layout'!$R$48,0)</f>
        <v>0.17556630651326383</v>
      </c>
      <c r="I57" s="635">
        <f>IFERROR(G57/'Project Layout'!$S$48,0)</f>
        <v>0.35887492592980585</v>
      </c>
      <c r="J57" s="282">
        <f>IFERROR(G57*Inputs!$L$120,0)</f>
        <v>106950.70383789402</v>
      </c>
      <c r="K57" s="215">
        <f>IFERROR(J57/Inputs!$E$19,0)</f>
        <v>0.68953360501642358</v>
      </c>
      <c r="L57" s="283">
        <f>IFERROR(J57/Inputs!$F$19,0)</f>
        <v>1.4627527352467218</v>
      </c>
      <c r="M57" s="281">
        <f t="shared" ref="M57:M65" si="6">+IFERROR(G57/$G$72,0)</f>
        <v>4.2238607490461639E-3</v>
      </c>
    </row>
    <row r="58" spans="1:13" ht="12.75" customHeight="1" x14ac:dyDescent="0.25">
      <c r="B58" s="92" t="s">
        <v>34</v>
      </c>
      <c r="C58" s="77" t="s">
        <v>309</v>
      </c>
      <c r="D58" s="999">
        <v>7463.9999999999982</v>
      </c>
      <c r="E58" s="1004">
        <f t="shared" si="5"/>
        <v>0.4844587352625942</v>
      </c>
      <c r="F58" s="1076">
        <f>+G58/'Project Layout'!R48</f>
        <v>0.74300083822296736</v>
      </c>
      <c r="G58" s="68">
        <v>11080</v>
      </c>
      <c r="H58" s="632">
        <f>IFERROR(G58/'Project Layout'!$R$48,0)</f>
        <v>0.74300083822296736</v>
      </c>
      <c r="I58" s="632">
        <f>IFERROR(G58/'Project Layout'!$S$48,0)</f>
        <v>1.5187673311502194</v>
      </c>
      <c r="J58" s="277">
        <f>IFERROR(G58*Inputs!$L$120,0)</f>
        <v>452617.9548812696</v>
      </c>
      <c r="K58" s="216">
        <f>IFERROR(J58/Inputs!$E$19,0)</f>
        <v>2.9181228259842773</v>
      </c>
      <c r="L58" s="284">
        <f>IFERROR(J58/Inputs!$F$19,0)</f>
        <v>6.1904048104990137</v>
      </c>
      <c r="M58" s="104">
        <f t="shared" si="6"/>
        <v>1.7875480434745565E-2</v>
      </c>
    </row>
    <row r="59" spans="1:13" ht="12.75" customHeight="1" x14ac:dyDescent="0.25">
      <c r="B59" s="92" t="s">
        <v>88</v>
      </c>
      <c r="C59" s="77" t="s">
        <v>309</v>
      </c>
      <c r="D59" s="999">
        <v>24645.201443913742</v>
      </c>
      <c r="E59" s="1004">
        <f t="shared" si="5"/>
        <v>-0.11853023196266665</v>
      </c>
      <c r="F59" s="1076">
        <f>+G59/'Project Layout'!R48</f>
        <v>1.4567644593461864</v>
      </c>
      <c r="G59" s="68">
        <v>21724</v>
      </c>
      <c r="H59" s="632">
        <f>IFERROR(G59/'Project Layout'!$R$48,0)</f>
        <v>1.4567644593461864</v>
      </c>
      <c r="I59" s="632">
        <f>IFERROR(G59/'Project Layout'!$S$48,0)</f>
        <v>2.97777089367395</v>
      </c>
      <c r="J59" s="277">
        <f>IFERROR(G59*Inputs!$L$120,0)</f>
        <v>887425.31153796939</v>
      </c>
      <c r="K59" s="216">
        <f>IFERROR(J59/Inputs!$E$19,0)</f>
        <v>5.7214169920291011</v>
      </c>
      <c r="L59" s="284">
        <f>IFERROR(J59/Inputs!$F$19,0)</f>
        <v>12.1372160743033</v>
      </c>
      <c r="M59" s="104">
        <f t="shared" si="6"/>
        <v>3.5047557487762879E-2</v>
      </c>
    </row>
    <row r="60" spans="1:13" ht="12.75" customHeight="1" x14ac:dyDescent="0.25">
      <c r="B60" s="92" t="s">
        <v>65</v>
      </c>
      <c r="C60" s="77" t="s">
        <v>633</v>
      </c>
      <c r="D60" s="999">
        <v>5060</v>
      </c>
      <c r="E60" s="1004">
        <f t="shared" si="5"/>
        <v>1.4015810276679841</v>
      </c>
      <c r="F60" s="70">
        <f>+G60/SUM(M12)</f>
        <v>450.07407407407408</v>
      </c>
      <c r="G60" s="68">
        <v>12152</v>
      </c>
      <c r="H60" s="632">
        <f>IFERROR(G60/'Project Layout'!$R$48,0)</f>
        <v>0.81488683989941335</v>
      </c>
      <c r="I60" s="632">
        <f>IFERROR(G60/'Project Layout'!$S$48,0)</f>
        <v>1.6657094411676414</v>
      </c>
      <c r="J60" s="277">
        <f>IFERROR(G60*Inputs!$L$120,0)</f>
        <v>496409.15051599167</v>
      </c>
      <c r="K60" s="216">
        <f>IFERROR(J60/Inputs!$E$19,0)</f>
        <v>3.2004538430831166</v>
      </c>
      <c r="L60" s="284">
        <f>IFERROR(J60/Inputs!$F$19,0)</f>
        <v>6.7893320629227443</v>
      </c>
      <c r="M60" s="104">
        <f t="shared" si="6"/>
        <v>1.9604949299912282E-2</v>
      </c>
    </row>
    <row r="61" spans="1:13" ht="12.75" customHeight="1" x14ac:dyDescent="0.25">
      <c r="B61" s="92" t="s">
        <v>36</v>
      </c>
      <c r="C61" s="77" t="s">
        <v>633</v>
      </c>
      <c r="D61" s="999">
        <v>0</v>
      </c>
      <c r="E61" s="1004">
        <f t="shared" si="5"/>
        <v>0</v>
      </c>
      <c r="F61" s="70">
        <f>+G61/SUM(M12)</f>
        <v>20.37037037037037</v>
      </c>
      <c r="G61" s="68">
        <v>550</v>
      </c>
      <c r="H61" s="632">
        <f>IFERROR(G61/'Project Layout'!$R$48,0)</f>
        <v>3.6881810561609392E-2</v>
      </c>
      <c r="I61" s="632">
        <f>IFERROR(G61/'Project Layout'!$S$48,0)</f>
        <v>7.5390075102222079E-2</v>
      </c>
      <c r="J61" s="277">
        <f>IFERROR(G61*Inputs!$L$120,0)</f>
        <v>22467.497760351831</v>
      </c>
      <c r="K61" s="216">
        <f>IFERROR(J61/Inputs!$E$19,0)</f>
        <v>0.1448526673548152</v>
      </c>
      <c r="L61" s="284">
        <f>IFERROR(J61/Inputs!$F$19,0)</f>
        <v>0.30728543734426511</v>
      </c>
      <c r="M61" s="104">
        <f t="shared" si="6"/>
        <v>8.8732077970307406E-4</v>
      </c>
    </row>
    <row r="62" spans="1:13" ht="12.75" customHeight="1" x14ac:dyDescent="0.25">
      <c r="B62" s="92" t="s">
        <v>671</v>
      </c>
      <c r="C62" s="77" t="s">
        <v>62</v>
      </c>
      <c r="D62" s="999">
        <v>4050</v>
      </c>
      <c r="E62" s="1004">
        <f t="shared" si="5"/>
        <v>-0.34172839506172836</v>
      </c>
      <c r="F62" s="1070">
        <f>+G62</f>
        <v>2666</v>
      </c>
      <c r="G62" s="68">
        <v>2666</v>
      </c>
      <c r="H62" s="632">
        <f>IFERROR(G62/'Project Layout'!$R$48,0)</f>
        <v>0.17877619446772844</v>
      </c>
      <c r="I62" s="632">
        <f>IFERROR(G62/'Project Layout'!$S$48,0)</f>
        <v>0.36543625495004378</v>
      </c>
      <c r="J62" s="277">
        <f>IFERROR(G62*Inputs!$L$120,0)</f>
        <v>108906.0891438145</v>
      </c>
      <c r="K62" s="216">
        <f>IFERROR(J62/Inputs!$E$19,0)</f>
        <v>0.70214038394170419</v>
      </c>
      <c r="L62" s="284">
        <f>IFERROR(J62/Inputs!$F$19,0)</f>
        <v>1.4894963199269287</v>
      </c>
      <c r="M62" s="104">
        <f t="shared" si="6"/>
        <v>4.3010858157970832E-3</v>
      </c>
    </row>
    <row r="63" spans="1:13" ht="12.75" customHeight="1" x14ac:dyDescent="0.25">
      <c r="B63" s="92" t="s">
        <v>58</v>
      </c>
      <c r="C63" s="86" t="s">
        <v>114</v>
      </c>
      <c r="D63" s="999">
        <v>2117</v>
      </c>
      <c r="E63" s="1004">
        <f t="shared" si="5"/>
        <v>-0.58809636277751531</v>
      </c>
      <c r="F63" s="1077">
        <f>+G63/SUM(G57:G62)</f>
        <v>1.7168689197893251E-2</v>
      </c>
      <c r="G63" s="68">
        <v>872</v>
      </c>
      <c r="H63" s="632">
        <f>IFERROR(G63/'Project Layout'!$R$48,0)</f>
        <v>5.847443419949707E-2</v>
      </c>
      <c r="I63" s="632">
        <f>IFERROR(G63/'Project Layout'!$S$48,0)</f>
        <v>0.11952753725297756</v>
      </c>
      <c r="J63" s="277">
        <f>IFERROR(G63*Inputs!$L$120,0)</f>
        <v>35621.196449139628</v>
      </c>
      <c r="K63" s="216">
        <f>IFERROR(J63/Inputs!$E$19,0)</f>
        <v>0.229657319878907</v>
      </c>
      <c r="L63" s="284">
        <f>IFERROR(J63/Inputs!$F$19,0)</f>
        <v>0.48718709338945304</v>
      </c>
      <c r="M63" s="104">
        <f t="shared" si="6"/>
        <v>1.4068067634565103E-3</v>
      </c>
    </row>
    <row r="64" spans="1:13" ht="12.75" customHeight="1" x14ac:dyDescent="0.25">
      <c r="B64" s="94" t="s">
        <v>113</v>
      </c>
      <c r="C64" s="87" t="s">
        <v>112</v>
      </c>
      <c r="D64" s="1000">
        <v>23140</v>
      </c>
      <c r="E64" s="1005">
        <f t="shared" si="5"/>
        <v>0</v>
      </c>
      <c r="F64" s="1078">
        <f>+G64/SUM(G46,G54,G58:G63)</f>
        <v>4.4529171103595541E-2</v>
      </c>
      <c r="G64" s="71">
        <v>23140</v>
      </c>
      <c r="H64" s="633">
        <f>IFERROR(G64/'Project Layout'!$R$48,0)</f>
        <v>1.5517183570829842</v>
      </c>
      <c r="I64" s="633">
        <f>IFERROR(G64/'Project Layout'!$S$48,0)</f>
        <v>3.1718660688462164</v>
      </c>
      <c r="J64" s="278">
        <f>IFERROR(G64*Inputs!$L$120,0)</f>
        <v>945268.90577189333</v>
      </c>
      <c r="K64" s="217">
        <f>IFERROR(J64/Inputs!$E$19,0)</f>
        <v>6.0943467683462247</v>
      </c>
      <c r="L64" s="285">
        <f>IFERROR(J64/Inputs!$F$19,0)</f>
        <v>12.928336400265989</v>
      </c>
      <c r="M64" s="105">
        <f t="shared" si="6"/>
        <v>3.7332005167871156E-2</v>
      </c>
    </row>
    <row r="65" spans="2:14" ht="12.75" customHeight="1" x14ac:dyDescent="0.25">
      <c r="B65" s="96" t="s">
        <v>50</v>
      </c>
      <c r="C65" s="79"/>
      <c r="D65" s="74">
        <f>+SUM(D57:D64)</f>
        <v>67599.201443913742</v>
      </c>
      <c r="E65" s="100">
        <f t="shared" si="5"/>
        <v>0.1065534939483197</v>
      </c>
      <c r="F65" s="997"/>
      <c r="G65" s="74">
        <f>+SUM(G57:G64)</f>
        <v>74802.132545879052</v>
      </c>
      <c r="H65" s="636">
        <f>IFERROR(G65/'Project Layout'!$R$48,0)</f>
        <v>5.0160692402936506</v>
      </c>
      <c r="I65" s="636">
        <f>IFERROR(G65/'Project Layout'!$S$48,0)</f>
        <v>10.253342528073077</v>
      </c>
      <c r="J65" s="75">
        <f>IFERROR(G65*Inputs!$L$120,0)</f>
        <v>3055666.8098983243</v>
      </c>
      <c r="K65" s="74">
        <f>IFERROR(J65/Inputs!$E$19,0)</f>
        <v>19.700524405634571</v>
      </c>
      <c r="L65" s="640">
        <f>IFERROR(J65/Inputs!$F$19,0)</f>
        <v>41.792010933898418</v>
      </c>
      <c r="M65" s="100">
        <f t="shared" si="6"/>
        <v>0.12067906649829471</v>
      </c>
    </row>
    <row r="66" spans="2:14" ht="12.75" customHeight="1" x14ac:dyDescent="0.25">
      <c r="B66" s="101"/>
      <c r="F66" s="11"/>
      <c r="G66" s="856"/>
      <c r="K66" s="11"/>
      <c r="L66" s="11"/>
      <c r="M66" s="102"/>
    </row>
    <row r="67" spans="2:14" ht="12.75" customHeight="1" x14ac:dyDescent="0.25">
      <c r="B67" s="96" t="s">
        <v>48</v>
      </c>
      <c r="D67" s="63"/>
      <c r="F67" s="857"/>
      <c r="G67" s="11"/>
      <c r="H67" s="11"/>
      <c r="K67" s="11"/>
      <c r="L67" s="11"/>
      <c r="M67" s="102"/>
    </row>
    <row r="68" spans="2:14" ht="12.75" customHeight="1" x14ac:dyDescent="0.25">
      <c r="B68" s="103" t="s">
        <v>37</v>
      </c>
      <c r="C68" s="732" t="s">
        <v>463</v>
      </c>
      <c r="D68" s="999"/>
      <c r="E68" s="1006">
        <f t="shared" ref="E68:E70" si="7">+IFERROR(G68/D68-1,0)</f>
        <v>0</v>
      </c>
      <c r="F68" s="1079">
        <f>+G68/M15*12</f>
        <v>1966.8000000000002</v>
      </c>
      <c r="G68" s="1002">
        <v>8195</v>
      </c>
      <c r="H68" s="635">
        <f>IFERROR(G68/'Project Layout'!$R$48,0)</f>
        <v>0.54953897736797996</v>
      </c>
      <c r="I68" s="639">
        <f>IFERROR(G68/'Project Layout'!$S$48,0)</f>
        <v>1.123312119023109</v>
      </c>
      <c r="J68" s="215">
        <f>IFERROR(G68*Inputs!$L$120,0)</f>
        <v>334765.71662924223</v>
      </c>
      <c r="K68" s="215">
        <f>IFERROR(J68/Inputs!$E$19,0)</f>
        <v>2.1583047435867462</v>
      </c>
      <c r="L68" s="215">
        <f>IFERROR(J68/Inputs!$F$19,0)</f>
        <v>4.5785530164295496</v>
      </c>
      <c r="M68" s="311">
        <f>+IFERROR(G68/$G$72,0)</f>
        <v>1.3221079617575803E-2</v>
      </c>
    </row>
    <row r="69" spans="2:14" ht="12.75" customHeight="1" x14ac:dyDescent="0.25">
      <c r="B69" s="94" t="s">
        <v>181</v>
      </c>
      <c r="C69" s="707"/>
      <c r="D69" s="1000">
        <v>56338.591</v>
      </c>
      <c r="E69" s="1007">
        <f t="shared" si="7"/>
        <v>0.17558850557693217</v>
      </c>
      <c r="F69" s="1080">
        <f>+G69/SUM(G46,G54,G65,G68)</f>
        <v>0.11963422500087727</v>
      </c>
      <c r="G69" s="71">
        <v>66231</v>
      </c>
      <c r="H69" s="633">
        <f>IFERROR(G69/'Project Layout'!$R$48,0)</f>
        <v>4.4413076278290031</v>
      </c>
      <c r="I69" s="638">
        <f>IFERROR(G69/'Project Layout'!$S$48,0)</f>
        <v>9.0784728438095836</v>
      </c>
      <c r="J69" s="217">
        <f>IFERROR(G69*Inputs!$L$120,0)</f>
        <v>2705536.0803015674</v>
      </c>
      <c r="K69" s="217">
        <f>IFERROR(J69/Inputs!$E$19,0)</f>
        <v>17.443158202866847</v>
      </c>
      <c r="L69" s="217">
        <f>IFERROR(J69/Inputs!$F$19,0)</f>
        <v>37.003312364996404</v>
      </c>
      <c r="M69" s="95">
        <f>+IFERROR(G69/$G$72,0)</f>
        <v>0.10685116829184418</v>
      </c>
    </row>
    <row r="70" spans="2:14" ht="12.75" customHeight="1" x14ac:dyDescent="0.25">
      <c r="B70" s="96" t="s">
        <v>49</v>
      </c>
      <c r="C70" s="96"/>
      <c r="D70" s="74">
        <f>+SUM(D68,D69)</f>
        <v>56338.591</v>
      </c>
      <c r="E70" s="1008">
        <f t="shared" si="7"/>
        <v>0.32104830239719706</v>
      </c>
      <c r="F70" s="96"/>
      <c r="G70" s="74">
        <f>+SUM(G68,G69)</f>
        <v>74426</v>
      </c>
      <c r="H70" s="637">
        <f>IFERROR(G70/'Project Layout'!$R$48,0)</f>
        <v>4.9908466051969826</v>
      </c>
      <c r="I70" s="637">
        <f>IFERROR(G70/'Project Layout'!$S$48,0)</f>
        <v>10.201784962832692</v>
      </c>
      <c r="J70" s="75">
        <f>G70*Inputs!$L$120</f>
        <v>3040301.7969308095</v>
      </c>
      <c r="K70" s="74">
        <f>IFERROR(J70/Inputs!$E$19,0)</f>
        <v>19.601462946453591</v>
      </c>
      <c r="L70" s="279">
        <f>IFERROR(J70/Inputs!$F$19,0)</f>
        <v>41.581865381425949</v>
      </c>
      <c r="M70" s="100">
        <f>+IFERROR(G70/$G$72,0)</f>
        <v>0.12007224790941999</v>
      </c>
    </row>
    <row r="71" spans="2:14" ht="12.75" customHeight="1" x14ac:dyDescent="0.25">
      <c r="B71" s="101"/>
      <c r="E71" s="354"/>
      <c r="G71" s="6"/>
      <c r="H71" s="9"/>
      <c r="I71" s="9"/>
      <c r="J71" s="8"/>
      <c r="K71" s="12"/>
      <c r="L71" s="12"/>
      <c r="M71" s="106"/>
    </row>
    <row r="72" spans="2:14" ht="12.75" customHeight="1" x14ac:dyDescent="0.25">
      <c r="B72" s="425" t="s">
        <v>38</v>
      </c>
      <c r="C72" s="426"/>
      <c r="D72" s="427">
        <f>+SUM(D70,D65,D54,D46)</f>
        <v>579310.19244391331</v>
      </c>
      <c r="E72" s="1009">
        <f>+IFERROR(G72/D72-1,0)</f>
        <v>6.996819341595728E-2</v>
      </c>
      <c r="F72" s="426"/>
      <c r="G72" s="427">
        <f>+SUM(G70,G65,G54,G46)</f>
        <v>619843.48003666452</v>
      </c>
      <c r="H72" s="427">
        <f>IFERROR(G72/'Project Layout'!$R$48,0)</f>
        <v>41.56536328829268</v>
      </c>
      <c r="I72" s="427">
        <f>IFERROR(G72/'Project Layout'!$S$48,0)</f>
        <v>84.963720930157876</v>
      </c>
      <c r="J72" s="427">
        <f>IFERROR(G72*Inputs!$L$120,0)</f>
        <v>25320603.635440808</v>
      </c>
      <c r="K72" s="427">
        <f>IFERROR(J72/Inputs!$E$19,0)</f>
        <v>163.24723895600363</v>
      </c>
      <c r="L72" s="427">
        <f>IFERROR(J72/Inputs!$F$19,0)</f>
        <v>346.30704517828673</v>
      </c>
      <c r="M72" s="428">
        <f>+IFERROR(G72/$G$75,0)</f>
        <v>0.98420023026002468</v>
      </c>
    </row>
    <row r="73" spans="2:14" ht="12.75" customHeight="1" x14ac:dyDescent="0.25">
      <c r="B73" s="101"/>
      <c r="E73" s="354"/>
      <c r="G73" s="7"/>
      <c r="H73" s="10"/>
      <c r="I73" s="10"/>
      <c r="J73" s="11"/>
      <c r="K73" s="11"/>
      <c r="L73" s="11"/>
      <c r="M73" s="106"/>
    </row>
    <row r="74" spans="2:14" ht="12.75" customHeight="1" x14ac:dyDescent="0.25">
      <c r="B74" s="92" t="s">
        <v>8</v>
      </c>
      <c r="C74" s="1"/>
      <c r="D74" s="71">
        <v>0</v>
      </c>
      <c r="E74" s="1010">
        <f>+IFERROR(G74/D74-1,0)</f>
        <v>0</v>
      </c>
      <c r="F74" s="1"/>
      <c r="G74" s="81">
        <f>-'Monthly UF Model'!$G$70</f>
        <v>9950.6014714271696</v>
      </c>
      <c r="H74" s="82">
        <f>IFERROR(G74/'Project Layout'!$R$48,0)</f>
        <v>0.66726581535136098</v>
      </c>
      <c r="I74" s="82">
        <f>IFERROR(G74/'Project Layout'!$S$48,0)</f>
        <v>1.363957440442138</v>
      </c>
      <c r="J74" s="82">
        <f>G74*Inputs!$L$120</f>
        <v>406482.0295880792</v>
      </c>
      <c r="K74" s="82">
        <f>IFERROR(J74/Inputs!$E$19,0)</f>
        <v>2.6206748453108628</v>
      </c>
      <c r="L74" s="82">
        <f>IFERROR(J74/Inputs!$F$19,0)</f>
        <v>5.5594089545199736</v>
      </c>
      <c r="M74" s="107">
        <f>+IFERROR(G74/$G$75,0)</f>
        <v>1.5799769739975437E-2</v>
      </c>
    </row>
    <row r="75" spans="2:14" ht="12.75" customHeight="1" x14ac:dyDescent="0.25">
      <c r="B75" s="425" t="s">
        <v>39</v>
      </c>
      <c r="C75" s="426"/>
      <c r="D75" s="1081">
        <f>+D74+D72</f>
        <v>579310.19244391331</v>
      </c>
      <c r="E75" s="1009">
        <f>+IFERROR(G75/D75-1,0)</f>
        <v>8.7144831426500424E-2</v>
      </c>
      <c r="F75" s="427"/>
      <c r="G75" s="427">
        <f>+G74+G72</f>
        <v>629794.08150809165</v>
      </c>
      <c r="H75" s="427">
        <f>IFERROR(G75/'Project Layout'!$R$48,0)</f>
        <v>42.232629103644037</v>
      </c>
      <c r="I75" s="427">
        <f>IFERROR(G75/'Project Layout'!$S$48,0)</f>
        <v>86.327678370600012</v>
      </c>
      <c r="J75" s="427">
        <f>G75*Inputs!$L$120</f>
        <v>25727085.665028885</v>
      </c>
      <c r="K75" s="427">
        <f>IFERROR(J75/Inputs!$E$19,0)</f>
        <v>165.8679138013145</v>
      </c>
      <c r="L75" s="427">
        <f>IFERROR(J75/Inputs!$F$19,0)</f>
        <v>351.86645413280667</v>
      </c>
      <c r="M75" s="428">
        <f>+IFERROR(G75/$G$75,0)</f>
        <v>1</v>
      </c>
    </row>
    <row r="76" spans="2:14" ht="12.75" customHeight="1" x14ac:dyDescent="0.25">
      <c r="B76" s="232"/>
      <c r="C76" s="232"/>
      <c r="D76" s="232"/>
      <c r="E76" s="232"/>
      <c r="F76" s="232"/>
      <c r="G76" s="710"/>
      <c r="H76" s="287"/>
      <c r="I76" s="287"/>
      <c r="J76" s="708"/>
      <c r="K76" s="288"/>
      <c r="L76" s="288"/>
      <c r="M76" s="709"/>
    </row>
    <row r="77" spans="2:14" ht="12.75" customHeight="1" x14ac:dyDescent="0.25">
      <c r="H77" s="655"/>
      <c r="I77" s="10"/>
      <c r="J77" s="10"/>
      <c r="K77" s="10"/>
    </row>
    <row r="78" spans="2:14" ht="12.75" customHeight="1" x14ac:dyDescent="0.25">
      <c r="B78" s="420" t="s">
        <v>417</v>
      </c>
      <c r="C78" s="423"/>
      <c r="D78" s="423"/>
      <c r="E78" s="423"/>
      <c r="F78" s="423"/>
      <c r="G78" s="423"/>
      <c r="H78" s="423"/>
      <c r="I78" s="423"/>
      <c r="J78" s="423"/>
      <c r="K78" s="423"/>
      <c r="L78" s="423"/>
      <c r="M78" s="424"/>
      <c r="N78" s="56"/>
    </row>
    <row r="79" spans="2:14" ht="12.75" customHeight="1" x14ac:dyDescent="0.25">
      <c r="B79" s="406"/>
      <c r="C79" s="407"/>
      <c r="D79" s="407"/>
      <c r="E79" s="407"/>
      <c r="F79" s="407"/>
      <c r="G79" s="746"/>
      <c r="H79" s="109"/>
      <c r="I79" s="109"/>
      <c r="J79" s="109"/>
      <c r="K79" s="109"/>
      <c r="L79" s="109"/>
      <c r="M79" s="274"/>
      <c r="N79" s="56"/>
    </row>
    <row r="80" spans="2:14" ht="12.75" customHeight="1" x14ac:dyDescent="0.25">
      <c r="B80" s="101"/>
      <c r="C80" s="230"/>
      <c r="F80" s="747"/>
      <c r="G80" s="180"/>
      <c r="J80" s="739" t="s">
        <v>44</v>
      </c>
      <c r="K80" s="739" t="s">
        <v>462</v>
      </c>
      <c r="L80" s="739" t="s">
        <v>61</v>
      </c>
      <c r="M80" s="740" t="s">
        <v>1</v>
      </c>
      <c r="N80" s="56"/>
    </row>
    <row r="81" spans="2:14" ht="12.75" customHeight="1" x14ac:dyDescent="0.25">
      <c r="B81" s="267" t="s">
        <v>305</v>
      </c>
      <c r="C81" s="230"/>
      <c r="F81" s="747"/>
      <c r="G81" s="180"/>
      <c r="J81" s="216">
        <f ca="1">+$M81*$M$21</f>
        <v>91229.763764358766</v>
      </c>
      <c r="K81" s="216">
        <f ca="1">+$M81*$M$22</f>
        <v>9710.2432423805549</v>
      </c>
      <c r="L81" s="216">
        <f ca="1">+$M81*$M$23</f>
        <v>48001.592993260696</v>
      </c>
      <c r="M81" s="284">
        <f ca="1">-XNPV(Inputs!$K$11,'Monthly UF Model'!$I$20:$DY$20,'Monthly UF Model'!$I$7:$DY$7)</f>
        <v>148941.6</v>
      </c>
      <c r="N81" s="56"/>
    </row>
    <row r="82" spans="2:14" ht="12.75" customHeight="1" x14ac:dyDescent="0.25">
      <c r="B82" s="267" t="s">
        <v>466</v>
      </c>
      <c r="C82" s="230"/>
      <c r="F82" s="747"/>
      <c r="G82" s="180"/>
      <c r="J82" s="216">
        <f>+$M82*$M$21</f>
        <v>4500.7453525518049</v>
      </c>
      <c r="K82" s="216">
        <f>+$M82*$M$22</f>
        <v>479.04686301912437</v>
      </c>
      <c r="L82" s="216">
        <f>+$M82*$M$23</f>
        <v>2368.1191057068595</v>
      </c>
      <c r="M82" s="284">
        <f>+SUM(G46,-G33)</f>
        <v>7347.9113212777884</v>
      </c>
      <c r="N82" s="56"/>
    </row>
    <row r="83" spans="2:14" ht="12.75" customHeight="1" x14ac:dyDescent="0.25">
      <c r="B83" s="267" t="s">
        <v>104</v>
      </c>
      <c r="C83" s="230"/>
      <c r="F83" s="747"/>
      <c r="G83" s="180"/>
      <c r="J83" s="216"/>
      <c r="K83" s="216"/>
      <c r="L83" s="216"/>
      <c r="M83" s="284"/>
      <c r="N83" s="56"/>
    </row>
    <row r="84" spans="2:14" ht="12.75" customHeight="1" x14ac:dyDescent="0.25">
      <c r="B84" s="254" t="s">
        <v>57</v>
      </c>
      <c r="C84" s="230"/>
      <c r="F84" s="747"/>
      <c r="G84" s="180"/>
      <c r="J84" s="216">
        <f>+$M84*$M$21</f>
        <v>519.43768426853603</v>
      </c>
      <c r="K84" s="216">
        <f t="shared" ref="K84:K92" si="8">+$M84*$M$22</f>
        <v>55.287507666186364</v>
      </c>
      <c r="L84" s="216">
        <f t="shared" ref="L84:L90" si="9">+$M84*$M$23</f>
        <v>273.30813187265056</v>
      </c>
      <c r="M84" s="284">
        <f>+G49</f>
        <v>848.03332380737288</v>
      </c>
      <c r="N84" s="56"/>
    </row>
    <row r="85" spans="2:14" ht="12.75" customHeight="1" x14ac:dyDescent="0.25">
      <c r="B85" s="254" t="s">
        <v>467</v>
      </c>
      <c r="C85" s="230"/>
      <c r="F85" s="747"/>
      <c r="G85" s="180"/>
      <c r="J85" s="216"/>
      <c r="K85" s="216"/>
      <c r="L85" s="216">
        <f>+M85</f>
        <v>15143.802845700846</v>
      </c>
      <c r="M85" s="284">
        <f>+G50</f>
        <v>15143.802845700846</v>
      </c>
      <c r="N85" s="56"/>
    </row>
    <row r="86" spans="2:14" ht="12.75" customHeight="1" x14ac:dyDescent="0.25">
      <c r="B86" s="254" t="s">
        <v>95</v>
      </c>
      <c r="C86" s="230"/>
      <c r="F86" s="747"/>
      <c r="G86" s="180"/>
      <c r="J86" s="216">
        <f>+$M86*$M$21</f>
        <v>182735.65171098075</v>
      </c>
      <c r="K86" s="216">
        <f t="shared" si="8"/>
        <v>19449.876377535627</v>
      </c>
      <c r="L86" s="216">
        <f t="shared" si="9"/>
        <v>96148.471911483663</v>
      </c>
      <c r="M86" s="284">
        <f>+SUM(G51:G53)</f>
        <v>298334</v>
      </c>
      <c r="N86" s="56"/>
    </row>
    <row r="87" spans="2:14" ht="12.75" customHeight="1" x14ac:dyDescent="0.25">
      <c r="B87" s="267" t="s">
        <v>40</v>
      </c>
      <c r="C87" s="230"/>
      <c r="F87" s="747"/>
      <c r="G87" s="180"/>
      <c r="J87" s="216">
        <f>+$M87*$M$21</f>
        <v>45817.829815382662</v>
      </c>
      <c r="K87" s="216">
        <f t="shared" si="8"/>
        <v>4876.7228367982925</v>
      </c>
      <c r="L87" s="216">
        <f t="shared" si="9"/>
        <v>24107.579893698105</v>
      </c>
      <c r="M87" s="284">
        <f>+G65</f>
        <v>74802.132545879052</v>
      </c>
      <c r="N87" s="56"/>
    </row>
    <row r="88" spans="2:14" ht="12.75" customHeight="1" x14ac:dyDescent="0.25">
      <c r="B88" s="267" t="s">
        <v>48</v>
      </c>
      <c r="C88" s="230"/>
      <c r="F88" s="747"/>
      <c r="G88" s="180"/>
      <c r="J88" s="216"/>
      <c r="K88" s="216"/>
      <c r="L88" s="216"/>
      <c r="M88" s="284"/>
      <c r="N88" s="56"/>
    </row>
    <row r="89" spans="2:14" ht="12.75" customHeight="1" x14ac:dyDescent="0.25">
      <c r="B89" s="254" t="s">
        <v>37</v>
      </c>
      <c r="C89" s="230"/>
      <c r="F89" s="747"/>
      <c r="G89" s="180"/>
      <c r="J89" s="216">
        <f>+$M89*$M$21</f>
        <v>5019.6044224643756</v>
      </c>
      <c r="K89" s="216">
        <f t="shared" si="8"/>
        <v>534.2727845766974</v>
      </c>
      <c r="L89" s="216">
        <f t="shared" si="9"/>
        <v>2641.1227929589272</v>
      </c>
      <c r="M89" s="284">
        <f>+G68</f>
        <v>8195</v>
      </c>
      <c r="N89" s="56"/>
    </row>
    <row r="90" spans="2:14" ht="12.75" customHeight="1" thickBot="1" x14ac:dyDescent="0.3">
      <c r="B90" s="748" t="s">
        <v>181</v>
      </c>
      <c r="C90" s="749"/>
      <c r="D90" s="80"/>
      <c r="E90" s="80"/>
      <c r="F90" s="750"/>
      <c r="G90" s="751"/>
      <c r="H90" s="80"/>
      <c r="I90" s="80"/>
      <c r="J90" s="216">
        <f>+$M90*$M$21</f>
        <v>40567.836547191961</v>
      </c>
      <c r="K90" s="216">
        <f t="shared" si="8"/>
        <v>4317.9281019279133</v>
      </c>
      <c r="L90" s="216">
        <f t="shared" si="9"/>
        <v>21345.235350880139</v>
      </c>
      <c r="M90" s="731">
        <f>SUM(G69:G69)</f>
        <v>66231</v>
      </c>
      <c r="N90" s="56"/>
    </row>
    <row r="91" spans="2:14" ht="12.75" customHeight="1" thickTop="1" thickBot="1" x14ac:dyDescent="0.3">
      <c r="B91" s="752" t="s">
        <v>45</v>
      </c>
      <c r="C91" s="749"/>
      <c r="D91" s="80"/>
      <c r="E91" s="80"/>
      <c r="F91" s="750"/>
      <c r="G91" s="751"/>
      <c r="H91" s="80"/>
      <c r="I91" s="80"/>
      <c r="J91" s="753">
        <f ca="1">+SUM(J81:J90)</f>
        <v>370390.86929719883</v>
      </c>
      <c r="K91" s="753">
        <f ca="1">+SUM(K81:K90)</f>
        <v>39423.377713904396</v>
      </c>
      <c r="L91" s="753">
        <f ca="1">+SUM(L81:L90)</f>
        <v>210029.23302556184</v>
      </c>
      <c r="M91" s="754">
        <f ca="1">+SUM(M81:M90)</f>
        <v>619843.48003666499</v>
      </c>
      <c r="N91" s="56"/>
    </row>
    <row r="92" spans="2:14" ht="12.75" customHeight="1" thickTop="1" x14ac:dyDescent="0.25">
      <c r="B92" s="254" t="s">
        <v>8</v>
      </c>
      <c r="C92" s="230"/>
      <c r="F92" s="747"/>
      <c r="G92" s="180"/>
      <c r="J92" s="216">
        <f>+$M92*$M$21</f>
        <v>6094.9460832405548</v>
      </c>
      <c r="K92" s="216">
        <f t="shared" si="8"/>
        <v>648.72917100090012</v>
      </c>
      <c r="L92" s="216">
        <f>+$M92*$M$23</f>
        <v>3206.9262171857158</v>
      </c>
      <c r="M92" s="284">
        <f>+G74</f>
        <v>9950.6014714271696</v>
      </c>
      <c r="N92" s="56"/>
    </row>
    <row r="93" spans="2:14" ht="12.75" customHeight="1" thickBot="1" x14ac:dyDescent="0.3">
      <c r="B93" s="755"/>
      <c r="C93" s="749"/>
      <c r="D93" s="80"/>
      <c r="E93" s="80"/>
      <c r="F93" s="750"/>
      <c r="G93" s="751"/>
      <c r="H93" s="80"/>
      <c r="I93" s="80"/>
      <c r="J93" s="80"/>
      <c r="K93" s="80"/>
      <c r="L93" s="80"/>
      <c r="M93" s="727" t="s">
        <v>473</v>
      </c>
      <c r="N93" s="56"/>
    </row>
    <row r="94" spans="2:14" ht="12.75" customHeight="1" thickTop="1" thickBot="1" x14ac:dyDescent="0.3">
      <c r="B94" s="752" t="s">
        <v>468</v>
      </c>
      <c r="C94" s="749"/>
      <c r="D94" s="80"/>
      <c r="E94" s="80"/>
      <c r="F94" s="750"/>
      <c r="G94" s="751"/>
      <c r="H94" s="80"/>
      <c r="I94" s="80"/>
      <c r="J94" s="756">
        <f ca="1">+SUM(J91:J92)</f>
        <v>376485.8153804394</v>
      </c>
      <c r="K94" s="756">
        <f ca="1">+SUM(K91:K92)</f>
        <v>40072.106884905297</v>
      </c>
      <c r="L94" s="756">
        <f ca="1">+SUM(L91:L92)</f>
        <v>213236.15924274756</v>
      </c>
      <c r="M94" s="757">
        <f ca="1">+SUM(M91:M92)</f>
        <v>629794.08150809212</v>
      </c>
      <c r="N94" s="56"/>
    </row>
    <row r="95" spans="2:14" ht="12.75" customHeight="1" thickTop="1" x14ac:dyDescent="0.25">
      <c r="C95" s="230"/>
      <c r="F95" s="747"/>
      <c r="G95" s="180"/>
      <c r="M95" s="758"/>
      <c r="N95" s="56"/>
    </row>
    <row r="96" spans="2:14" ht="12.75" customHeight="1" x14ac:dyDescent="0.25">
      <c r="C96" s="230"/>
      <c r="F96" s="747"/>
      <c r="G96" s="180"/>
      <c r="M96" s="758"/>
      <c r="N96" s="56"/>
    </row>
    <row r="97" spans="2:14" ht="12.75" customHeight="1" x14ac:dyDescent="0.25">
      <c r="B97" s="420" t="s">
        <v>417</v>
      </c>
      <c r="C97" s="423"/>
      <c r="D97" s="423"/>
      <c r="E97" s="423"/>
      <c r="F97" s="423"/>
      <c r="G97" s="423"/>
      <c r="H97" s="423"/>
      <c r="I97" s="423"/>
      <c r="J97" s="423"/>
      <c r="K97" s="423"/>
      <c r="L97" s="423"/>
      <c r="M97" s="424"/>
      <c r="N97" s="56"/>
    </row>
    <row r="98" spans="2:14" ht="12.75" customHeight="1" x14ac:dyDescent="0.25">
      <c r="B98" s="406"/>
      <c r="C98" s="407"/>
      <c r="D98" s="407"/>
      <c r="E98" s="407"/>
      <c r="F98" s="407"/>
      <c r="G98" s="746"/>
      <c r="H98" s="109"/>
      <c r="I98" s="109"/>
      <c r="J98" s="109"/>
      <c r="K98" s="109"/>
      <c r="L98" s="109"/>
      <c r="M98" s="274"/>
      <c r="N98" s="56"/>
    </row>
    <row r="99" spans="2:14" ht="12.75" customHeight="1" x14ac:dyDescent="0.25">
      <c r="B99" s="101"/>
      <c r="C99" s="230"/>
      <c r="F99" s="747"/>
      <c r="G99" s="180"/>
      <c r="K99" s="739" t="s">
        <v>44</v>
      </c>
      <c r="L99" s="739" t="s">
        <v>462</v>
      </c>
      <c r="M99" s="740" t="s">
        <v>1</v>
      </c>
      <c r="N99" s="56"/>
    </row>
    <row r="100" spans="2:14" ht="12.75" customHeight="1" x14ac:dyDescent="0.25">
      <c r="B100" s="267" t="s">
        <v>305</v>
      </c>
      <c r="C100" s="230"/>
      <c r="F100" s="747"/>
      <c r="G100" s="180"/>
      <c r="K100" s="216">
        <f ca="1">+$M100*$M$25</f>
        <v>134613.69169291234</v>
      </c>
      <c r="L100" s="216">
        <f ca="1">+$M100*$M$26</f>
        <v>14327.90830708767</v>
      </c>
      <c r="M100" s="284">
        <f ca="1">-XNPV(Inputs!$K$11,'Monthly UF Model'!$I$20:$DY$20,'Monthly UF Model'!$I$7:$DY$7)</f>
        <v>148941.6</v>
      </c>
      <c r="N100" s="56"/>
    </row>
    <row r="101" spans="2:14" ht="12.75" customHeight="1" x14ac:dyDescent="0.25">
      <c r="B101" s="267" t="s">
        <v>466</v>
      </c>
      <c r="C101" s="230"/>
      <c r="F101" s="747"/>
      <c r="G101" s="180"/>
      <c r="K101" s="216">
        <f>+$M101*$M$25</f>
        <v>6641.0557506388304</v>
      </c>
      <c r="L101" s="216">
        <f>+$M101*$M$26</f>
        <v>706.85557063895885</v>
      </c>
      <c r="M101" s="284">
        <f>+M82</f>
        <v>7347.9113212777884</v>
      </c>
      <c r="N101" s="56"/>
    </row>
    <row r="102" spans="2:14" ht="12.75" customHeight="1" x14ac:dyDescent="0.25">
      <c r="B102" s="267" t="s">
        <v>104</v>
      </c>
      <c r="C102" s="230"/>
      <c r="F102" s="747"/>
      <c r="G102" s="180"/>
      <c r="K102" s="216"/>
      <c r="L102" s="216"/>
      <c r="M102" s="284"/>
      <c r="N102" s="56"/>
    </row>
    <row r="103" spans="2:14" ht="12.75" customHeight="1" x14ac:dyDescent="0.25">
      <c r="B103" s="254" t="s">
        <v>57</v>
      </c>
      <c r="C103" s="230"/>
      <c r="F103" s="747"/>
      <c r="G103" s="180"/>
      <c r="K103" s="216">
        <f>+$M103*$M$25</f>
        <v>766.45407593527534</v>
      </c>
      <c r="L103" s="216">
        <f>+$M103*$M$26</f>
        <v>81.579247872097682</v>
      </c>
      <c r="M103" s="284">
        <f>+M84</f>
        <v>848.03332380737288</v>
      </c>
      <c r="N103" s="56"/>
    </row>
    <row r="104" spans="2:14" ht="12.75" customHeight="1" x14ac:dyDescent="0.25">
      <c r="B104" s="254" t="s">
        <v>467</v>
      </c>
      <c r="C104" s="230"/>
      <c r="F104" s="747"/>
      <c r="G104" s="180"/>
      <c r="K104" s="216">
        <f>+$M104*$M$25</f>
        <v>13686.996831841623</v>
      </c>
      <c r="L104" s="216">
        <f>+$M104*$M$26</f>
        <v>1456.8060138592243</v>
      </c>
      <c r="M104" s="284">
        <f>+M85</f>
        <v>15143.802845700846</v>
      </c>
      <c r="N104" s="56"/>
    </row>
    <row r="105" spans="2:14" ht="12.75" customHeight="1" x14ac:dyDescent="0.25">
      <c r="B105" s="254" t="s">
        <v>95</v>
      </c>
      <c r="C105" s="230"/>
      <c r="F105" s="747"/>
      <c r="G105" s="180"/>
      <c r="K105" s="216">
        <f>+$M105*$M$25</f>
        <v>269634.81725396606</v>
      </c>
      <c r="L105" s="216">
        <f>+$M105*$M$26</f>
        <v>28699.182746033966</v>
      </c>
      <c r="M105" s="284">
        <f>+M86</f>
        <v>298334</v>
      </c>
      <c r="N105" s="56"/>
    </row>
    <row r="106" spans="2:14" ht="12.75" customHeight="1" x14ac:dyDescent="0.25">
      <c r="B106" s="267" t="s">
        <v>40</v>
      </c>
      <c r="C106" s="230"/>
      <c r="F106" s="747"/>
      <c r="G106" s="180"/>
      <c r="K106" s="216">
        <f>+$M106*$M$25</f>
        <v>67606.304810095549</v>
      </c>
      <c r="L106" s="216">
        <f>+$M106*$M$26</f>
        <v>7195.8277357835104</v>
      </c>
      <c r="M106" s="284">
        <f>+M87</f>
        <v>74802.132545879052</v>
      </c>
      <c r="N106" s="56"/>
    </row>
    <row r="107" spans="2:14" ht="12.75" customHeight="1" x14ac:dyDescent="0.25">
      <c r="B107" s="267" t="s">
        <v>48</v>
      </c>
      <c r="C107" s="230"/>
      <c r="F107" s="747"/>
      <c r="G107" s="180"/>
      <c r="K107" s="216"/>
      <c r="L107" s="216"/>
      <c r="M107" s="284"/>
      <c r="N107" s="56"/>
    </row>
    <row r="108" spans="2:14" ht="12.75" customHeight="1" x14ac:dyDescent="0.25">
      <c r="B108" s="254" t="s">
        <v>37</v>
      </c>
      <c r="C108" s="230"/>
      <c r="F108" s="747"/>
      <c r="G108" s="180"/>
      <c r="K108" s="216">
        <f>+$M108*$M$25</f>
        <v>7406.6560546107785</v>
      </c>
      <c r="L108" s="216">
        <f>+$M108*$M$26</f>
        <v>788.34394538922265</v>
      </c>
      <c r="M108" s="284">
        <f>+M89</f>
        <v>8195</v>
      </c>
      <c r="N108" s="56"/>
    </row>
    <row r="109" spans="2:14" ht="12.75" customHeight="1" thickBot="1" x14ac:dyDescent="0.3">
      <c r="B109" s="748" t="s">
        <v>181</v>
      </c>
      <c r="C109" s="749"/>
      <c r="D109" s="80"/>
      <c r="E109" s="80"/>
      <c r="F109" s="750"/>
      <c r="G109" s="751"/>
      <c r="H109" s="80"/>
      <c r="I109" s="80"/>
      <c r="J109" s="80"/>
      <c r="K109" s="216">
        <f>+$M109*$M$25</f>
        <v>59859.699469545631</v>
      </c>
      <c r="L109" s="216">
        <f>+$M109*$M$26</f>
        <v>6371.3005304543758</v>
      </c>
      <c r="M109" s="731">
        <f>+M90</f>
        <v>66231</v>
      </c>
      <c r="N109" s="56"/>
    </row>
    <row r="110" spans="2:14" ht="12.75" customHeight="1" thickTop="1" thickBot="1" x14ac:dyDescent="0.3">
      <c r="B110" s="752" t="s">
        <v>45</v>
      </c>
      <c r="C110" s="749"/>
      <c r="D110" s="80"/>
      <c r="E110" s="80"/>
      <c r="F110" s="750"/>
      <c r="G110" s="751"/>
      <c r="H110" s="80"/>
      <c r="I110" s="80"/>
      <c r="J110" s="206"/>
      <c r="K110" s="753">
        <f ca="1">+SUM(K100:K109)</f>
        <v>560215.6759395462</v>
      </c>
      <c r="L110" s="753">
        <f ca="1">+SUM(L100:L109)</f>
        <v>59627.804097119028</v>
      </c>
      <c r="M110" s="754">
        <f ca="1">+SUM(M100:M109)</f>
        <v>619843.48003666499</v>
      </c>
      <c r="N110" s="56"/>
    </row>
    <row r="111" spans="2:14" ht="12.75" customHeight="1" thickTop="1" x14ac:dyDescent="0.25">
      <c r="B111" s="254" t="s">
        <v>8</v>
      </c>
      <c r="C111" s="230"/>
      <c r="F111" s="747"/>
      <c r="G111" s="180"/>
      <c r="K111" s="216">
        <f>+$M111*$M$25</f>
        <v>8993.3718896113442</v>
      </c>
      <c r="L111" s="216">
        <f>+$M111*$M$22</f>
        <v>648.72917100090012</v>
      </c>
      <c r="M111" s="284">
        <f>+M92</f>
        <v>9950.6014714271696</v>
      </c>
      <c r="N111" s="56"/>
    </row>
    <row r="112" spans="2:14" ht="12.75" customHeight="1" thickBot="1" x14ac:dyDescent="0.3">
      <c r="B112" s="755"/>
      <c r="C112" s="749"/>
      <c r="D112" s="80"/>
      <c r="E112" s="80"/>
      <c r="F112" s="750"/>
      <c r="G112" s="751"/>
      <c r="H112" s="80"/>
      <c r="I112" s="80"/>
      <c r="J112" s="80"/>
      <c r="K112" s="80"/>
      <c r="L112" s="80"/>
      <c r="M112" s="727"/>
      <c r="N112" s="56"/>
    </row>
    <row r="113" spans="2:14" ht="12.75" customHeight="1" thickTop="1" thickBot="1" x14ac:dyDescent="0.3">
      <c r="B113" s="752" t="s">
        <v>468</v>
      </c>
      <c r="C113" s="749"/>
      <c r="D113" s="80"/>
      <c r="E113" s="80"/>
      <c r="F113" s="750"/>
      <c r="G113" s="751"/>
      <c r="H113" s="80"/>
      <c r="I113" s="80"/>
      <c r="J113" s="206"/>
      <c r="K113" s="756">
        <f ca="1">+SUM(K110:K111)</f>
        <v>569209.04782915756</v>
      </c>
      <c r="L113" s="756">
        <f ca="1">+SUM(L110:L111)</f>
        <v>60276.533268119929</v>
      </c>
      <c r="M113" s="757">
        <f ca="1">+SUM(M110:M111)</f>
        <v>629794.08150809212</v>
      </c>
      <c r="N113" s="56"/>
    </row>
    <row r="114" spans="2:14" ht="12.75" customHeight="1" thickTop="1" x14ac:dyDescent="0.25">
      <c r="C114" s="230"/>
      <c r="F114" s="747"/>
      <c r="G114" s="180"/>
      <c r="M114" s="758"/>
      <c r="N114" s="56"/>
    </row>
    <row r="115" spans="2:14" ht="12.75" customHeight="1" x14ac:dyDescent="0.25">
      <c r="I115" s="10"/>
      <c r="J115" s="10"/>
      <c r="K115" s="10"/>
    </row>
  </sheetData>
  <sortState xmlns:xlrd2="http://schemas.microsoft.com/office/spreadsheetml/2017/richdata2" ref="A25:N35">
    <sortCondition ref="B24"/>
  </sortState>
  <mergeCells count="14">
    <mergeCell ref="J28:L28"/>
    <mergeCell ref="B29:B30"/>
    <mergeCell ref="M29:M30"/>
    <mergeCell ref="H29:H30"/>
    <mergeCell ref="I29:I30"/>
    <mergeCell ref="J29:J30"/>
    <mergeCell ref="K29:K30"/>
    <mergeCell ref="L29:L30"/>
    <mergeCell ref="F29:F30"/>
    <mergeCell ref="C29:C30"/>
    <mergeCell ref="G29:G30"/>
    <mergeCell ref="F28:I28"/>
    <mergeCell ref="E29:E30"/>
    <mergeCell ref="D29:D30"/>
  </mergeCells>
  <conditionalFormatting sqref="B57:B64">
    <cfRule type="expression" dxfId="29" priority="327">
      <formula>ISEVEN(ROW())</formula>
    </cfRule>
  </conditionalFormatting>
  <conditionalFormatting sqref="B33:M45">
    <cfRule type="expression" dxfId="28" priority="15">
      <formula>ISEVEN(ROW())</formula>
    </cfRule>
  </conditionalFormatting>
  <conditionalFormatting sqref="B68:M69">
    <cfRule type="expression" dxfId="27" priority="17">
      <formula>ISEVEN(ROW())</formula>
    </cfRule>
  </conditionalFormatting>
  <conditionalFormatting sqref="B74:M74">
    <cfRule type="expression" dxfId="26" priority="1">
      <formula>ISEVEN(ROW())</formula>
    </cfRule>
  </conditionalFormatting>
  <conditionalFormatting sqref="C59">
    <cfRule type="expression" dxfId="25" priority="6">
      <formula>ISEVEN(ROW())</formula>
    </cfRule>
  </conditionalFormatting>
  <conditionalFormatting sqref="C61">
    <cfRule type="expression" dxfId="24" priority="3">
      <formula>ISEVEN(ROW())</formula>
    </cfRule>
  </conditionalFormatting>
  <conditionalFormatting sqref="C50:D51">
    <cfRule type="expression" dxfId="23" priority="267">
      <formula>ISEVEN(ROW())</formula>
    </cfRule>
  </conditionalFormatting>
  <conditionalFormatting sqref="C57:D58">
    <cfRule type="expression" dxfId="22" priority="191">
      <formula>ISEVEN(ROW())</formula>
    </cfRule>
  </conditionalFormatting>
  <conditionalFormatting sqref="C60:D60">
    <cfRule type="expression" dxfId="21" priority="596">
      <formula>ISEVEN(ROW())</formula>
    </cfRule>
  </conditionalFormatting>
  <conditionalFormatting sqref="C62:D64">
    <cfRule type="expression" dxfId="20" priority="595">
      <formula>ISEVEN(ROW())</formula>
    </cfRule>
  </conditionalFormatting>
  <conditionalFormatting sqref="C49:E49 B49:B51 B52:D52 B53:E53">
    <cfRule type="expression" dxfId="19" priority="793">
      <formula>ISEVEN(ROW())</formula>
    </cfRule>
  </conditionalFormatting>
  <conditionalFormatting sqref="D49:D53">
    <cfRule type="expression" dxfId="18" priority="23">
      <formula>ISEVEN(ROW())</formula>
    </cfRule>
  </conditionalFormatting>
  <conditionalFormatting sqref="D57:F64">
    <cfRule type="expression" dxfId="17" priority="2">
      <formula>ISEVEN(ROW())</formula>
    </cfRule>
  </conditionalFormatting>
  <conditionalFormatting sqref="E49:E52">
    <cfRule type="expression" dxfId="16" priority="48">
      <formula>ISEVEN(ROW())</formula>
    </cfRule>
  </conditionalFormatting>
  <conditionalFormatting sqref="F49:F53">
    <cfRule type="expression" dxfId="15" priority="8">
      <formula>ISEVEN(ROW())</formula>
    </cfRule>
  </conditionalFormatting>
  <conditionalFormatting sqref="F68">
    <cfRule type="expression" dxfId="14" priority="159">
      <formula>ISEVEN(ROW())</formula>
    </cfRule>
  </conditionalFormatting>
  <conditionalFormatting sqref="G49:M64">
    <cfRule type="expression" dxfId="13" priority="233">
      <formula>ISEVEN(ROW())</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tint="0.39997558519241921"/>
  </sheetPr>
  <dimension ref="A1:EN46"/>
  <sheetViews>
    <sheetView showGridLines="0" zoomScale="80" zoomScaleNormal="80" workbookViewId="0">
      <selection activeCell="B20" sqref="B20"/>
    </sheetView>
  </sheetViews>
  <sheetFormatPr baseColWidth="10" defaultColWidth="0" defaultRowHeight="0" customHeight="1" zeroHeight="1" x14ac:dyDescent="0.25"/>
  <cols>
    <col min="1" max="1" width="3.33203125" style="28" customWidth="1"/>
    <col min="2" max="2" width="30" style="2" customWidth="1"/>
    <col min="3" max="3" width="10.6640625" style="2" customWidth="1"/>
    <col min="4" max="20" width="13.33203125" style="2" customWidth="1"/>
    <col min="21" max="21" width="3.33203125" style="28" customWidth="1"/>
    <col min="22" max="24" width="10.6640625" style="2" hidden="1" customWidth="1"/>
    <col min="25" max="144" width="0" style="2" hidden="1" customWidth="1"/>
    <col min="145" max="16384" width="10.6640625" style="2" hidden="1"/>
  </cols>
  <sheetData>
    <row r="1" spans="1:21" s="28" customFormat="1" ht="10.8" x14ac:dyDescent="0.25"/>
    <row r="2" spans="1:21" s="16" customFormat="1" ht="33.9" customHeight="1" x14ac:dyDescent="0.3">
      <c r="B2" s="344" t="str">
        <f>+'Project Layout'!$B$2</f>
        <v>Antonio Bellet</v>
      </c>
      <c r="C2" s="20"/>
      <c r="D2" s="22"/>
      <c r="E2" s="22"/>
      <c r="F2" s="22"/>
      <c r="G2" s="22"/>
      <c r="H2" s="22"/>
      <c r="I2" s="22"/>
      <c r="J2" s="22"/>
      <c r="K2" s="22"/>
      <c r="L2" s="22"/>
      <c r="M2" s="22"/>
      <c r="N2" s="22"/>
      <c r="O2" s="22"/>
      <c r="P2" s="22"/>
      <c r="Q2" s="22"/>
      <c r="R2" s="22"/>
      <c r="S2" s="22"/>
      <c r="T2" s="22"/>
    </row>
    <row r="3" spans="1:21" s="16" customFormat="1" ht="23.1" customHeight="1" x14ac:dyDescent="0.3">
      <c r="B3" s="345" t="s">
        <v>207</v>
      </c>
      <c r="C3" s="20"/>
      <c r="D3" s="22"/>
      <c r="E3" s="22"/>
      <c r="F3" s="22"/>
      <c r="G3" s="22"/>
      <c r="H3" s="22"/>
      <c r="I3" s="22"/>
      <c r="J3" s="22"/>
      <c r="K3" s="22"/>
      <c r="L3" s="22"/>
      <c r="M3" s="22"/>
      <c r="N3" s="22"/>
      <c r="O3" s="22"/>
      <c r="P3" s="22"/>
      <c r="Q3" s="22"/>
      <c r="R3" s="22"/>
      <c r="S3" s="22"/>
      <c r="T3" s="22"/>
    </row>
    <row r="4" spans="1:21" s="27" customFormat="1" ht="5.25" customHeight="1" x14ac:dyDescent="0.3">
      <c r="A4" s="23"/>
      <c r="B4" s="24"/>
      <c r="C4" s="25"/>
      <c r="D4" s="25"/>
      <c r="E4" s="25"/>
      <c r="F4" s="25"/>
      <c r="G4" s="25"/>
      <c r="H4" s="25"/>
      <c r="I4" s="25"/>
      <c r="J4" s="25"/>
      <c r="K4" s="25"/>
      <c r="L4" s="25"/>
      <c r="M4" s="25"/>
      <c r="N4" s="25"/>
      <c r="O4" s="25"/>
      <c r="P4" s="25"/>
      <c r="Q4" s="25"/>
      <c r="R4" s="25"/>
      <c r="S4" s="25"/>
      <c r="T4" s="25"/>
      <c r="U4" s="23"/>
    </row>
    <row r="5" spans="1:21" ht="0.9" customHeight="1" x14ac:dyDescent="0.25"/>
    <row r="6" spans="1:21" ht="12.75" customHeight="1" x14ac:dyDescent="0.25"/>
    <row r="7" spans="1:21" ht="12.75" customHeight="1" x14ac:dyDescent="0.25"/>
    <row r="8" spans="1:21" ht="12.75" customHeight="1" x14ac:dyDescent="0.25">
      <c r="B8" s="2" t="s">
        <v>421</v>
      </c>
      <c r="F8" s="404">
        <f>+Inputs!$L$119</f>
        <v>35110.980000000003</v>
      </c>
    </row>
    <row r="9" spans="1:21" ht="12.75" customHeight="1" x14ac:dyDescent="0.25">
      <c r="B9" s="2" t="s">
        <v>181</v>
      </c>
      <c r="F9" s="594">
        <f>+Inputs!$L$126</f>
        <v>0.19</v>
      </c>
    </row>
    <row r="10" spans="1:21" ht="12.75" customHeight="1" x14ac:dyDescent="0.25"/>
    <row r="11" spans="1:21" ht="12.75" customHeight="1" x14ac:dyDescent="0.25">
      <c r="B11" s="474" t="s">
        <v>209</v>
      </c>
      <c r="C11" s="207"/>
      <c r="D11" s="207"/>
      <c r="E11" s="475" t="s">
        <v>0</v>
      </c>
      <c r="F11" s="485" t="s">
        <v>87</v>
      </c>
    </row>
    <row r="12" spans="1:21" ht="12.75" customHeight="1" x14ac:dyDescent="0.25">
      <c r="A12" s="43"/>
      <c r="B12" s="482" t="s">
        <v>201</v>
      </c>
      <c r="C12" s="483"/>
      <c r="D12" s="483"/>
      <c r="E12" s="215">
        <f>+SUM('Project Layout'!AF37,'Project Layout'!AR37)</f>
        <v>45</v>
      </c>
      <c r="F12" s="281">
        <f>+IFERROR(E12/$E$16,0)</f>
        <v>0.33582089552238809</v>
      </c>
    </row>
    <row r="13" spans="1:21" ht="12.75" customHeight="1" x14ac:dyDescent="0.25">
      <c r="B13" s="471" t="s">
        <v>202</v>
      </c>
      <c r="C13" s="28"/>
      <c r="D13" s="28"/>
      <c r="E13" s="216">
        <f>+SUM('Project Layout'!AI37,'Project Layout'!AU37)</f>
        <v>65</v>
      </c>
      <c r="F13" s="104">
        <f>+IFERROR(E13/$E$16,0)</f>
        <v>0.48507462686567165</v>
      </c>
    </row>
    <row r="14" spans="1:21" ht="12.75" customHeight="1" x14ac:dyDescent="0.25">
      <c r="B14" s="471" t="s">
        <v>203</v>
      </c>
      <c r="C14" s="28"/>
      <c r="D14" s="28"/>
      <c r="E14" s="216">
        <f>+SUM('Project Layout'!AL37,'Project Layout'!AX37)</f>
        <v>24</v>
      </c>
      <c r="F14" s="104">
        <f>+IFERROR(E14/$E$16,0)</f>
        <v>0.17910447761194029</v>
      </c>
    </row>
    <row r="15" spans="1:21" ht="12.75" customHeight="1" thickBot="1" x14ac:dyDescent="0.3">
      <c r="B15" s="473" t="s">
        <v>204</v>
      </c>
      <c r="C15" s="371"/>
      <c r="D15" s="371"/>
      <c r="E15" s="373">
        <f>+SUM('Project Layout'!AO37,'Project Layout'!BA37)</f>
        <v>0</v>
      </c>
      <c r="F15" s="484">
        <f>+IFERROR(E15/$E$16,0)</f>
        <v>0</v>
      </c>
    </row>
    <row r="16" spans="1:21" ht="12.75" customHeight="1" thickTop="1" x14ac:dyDescent="0.25">
      <c r="B16" s="481" t="s">
        <v>1</v>
      </c>
      <c r="C16" s="29"/>
      <c r="D16" s="29"/>
      <c r="E16" s="217">
        <f>+SUM(E12:E15)</f>
        <v>134</v>
      </c>
      <c r="F16" s="105">
        <f>+IFERROR(E16/$E$16,0)</f>
        <v>1</v>
      </c>
    </row>
    <row r="17" spans="2:21" ht="12.75" customHeight="1" x14ac:dyDescent="0.25"/>
    <row r="18" spans="2:21" ht="12.75" customHeight="1" x14ac:dyDescent="0.25"/>
    <row r="19" spans="2:21" ht="12.75" customHeight="1" x14ac:dyDescent="0.25">
      <c r="B19" s="30" t="s">
        <v>44</v>
      </c>
      <c r="C19" s="28"/>
      <c r="D19" s="28"/>
      <c r="E19" s="28"/>
      <c r="F19" s="28"/>
      <c r="G19" s="1215" t="s">
        <v>163</v>
      </c>
      <c r="H19" s="1215"/>
      <c r="I19" s="1215" t="s">
        <v>62</v>
      </c>
      <c r="J19" s="1215"/>
      <c r="K19" s="1215"/>
      <c r="L19" s="1215" t="s">
        <v>603</v>
      </c>
      <c r="M19" s="1215"/>
      <c r="N19" s="1215"/>
      <c r="O19" s="1215" t="s">
        <v>222</v>
      </c>
      <c r="P19" s="1215"/>
      <c r="Q19" s="1215"/>
      <c r="R19" s="1215" t="s">
        <v>604</v>
      </c>
      <c r="S19" s="1215"/>
      <c r="T19" s="1215"/>
    </row>
    <row r="20" spans="2:21" ht="12.75" customHeight="1" x14ac:dyDescent="0.25">
      <c r="B20" s="474" t="s">
        <v>53</v>
      </c>
      <c r="C20" s="207"/>
      <c r="D20" s="475" t="s">
        <v>775</v>
      </c>
      <c r="E20" s="475" t="s">
        <v>0</v>
      </c>
      <c r="F20" s="475" t="s">
        <v>7</v>
      </c>
      <c r="G20" s="476" t="s">
        <v>10</v>
      </c>
      <c r="H20" s="475" t="s">
        <v>1</v>
      </c>
      <c r="I20" s="477" t="s">
        <v>216</v>
      </c>
      <c r="J20" s="478" t="s">
        <v>196</v>
      </c>
      <c r="K20" s="478" t="s">
        <v>197</v>
      </c>
      <c r="L20" s="477" t="s">
        <v>216</v>
      </c>
      <c r="M20" s="478" t="s">
        <v>196</v>
      </c>
      <c r="N20" s="478" t="s">
        <v>197</v>
      </c>
      <c r="O20" s="477" t="s">
        <v>216</v>
      </c>
      <c r="P20" s="478" t="s">
        <v>196</v>
      </c>
      <c r="Q20" s="478" t="s">
        <v>197</v>
      </c>
      <c r="R20" s="477" t="s">
        <v>216</v>
      </c>
      <c r="S20" s="478" t="s">
        <v>196</v>
      </c>
      <c r="T20" s="479" t="s">
        <v>197</v>
      </c>
    </row>
    <row r="21" spans="2:21" ht="12.75" customHeight="1" x14ac:dyDescent="0.25">
      <c r="B21" s="470" t="s">
        <v>214</v>
      </c>
      <c r="C21" s="28"/>
      <c r="D21" s="28"/>
      <c r="E21" s="30"/>
      <c r="F21" s="30"/>
      <c r="G21" s="387"/>
      <c r="H21" s="30"/>
      <c r="I21" s="772"/>
      <c r="J21" s="628"/>
      <c r="K21" s="628"/>
      <c r="L21" s="772"/>
      <c r="M21" s="628"/>
      <c r="N21" s="628"/>
      <c r="O21" s="772"/>
      <c r="P21" s="628"/>
      <c r="Q21" s="628"/>
      <c r="R21" s="772"/>
      <c r="S21" s="628"/>
      <c r="T21" s="773"/>
      <c r="U21" s="43"/>
    </row>
    <row r="22" spans="2:21" ht="12.75" customHeight="1" x14ac:dyDescent="0.25">
      <c r="B22" s="471" t="s">
        <v>198</v>
      </c>
      <c r="C22" s="28"/>
      <c r="D22" s="28"/>
      <c r="E22" s="216">
        <f>+ROUND(UnitMix!E12*(1-$D$28),0)</f>
        <v>45</v>
      </c>
      <c r="F22" s="363">
        <f>+IFERROR(E22/$E$33,0)</f>
        <v>0.33582089552238809</v>
      </c>
      <c r="G22" s="390">
        <f>+SUM('Project Layout'!AG38,'Project Layout'!AH38/2,'Project Layout'!AS38,'Project Layout'!AT38/2)</f>
        <v>34.294222222222224</v>
      </c>
      <c r="H22" s="216">
        <f>+G22*E22</f>
        <v>1543.24</v>
      </c>
      <c r="I22" s="774">
        <f>+Inputs!$G50*(E22&gt;0)</f>
        <v>14.835000000000001</v>
      </c>
      <c r="J22" s="632">
        <f>+IFERROR(I22/(1+$F$9)*Inputs!$F$103,0)</f>
        <v>2.7254792052340546</v>
      </c>
      <c r="K22" s="632">
        <f>+SUM(I22:J22)</f>
        <v>17.560479205234056</v>
      </c>
      <c r="L22" s="72">
        <f t="shared" ref="L22:M25" si="0">+IFERROR(I22/$G22,0)</f>
        <v>0.43258015603535421</v>
      </c>
      <c r="M22" s="632">
        <f t="shared" si="0"/>
        <v>7.9473422303421665E-2</v>
      </c>
      <c r="N22" s="632">
        <f>+SUM(L22:M22)</f>
        <v>0.51205357833877585</v>
      </c>
      <c r="O22" s="277">
        <f t="shared" ref="O22:P25" si="1">+I22*$F$8</f>
        <v>520871.38830000005</v>
      </c>
      <c r="P22" s="216">
        <f t="shared" si="1"/>
        <v>95694.245865388802</v>
      </c>
      <c r="Q22" s="216">
        <f>+SUM(O22:P22)</f>
        <v>616565.63416538888</v>
      </c>
      <c r="R22" s="277">
        <f t="shared" ref="R22:S25" si="2">+IFERROR(O22/$G22,0)</f>
        <v>15188.313206954201</v>
      </c>
      <c r="S22" s="216">
        <f t="shared" si="2"/>
        <v>2790.3897410269924</v>
      </c>
      <c r="T22" s="284">
        <f>+SUM(R22:S22)</f>
        <v>17978.702947981194</v>
      </c>
    </row>
    <row r="23" spans="2:21" ht="12.75" customHeight="1" x14ac:dyDescent="0.25">
      <c r="B23" s="471" t="s">
        <v>24</v>
      </c>
      <c r="C23" s="28"/>
      <c r="D23" s="28"/>
      <c r="E23" s="216">
        <f>+ROUND(UnitMix!E13*(1-$D$28),0)</f>
        <v>65</v>
      </c>
      <c r="F23" s="363">
        <f>+IFERROR(E23/$E$33,0)</f>
        <v>0.48507462686567165</v>
      </c>
      <c r="G23" s="390">
        <f>+SUM('Project Layout'!AJ38,'Project Layout'!AK38/2,'Project Layout'!AV38,'Project Layout'!AW38/2)</f>
        <v>42.037384615384617</v>
      </c>
      <c r="H23" s="216">
        <f>+G23*E23</f>
        <v>2732.4300000000003</v>
      </c>
      <c r="I23" s="774">
        <f>+Inputs!$G51*(E23&gt;0)</f>
        <v>18.756499999999999</v>
      </c>
      <c r="J23" s="632">
        <f>+IFERROR(I23/(1+$F$9)*Inputs!$F$103,0)</f>
        <v>3.4459353362300327</v>
      </c>
      <c r="K23" s="632">
        <f>+SUM(I23:J23)</f>
        <v>22.202435336230032</v>
      </c>
      <c r="L23" s="72">
        <f t="shared" si="0"/>
        <v>0.44618617860292847</v>
      </c>
      <c r="M23" s="632">
        <f t="shared" si="0"/>
        <v>8.1973114354238583E-2</v>
      </c>
      <c r="N23" s="632">
        <f>+SUM(L23:M23)</f>
        <v>0.52815929295716701</v>
      </c>
      <c r="O23" s="277">
        <f t="shared" si="1"/>
        <v>658559.09637000004</v>
      </c>
      <c r="P23" s="216">
        <f t="shared" si="1"/>
        <v>120990.16667166597</v>
      </c>
      <c r="Q23" s="216">
        <f>+SUM(O23:P23)</f>
        <v>779549.26304166601</v>
      </c>
      <c r="R23" s="277">
        <f>+IFERROR(O23/$G23,0)</f>
        <v>15666.033993203851</v>
      </c>
      <c r="S23" s="216">
        <f t="shared" si="2"/>
        <v>2878.1563786293841</v>
      </c>
      <c r="T23" s="284">
        <f>+SUM(R23:S23)</f>
        <v>18544.190371833236</v>
      </c>
    </row>
    <row r="24" spans="2:21" ht="12.75" customHeight="1" x14ac:dyDescent="0.25">
      <c r="B24" s="471" t="s">
        <v>86</v>
      </c>
      <c r="C24" s="28"/>
      <c r="D24" s="28"/>
      <c r="E24" s="216">
        <f>+ROUND(UnitMix!E14*(1-$D$28),0)</f>
        <v>24</v>
      </c>
      <c r="F24" s="363">
        <f>+IFERROR(E24/$E$33,0)</f>
        <v>0.17910447761194029</v>
      </c>
      <c r="G24" s="390">
        <f>+SUM('Project Layout'!AM38,'Project Layout'!AN38/2,'Project Layout'!AY38,'Project Layout'!AZ38/2)</f>
        <v>64.367500000000021</v>
      </c>
      <c r="H24" s="216">
        <f>+G24*E24</f>
        <v>1544.8200000000006</v>
      </c>
      <c r="I24" s="774">
        <f>+Inputs!$G52*(E24&gt;0)</f>
        <v>24.219000000000001</v>
      </c>
      <c r="J24" s="632">
        <f>+IFERROR(I24/(1+$F$9)*Inputs!$F$103,0)</f>
        <v>4.449503260637921</v>
      </c>
      <c r="K24" s="632">
        <f>+SUM(I24:J24)</f>
        <v>28.668503260637923</v>
      </c>
      <c r="L24" s="72">
        <f t="shared" si="0"/>
        <v>0.37626131199751417</v>
      </c>
      <c r="M24" s="632">
        <f t="shared" si="0"/>
        <v>6.9126550831365513E-2</v>
      </c>
      <c r="N24" s="632">
        <f>+SUM(L24:M24)</f>
        <v>0.44538786282887965</v>
      </c>
      <c r="O24" s="277">
        <f>+I24*$F$8</f>
        <v>850352.82462000009</v>
      </c>
      <c r="P24" s="216">
        <f t="shared" si="1"/>
        <v>156226.41999419284</v>
      </c>
      <c r="Q24" s="216">
        <f>+SUM(O24:P24)</f>
        <v>1006579.244614193</v>
      </c>
      <c r="R24" s="277">
        <f t="shared" si="2"/>
        <v>13210.903400318481</v>
      </c>
      <c r="S24" s="216">
        <f t="shared" si="2"/>
        <v>2427.1009437090579</v>
      </c>
      <c r="T24" s="284">
        <f>+SUM(R24:S24)</f>
        <v>15638.004344027539</v>
      </c>
    </row>
    <row r="25" spans="2:21" ht="12.75" customHeight="1" x14ac:dyDescent="0.25">
      <c r="B25" s="471" t="s">
        <v>199</v>
      </c>
      <c r="C25" s="28"/>
      <c r="D25" s="28"/>
      <c r="E25" s="216">
        <f>+ROUND(UnitMix!E15*(1-$D$28),0)</f>
        <v>0</v>
      </c>
      <c r="F25" s="363">
        <f>+IFERROR(E25/$E$33,0)</f>
        <v>0</v>
      </c>
      <c r="G25" s="390">
        <f>+SUM('Project Layout'!AP38,'Project Layout'!AQ38/2,'Project Layout'!BB38,'Project Layout'!BC38/2)</f>
        <v>0</v>
      </c>
      <c r="H25" s="216">
        <f>+G25*E25</f>
        <v>0</v>
      </c>
      <c r="I25" s="774">
        <f>+Inputs!$G53*(E25&gt;0)</f>
        <v>0</v>
      </c>
      <c r="J25" s="632">
        <f>+IFERROR(I25/(1+$F$9)*Inputs!$F$103,0)</f>
        <v>0</v>
      </c>
      <c r="K25" s="632">
        <f>+SUM(I25:J25)</f>
        <v>0</v>
      </c>
      <c r="L25" s="769">
        <f t="shared" si="0"/>
        <v>0</v>
      </c>
      <c r="M25" s="632">
        <f t="shared" si="0"/>
        <v>0</v>
      </c>
      <c r="N25" s="632">
        <f>+SUM(L25:M25)</f>
        <v>0</v>
      </c>
      <c r="O25" s="277">
        <f t="shared" si="1"/>
        <v>0</v>
      </c>
      <c r="P25" s="216">
        <f t="shared" si="1"/>
        <v>0</v>
      </c>
      <c r="Q25" s="216">
        <f>+SUM(O25:P25)</f>
        <v>0</v>
      </c>
      <c r="R25" s="277">
        <f t="shared" si="2"/>
        <v>0</v>
      </c>
      <c r="S25" s="216">
        <f t="shared" si="2"/>
        <v>0</v>
      </c>
      <c r="T25" s="284">
        <f>+SUM(R25:S25)</f>
        <v>0</v>
      </c>
    </row>
    <row r="26" spans="2:21" ht="12.75" customHeight="1" x14ac:dyDescent="0.25">
      <c r="B26" s="471"/>
      <c r="C26" s="28"/>
      <c r="D26" s="28"/>
      <c r="E26" s="28"/>
      <c r="F26" s="363"/>
      <c r="G26" s="277"/>
      <c r="H26" s="216"/>
      <c r="I26" s="775"/>
      <c r="J26" s="826"/>
      <c r="K26" s="628"/>
      <c r="L26" s="772"/>
      <c r="M26" s="980"/>
      <c r="N26" s="628"/>
      <c r="O26" s="772"/>
      <c r="P26" s="628"/>
      <c r="Q26" s="628"/>
      <c r="R26" s="776"/>
      <c r="S26" s="777"/>
      <c r="T26" s="778"/>
    </row>
    <row r="27" spans="2:21" ht="12.75" customHeight="1" x14ac:dyDescent="0.25">
      <c r="B27" s="471"/>
      <c r="C27" s="28"/>
      <c r="D27" s="28"/>
      <c r="E27" s="28"/>
      <c r="F27" s="363"/>
      <c r="G27" s="277"/>
      <c r="H27" s="216"/>
      <c r="I27" s="775"/>
      <c r="J27" s="826"/>
      <c r="K27" s="628"/>
      <c r="L27" s="772"/>
      <c r="M27" s="980"/>
      <c r="N27" s="628"/>
      <c r="O27" s="772"/>
      <c r="P27" s="628"/>
      <c r="Q27" s="628"/>
      <c r="R27" s="776"/>
      <c r="S27" s="777"/>
      <c r="T27" s="778"/>
    </row>
    <row r="28" spans="2:21" ht="12.75" customHeight="1" x14ac:dyDescent="0.25">
      <c r="B28" s="472" t="s">
        <v>212</v>
      </c>
      <c r="C28" s="28"/>
      <c r="D28" s="1154">
        <f>+Inputs!$G$34</f>
        <v>0</v>
      </c>
      <c r="E28" s="28"/>
      <c r="F28" s="363"/>
      <c r="G28" s="277"/>
      <c r="H28" s="216"/>
      <c r="I28" s="775"/>
      <c r="J28" s="826"/>
      <c r="K28" s="628"/>
      <c r="L28" s="772"/>
      <c r="M28" s="980"/>
      <c r="N28" s="628"/>
      <c r="O28" s="772"/>
      <c r="P28" s="628"/>
      <c r="Q28" s="628"/>
      <c r="R28" s="776"/>
      <c r="S28" s="777"/>
      <c r="T28" s="778"/>
    </row>
    <row r="29" spans="2:21" ht="12.75" customHeight="1" x14ac:dyDescent="0.25">
      <c r="B29" s="471" t="s">
        <v>201</v>
      </c>
      <c r="C29" s="28"/>
      <c r="D29" s="1154">
        <f>+Inputs!$G$35</f>
        <v>0</v>
      </c>
      <c r="E29" s="216">
        <f>+ROUND(UnitMix!E12*$D$28,0)</f>
        <v>0</v>
      </c>
      <c r="F29" s="363">
        <f>+IFERROR(E29/$E$33,0)</f>
        <v>0</v>
      </c>
      <c r="G29" s="277">
        <f>+G22</f>
        <v>34.294222222222224</v>
      </c>
      <c r="H29" s="216">
        <f>+G29*E29</f>
        <v>0</v>
      </c>
      <c r="I29" s="769">
        <f>+I22*(1+$D29)</f>
        <v>14.835000000000001</v>
      </c>
      <c r="J29" s="632">
        <f>+IFERROR(I29/(1+$F$9)*Inputs!$F$103,0)</f>
        <v>2.7254792052340546</v>
      </c>
      <c r="K29" s="632">
        <f>+SUM(I29:J29)</f>
        <v>17.560479205234056</v>
      </c>
      <c r="L29" s="72">
        <f>+IFERROR(I29/$G29,0)</f>
        <v>0.43258015603535421</v>
      </c>
      <c r="M29" s="632">
        <f t="shared" ref="M29:M32" si="3">+IFERROR(J29/$G29,0)</f>
        <v>7.9473422303421665E-2</v>
      </c>
      <c r="N29" s="632">
        <f>+SUM(L29:M29)</f>
        <v>0.51205357833877585</v>
      </c>
      <c r="O29" s="277">
        <f>+I29*$F$8</f>
        <v>520871.38830000005</v>
      </c>
      <c r="P29" s="216">
        <f t="shared" ref="O29:P33" si="4">+J29*$F$8</f>
        <v>95694.245865388802</v>
      </c>
      <c r="Q29" s="216">
        <f>+SUM(O29:P29)</f>
        <v>616565.63416538888</v>
      </c>
      <c r="R29" s="277">
        <f t="shared" ref="R29:S32" si="5">+IFERROR(O29/$G29,0)</f>
        <v>15188.313206954201</v>
      </c>
      <c r="S29" s="216">
        <f t="shared" si="5"/>
        <v>2790.3897410269924</v>
      </c>
      <c r="T29" s="284">
        <f>+SUM(R29:S29)</f>
        <v>17978.702947981194</v>
      </c>
    </row>
    <row r="30" spans="2:21" ht="12.75" customHeight="1" x14ac:dyDescent="0.25">
      <c r="B30" s="471" t="s">
        <v>72</v>
      </c>
      <c r="C30" s="28"/>
      <c r="D30" s="1154">
        <f>+Inputs!$G$36</f>
        <v>0</v>
      </c>
      <c r="E30" s="216">
        <f>+ROUND(UnitMix!E13*$D$28,0)</f>
        <v>0</v>
      </c>
      <c r="F30" s="363">
        <f>+IFERROR(E30/$E$33,0)</f>
        <v>0</v>
      </c>
      <c r="G30" s="277">
        <f>+G23</f>
        <v>42.037384615384617</v>
      </c>
      <c r="H30" s="216">
        <f>+G30*E30</f>
        <v>0</v>
      </c>
      <c r="I30" s="769">
        <f>+I23*(1+$D30)</f>
        <v>18.756499999999999</v>
      </c>
      <c r="J30" s="632">
        <f>+IFERROR(I30/(1+$F$9)*Inputs!$F$103,0)</f>
        <v>3.4459353362300327</v>
      </c>
      <c r="K30" s="632">
        <f>+SUM(I30:J30)</f>
        <v>22.202435336230032</v>
      </c>
      <c r="L30" s="72">
        <f>+IFERROR(I30/$G30,0)</f>
        <v>0.44618617860292847</v>
      </c>
      <c r="M30" s="632">
        <f t="shared" si="3"/>
        <v>8.1973114354238583E-2</v>
      </c>
      <c r="N30" s="632">
        <f>+SUM(L30:M30)</f>
        <v>0.52815929295716701</v>
      </c>
      <c r="O30" s="277">
        <f>+I30*$F$8</f>
        <v>658559.09637000004</v>
      </c>
      <c r="P30" s="216">
        <f t="shared" si="4"/>
        <v>120990.16667166597</v>
      </c>
      <c r="Q30" s="216">
        <f>+SUM(O30:P30)</f>
        <v>779549.26304166601</v>
      </c>
      <c r="R30" s="277">
        <f t="shared" si="5"/>
        <v>15666.033993203851</v>
      </c>
      <c r="S30" s="216">
        <f t="shared" si="5"/>
        <v>2878.1563786293841</v>
      </c>
      <c r="T30" s="284">
        <f>+SUM(R30:S30)</f>
        <v>18544.190371833236</v>
      </c>
    </row>
    <row r="31" spans="2:21" ht="12.75" customHeight="1" x14ac:dyDescent="0.25">
      <c r="B31" s="471" t="s">
        <v>71</v>
      </c>
      <c r="C31" s="28"/>
      <c r="D31" s="1154">
        <f>+Inputs!$G$37</f>
        <v>0</v>
      </c>
      <c r="E31" s="216">
        <f>+ROUND(UnitMix!E14*$D$28,0)</f>
        <v>0</v>
      </c>
      <c r="F31" s="363">
        <f>+IFERROR(E31/$E$33,0)</f>
        <v>0</v>
      </c>
      <c r="G31" s="277">
        <f>+G24</f>
        <v>64.367500000000021</v>
      </c>
      <c r="H31" s="216">
        <f>+G31*E31</f>
        <v>0</v>
      </c>
      <c r="I31" s="769">
        <f>+I24*(1+$D31)</f>
        <v>24.219000000000001</v>
      </c>
      <c r="J31" s="632">
        <f>+IFERROR(I31/(1+$F$9)*Inputs!$F$103,0)</f>
        <v>4.449503260637921</v>
      </c>
      <c r="K31" s="632">
        <f>+SUM(I31:J31)</f>
        <v>28.668503260637923</v>
      </c>
      <c r="L31" s="72">
        <f>+IFERROR(I31/$G31,0)</f>
        <v>0.37626131199751417</v>
      </c>
      <c r="M31" s="632">
        <f t="shared" si="3"/>
        <v>6.9126550831365513E-2</v>
      </c>
      <c r="N31" s="632">
        <f>+SUM(L31:M31)</f>
        <v>0.44538786282887965</v>
      </c>
      <c r="O31" s="277">
        <f>+I31*$F$8</f>
        <v>850352.82462000009</v>
      </c>
      <c r="P31" s="216">
        <f t="shared" si="4"/>
        <v>156226.41999419284</v>
      </c>
      <c r="Q31" s="216">
        <f>+SUM(O31:P31)</f>
        <v>1006579.244614193</v>
      </c>
      <c r="R31" s="277">
        <f t="shared" si="5"/>
        <v>13210.903400318481</v>
      </c>
      <c r="S31" s="216">
        <f t="shared" si="5"/>
        <v>2427.1009437090579</v>
      </c>
      <c r="T31" s="284">
        <f>+SUM(R31:S31)</f>
        <v>15638.004344027539</v>
      </c>
    </row>
    <row r="32" spans="2:21" ht="12.75" customHeight="1" thickBot="1" x14ac:dyDescent="0.3">
      <c r="B32" s="473" t="s">
        <v>200</v>
      </c>
      <c r="C32" s="371"/>
      <c r="D32" s="388">
        <f>+Inputs!$G$38</f>
        <v>0</v>
      </c>
      <c r="E32" s="373">
        <f>+ROUND(UnitMix!E15*$D$28,0)</f>
        <v>0</v>
      </c>
      <c r="F32" s="382">
        <f>+IFERROR(E32/$E$33,0)</f>
        <v>0</v>
      </c>
      <c r="G32" s="389">
        <f>+G25</f>
        <v>0</v>
      </c>
      <c r="H32" s="373">
        <f>+G32*E32</f>
        <v>0</v>
      </c>
      <c r="I32" s="770">
        <f t="shared" ref="I32" si="6">+I25*(1+$D32)</f>
        <v>0</v>
      </c>
      <c r="J32" s="779">
        <f>+IFERROR(I32/(1+$F$9)*Inputs!$F$103,0)</f>
        <v>0</v>
      </c>
      <c r="K32" s="779">
        <f>+SUM(I32:J32)</f>
        <v>0</v>
      </c>
      <c r="L32" s="770">
        <f>+IFERROR(I32/$G32,0)</f>
        <v>0</v>
      </c>
      <c r="M32" s="779">
        <f t="shared" si="3"/>
        <v>0</v>
      </c>
      <c r="N32" s="779">
        <f>+SUM(L32:M32)</f>
        <v>0</v>
      </c>
      <c r="O32" s="389">
        <f>+I32*$F$8</f>
        <v>0</v>
      </c>
      <c r="P32" s="373">
        <f t="shared" si="4"/>
        <v>0</v>
      </c>
      <c r="Q32" s="373">
        <f>+SUM(O32:P32)</f>
        <v>0</v>
      </c>
      <c r="R32" s="389">
        <f t="shared" si="5"/>
        <v>0</v>
      </c>
      <c r="S32" s="373">
        <f t="shared" si="5"/>
        <v>0</v>
      </c>
      <c r="T32" s="731">
        <f>+SUM(R32:S32)</f>
        <v>0</v>
      </c>
    </row>
    <row r="33" spans="2:20" ht="12.75" customHeight="1" thickTop="1" x14ac:dyDescent="0.25">
      <c r="B33" s="480" t="s">
        <v>210</v>
      </c>
      <c r="C33" s="29"/>
      <c r="D33" s="29"/>
      <c r="E33" s="626">
        <f>+SUM(E22:E25,E29:E32)</f>
        <v>134</v>
      </c>
      <c r="F33" s="220">
        <f>+IFERROR(E33/$E$33,0)</f>
        <v>1</v>
      </c>
      <c r="G33" s="873">
        <f>+IFERROR(H33/E33,0)</f>
        <v>43.436492537313441</v>
      </c>
      <c r="H33" s="627">
        <f>+SUM(H22:H25,H29:H32)</f>
        <v>5820.4900000000007</v>
      </c>
      <c r="I33" s="771">
        <f>+IFERROR(SUMPRODUCT(E22:E32,I22:I32)/E33,0)</f>
        <v>18.417936567164176</v>
      </c>
      <c r="J33" s="633">
        <f>+IFERROR(M33*G33,0)</f>
        <v>3.3837346219835425</v>
      </c>
      <c r="K33" s="633">
        <f>+SUM(I33:J33)</f>
        <v>21.801671189147719</v>
      </c>
      <c r="L33" s="871">
        <f>+IFERROR(SUMPRODUCT(H22:H32,L22:L32)/H33,0)</f>
        <v>0.42401988492377779</v>
      </c>
      <c r="M33" s="633">
        <f>+IFERROR(SUMPRODUCT(H22:H32,M22:M32)/H33,0)</f>
        <v>7.7900733331007291E-2</v>
      </c>
      <c r="N33" s="633">
        <f>+SUM(L33:M33)</f>
        <v>0.50192061825478507</v>
      </c>
      <c r="O33" s="278">
        <f t="shared" si="4"/>
        <v>646671.80245097005</v>
      </c>
      <c r="P33" s="217">
        <f t="shared" si="4"/>
        <v>118806.23863777173</v>
      </c>
      <c r="Q33" s="217">
        <f>+K33*$F$8</f>
        <v>765478.04108874185</v>
      </c>
      <c r="R33" s="278">
        <f>+IFERROR(SUMPRODUCT(N22:N32,R22:R32)/N33,0)</f>
        <v>87405.724321993359</v>
      </c>
      <c r="S33" s="217">
        <f>+IFERROR(SUMPRODUCT(N22:N32,S22:S32)/N33,0)</f>
        <v>16058.138460263788</v>
      </c>
      <c r="T33" s="285">
        <f>+SUM(R33:S33)</f>
        <v>103463.86278225714</v>
      </c>
    </row>
    <row r="34" spans="2:20" ht="12.75" customHeight="1" x14ac:dyDescent="0.25">
      <c r="E34" s="628"/>
      <c r="F34" s="628"/>
      <c r="G34" s="777"/>
      <c r="H34" s="628"/>
      <c r="I34" s="628"/>
      <c r="J34" s="628"/>
      <c r="K34" s="628"/>
      <c r="L34" s="628"/>
      <c r="M34" s="628"/>
      <c r="N34" s="628"/>
      <c r="O34" s="628"/>
      <c r="P34" s="628"/>
      <c r="Q34" s="628"/>
      <c r="R34" s="628"/>
      <c r="S34" s="628"/>
      <c r="T34" s="628"/>
    </row>
    <row r="35" spans="2:20" ht="12.75" customHeight="1" x14ac:dyDescent="0.25">
      <c r="E35" s="628"/>
      <c r="F35" s="628"/>
      <c r="G35" s="628"/>
      <c r="H35" s="628"/>
      <c r="I35" s="628"/>
      <c r="J35" s="628"/>
      <c r="K35" s="628"/>
      <c r="L35" s="628"/>
      <c r="M35" s="628"/>
      <c r="N35" s="628"/>
      <c r="O35" s="628"/>
      <c r="P35" s="628"/>
      <c r="Q35" s="628"/>
      <c r="R35" s="628"/>
      <c r="S35" s="628"/>
      <c r="T35" s="628"/>
    </row>
    <row r="36" spans="2:20" ht="12.75" customHeight="1" x14ac:dyDescent="0.25">
      <c r="B36" s="372" t="s">
        <v>461</v>
      </c>
      <c r="E36" s="628"/>
      <c r="F36" s="628"/>
      <c r="G36" s="1215" t="s">
        <v>163</v>
      </c>
      <c r="H36" s="1215"/>
      <c r="I36" s="413"/>
      <c r="J36" s="413"/>
      <c r="K36" s="413"/>
      <c r="L36" s="1216" t="s">
        <v>603</v>
      </c>
      <c r="M36" s="1216"/>
      <c r="N36" s="1216"/>
      <c r="O36" s="1215"/>
      <c r="P36" s="1215"/>
      <c r="Q36" s="1215"/>
      <c r="R36" s="1215" t="s">
        <v>604</v>
      </c>
      <c r="S36" s="1215"/>
      <c r="T36" s="1215"/>
    </row>
    <row r="37" spans="2:20" ht="12.75" customHeight="1" x14ac:dyDescent="0.25">
      <c r="B37" s="474" t="s">
        <v>53</v>
      </c>
      <c r="C37" s="207"/>
      <c r="D37" s="475"/>
      <c r="E37" s="475"/>
      <c r="F37" s="475"/>
      <c r="G37" s="476"/>
      <c r="H37" s="475" t="s">
        <v>1</v>
      </c>
      <c r="I37" s="417"/>
      <c r="J37" s="418"/>
      <c r="K37" s="419"/>
      <c r="L37" s="476" t="s">
        <v>216</v>
      </c>
      <c r="M37" s="475" t="s">
        <v>196</v>
      </c>
      <c r="N37" s="475" t="s">
        <v>197</v>
      </c>
      <c r="O37" s="477"/>
      <c r="P37" s="478"/>
      <c r="Q37" s="479"/>
      <c r="R37" s="477" t="s">
        <v>216</v>
      </c>
      <c r="S37" s="478" t="s">
        <v>196</v>
      </c>
      <c r="T37" s="479" t="s">
        <v>197</v>
      </c>
    </row>
    <row r="38" spans="2:20" ht="12.75" customHeight="1" x14ac:dyDescent="0.25">
      <c r="B38" s="482"/>
      <c r="C38" s="608"/>
      <c r="E38" s="216"/>
      <c r="F38" s="624"/>
      <c r="G38" s="772"/>
      <c r="H38" s="630"/>
      <c r="I38" s="780"/>
      <c r="J38" s="69"/>
      <c r="K38" s="216"/>
      <c r="L38" s="780"/>
      <c r="M38" s="69"/>
      <c r="N38" s="216"/>
      <c r="O38" s="277"/>
      <c r="P38" s="216"/>
      <c r="Q38" s="284"/>
      <c r="R38" s="277"/>
      <c r="S38" s="216"/>
      <c r="T38" s="284"/>
    </row>
    <row r="39" spans="2:20" ht="12.75" customHeight="1" x14ac:dyDescent="0.25">
      <c r="B39" s="768" t="s">
        <v>460</v>
      </c>
      <c r="C39" s="608"/>
      <c r="E39" s="216"/>
      <c r="F39" s="624"/>
      <c r="G39" s="772"/>
      <c r="H39" s="630">
        <f>+'Project Layout'!BD37</f>
        <v>0</v>
      </c>
      <c r="I39" s="780"/>
      <c r="J39" s="69"/>
      <c r="K39" s="216"/>
      <c r="L39" s="780">
        <f>+Inputs!G140</f>
        <v>0</v>
      </c>
      <c r="M39" s="69">
        <f>+IFERROR(L39*Inputs!$F$163,0)</f>
        <v>0</v>
      </c>
      <c r="N39" s="216">
        <f>+L39*H39</f>
        <v>0</v>
      </c>
      <c r="O39" s="277"/>
      <c r="P39" s="216"/>
      <c r="Q39" s="284"/>
      <c r="R39" s="277">
        <f t="shared" ref="R39:T44" si="7">+L39*$F$8</f>
        <v>0</v>
      </c>
      <c r="S39" s="216">
        <f t="shared" si="7"/>
        <v>0</v>
      </c>
      <c r="T39" s="284">
        <f t="shared" si="7"/>
        <v>0</v>
      </c>
    </row>
    <row r="40" spans="2:20" ht="12.75" customHeight="1" x14ac:dyDescent="0.25">
      <c r="B40" s="768" t="s">
        <v>535</v>
      </c>
      <c r="C40" s="608"/>
      <c r="E40" s="216"/>
      <c r="F40" s="624"/>
      <c r="G40" s="772"/>
      <c r="H40" s="630">
        <f>+SUM('Project Layout'!BE13:BE29)</f>
        <v>381.4</v>
      </c>
      <c r="I40" s="780"/>
      <c r="J40" s="69"/>
      <c r="K40" s="216"/>
      <c r="L40" s="780">
        <f>+Inputs!G144</f>
        <v>0.5</v>
      </c>
      <c r="M40" s="69">
        <f>+IFERROR(L40*Inputs!$F$163,0)</f>
        <v>4.2188359896445239E-2</v>
      </c>
      <c r="N40" s="216">
        <f>+L40*H40</f>
        <v>190.7</v>
      </c>
      <c r="O40" s="277"/>
      <c r="P40" s="216"/>
      <c r="Q40" s="284"/>
      <c r="R40" s="277">
        <f t="shared" si="7"/>
        <v>17555.490000000002</v>
      </c>
      <c r="S40" s="216">
        <f t="shared" si="7"/>
        <v>1481.2746605568909</v>
      </c>
      <c r="T40" s="284">
        <f t="shared" si="7"/>
        <v>6695663.8859999999</v>
      </c>
    </row>
    <row r="41" spans="2:20" ht="12.75" customHeight="1" x14ac:dyDescent="0.25">
      <c r="B41" s="768" t="s">
        <v>398</v>
      </c>
      <c r="C41" s="608"/>
      <c r="E41" s="216"/>
      <c r="F41" s="624"/>
      <c r="G41" s="772"/>
      <c r="H41" s="630">
        <f>+'Project Layout'!BE30</f>
        <v>590.82000000000005</v>
      </c>
      <c r="I41" s="780"/>
      <c r="J41" s="69"/>
      <c r="K41" s="216"/>
      <c r="L41" s="780">
        <f>+Inputs!G148</f>
        <v>0.75</v>
      </c>
      <c r="M41" s="69">
        <f>+IFERROR(L41*Inputs!$F$163,0)</f>
        <v>6.3282539844667862E-2</v>
      </c>
      <c r="N41" s="216">
        <f>+L41*H41</f>
        <v>443.11500000000001</v>
      </c>
      <c r="O41" s="277"/>
      <c r="P41" s="216"/>
      <c r="Q41" s="284"/>
      <c r="R41" s="277">
        <f t="shared" si="7"/>
        <v>26333.235000000001</v>
      </c>
      <c r="S41" s="216">
        <f t="shared" si="7"/>
        <v>2221.9119908353368</v>
      </c>
      <c r="T41" s="284">
        <f t="shared" si="7"/>
        <v>15558201.902700001</v>
      </c>
    </row>
    <row r="42" spans="2:20" ht="12.75" customHeight="1" x14ac:dyDescent="0.25">
      <c r="B42" s="768" t="s">
        <v>524</v>
      </c>
      <c r="C42" s="608"/>
      <c r="E42" s="216"/>
      <c r="F42" s="624"/>
      <c r="G42" s="772"/>
      <c r="H42" s="630">
        <f>+SUM('Project Layout'!BE31:BE34)</f>
        <v>0</v>
      </c>
      <c r="I42" s="780"/>
      <c r="J42" s="69"/>
      <c r="K42" s="216"/>
      <c r="L42" s="780">
        <f>+Inputs!G152</f>
        <v>0</v>
      </c>
      <c r="M42" s="69">
        <f>+IFERROR(L42*Inputs!$F$163,0)</f>
        <v>0</v>
      </c>
      <c r="N42" s="216">
        <f>+L42*H42</f>
        <v>0</v>
      </c>
      <c r="O42" s="277"/>
      <c r="P42" s="216"/>
      <c r="Q42" s="284"/>
      <c r="R42" s="277">
        <f t="shared" si="7"/>
        <v>0</v>
      </c>
      <c r="S42" s="216">
        <f t="shared" si="7"/>
        <v>0</v>
      </c>
      <c r="T42" s="284">
        <f t="shared" si="7"/>
        <v>0</v>
      </c>
    </row>
    <row r="43" spans="2:20" ht="12.75" customHeight="1" thickBot="1" x14ac:dyDescent="0.3">
      <c r="B43" s="768" t="s">
        <v>525</v>
      </c>
      <c r="C43" s="608"/>
      <c r="E43" s="216"/>
      <c r="F43" s="624"/>
      <c r="G43" s="772"/>
      <c r="H43" s="630"/>
      <c r="I43" s="780"/>
      <c r="J43" s="69"/>
      <c r="K43" s="216"/>
      <c r="L43" s="780"/>
      <c r="M43" s="69"/>
      <c r="N43" s="216"/>
      <c r="O43" s="277"/>
      <c r="P43" s="216"/>
      <c r="Q43" s="284"/>
      <c r="R43" s="277"/>
      <c r="S43" s="216"/>
      <c r="T43" s="284"/>
    </row>
    <row r="44" spans="2:20" ht="12.75" customHeight="1" thickTop="1" x14ac:dyDescent="0.25">
      <c r="B44" s="837"/>
      <c r="C44" s="838"/>
      <c r="D44" s="838"/>
      <c r="E44" s="626"/>
      <c r="F44" s="839"/>
      <c r="G44" s="611"/>
      <c r="H44" s="627">
        <f>+SUM(H39:H43)</f>
        <v>972.22</v>
      </c>
      <c r="I44" s="840"/>
      <c r="J44" s="825"/>
      <c r="K44" s="627"/>
      <c r="L44" s="840">
        <f>+IFERROR(SUMPRODUCT(H39:H43,L39:L43)/H44,0)</f>
        <v>0.65192549011540601</v>
      </c>
      <c r="M44" s="825">
        <f>+IFERROR(L44*Inputs!$F$163,0)</f>
        <v>5.5007334405310401E-2</v>
      </c>
      <c r="N44" s="627">
        <f>+IFERROR(SUMPRODUCT(H39:H43,N39:N43)/H44,0)</f>
        <v>344.09309034992083</v>
      </c>
      <c r="O44" s="837"/>
      <c r="P44" s="838"/>
      <c r="Q44" s="919"/>
      <c r="R44" s="611">
        <f t="shared" si="7"/>
        <v>22889.742844932221</v>
      </c>
      <c r="S44" s="626">
        <f t="shared" si="7"/>
        <v>1931.3614181581656</v>
      </c>
      <c r="T44" s="627">
        <f t="shared" si="7"/>
        <v>12081445.613414265</v>
      </c>
    </row>
    <row r="45" spans="2:20" ht="12.75" customHeight="1" x14ac:dyDescent="0.25"/>
    <row r="46" spans="2:20" ht="12.75" customHeight="1" x14ac:dyDescent="0.25"/>
  </sheetData>
  <mergeCells count="9">
    <mergeCell ref="R19:T19"/>
    <mergeCell ref="G36:H36"/>
    <mergeCell ref="L36:N36"/>
    <mergeCell ref="O36:Q36"/>
    <mergeCell ref="G19:H19"/>
    <mergeCell ref="I19:K19"/>
    <mergeCell ref="L19:N19"/>
    <mergeCell ref="O19:Q19"/>
    <mergeCell ref="R36:T36"/>
  </mergeCells>
  <conditionalFormatting sqref="B12:F15 B21:T32">
    <cfRule type="expression" dxfId="12" priority="82">
      <formula>ISEVEN(ROW())</formula>
    </cfRule>
  </conditionalFormatting>
  <conditionalFormatting sqref="B38:T43">
    <cfRule type="expression" dxfId="11" priority="2">
      <formula>ISEVEN(ROW())</formula>
    </cfRule>
  </conditionalFormatting>
  <pageMargins left="0.7" right="0.7" top="0.75" bottom="0.75" header="0.3" footer="0.3"/>
  <pageSetup orientation="portrait" horizontalDpi="4294967294" verticalDpi="4294967294"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39997558519241921"/>
  </sheetPr>
  <dimension ref="A1:EZ191"/>
  <sheetViews>
    <sheetView showGridLines="0" zoomScale="80" zoomScaleNormal="80" workbookViewId="0">
      <selection activeCell="R2" sqref="R2"/>
    </sheetView>
  </sheetViews>
  <sheetFormatPr baseColWidth="10" defaultColWidth="0" defaultRowHeight="10.8" zeroHeight="1" x14ac:dyDescent="0.25"/>
  <cols>
    <col min="1" max="1" width="3.33203125" style="28" customWidth="1"/>
    <col min="2" max="5" width="14.6640625" style="28" customWidth="1"/>
    <col min="6" max="9" width="7.6640625" style="28" customWidth="1"/>
    <col min="10" max="10" width="14.6640625" style="28" customWidth="1"/>
    <col min="11" max="12" width="7.6640625" style="28" customWidth="1"/>
    <col min="13" max="14" width="14.6640625" style="28" customWidth="1"/>
    <col min="15" max="17" width="7.6640625" style="28" customWidth="1"/>
    <col min="18" max="19" width="14.6640625" style="28" customWidth="1"/>
    <col min="20" max="20" width="19.5546875" style="28" customWidth="1"/>
    <col min="21" max="21" width="5.44140625" style="28" customWidth="1"/>
    <col min="22" max="24" width="4.6640625" style="28" customWidth="1"/>
    <col min="25" max="26" width="3.33203125" style="28" customWidth="1"/>
    <col min="27" max="29" width="4.6640625" style="28" customWidth="1"/>
    <col min="30" max="30" width="5.44140625" style="28" customWidth="1"/>
    <col min="31" max="31" width="25.88671875" style="28" bestFit="1" customWidth="1"/>
    <col min="32" max="32" width="11.6640625" style="28" customWidth="1"/>
    <col min="33" max="33" width="13" style="28" bestFit="1" customWidth="1"/>
    <col min="34" max="35" width="11.6640625" style="28" customWidth="1"/>
    <col min="36" max="36" width="13" style="28" bestFit="1" customWidth="1"/>
    <col min="37" max="38" width="11.6640625" style="28" customWidth="1"/>
    <col min="39" max="39" width="13" style="28" bestFit="1" customWidth="1"/>
    <col min="40" max="41" width="11.6640625" style="28" customWidth="1"/>
    <col min="42" max="42" width="13" style="28" bestFit="1" customWidth="1"/>
    <col min="43" max="56" width="11.6640625" style="28" customWidth="1"/>
    <col min="57" max="57" width="13.44140625" style="28" bestFit="1" customWidth="1"/>
    <col min="58" max="58" width="3.33203125" style="28" customWidth="1"/>
    <col min="59" max="72" width="11.44140625" style="28" hidden="1" customWidth="1"/>
    <col min="73" max="16384" width="0" style="28" hidden="1"/>
  </cols>
  <sheetData>
    <row r="1" spans="1:156" x14ac:dyDescent="0.25"/>
    <row r="2" spans="1:156" s="16" customFormat="1" ht="33.9" customHeight="1" x14ac:dyDescent="0.3">
      <c r="B2" s="344" t="s">
        <v>608</v>
      </c>
      <c r="C2" s="20"/>
      <c r="D2" s="20"/>
      <c r="E2" s="20"/>
      <c r="F2" s="22"/>
      <c r="G2" s="22"/>
      <c r="H2" s="22"/>
      <c r="I2" s="22"/>
      <c r="J2" s="21"/>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G2" s="22"/>
      <c r="BH2" s="22"/>
      <c r="BI2" s="22"/>
      <c r="BJ2" s="22"/>
      <c r="BK2" s="22"/>
      <c r="BL2" s="22"/>
      <c r="BM2" s="22"/>
      <c r="BN2" s="22"/>
      <c r="BO2" s="22"/>
      <c r="BP2" s="22"/>
      <c r="BQ2" s="22"/>
      <c r="BR2" s="22"/>
      <c r="BS2" s="22"/>
      <c r="BT2" s="22"/>
      <c r="BU2" s="22"/>
      <c r="BV2" s="22"/>
      <c r="BW2" s="22"/>
      <c r="BX2" s="22"/>
      <c r="BY2" s="22"/>
      <c r="BZ2" s="22"/>
      <c r="CA2" s="22"/>
      <c r="CB2" s="22"/>
      <c r="CC2" s="22"/>
      <c r="CD2" s="22"/>
      <c r="CE2" s="22"/>
      <c r="CF2" s="22"/>
      <c r="CG2" s="22"/>
      <c r="CH2" s="22"/>
      <c r="CI2" s="22"/>
      <c r="CJ2" s="22"/>
      <c r="CK2" s="22"/>
      <c r="CL2" s="22"/>
      <c r="CM2" s="22"/>
      <c r="CN2" s="22"/>
      <c r="CO2" s="22"/>
      <c r="CP2" s="22"/>
      <c r="CQ2" s="22"/>
      <c r="CR2" s="22"/>
      <c r="CS2" s="22"/>
      <c r="CT2" s="22"/>
      <c r="CU2" s="22"/>
      <c r="CV2" s="22"/>
      <c r="CW2" s="22"/>
      <c r="CX2" s="22"/>
      <c r="CY2" s="22"/>
      <c r="CZ2" s="22"/>
      <c r="DA2" s="22"/>
      <c r="DB2" s="22"/>
      <c r="DC2" s="22"/>
      <c r="DD2" s="22"/>
      <c r="DE2" s="22"/>
      <c r="DF2" s="22"/>
      <c r="DG2" s="22"/>
      <c r="DH2" s="22"/>
      <c r="DI2" s="22"/>
      <c r="DJ2" s="22"/>
      <c r="DK2" s="22"/>
      <c r="DL2" s="22"/>
      <c r="DM2" s="22"/>
      <c r="DN2" s="22"/>
      <c r="DO2" s="22"/>
      <c r="DP2" s="22"/>
      <c r="DQ2" s="22"/>
      <c r="DR2" s="22"/>
      <c r="DS2" s="22"/>
      <c r="DT2" s="22"/>
      <c r="DU2" s="22"/>
      <c r="DV2" s="22"/>
      <c r="DW2" s="22"/>
      <c r="DX2" s="22"/>
      <c r="DY2" s="22"/>
      <c r="DZ2" s="22"/>
      <c r="EA2" s="22"/>
      <c r="EB2" s="22"/>
      <c r="EC2" s="22"/>
      <c r="ED2" s="22"/>
      <c r="EE2" s="22"/>
      <c r="EF2" s="22"/>
      <c r="EG2" s="22"/>
      <c r="EH2" s="22"/>
      <c r="EI2" s="22"/>
      <c r="EJ2" s="22"/>
      <c r="EK2" s="22"/>
      <c r="EL2" s="22"/>
      <c r="EM2" s="22"/>
      <c r="EN2" s="22"/>
      <c r="EO2" s="22"/>
      <c r="EP2" s="22"/>
      <c r="EQ2" s="22"/>
      <c r="ER2" s="22"/>
      <c r="ES2" s="22"/>
      <c r="ET2" s="22"/>
      <c r="EU2" s="22"/>
      <c r="EV2" s="22"/>
      <c r="EW2" s="22"/>
      <c r="EX2" s="22"/>
      <c r="EY2" s="22"/>
      <c r="EZ2" s="22"/>
    </row>
    <row r="3" spans="1:156" s="16" customFormat="1" ht="23.1" customHeight="1" x14ac:dyDescent="0.3">
      <c r="B3" s="345" t="s">
        <v>136</v>
      </c>
      <c r="C3" s="20"/>
      <c r="D3" s="20"/>
      <c r="E3" s="20"/>
      <c r="F3" s="22"/>
      <c r="G3" s="22"/>
      <c r="H3" s="22"/>
      <c r="I3" s="22"/>
      <c r="J3" s="21"/>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2"/>
      <c r="EA3" s="22"/>
      <c r="EB3" s="22"/>
      <c r="EC3" s="22"/>
      <c r="ED3" s="22"/>
      <c r="EE3" s="22"/>
      <c r="EF3" s="22"/>
      <c r="EG3" s="22"/>
      <c r="EH3" s="22"/>
      <c r="EI3" s="22"/>
      <c r="EJ3" s="22"/>
      <c r="EK3" s="22"/>
      <c r="EL3" s="22"/>
      <c r="EM3" s="22"/>
      <c r="EN3" s="22"/>
      <c r="EO3" s="22"/>
      <c r="EP3" s="22"/>
      <c r="EQ3" s="22"/>
      <c r="ER3" s="22"/>
      <c r="ES3" s="22"/>
      <c r="ET3" s="22"/>
      <c r="EU3" s="22"/>
      <c r="EV3" s="22"/>
      <c r="EW3" s="22"/>
      <c r="EX3" s="22"/>
      <c r="EY3" s="22"/>
      <c r="EZ3" s="22"/>
    </row>
    <row r="4" spans="1:156" s="27" customFormat="1" ht="5.25" customHeight="1" x14ac:dyDescent="0.3">
      <c r="A4" s="23"/>
      <c r="B4" s="24"/>
      <c r="C4" s="25"/>
      <c r="D4" s="25"/>
      <c r="E4" s="25"/>
      <c r="F4" s="25"/>
      <c r="G4" s="25"/>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3"/>
      <c r="BG4" s="25"/>
      <c r="BH4" s="25"/>
      <c r="BI4" s="25"/>
      <c r="BJ4" s="25"/>
      <c r="BK4" s="25"/>
      <c r="BL4" s="25"/>
      <c r="BM4" s="25"/>
      <c r="BN4" s="25"/>
      <c r="BO4" s="25"/>
      <c r="BP4" s="25"/>
      <c r="BQ4" s="25"/>
      <c r="BR4" s="25"/>
      <c r="BS4" s="25"/>
      <c r="BT4" s="26"/>
      <c r="BU4" s="26"/>
      <c r="BV4" s="26"/>
      <c r="BW4" s="26"/>
      <c r="BX4" s="26"/>
      <c r="BY4" s="26"/>
      <c r="BZ4" s="26"/>
      <c r="CA4" s="26"/>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c r="DY4" s="26"/>
      <c r="DZ4" s="26"/>
      <c r="EA4" s="26"/>
      <c r="EB4" s="26"/>
      <c r="EC4" s="26"/>
      <c r="ED4" s="26"/>
      <c r="EE4" s="26"/>
      <c r="EF4" s="26"/>
      <c r="EG4" s="26"/>
      <c r="EH4" s="26"/>
      <c r="EI4" s="26"/>
      <c r="EJ4" s="26"/>
      <c r="EK4" s="26"/>
      <c r="EL4" s="26"/>
      <c r="EM4" s="26"/>
      <c r="EN4" s="26"/>
      <c r="EO4" s="26"/>
      <c r="EP4" s="26"/>
      <c r="EQ4" s="26"/>
      <c r="ER4" s="26"/>
      <c r="ES4" s="26"/>
      <c r="ET4" s="26"/>
      <c r="EU4" s="26"/>
      <c r="EV4" s="26"/>
      <c r="EW4" s="26"/>
      <c r="EX4" s="26"/>
      <c r="EY4" s="26"/>
      <c r="EZ4" s="26"/>
    </row>
    <row r="5" spans="1:156" x14ac:dyDescent="0.25"/>
    <row r="6" spans="1:156" x14ac:dyDescent="0.25">
      <c r="K6" s="29"/>
      <c r="L6" s="29"/>
      <c r="M6" s="29"/>
    </row>
    <row r="7" spans="1:156" ht="15.75" customHeight="1" x14ac:dyDescent="0.25">
      <c r="B7" s="851" t="s">
        <v>215</v>
      </c>
      <c r="C7" s="852"/>
      <c r="D7" s="852"/>
      <c r="E7" s="852"/>
      <c r="F7" s="852"/>
      <c r="G7" s="852"/>
      <c r="H7" s="852"/>
      <c r="I7" s="852"/>
      <c r="J7" s="852"/>
      <c r="K7" s="852"/>
      <c r="L7" s="852"/>
      <c r="M7" s="852"/>
      <c r="N7" s="852"/>
      <c r="O7" s="852"/>
      <c r="P7" s="852"/>
      <c r="Q7" s="852"/>
      <c r="R7" s="852"/>
      <c r="S7" s="852"/>
      <c r="T7" s="853"/>
      <c r="U7" s="30"/>
      <c r="AD7" s="30"/>
      <c r="AE7" s="30"/>
      <c r="AF7" s="1224" t="s">
        <v>207</v>
      </c>
      <c r="AG7" s="1225"/>
      <c r="AH7" s="1225"/>
      <c r="AI7" s="1225"/>
      <c r="AJ7" s="1225"/>
      <c r="AK7" s="1225"/>
      <c r="AL7" s="1225"/>
      <c r="AM7" s="1225"/>
      <c r="AN7" s="1225"/>
      <c r="AO7" s="1225"/>
      <c r="AP7" s="1225"/>
      <c r="AQ7" s="1225"/>
      <c r="AR7" s="1225"/>
      <c r="AS7" s="1225"/>
      <c r="AT7" s="1225"/>
      <c r="AU7" s="1225"/>
      <c r="AV7" s="1225"/>
      <c r="AW7" s="1225"/>
      <c r="AX7" s="1225"/>
      <c r="AY7" s="1225"/>
      <c r="AZ7" s="1225"/>
      <c r="BA7" s="1225"/>
      <c r="BB7" s="1225"/>
      <c r="BC7" s="1225"/>
      <c r="BD7" s="1225"/>
      <c r="BE7" s="1226"/>
    </row>
    <row r="8" spans="1:156" x14ac:dyDescent="0.25">
      <c r="D8" s="33"/>
      <c r="E8" s="33"/>
      <c r="F8" s="30"/>
      <c r="G8" s="30"/>
      <c r="H8" s="30"/>
      <c r="I8" s="30"/>
      <c r="J8" s="30"/>
      <c r="K8" s="30"/>
      <c r="L8" s="30"/>
      <c r="M8" s="30"/>
      <c r="N8" s="30"/>
      <c r="O8" s="30"/>
      <c r="P8" s="30"/>
      <c r="Q8" s="30"/>
      <c r="R8" s="30"/>
      <c r="S8" s="33"/>
      <c r="T8" s="33"/>
      <c r="U8" s="33"/>
      <c r="W8" s="33"/>
      <c r="X8" s="33"/>
      <c r="Y8" s="33"/>
      <c r="AD8" s="33"/>
      <c r="AE8" s="33"/>
      <c r="AF8" s="1231" t="s">
        <v>220</v>
      </c>
      <c r="AG8" s="1232"/>
      <c r="AH8" s="1232"/>
      <c r="AI8" s="1232"/>
      <c r="AJ8" s="1232"/>
      <c r="AK8" s="1232"/>
      <c r="AL8" s="1232"/>
      <c r="AM8" s="1232"/>
      <c r="AN8" s="1232"/>
      <c r="AO8" s="1232"/>
      <c r="AP8" s="1232"/>
      <c r="AQ8" s="1232"/>
      <c r="AR8" s="1231" t="s">
        <v>412</v>
      </c>
      <c r="AS8" s="1232"/>
      <c r="AT8" s="1232"/>
      <c r="AU8" s="1232"/>
      <c r="AV8" s="1232"/>
      <c r="AW8" s="1232"/>
      <c r="AX8" s="1232"/>
      <c r="AY8" s="1232"/>
      <c r="AZ8" s="1232"/>
      <c r="BA8" s="1232"/>
      <c r="BB8" s="1232"/>
      <c r="BC8" s="1232"/>
      <c r="BD8" s="34" t="s">
        <v>460</v>
      </c>
      <c r="BE8" s="34" t="s">
        <v>13</v>
      </c>
    </row>
    <row r="9" spans="1:156" ht="20.100000000000001" customHeight="1" x14ac:dyDescent="0.25">
      <c r="B9" s="1236" t="s">
        <v>74</v>
      </c>
      <c r="C9" s="1220" t="s">
        <v>138</v>
      </c>
      <c r="D9" s="1238" t="s">
        <v>137</v>
      </c>
      <c r="E9" s="1238" t="s">
        <v>520</v>
      </c>
      <c r="F9" s="1230" t="s">
        <v>61</v>
      </c>
      <c r="G9" s="1230"/>
      <c r="H9" s="1230" t="s">
        <v>227</v>
      </c>
      <c r="I9" s="1227"/>
      <c r="J9" s="1220" t="s">
        <v>75</v>
      </c>
      <c r="K9" s="1230" t="s">
        <v>76</v>
      </c>
      <c r="L9" s="1230"/>
      <c r="M9" s="1220" t="s">
        <v>79</v>
      </c>
      <c r="N9" s="1220" t="s">
        <v>609</v>
      </c>
      <c r="O9" s="1230" t="s">
        <v>82</v>
      </c>
      <c r="P9" s="1230"/>
      <c r="Q9" s="1230"/>
      <c r="R9" s="1230" t="s">
        <v>84</v>
      </c>
      <c r="S9" s="1230" t="s">
        <v>0</v>
      </c>
      <c r="T9" s="1227" t="s">
        <v>77</v>
      </c>
      <c r="U9" s="32"/>
      <c r="AD9" s="32"/>
      <c r="AE9" s="1236" t="s">
        <v>74</v>
      </c>
      <c r="AF9" s="1229" t="s">
        <v>182</v>
      </c>
      <c r="AG9" s="1230"/>
      <c r="AH9" s="1227"/>
      <c r="AI9" s="1229" t="s">
        <v>183</v>
      </c>
      <c r="AJ9" s="1230"/>
      <c r="AK9" s="1227"/>
      <c r="AL9" s="1229" t="s">
        <v>184</v>
      </c>
      <c r="AM9" s="1230"/>
      <c r="AN9" s="1227"/>
      <c r="AO9" s="1229" t="s">
        <v>185</v>
      </c>
      <c r="AP9" s="1230"/>
      <c r="AQ9" s="1227"/>
      <c r="AR9" s="1229" t="s">
        <v>182</v>
      </c>
      <c r="AS9" s="1230"/>
      <c r="AT9" s="1227"/>
      <c r="AU9" s="1229" t="s">
        <v>183</v>
      </c>
      <c r="AV9" s="1230"/>
      <c r="AW9" s="1227"/>
      <c r="AX9" s="1229" t="s">
        <v>184</v>
      </c>
      <c r="AY9" s="1230"/>
      <c r="AZ9" s="1227"/>
      <c r="BA9" s="1229" t="s">
        <v>185</v>
      </c>
      <c r="BB9" s="1230"/>
      <c r="BC9" s="1227"/>
      <c r="BD9" s="208"/>
      <c r="BE9" s="208"/>
    </row>
    <row r="10" spans="1:156" ht="20.100000000000001" customHeight="1" x14ac:dyDescent="0.25">
      <c r="B10" s="1237"/>
      <c r="C10" s="1221"/>
      <c r="D10" s="1239"/>
      <c r="E10" s="1239"/>
      <c r="F10" s="35" t="s">
        <v>83</v>
      </c>
      <c r="G10" s="35" t="s">
        <v>0</v>
      </c>
      <c r="H10" s="35" t="s">
        <v>83</v>
      </c>
      <c r="I10" s="209" t="s">
        <v>0</v>
      </c>
      <c r="J10" s="1221"/>
      <c r="K10" s="35" t="s">
        <v>83</v>
      </c>
      <c r="L10" s="35" t="s">
        <v>100</v>
      </c>
      <c r="M10" s="1221"/>
      <c r="N10" s="1221"/>
      <c r="O10" s="35" t="s">
        <v>553</v>
      </c>
      <c r="P10" s="35" t="s">
        <v>80</v>
      </c>
      <c r="Q10" s="35" t="s">
        <v>81</v>
      </c>
      <c r="R10" s="1240"/>
      <c r="S10" s="1240"/>
      <c r="T10" s="1228"/>
      <c r="U10" s="32"/>
      <c r="AD10" s="32"/>
      <c r="AE10" s="1237"/>
      <c r="AF10" s="360" t="s">
        <v>186</v>
      </c>
      <c r="AG10" s="360" t="s">
        <v>187</v>
      </c>
      <c r="AH10" s="360" t="s">
        <v>78</v>
      </c>
      <c r="AI10" s="360" t="s">
        <v>186</v>
      </c>
      <c r="AJ10" s="360" t="s">
        <v>187</v>
      </c>
      <c r="AK10" s="360" t="s">
        <v>78</v>
      </c>
      <c r="AL10" s="360" t="s">
        <v>186</v>
      </c>
      <c r="AM10" s="360" t="s">
        <v>187</v>
      </c>
      <c r="AN10" s="360" t="s">
        <v>78</v>
      </c>
      <c r="AO10" s="360" t="s">
        <v>186</v>
      </c>
      <c r="AP10" s="360" t="s">
        <v>187</v>
      </c>
      <c r="AQ10" s="360" t="s">
        <v>78</v>
      </c>
      <c r="AR10" s="360" t="s">
        <v>186</v>
      </c>
      <c r="AS10" s="360" t="s">
        <v>187</v>
      </c>
      <c r="AT10" s="360" t="s">
        <v>78</v>
      </c>
      <c r="AU10" s="360" t="s">
        <v>186</v>
      </c>
      <c r="AV10" s="360" t="s">
        <v>187</v>
      </c>
      <c r="AW10" s="360" t="s">
        <v>78</v>
      </c>
      <c r="AX10" s="360" t="s">
        <v>186</v>
      </c>
      <c r="AY10" s="360" t="s">
        <v>187</v>
      </c>
      <c r="AZ10" s="360" t="s">
        <v>78</v>
      </c>
      <c r="BA10" s="360" t="s">
        <v>186</v>
      </c>
      <c r="BB10" s="360" t="s">
        <v>187</v>
      </c>
      <c r="BC10" s="360" t="s">
        <v>78</v>
      </c>
      <c r="BD10" s="209"/>
      <c r="BE10" s="209"/>
    </row>
    <row r="11" spans="1:156" x14ac:dyDescent="0.25">
      <c r="B11" s="36"/>
      <c r="C11" s="36"/>
      <c r="D11" s="37"/>
      <c r="E11" s="37"/>
      <c r="F11" s="37"/>
      <c r="G11" s="37"/>
      <c r="H11" s="37"/>
      <c r="I11" s="37"/>
      <c r="J11" s="37"/>
      <c r="K11" s="37"/>
      <c r="L11" s="37"/>
      <c r="M11" s="37"/>
      <c r="N11" s="37"/>
      <c r="P11" s="37"/>
      <c r="Q11" s="37"/>
      <c r="R11" s="37"/>
      <c r="S11" s="36"/>
      <c r="T11" s="36"/>
      <c r="U11" s="36"/>
      <c r="AD11" s="36"/>
      <c r="AE11" s="36"/>
      <c r="AF11" s="30"/>
      <c r="AG11" s="30"/>
      <c r="AH11" s="30"/>
      <c r="AI11" s="30"/>
      <c r="AJ11" s="30"/>
      <c r="AK11" s="30"/>
      <c r="AL11" s="30"/>
      <c r="AM11" s="30"/>
      <c r="AN11" s="30"/>
      <c r="AO11" s="30"/>
      <c r="AP11" s="30"/>
      <c r="AQ11" s="30"/>
      <c r="AR11" s="30"/>
      <c r="AS11" s="30"/>
      <c r="AT11" s="30"/>
      <c r="AU11" s="30"/>
      <c r="AV11" s="30"/>
      <c r="AW11" s="30"/>
      <c r="AX11" s="30"/>
      <c r="AY11" s="30"/>
      <c r="AZ11" s="30"/>
      <c r="BA11" s="30"/>
      <c r="BB11" s="30"/>
      <c r="BC11" s="30"/>
      <c r="BD11" s="30"/>
      <c r="BE11" s="30"/>
    </row>
    <row r="12" spans="1:156" s="43" customFormat="1" x14ac:dyDescent="0.25">
      <c r="B12" s="38"/>
      <c r="C12" s="39"/>
      <c r="D12" s="39"/>
      <c r="E12" s="39"/>
      <c r="F12" s="39"/>
      <c r="G12" s="39"/>
      <c r="H12" s="39"/>
      <c r="I12" s="39"/>
      <c r="J12" s="39"/>
      <c r="K12" s="39"/>
      <c r="L12" s="40"/>
      <c r="M12" s="39"/>
      <c r="N12" s="39"/>
      <c r="O12" s="39"/>
      <c r="P12" s="39"/>
      <c r="Q12" s="39"/>
      <c r="R12" s="39"/>
      <c r="S12" s="39"/>
      <c r="T12" s="41"/>
      <c r="U12" s="42"/>
      <c r="AD12" s="42"/>
      <c r="AE12" s="38"/>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850"/>
    </row>
    <row r="13" spans="1:156" x14ac:dyDescent="0.25">
      <c r="B13" s="45" t="s">
        <v>414</v>
      </c>
      <c r="C13" s="358"/>
      <c r="D13" s="1217">
        <f>+SUM(C13:C30)</f>
        <v>42.199999999999996</v>
      </c>
      <c r="E13" s="968">
        <f t="shared" ref="E13:E30" si="0">+SUM(J13,Q13)</f>
        <v>0</v>
      </c>
      <c r="F13" s="210">
        <v>0</v>
      </c>
      <c r="G13" s="210">
        <v>0</v>
      </c>
      <c r="H13" s="977">
        <v>0</v>
      </c>
      <c r="I13" s="210">
        <v>0</v>
      </c>
      <c r="J13" s="282">
        <f t="shared" ref="J13:J34" si="1">+SUM(K13,M13:P13)</f>
        <v>0</v>
      </c>
      <c r="K13" s="216">
        <f t="shared" ref="K13:K21" si="2">+AF13*SUM(AG13,AH13)+AI13*SUM(AJ13,AK13)+AL13*SUM(AM13,AN13)+AO13*SUM(AP13,AQ13)+AR13*SUM(AS13,AT13)+AU13*SUM(AV13,AW13)+AX13*SUM(AY13,AZ13)+BA13*SUM(BB13,BC13)+BD13+BE13</f>
        <v>0</v>
      </c>
      <c r="L13" s="47">
        <f t="shared" ref="L13:L23" si="3">+IFERROR(K13/J13,0)</f>
        <v>0</v>
      </c>
      <c r="M13" s="212">
        <v>0</v>
      </c>
      <c r="N13" s="212">
        <v>0</v>
      </c>
      <c r="O13" s="212">
        <v>0</v>
      </c>
      <c r="P13" s="212">
        <v>0</v>
      </c>
      <c r="Q13" s="212">
        <v>0</v>
      </c>
      <c r="R13" s="212">
        <v>0</v>
      </c>
      <c r="S13" s="216">
        <f>+SUM(AF13,AI13,AL13,AO13,AR13,AU13,AX13,BA13)</f>
        <v>0</v>
      </c>
      <c r="T13" s="609" t="s">
        <v>44</v>
      </c>
      <c r="U13" s="46"/>
      <c r="V13" s="43"/>
      <c r="Y13" s="43"/>
      <c r="Z13" s="43"/>
      <c r="AA13" s="43"/>
      <c r="AD13" s="46"/>
      <c r="AE13" s="45" t="str">
        <f>+B13</f>
        <v>M</v>
      </c>
      <c r="AF13" s="211">
        <v>0</v>
      </c>
      <c r="AG13" s="211">
        <v>0</v>
      </c>
      <c r="AH13" s="211">
        <v>0</v>
      </c>
      <c r="AI13" s="211">
        <v>0</v>
      </c>
      <c r="AJ13" s="211">
        <v>0</v>
      </c>
      <c r="AK13" s="211">
        <v>0</v>
      </c>
      <c r="AL13" s="211">
        <v>0</v>
      </c>
      <c r="AM13" s="211">
        <v>0</v>
      </c>
      <c r="AN13" s="211">
        <v>0</v>
      </c>
      <c r="AO13" s="211">
        <v>0</v>
      </c>
      <c r="AP13" s="211">
        <v>0</v>
      </c>
      <c r="AQ13" s="211">
        <v>0</v>
      </c>
      <c r="AR13" s="211">
        <v>0</v>
      </c>
      <c r="AS13" s="211">
        <v>0</v>
      </c>
      <c r="AT13" s="211">
        <v>0</v>
      </c>
      <c r="AU13" s="211">
        <v>0</v>
      </c>
      <c r="AV13" s="211">
        <v>0</v>
      </c>
      <c r="AW13" s="211">
        <v>0</v>
      </c>
      <c r="AX13" s="211">
        <v>0</v>
      </c>
      <c r="AY13" s="211">
        <v>0</v>
      </c>
      <c r="AZ13" s="211">
        <v>0</v>
      </c>
      <c r="BA13" s="211">
        <v>0</v>
      </c>
      <c r="BB13" s="211">
        <v>0</v>
      </c>
      <c r="BC13" s="211">
        <v>0</v>
      </c>
      <c r="BD13" s="211">
        <v>0</v>
      </c>
      <c r="BE13" s="211">
        <v>0</v>
      </c>
    </row>
    <row r="14" spans="1:156" x14ac:dyDescent="0.25">
      <c r="B14" s="45">
        <f t="shared" ref="B14:B21" si="4">+B15+1</f>
        <v>17</v>
      </c>
      <c r="C14" s="966">
        <v>2.4</v>
      </c>
      <c r="D14" s="1218"/>
      <c r="E14" s="969">
        <f t="shared" si="0"/>
        <v>368.99</v>
      </c>
      <c r="F14" s="210">
        <v>0</v>
      </c>
      <c r="G14" s="210">
        <v>0</v>
      </c>
      <c r="H14" s="976">
        <v>0</v>
      </c>
      <c r="I14" s="210">
        <v>0</v>
      </c>
      <c r="J14" s="277">
        <f t="shared" si="1"/>
        <v>368.99</v>
      </c>
      <c r="K14" s="216">
        <f t="shared" si="2"/>
        <v>275.05</v>
      </c>
      <c r="L14" s="47">
        <f t="shared" si="3"/>
        <v>0.74541315482804416</v>
      </c>
      <c r="M14" s="212">
        <v>93.94</v>
      </c>
      <c r="N14" s="212">
        <v>0</v>
      </c>
      <c r="O14" s="212">
        <v>0</v>
      </c>
      <c r="P14" s="212">
        <v>0</v>
      </c>
      <c r="Q14" s="212">
        <v>0</v>
      </c>
      <c r="R14" s="212">
        <v>0</v>
      </c>
      <c r="S14" s="216">
        <f t="shared" ref="S14:S21" si="5">+SUM(AF14,AI14,AL14,AO14,AR14,AU14,AX14,BA14)</f>
        <v>5</v>
      </c>
      <c r="T14" s="609" t="s">
        <v>44</v>
      </c>
      <c r="U14" s="46"/>
      <c r="V14" s="43"/>
      <c r="Y14" s="48"/>
      <c r="Z14" s="49"/>
      <c r="AA14" s="43"/>
      <c r="AD14" s="46"/>
      <c r="AE14" s="45">
        <f t="shared" ref="AE14:AE21" si="6">+AE15+1</f>
        <v>17</v>
      </c>
      <c r="AF14" s="211">
        <v>0</v>
      </c>
      <c r="AG14" s="796">
        <v>0</v>
      </c>
      <c r="AH14" s="796">
        <v>0</v>
      </c>
      <c r="AI14" s="211">
        <v>0</v>
      </c>
      <c r="AJ14" s="796">
        <v>0</v>
      </c>
      <c r="AK14" s="796">
        <v>0</v>
      </c>
      <c r="AL14" s="211">
        <v>0</v>
      </c>
      <c r="AM14" s="211">
        <v>0</v>
      </c>
      <c r="AN14" s="211">
        <v>0</v>
      </c>
      <c r="AO14" s="211">
        <v>0</v>
      </c>
      <c r="AP14" s="211">
        <v>0</v>
      </c>
      <c r="AQ14" s="796">
        <v>0</v>
      </c>
      <c r="AR14" s="211">
        <v>0</v>
      </c>
      <c r="AS14" s="796">
        <v>0</v>
      </c>
      <c r="AT14" s="796">
        <v>0</v>
      </c>
      <c r="AU14" s="211">
        <v>5</v>
      </c>
      <c r="AV14" s="796">
        <v>37.501999999999995</v>
      </c>
      <c r="AW14" s="796">
        <v>17.508000000000003</v>
      </c>
      <c r="AX14" s="211">
        <v>0</v>
      </c>
      <c r="AY14" s="211">
        <v>0</v>
      </c>
      <c r="AZ14" s="211">
        <v>0</v>
      </c>
      <c r="BA14" s="211">
        <v>0</v>
      </c>
      <c r="BB14" s="211">
        <v>0</v>
      </c>
      <c r="BC14" s="211">
        <v>0</v>
      </c>
      <c r="BD14" s="211">
        <v>0</v>
      </c>
      <c r="BE14" s="211">
        <v>0</v>
      </c>
    </row>
    <row r="15" spans="1:156" x14ac:dyDescent="0.25">
      <c r="B15" s="45">
        <f t="shared" si="4"/>
        <v>16</v>
      </c>
      <c r="C15" s="966">
        <v>2.4</v>
      </c>
      <c r="D15" s="1218"/>
      <c r="E15" s="969">
        <f t="shared" si="0"/>
        <v>368.99</v>
      </c>
      <c r="F15" s="210">
        <v>0</v>
      </c>
      <c r="G15" s="210">
        <v>0</v>
      </c>
      <c r="H15" s="976">
        <v>0</v>
      </c>
      <c r="I15" s="210">
        <v>0</v>
      </c>
      <c r="J15" s="277">
        <f t="shared" si="1"/>
        <v>368.99</v>
      </c>
      <c r="K15" s="216">
        <f t="shared" si="2"/>
        <v>275.05</v>
      </c>
      <c r="L15" s="47">
        <f t="shared" si="3"/>
        <v>0.74541315482804416</v>
      </c>
      <c r="M15" s="212">
        <v>93.94</v>
      </c>
      <c r="N15" s="212">
        <v>0</v>
      </c>
      <c r="O15" s="212">
        <v>0</v>
      </c>
      <c r="P15" s="212">
        <v>0</v>
      </c>
      <c r="Q15" s="212">
        <v>0</v>
      </c>
      <c r="R15" s="212">
        <v>0</v>
      </c>
      <c r="S15" s="216">
        <f t="shared" si="5"/>
        <v>5</v>
      </c>
      <c r="T15" s="609" t="s">
        <v>44</v>
      </c>
      <c r="U15" s="46"/>
      <c r="V15" s="43"/>
      <c r="Y15" s="48"/>
      <c r="Z15" s="49"/>
      <c r="AA15" s="43"/>
      <c r="AD15" s="46"/>
      <c r="AE15" s="45">
        <f t="shared" si="6"/>
        <v>16</v>
      </c>
      <c r="AF15" s="211">
        <v>0</v>
      </c>
      <c r="AG15" s="796">
        <v>0</v>
      </c>
      <c r="AH15" s="796">
        <v>0</v>
      </c>
      <c r="AI15" s="211">
        <v>0</v>
      </c>
      <c r="AJ15" s="796">
        <v>0</v>
      </c>
      <c r="AK15" s="796">
        <v>0</v>
      </c>
      <c r="AL15" s="211">
        <v>0</v>
      </c>
      <c r="AM15" s="211">
        <v>0</v>
      </c>
      <c r="AN15" s="211">
        <v>0</v>
      </c>
      <c r="AO15" s="211">
        <v>0</v>
      </c>
      <c r="AP15" s="211">
        <v>0</v>
      </c>
      <c r="AQ15" s="796">
        <v>0</v>
      </c>
      <c r="AR15" s="211">
        <v>0</v>
      </c>
      <c r="AS15" s="796">
        <v>0</v>
      </c>
      <c r="AT15" s="796">
        <v>0</v>
      </c>
      <c r="AU15" s="211">
        <v>5</v>
      </c>
      <c r="AV15" s="796">
        <v>37.501999999999995</v>
      </c>
      <c r="AW15" s="796">
        <v>17.508000000000003</v>
      </c>
      <c r="AX15" s="211">
        <v>0</v>
      </c>
      <c r="AY15" s="211">
        <v>0</v>
      </c>
      <c r="AZ15" s="211">
        <v>0</v>
      </c>
      <c r="BA15" s="211">
        <v>0</v>
      </c>
      <c r="BB15" s="211">
        <v>0</v>
      </c>
      <c r="BC15" s="211">
        <v>0</v>
      </c>
      <c r="BD15" s="211">
        <v>0</v>
      </c>
      <c r="BE15" s="211">
        <v>0</v>
      </c>
    </row>
    <row r="16" spans="1:156" x14ac:dyDescent="0.25">
      <c r="B16" s="45">
        <f t="shared" si="4"/>
        <v>15</v>
      </c>
      <c r="C16" s="966">
        <v>2.4</v>
      </c>
      <c r="D16" s="1218"/>
      <c r="E16" s="969">
        <f t="shared" si="0"/>
        <v>512.32000000000005</v>
      </c>
      <c r="F16" s="210">
        <v>0</v>
      </c>
      <c r="G16" s="210">
        <v>0</v>
      </c>
      <c r="H16" s="976">
        <v>0</v>
      </c>
      <c r="I16" s="210">
        <v>0</v>
      </c>
      <c r="J16" s="277">
        <f t="shared" si="1"/>
        <v>376.36</v>
      </c>
      <c r="K16" s="216">
        <f t="shared" si="2"/>
        <v>274.85000000000002</v>
      </c>
      <c r="L16" s="47">
        <f t="shared" si="3"/>
        <v>0.73028483366989061</v>
      </c>
      <c r="M16" s="212">
        <v>99.74</v>
      </c>
      <c r="N16" s="212">
        <v>0</v>
      </c>
      <c r="O16" s="212">
        <v>0</v>
      </c>
      <c r="P16" s="212">
        <v>1.77</v>
      </c>
      <c r="Q16" s="212">
        <v>135.96</v>
      </c>
      <c r="R16" s="212">
        <v>0</v>
      </c>
      <c r="S16" s="216">
        <f t="shared" si="5"/>
        <v>5</v>
      </c>
      <c r="T16" s="609" t="s">
        <v>44</v>
      </c>
      <c r="U16" s="46"/>
      <c r="V16" s="43"/>
      <c r="Y16" s="48"/>
      <c r="Z16" s="49"/>
      <c r="AA16" s="43"/>
      <c r="AD16" s="46"/>
      <c r="AE16" s="45">
        <f t="shared" si="6"/>
        <v>15</v>
      </c>
      <c r="AF16" s="211">
        <v>0</v>
      </c>
      <c r="AG16" s="796">
        <v>0</v>
      </c>
      <c r="AH16" s="796">
        <v>0</v>
      </c>
      <c r="AI16" s="211">
        <v>0</v>
      </c>
      <c r="AJ16" s="796">
        <v>0</v>
      </c>
      <c r="AK16" s="796">
        <v>0</v>
      </c>
      <c r="AL16" s="211">
        <v>0</v>
      </c>
      <c r="AM16" s="211">
        <v>0</v>
      </c>
      <c r="AN16" s="211">
        <v>0</v>
      </c>
      <c r="AO16" s="211">
        <v>0</v>
      </c>
      <c r="AP16" s="211">
        <v>0</v>
      </c>
      <c r="AQ16" s="796">
        <v>0</v>
      </c>
      <c r="AR16" s="211">
        <v>0</v>
      </c>
      <c r="AS16" s="796">
        <v>0</v>
      </c>
      <c r="AT16" s="796">
        <v>0</v>
      </c>
      <c r="AU16" s="211">
        <v>5</v>
      </c>
      <c r="AV16" s="796">
        <v>37.501999999999995</v>
      </c>
      <c r="AW16" s="796">
        <v>17.468</v>
      </c>
      <c r="AX16" s="211">
        <v>0</v>
      </c>
      <c r="AY16" s="211">
        <v>0</v>
      </c>
      <c r="AZ16" s="211">
        <v>0</v>
      </c>
      <c r="BA16" s="211">
        <v>0</v>
      </c>
      <c r="BB16" s="211">
        <v>0</v>
      </c>
      <c r="BC16" s="211">
        <v>0</v>
      </c>
      <c r="BD16" s="211">
        <v>0</v>
      </c>
      <c r="BE16" s="211">
        <v>0</v>
      </c>
    </row>
    <row r="17" spans="2:57" x14ac:dyDescent="0.25">
      <c r="B17" s="45">
        <f t="shared" si="4"/>
        <v>14</v>
      </c>
      <c r="C17" s="966">
        <v>2.4</v>
      </c>
      <c r="D17" s="1218"/>
      <c r="E17" s="969">
        <f t="shared" si="0"/>
        <v>506.27</v>
      </c>
      <c r="F17" s="210">
        <v>0</v>
      </c>
      <c r="G17" s="210">
        <v>0</v>
      </c>
      <c r="H17" s="976">
        <v>0</v>
      </c>
      <c r="I17" s="210">
        <v>0</v>
      </c>
      <c r="J17" s="277">
        <f t="shared" si="1"/>
        <v>506.27</v>
      </c>
      <c r="K17" s="216">
        <f t="shared" si="2"/>
        <v>401.14</v>
      </c>
      <c r="L17" s="47">
        <f t="shared" si="3"/>
        <v>0.79234400616271949</v>
      </c>
      <c r="M17" s="212">
        <v>105.13</v>
      </c>
      <c r="N17" s="212">
        <v>0</v>
      </c>
      <c r="O17" s="212">
        <v>0</v>
      </c>
      <c r="P17" s="212">
        <v>0</v>
      </c>
      <c r="Q17" s="212">
        <v>0</v>
      </c>
      <c r="R17" s="212">
        <v>0</v>
      </c>
      <c r="S17" s="216">
        <f t="shared" si="5"/>
        <v>9</v>
      </c>
      <c r="T17" s="609" t="s">
        <v>44</v>
      </c>
      <c r="U17" s="46"/>
      <c r="V17" s="43"/>
      <c r="Y17" s="48"/>
      <c r="Z17" s="49"/>
      <c r="AA17" s="43"/>
      <c r="AD17" s="46"/>
      <c r="AE17" s="45">
        <f t="shared" si="6"/>
        <v>14</v>
      </c>
      <c r="AF17" s="211">
        <v>0</v>
      </c>
      <c r="AG17" s="796">
        <v>0</v>
      </c>
      <c r="AH17" s="796">
        <v>0</v>
      </c>
      <c r="AI17" s="211">
        <v>0</v>
      </c>
      <c r="AJ17" s="796">
        <v>0</v>
      </c>
      <c r="AK17" s="796">
        <v>0</v>
      </c>
      <c r="AL17" s="211">
        <v>0</v>
      </c>
      <c r="AM17" s="211">
        <v>0</v>
      </c>
      <c r="AN17" s="211">
        <v>0</v>
      </c>
      <c r="AO17" s="211">
        <v>0</v>
      </c>
      <c r="AP17" s="211">
        <v>0</v>
      </c>
      <c r="AQ17" s="796">
        <v>0</v>
      </c>
      <c r="AR17" s="211">
        <v>3</v>
      </c>
      <c r="AS17" s="796">
        <v>31.52333333333333</v>
      </c>
      <c r="AT17" s="796">
        <v>1.0033333333333334</v>
      </c>
      <c r="AU17" s="211">
        <v>4</v>
      </c>
      <c r="AV17" s="796">
        <v>37.36</v>
      </c>
      <c r="AW17" s="796">
        <v>4.76</v>
      </c>
      <c r="AX17" s="211">
        <v>2</v>
      </c>
      <c r="AY17" s="211">
        <v>61.195000000000007</v>
      </c>
      <c r="AZ17" s="211">
        <v>6.3450000000000006</v>
      </c>
      <c r="BA17" s="211">
        <v>0</v>
      </c>
      <c r="BB17" s="211">
        <v>0</v>
      </c>
      <c r="BC17" s="211">
        <v>0</v>
      </c>
      <c r="BD17" s="211">
        <v>0</v>
      </c>
      <c r="BE17" s="211">
        <v>0</v>
      </c>
    </row>
    <row r="18" spans="2:57" x14ac:dyDescent="0.25">
      <c r="B18" s="45">
        <f t="shared" si="4"/>
        <v>13</v>
      </c>
      <c r="C18" s="966">
        <v>2.4</v>
      </c>
      <c r="D18" s="1218"/>
      <c r="E18" s="969">
        <f t="shared" si="0"/>
        <v>522.67000000000007</v>
      </c>
      <c r="F18" s="210">
        <v>0</v>
      </c>
      <c r="G18" s="210">
        <v>0</v>
      </c>
      <c r="H18" s="976">
        <v>0</v>
      </c>
      <c r="I18" s="210">
        <v>0</v>
      </c>
      <c r="J18" s="277">
        <f t="shared" si="1"/>
        <v>522.67000000000007</v>
      </c>
      <c r="K18" s="216">
        <f t="shared" si="2"/>
        <v>417.54000000000008</v>
      </c>
      <c r="L18" s="47">
        <f t="shared" si="3"/>
        <v>0.79885970114986515</v>
      </c>
      <c r="M18" s="212">
        <v>105.13</v>
      </c>
      <c r="N18" s="212">
        <v>0</v>
      </c>
      <c r="O18" s="212">
        <v>0</v>
      </c>
      <c r="P18" s="212">
        <v>0</v>
      </c>
      <c r="Q18" s="212">
        <v>0</v>
      </c>
      <c r="R18" s="212">
        <v>0</v>
      </c>
      <c r="S18" s="216">
        <f t="shared" si="5"/>
        <v>9</v>
      </c>
      <c r="T18" s="609" t="s">
        <v>44</v>
      </c>
      <c r="U18" s="46"/>
      <c r="V18" s="43"/>
      <c r="Y18" s="48"/>
      <c r="Z18" s="49"/>
      <c r="AA18" s="43"/>
      <c r="AD18" s="46"/>
      <c r="AE18" s="45">
        <f t="shared" si="6"/>
        <v>13</v>
      </c>
      <c r="AF18" s="211">
        <v>0</v>
      </c>
      <c r="AG18" s="796">
        <v>0</v>
      </c>
      <c r="AH18" s="796">
        <v>0</v>
      </c>
      <c r="AI18" s="211">
        <v>0</v>
      </c>
      <c r="AJ18" s="796">
        <v>0</v>
      </c>
      <c r="AK18" s="796">
        <v>0</v>
      </c>
      <c r="AL18" s="211">
        <v>0</v>
      </c>
      <c r="AM18" s="211">
        <v>0</v>
      </c>
      <c r="AN18" s="211">
        <v>0</v>
      </c>
      <c r="AO18" s="211">
        <v>0</v>
      </c>
      <c r="AP18" s="211">
        <v>0</v>
      </c>
      <c r="AQ18" s="796">
        <v>0</v>
      </c>
      <c r="AR18" s="211">
        <v>3</v>
      </c>
      <c r="AS18" s="796">
        <v>31.52333333333333</v>
      </c>
      <c r="AT18" s="796">
        <v>5.0166666666666666</v>
      </c>
      <c r="AU18" s="211">
        <v>4</v>
      </c>
      <c r="AV18" s="796">
        <v>37.36</v>
      </c>
      <c r="AW18" s="796">
        <v>5.85</v>
      </c>
      <c r="AX18" s="211">
        <v>2</v>
      </c>
      <c r="AY18" s="211">
        <v>61.195000000000007</v>
      </c>
      <c r="AZ18" s="211">
        <v>6.3450000000000006</v>
      </c>
      <c r="BA18" s="211">
        <v>0</v>
      </c>
      <c r="BB18" s="211">
        <v>0</v>
      </c>
      <c r="BC18" s="211">
        <v>0</v>
      </c>
      <c r="BD18" s="211">
        <v>0</v>
      </c>
      <c r="BE18" s="211">
        <v>0</v>
      </c>
    </row>
    <row r="19" spans="2:57" x14ac:dyDescent="0.25">
      <c r="B19" s="45">
        <f t="shared" si="4"/>
        <v>12</v>
      </c>
      <c r="C19" s="966">
        <v>2.4</v>
      </c>
      <c r="D19" s="1218"/>
      <c r="E19" s="969">
        <f t="shared" si="0"/>
        <v>522.67000000000007</v>
      </c>
      <c r="F19" s="210">
        <v>0</v>
      </c>
      <c r="G19" s="210">
        <v>0</v>
      </c>
      <c r="H19" s="976">
        <v>0</v>
      </c>
      <c r="I19" s="210">
        <v>0</v>
      </c>
      <c r="J19" s="277">
        <f t="shared" si="1"/>
        <v>522.67000000000007</v>
      </c>
      <c r="K19" s="216">
        <f t="shared" si="2"/>
        <v>417.54000000000008</v>
      </c>
      <c r="L19" s="47">
        <f t="shared" si="3"/>
        <v>0.79885970114986515</v>
      </c>
      <c r="M19" s="212">
        <v>105.13</v>
      </c>
      <c r="N19" s="212">
        <v>0</v>
      </c>
      <c r="O19" s="212">
        <v>0</v>
      </c>
      <c r="P19" s="212">
        <v>0</v>
      </c>
      <c r="Q19" s="212">
        <v>0</v>
      </c>
      <c r="R19" s="212">
        <v>0</v>
      </c>
      <c r="S19" s="216">
        <f t="shared" si="5"/>
        <v>9</v>
      </c>
      <c r="T19" s="609" t="s">
        <v>44</v>
      </c>
      <c r="U19" s="46"/>
      <c r="V19" s="43"/>
      <c r="Y19" s="48"/>
      <c r="Z19" s="49"/>
      <c r="AA19" s="43"/>
      <c r="AD19" s="46"/>
      <c r="AE19" s="45">
        <f t="shared" si="6"/>
        <v>12</v>
      </c>
      <c r="AF19" s="211">
        <v>0</v>
      </c>
      <c r="AG19" s="796">
        <v>0</v>
      </c>
      <c r="AH19" s="796">
        <v>0</v>
      </c>
      <c r="AI19" s="211">
        <v>0</v>
      </c>
      <c r="AJ19" s="796">
        <v>0</v>
      </c>
      <c r="AK19" s="796">
        <v>0</v>
      </c>
      <c r="AL19" s="211">
        <v>0</v>
      </c>
      <c r="AM19" s="211">
        <v>0</v>
      </c>
      <c r="AN19" s="211">
        <v>0</v>
      </c>
      <c r="AO19" s="211">
        <v>0</v>
      </c>
      <c r="AP19" s="211">
        <v>0</v>
      </c>
      <c r="AQ19" s="796">
        <v>0</v>
      </c>
      <c r="AR19" s="211">
        <v>3</v>
      </c>
      <c r="AS19" s="796">
        <v>31.52333333333333</v>
      </c>
      <c r="AT19" s="796">
        <v>5.0166666666666666</v>
      </c>
      <c r="AU19" s="211">
        <v>4</v>
      </c>
      <c r="AV19" s="796">
        <v>37.36</v>
      </c>
      <c r="AW19" s="796">
        <v>5.85</v>
      </c>
      <c r="AX19" s="211">
        <v>2</v>
      </c>
      <c r="AY19" s="211">
        <v>61.195000000000007</v>
      </c>
      <c r="AZ19" s="211">
        <v>6.3450000000000006</v>
      </c>
      <c r="BA19" s="211">
        <v>0</v>
      </c>
      <c r="BB19" s="211">
        <v>0</v>
      </c>
      <c r="BC19" s="211">
        <v>0</v>
      </c>
      <c r="BD19" s="211">
        <v>0</v>
      </c>
      <c r="BE19" s="211">
        <v>0</v>
      </c>
    </row>
    <row r="20" spans="2:57" x14ac:dyDescent="0.25">
      <c r="B20" s="45">
        <f t="shared" si="4"/>
        <v>11</v>
      </c>
      <c r="C20" s="966">
        <v>2.4</v>
      </c>
      <c r="D20" s="1218"/>
      <c r="E20" s="969">
        <f t="shared" si="0"/>
        <v>522.67000000000007</v>
      </c>
      <c r="F20" s="210">
        <v>0</v>
      </c>
      <c r="G20" s="210">
        <v>0</v>
      </c>
      <c r="H20" s="976">
        <v>0</v>
      </c>
      <c r="I20" s="210">
        <v>0</v>
      </c>
      <c r="J20" s="277">
        <f t="shared" si="1"/>
        <v>522.67000000000007</v>
      </c>
      <c r="K20" s="216">
        <f t="shared" si="2"/>
        <v>417.54000000000008</v>
      </c>
      <c r="L20" s="47">
        <f t="shared" si="3"/>
        <v>0.79885970114986515</v>
      </c>
      <c r="M20" s="212">
        <v>105.13</v>
      </c>
      <c r="N20" s="212">
        <v>0</v>
      </c>
      <c r="O20" s="212">
        <v>0</v>
      </c>
      <c r="P20" s="212">
        <v>0</v>
      </c>
      <c r="Q20" s="212">
        <v>0</v>
      </c>
      <c r="R20" s="212">
        <v>0</v>
      </c>
      <c r="S20" s="216">
        <f t="shared" si="5"/>
        <v>9</v>
      </c>
      <c r="T20" s="609" t="s">
        <v>44</v>
      </c>
      <c r="U20" s="46"/>
      <c r="V20" s="43"/>
      <c r="Y20" s="48"/>
      <c r="Z20" s="49"/>
      <c r="AA20" s="43"/>
      <c r="AD20" s="46"/>
      <c r="AE20" s="45">
        <f t="shared" si="6"/>
        <v>11</v>
      </c>
      <c r="AF20" s="211">
        <v>0</v>
      </c>
      <c r="AG20" s="796">
        <v>0</v>
      </c>
      <c r="AH20" s="796">
        <v>0</v>
      </c>
      <c r="AI20" s="211">
        <v>0</v>
      </c>
      <c r="AJ20" s="796">
        <v>0</v>
      </c>
      <c r="AK20" s="796">
        <v>0</v>
      </c>
      <c r="AL20" s="211">
        <v>0</v>
      </c>
      <c r="AM20" s="211">
        <v>0</v>
      </c>
      <c r="AN20" s="211">
        <v>0</v>
      </c>
      <c r="AO20" s="211">
        <v>0</v>
      </c>
      <c r="AP20" s="211">
        <v>0</v>
      </c>
      <c r="AQ20" s="796">
        <v>0</v>
      </c>
      <c r="AR20" s="211">
        <v>3</v>
      </c>
      <c r="AS20" s="796">
        <v>31.52333333333333</v>
      </c>
      <c r="AT20" s="796">
        <v>5.0166666666666666</v>
      </c>
      <c r="AU20" s="211">
        <v>4</v>
      </c>
      <c r="AV20" s="796">
        <v>37.36</v>
      </c>
      <c r="AW20" s="796">
        <v>5.85</v>
      </c>
      <c r="AX20" s="211">
        <v>2</v>
      </c>
      <c r="AY20" s="211">
        <v>61.195000000000007</v>
      </c>
      <c r="AZ20" s="211">
        <v>6.3450000000000006</v>
      </c>
      <c r="BA20" s="211">
        <v>0</v>
      </c>
      <c r="BB20" s="211">
        <v>0</v>
      </c>
      <c r="BC20" s="211">
        <v>0</v>
      </c>
      <c r="BD20" s="211">
        <v>0</v>
      </c>
      <c r="BE20" s="211">
        <v>0</v>
      </c>
    </row>
    <row r="21" spans="2:57" x14ac:dyDescent="0.25">
      <c r="B21" s="45">
        <f t="shared" si="4"/>
        <v>10</v>
      </c>
      <c r="C21" s="966">
        <v>2.4</v>
      </c>
      <c r="D21" s="1218"/>
      <c r="E21" s="969">
        <f t="shared" si="0"/>
        <v>522.67000000000007</v>
      </c>
      <c r="F21" s="210">
        <v>0</v>
      </c>
      <c r="G21" s="210">
        <v>0</v>
      </c>
      <c r="H21" s="976">
        <v>0</v>
      </c>
      <c r="I21" s="210">
        <v>0</v>
      </c>
      <c r="J21" s="277">
        <f t="shared" si="1"/>
        <v>522.67000000000007</v>
      </c>
      <c r="K21" s="216">
        <f t="shared" si="2"/>
        <v>417.54000000000008</v>
      </c>
      <c r="L21" s="47">
        <f t="shared" si="3"/>
        <v>0.79885970114986515</v>
      </c>
      <c r="M21" s="212">
        <v>105.13</v>
      </c>
      <c r="N21" s="212">
        <v>0</v>
      </c>
      <c r="O21" s="212">
        <v>0</v>
      </c>
      <c r="P21" s="212">
        <v>0</v>
      </c>
      <c r="Q21" s="212">
        <v>0</v>
      </c>
      <c r="R21" s="212">
        <v>0</v>
      </c>
      <c r="S21" s="216">
        <f t="shared" si="5"/>
        <v>9</v>
      </c>
      <c r="T21" s="609" t="s">
        <v>44</v>
      </c>
      <c r="U21" s="46"/>
      <c r="V21" s="43"/>
      <c r="Y21" s="48"/>
      <c r="Z21" s="49"/>
      <c r="AA21" s="43"/>
      <c r="AD21" s="46"/>
      <c r="AE21" s="45">
        <f t="shared" si="6"/>
        <v>10</v>
      </c>
      <c r="AF21" s="211">
        <v>0</v>
      </c>
      <c r="AG21" s="796">
        <v>0</v>
      </c>
      <c r="AH21" s="796">
        <v>0</v>
      </c>
      <c r="AI21" s="211">
        <v>0</v>
      </c>
      <c r="AJ21" s="796">
        <v>0</v>
      </c>
      <c r="AK21" s="796">
        <v>0</v>
      </c>
      <c r="AL21" s="211">
        <v>0</v>
      </c>
      <c r="AM21" s="211">
        <v>0</v>
      </c>
      <c r="AN21" s="211">
        <v>0</v>
      </c>
      <c r="AO21" s="211">
        <v>0</v>
      </c>
      <c r="AP21" s="211">
        <v>0</v>
      </c>
      <c r="AQ21" s="796">
        <v>0</v>
      </c>
      <c r="AR21" s="211">
        <v>3</v>
      </c>
      <c r="AS21" s="796">
        <v>31.52333333333333</v>
      </c>
      <c r="AT21" s="796">
        <v>5.0166666666666666</v>
      </c>
      <c r="AU21" s="211">
        <v>4</v>
      </c>
      <c r="AV21" s="796">
        <v>37.36</v>
      </c>
      <c r="AW21" s="796">
        <v>5.85</v>
      </c>
      <c r="AX21" s="211">
        <v>2</v>
      </c>
      <c r="AY21" s="211">
        <v>61.195000000000007</v>
      </c>
      <c r="AZ21" s="211">
        <v>6.3450000000000006</v>
      </c>
      <c r="BA21" s="211">
        <v>0</v>
      </c>
      <c r="BB21" s="211">
        <v>0</v>
      </c>
      <c r="BC21" s="211">
        <v>0</v>
      </c>
      <c r="BD21" s="211">
        <v>0</v>
      </c>
      <c r="BE21" s="211">
        <v>0</v>
      </c>
    </row>
    <row r="22" spans="2:57" x14ac:dyDescent="0.25">
      <c r="B22" s="45">
        <f t="shared" ref="B22:B25" si="7">+B23+1</f>
        <v>9</v>
      </c>
      <c r="C22" s="966">
        <v>2.4</v>
      </c>
      <c r="D22" s="1218"/>
      <c r="E22" s="969">
        <f t="shared" si="0"/>
        <v>522.67000000000007</v>
      </c>
      <c r="F22" s="210">
        <v>0</v>
      </c>
      <c r="G22" s="210">
        <v>0</v>
      </c>
      <c r="H22" s="976">
        <v>0</v>
      </c>
      <c r="I22" s="210">
        <v>0</v>
      </c>
      <c r="J22" s="277">
        <f t="shared" si="1"/>
        <v>522.67000000000007</v>
      </c>
      <c r="K22" s="216">
        <f t="shared" ref="K22" si="8">+AF22*SUM(AG22,AH22)+AI22*SUM(AJ22,AK22)+AL22*SUM(AM22,AN22)+AO22*SUM(AP22,AQ22)+AR22*SUM(AS22,AT22)+AU22*SUM(AV22,AW22)+AX22*SUM(AY22,AZ22)+BA22*SUM(BB22,BC22)+BD22+BE22</f>
        <v>417.54000000000008</v>
      </c>
      <c r="L22" s="47">
        <f t="shared" ref="L22" si="9">+IFERROR(K22/J22,0)</f>
        <v>0.79885970114986515</v>
      </c>
      <c r="M22" s="212">
        <v>105.13</v>
      </c>
      <c r="N22" s="212">
        <v>0</v>
      </c>
      <c r="O22" s="212">
        <v>0</v>
      </c>
      <c r="P22" s="212">
        <v>0</v>
      </c>
      <c r="Q22" s="212">
        <v>0</v>
      </c>
      <c r="R22" s="212">
        <v>0</v>
      </c>
      <c r="S22" s="216">
        <f t="shared" ref="S22" si="10">+SUM(AF22,AI22,AL22,AO22,AR22,AU22,AX22,BA22)</f>
        <v>9</v>
      </c>
      <c r="T22" s="609" t="s">
        <v>44</v>
      </c>
      <c r="U22" s="46"/>
      <c r="V22" s="43"/>
      <c r="Y22" s="48"/>
      <c r="Z22" s="49"/>
      <c r="AA22" s="43"/>
      <c r="AD22" s="46"/>
      <c r="AE22" s="45">
        <f t="shared" ref="AE22:AE28" si="11">+AE23+1</f>
        <v>9</v>
      </c>
      <c r="AF22" s="211">
        <v>0</v>
      </c>
      <c r="AG22" s="796">
        <v>0</v>
      </c>
      <c r="AH22" s="796">
        <v>0</v>
      </c>
      <c r="AI22" s="211">
        <v>0</v>
      </c>
      <c r="AJ22" s="796">
        <v>0</v>
      </c>
      <c r="AK22" s="796">
        <v>0</v>
      </c>
      <c r="AL22" s="211">
        <v>0</v>
      </c>
      <c r="AM22" s="211">
        <v>0</v>
      </c>
      <c r="AN22" s="211">
        <v>0</v>
      </c>
      <c r="AO22" s="211">
        <v>0</v>
      </c>
      <c r="AP22" s="211">
        <v>0</v>
      </c>
      <c r="AQ22" s="796">
        <v>0</v>
      </c>
      <c r="AR22" s="211">
        <v>3</v>
      </c>
      <c r="AS22" s="796">
        <v>31.52333333333333</v>
      </c>
      <c r="AT22" s="796">
        <v>5.0166666666666666</v>
      </c>
      <c r="AU22" s="211">
        <v>4</v>
      </c>
      <c r="AV22" s="796">
        <v>37.36</v>
      </c>
      <c r="AW22" s="796">
        <v>5.85</v>
      </c>
      <c r="AX22" s="211">
        <v>2</v>
      </c>
      <c r="AY22" s="211">
        <v>61.195000000000007</v>
      </c>
      <c r="AZ22" s="211">
        <v>6.3450000000000006</v>
      </c>
      <c r="BA22" s="211">
        <v>0</v>
      </c>
      <c r="BB22" s="211">
        <v>0</v>
      </c>
      <c r="BC22" s="211">
        <v>0</v>
      </c>
      <c r="BD22" s="211">
        <v>0</v>
      </c>
      <c r="BE22" s="211">
        <v>0</v>
      </c>
    </row>
    <row r="23" spans="2:57" x14ac:dyDescent="0.25">
      <c r="B23" s="45">
        <f t="shared" si="7"/>
        <v>8</v>
      </c>
      <c r="C23" s="966">
        <v>2.4</v>
      </c>
      <c r="D23" s="1218"/>
      <c r="E23" s="969">
        <f t="shared" si="0"/>
        <v>555.7600000000001</v>
      </c>
      <c r="F23" s="210">
        <v>0</v>
      </c>
      <c r="G23" s="210">
        <v>0</v>
      </c>
      <c r="H23" s="976">
        <v>0</v>
      </c>
      <c r="I23" s="210">
        <v>0</v>
      </c>
      <c r="J23" s="277">
        <f t="shared" si="1"/>
        <v>555.7600000000001</v>
      </c>
      <c r="K23" s="216">
        <f t="shared" ref="K23" si="12">+AF23*SUM(AG23,AH23)+AI23*SUM(AJ23,AK23)+AL23*SUM(AM23,AN23)+AO23*SUM(AP23,AQ23)+AR23*SUM(AS23,AT23)+AU23*SUM(AV23,AW23)+AX23*SUM(AY23,AZ23)+BA23*SUM(BB23,BC23)+BD23+BE23</f>
        <v>447.91000000000008</v>
      </c>
      <c r="L23" s="47">
        <f t="shared" si="3"/>
        <v>0.80594141355980997</v>
      </c>
      <c r="M23" s="212">
        <v>107.85</v>
      </c>
      <c r="N23" s="212">
        <v>0</v>
      </c>
      <c r="O23" s="212">
        <v>0</v>
      </c>
      <c r="P23" s="212">
        <v>0</v>
      </c>
      <c r="Q23" s="212">
        <v>0</v>
      </c>
      <c r="R23" s="212">
        <v>0</v>
      </c>
      <c r="S23" s="216">
        <f t="shared" ref="S23" si="13">+SUM(AF23,AI23,AL23,AO23,AR23,AU23,AX23,BA23)</f>
        <v>10</v>
      </c>
      <c r="T23" s="609" t="s">
        <v>44</v>
      </c>
      <c r="U23" s="46"/>
      <c r="V23" s="43"/>
      <c r="Y23" s="48"/>
      <c r="Z23" s="49"/>
      <c r="AA23" s="43"/>
      <c r="AD23" s="46"/>
      <c r="AE23" s="45">
        <f t="shared" si="11"/>
        <v>8</v>
      </c>
      <c r="AF23" s="211">
        <v>0</v>
      </c>
      <c r="AG23" s="796">
        <v>0</v>
      </c>
      <c r="AH23" s="796">
        <v>0</v>
      </c>
      <c r="AI23" s="211">
        <v>0</v>
      </c>
      <c r="AJ23" s="796">
        <v>0</v>
      </c>
      <c r="AK23" s="796">
        <v>0</v>
      </c>
      <c r="AL23" s="211">
        <v>0</v>
      </c>
      <c r="AM23" s="211">
        <v>0</v>
      </c>
      <c r="AN23" s="211">
        <v>0</v>
      </c>
      <c r="AO23" s="211">
        <v>0</v>
      </c>
      <c r="AP23" s="211">
        <v>0</v>
      </c>
      <c r="AQ23" s="796">
        <v>0</v>
      </c>
      <c r="AR23" s="211">
        <v>4</v>
      </c>
      <c r="AS23" s="796">
        <v>31.234999999999999</v>
      </c>
      <c r="AT23" s="796">
        <v>3.7625000000000002</v>
      </c>
      <c r="AU23" s="211">
        <v>4</v>
      </c>
      <c r="AV23" s="796">
        <v>37.36</v>
      </c>
      <c r="AW23" s="796">
        <v>5.85</v>
      </c>
      <c r="AX23" s="211">
        <v>2</v>
      </c>
      <c r="AY23" s="211">
        <v>61.195000000000007</v>
      </c>
      <c r="AZ23" s="211">
        <v>6.3450000000000006</v>
      </c>
      <c r="BA23" s="211">
        <v>0</v>
      </c>
      <c r="BB23" s="211">
        <v>0</v>
      </c>
      <c r="BC23" s="211">
        <v>0</v>
      </c>
      <c r="BD23" s="211">
        <v>0</v>
      </c>
      <c r="BE23" s="211">
        <v>0</v>
      </c>
    </row>
    <row r="24" spans="2:57" x14ac:dyDescent="0.25">
      <c r="B24" s="45">
        <f t="shared" si="7"/>
        <v>7</v>
      </c>
      <c r="C24" s="966">
        <v>2.4</v>
      </c>
      <c r="D24" s="1218"/>
      <c r="E24" s="969">
        <f t="shared" si="0"/>
        <v>555.7600000000001</v>
      </c>
      <c r="F24" s="210">
        <v>0</v>
      </c>
      <c r="G24" s="210">
        <v>0</v>
      </c>
      <c r="H24" s="976">
        <v>0</v>
      </c>
      <c r="I24" s="210">
        <v>0</v>
      </c>
      <c r="J24" s="277">
        <f t="shared" si="1"/>
        <v>555.7600000000001</v>
      </c>
      <c r="K24" s="216">
        <f>+AF24*SUM(AG24,AH24)+AI24*SUM(AJ24,AK24)+AL24*SUM(AM24,AN24)+AO24*SUM(AP24,AQ24)+AR24*SUM(AS24,AT24)+AU24*SUM(AV24,AW24)+AX24*SUM(AY24,AZ24)+BA24*SUM(BB24,BC24)+BD24+BE24</f>
        <v>447.91000000000008</v>
      </c>
      <c r="L24" s="47">
        <f t="shared" ref="L24:L25" si="14">+IFERROR(K24/J24,0)</f>
        <v>0.80594141355980997</v>
      </c>
      <c r="M24" s="212">
        <v>107.85</v>
      </c>
      <c r="N24" s="212">
        <v>0</v>
      </c>
      <c r="O24" s="212">
        <v>0</v>
      </c>
      <c r="P24" s="212">
        <v>0</v>
      </c>
      <c r="Q24" s="212">
        <v>0</v>
      </c>
      <c r="R24" s="212">
        <v>0</v>
      </c>
      <c r="S24" s="216">
        <f t="shared" ref="S24:S25" si="15">+SUM(AF24,AI24,AL24,AO24,AR24,AU24,AX24,BA24)</f>
        <v>10</v>
      </c>
      <c r="T24" s="609" t="s">
        <v>44</v>
      </c>
      <c r="U24" s="46"/>
      <c r="V24" s="43"/>
      <c r="Y24" s="48"/>
      <c r="Z24" s="49"/>
      <c r="AA24" s="43"/>
      <c r="AD24" s="46"/>
      <c r="AE24" s="45">
        <f t="shared" si="11"/>
        <v>7</v>
      </c>
      <c r="AF24" s="211">
        <v>0</v>
      </c>
      <c r="AG24" s="796">
        <v>0</v>
      </c>
      <c r="AH24" s="796">
        <v>0</v>
      </c>
      <c r="AI24" s="211">
        <v>0</v>
      </c>
      <c r="AJ24" s="796">
        <v>0</v>
      </c>
      <c r="AK24" s="796">
        <v>0</v>
      </c>
      <c r="AL24" s="211">
        <v>0</v>
      </c>
      <c r="AM24" s="211">
        <v>0</v>
      </c>
      <c r="AN24" s="211">
        <v>0</v>
      </c>
      <c r="AO24" s="211">
        <v>0</v>
      </c>
      <c r="AP24" s="211">
        <v>0</v>
      </c>
      <c r="AQ24" s="796">
        <v>0</v>
      </c>
      <c r="AR24" s="211">
        <v>4</v>
      </c>
      <c r="AS24" s="796">
        <v>31.234999999999999</v>
      </c>
      <c r="AT24" s="796">
        <v>3.7625000000000002</v>
      </c>
      <c r="AU24" s="211">
        <v>4</v>
      </c>
      <c r="AV24" s="796">
        <v>37.36</v>
      </c>
      <c r="AW24" s="796">
        <v>5.85</v>
      </c>
      <c r="AX24" s="211">
        <v>2</v>
      </c>
      <c r="AY24" s="211">
        <v>61.195000000000007</v>
      </c>
      <c r="AZ24" s="211">
        <v>6.3450000000000006</v>
      </c>
      <c r="BA24" s="211">
        <v>0</v>
      </c>
      <c r="BB24" s="211">
        <v>0</v>
      </c>
      <c r="BC24" s="211">
        <v>0</v>
      </c>
      <c r="BD24" s="211">
        <v>0</v>
      </c>
      <c r="BE24" s="211">
        <v>0</v>
      </c>
    </row>
    <row r="25" spans="2:57" x14ac:dyDescent="0.25">
      <c r="B25" s="45">
        <f t="shared" si="7"/>
        <v>6</v>
      </c>
      <c r="C25" s="966">
        <v>2.4</v>
      </c>
      <c r="D25" s="1218"/>
      <c r="E25" s="969">
        <f t="shared" si="0"/>
        <v>555.7600000000001</v>
      </c>
      <c r="F25" s="210">
        <v>0</v>
      </c>
      <c r="G25" s="210">
        <v>0</v>
      </c>
      <c r="H25" s="976">
        <v>0</v>
      </c>
      <c r="I25" s="210">
        <v>0</v>
      </c>
      <c r="J25" s="277">
        <f t="shared" si="1"/>
        <v>555.7600000000001</v>
      </c>
      <c r="K25" s="216">
        <f>+AF25*SUM(AG25,AH25)+AI25*SUM(AJ25,AK25)+AL25*SUM(AM25,AN25)+AO25*SUM(AP25,AQ25)+AR25*SUM(AS25,AT25)+AU25*SUM(AV25,AW25)+AX25*SUM(AY25,AZ25)+BA25*SUM(BB25,BC25)+BD25+BE25</f>
        <v>447.91000000000008</v>
      </c>
      <c r="L25" s="47">
        <f t="shared" si="14"/>
        <v>0.80594141355980997</v>
      </c>
      <c r="M25" s="212">
        <v>107.85</v>
      </c>
      <c r="N25" s="212">
        <v>0</v>
      </c>
      <c r="O25" s="212">
        <v>0</v>
      </c>
      <c r="P25" s="212">
        <v>0</v>
      </c>
      <c r="Q25" s="212">
        <v>0</v>
      </c>
      <c r="R25" s="212">
        <v>0</v>
      </c>
      <c r="S25" s="216">
        <f t="shared" si="15"/>
        <v>10</v>
      </c>
      <c r="T25" s="609" t="s">
        <v>44</v>
      </c>
      <c r="U25" s="46"/>
      <c r="V25" s="43"/>
      <c r="Y25" s="48"/>
      <c r="Z25" s="49"/>
      <c r="AA25" s="43"/>
      <c r="AD25" s="46"/>
      <c r="AE25" s="45">
        <f t="shared" si="11"/>
        <v>6</v>
      </c>
      <c r="AF25" s="211">
        <v>0</v>
      </c>
      <c r="AG25" s="796">
        <v>0</v>
      </c>
      <c r="AH25" s="796">
        <v>0</v>
      </c>
      <c r="AI25" s="211">
        <v>0</v>
      </c>
      <c r="AJ25" s="796">
        <v>0</v>
      </c>
      <c r="AK25" s="796">
        <v>0</v>
      </c>
      <c r="AL25" s="211">
        <v>0</v>
      </c>
      <c r="AM25" s="211">
        <v>0</v>
      </c>
      <c r="AN25" s="211">
        <v>0</v>
      </c>
      <c r="AO25" s="211">
        <v>0</v>
      </c>
      <c r="AP25" s="211">
        <v>0</v>
      </c>
      <c r="AQ25" s="796">
        <v>0</v>
      </c>
      <c r="AR25" s="211">
        <v>4</v>
      </c>
      <c r="AS25" s="796">
        <v>31.234999999999999</v>
      </c>
      <c r="AT25" s="796">
        <v>3.7625000000000002</v>
      </c>
      <c r="AU25" s="211">
        <v>4</v>
      </c>
      <c r="AV25" s="796">
        <v>37.36</v>
      </c>
      <c r="AW25" s="796">
        <v>5.85</v>
      </c>
      <c r="AX25" s="211">
        <v>2</v>
      </c>
      <c r="AY25" s="211">
        <v>61.195000000000007</v>
      </c>
      <c r="AZ25" s="211">
        <v>6.3450000000000006</v>
      </c>
      <c r="BA25" s="211">
        <v>0</v>
      </c>
      <c r="BB25" s="211">
        <v>0</v>
      </c>
      <c r="BC25" s="211">
        <v>0</v>
      </c>
      <c r="BD25" s="211">
        <v>0</v>
      </c>
      <c r="BE25" s="211">
        <v>0</v>
      </c>
    </row>
    <row r="26" spans="2:57" x14ac:dyDescent="0.25">
      <c r="B26" s="45">
        <f t="shared" ref="B26:B28" si="16">+B27+1</f>
        <v>5</v>
      </c>
      <c r="C26" s="966">
        <v>2.4</v>
      </c>
      <c r="D26" s="1218"/>
      <c r="E26" s="969">
        <f t="shared" si="0"/>
        <v>555.7600000000001</v>
      </c>
      <c r="F26" s="210">
        <v>0</v>
      </c>
      <c r="G26" s="210">
        <v>0</v>
      </c>
      <c r="H26" s="976">
        <v>0</v>
      </c>
      <c r="I26" s="210">
        <v>0</v>
      </c>
      <c r="J26" s="277">
        <f t="shared" si="1"/>
        <v>555.7600000000001</v>
      </c>
      <c r="K26" s="216">
        <f t="shared" ref="K26" si="17">+AF26*SUM(AG26,AH26)+AI26*SUM(AJ26,AK26)+AL26*SUM(AM26,AN26)+AO26*SUM(AP26,AQ26)+AR26*SUM(AS26,AT26)+AU26*SUM(AV26,AW26)+AX26*SUM(AY26,AZ26)+BA26*SUM(BB26,BC26)+BD26+BE26</f>
        <v>447.91000000000008</v>
      </c>
      <c r="L26" s="47">
        <f t="shared" ref="L26:L27" si="18">+IFERROR(K26/J26,0)</f>
        <v>0.80594141355980997</v>
      </c>
      <c r="M26" s="212">
        <v>107.85</v>
      </c>
      <c r="N26" s="212">
        <v>0</v>
      </c>
      <c r="O26" s="212">
        <v>0</v>
      </c>
      <c r="P26" s="212">
        <v>0</v>
      </c>
      <c r="Q26" s="212">
        <v>0</v>
      </c>
      <c r="R26" s="212">
        <v>0</v>
      </c>
      <c r="S26" s="216">
        <f t="shared" ref="S26:S29" si="19">+SUM(AF26,AI26,AL26,AO26,AR26,AU26,AX26,BA26)</f>
        <v>10</v>
      </c>
      <c r="T26" s="609" t="s">
        <v>44</v>
      </c>
      <c r="U26" s="46"/>
      <c r="V26" s="43"/>
      <c r="Y26" s="48"/>
      <c r="Z26" s="49"/>
      <c r="AA26" s="43"/>
      <c r="AD26" s="46"/>
      <c r="AE26" s="45">
        <f t="shared" si="11"/>
        <v>5</v>
      </c>
      <c r="AF26" s="211">
        <v>0</v>
      </c>
      <c r="AG26" s="796">
        <v>0</v>
      </c>
      <c r="AH26" s="796">
        <v>0</v>
      </c>
      <c r="AI26" s="211">
        <v>0</v>
      </c>
      <c r="AJ26" s="796">
        <v>0</v>
      </c>
      <c r="AK26" s="796">
        <v>0</v>
      </c>
      <c r="AL26" s="211">
        <v>0</v>
      </c>
      <c r="AM26" s="211">
        <v>0</v>
      </c>
      <c r="AN26" s="211">
        <v>0</v>
      </c>
      <c r="AO26" s="211">
        <v>0</v>
      </c>
      <c r="AP26" s="211">
        <v>0</v>
      </c>
      <c r="AQ26" s="796">
        <v>0</v>
      </c>
      <c r="AR26" s="211">
        <v>4</v>
      </c>
      <c r="AS26" s="796">
        <v>31.234999999999999</v>
      </c>
      <c r="AT26" s="796">
        <v>3.7625000000000002</v>
      </c>
      <c r="AU26" s="211">
        <v>4</v>
      </c>
      <c r="AV26" s="796">
        <v>37.36</v>
      </c>
      <c r="AW26" s="796">
        <v>5.85</v>
      </c>
      <c r="AX26" s="211">
        <v>2</v>
      </c>
      <c r="AY26" s="211">
        <v>61.195000000000007</v>
      </c>
      <c r="AZ26" s="211">
        <v>6.3450000000000006</v>
      </c>
      <c r="BA26" s="211">
        <v>0</v>
      </c>
      <c r="BB26" s="211">
        <v>0</v>
      </c>
      <c r="BC26" s="211">
        <v>0</v>
      </c>
      <c r="BD26" s="211">
        <v>0</v>
      </c>
      <c r="BE26" s="211">
        <v>0</v>
      </c>
    </row>
    <row r="27" spans="2:57" x14ac:dyDescent="0.25">
      <c r="B27" s="45">
        <f t="shared" si="16"/>
        <v>4</v>
      </c>
      <c r="C27" s="966">
        <v>2.4</v>
      </c>
      <c r="D27" s="1218"/>
      <c r="E27" s="969">
        <f t="shared" si="0"/>
        <v>555.7600000000001</v>
      </c>
      <c r="F27" s="210">
        <v>0</v>
      </c>
      <c r="G27" s="210">
        <v>0</v>
      </c>
      <c r="H27" s="976">
        <v>0</v>
      </c>
      <c r="I27" s="210">
        <v>0</v>
      </c>
      <c r="J27" s="277">
        <f t="shared" si="1"/>
        <v>555.7600000000001</v>
      </c>
      <c r="K27" s="216">
        <f>+AF27*SUM(AG27,AH27)+AI27*SUM(AJ27,AK27)+AL27*SUM(AM27,AN27)+AO27*SUM(AP27,AQ27)+AR27*SUM(AS27,AT27)+AU27*SUM(AV27,AW27)+AX27*SUM(AY27,AZ27)+BA27*SUM(BB27,BC27)+BD27+BE27</f>
        <v>447.91000000000008</v>
      </c>
      <c r="L27" s="47">
        <f t="shared" si="18"/>
        <v>0.80594141355980997</v>
      </c>
      <c r="M27" s="212">
        <v>107.85</v>
      </c>
      <c r="N27" s="212">
        <v>0</v>
      </c>
      <c r="O27" s="212">
        <v>0</v>
      </c>
      <c r="P27" s="212">
        <v>0</v>
      </c>
      <c r="Q27" s="212">
        <v>0</v>
      </c>
      <c r="R27" s="212">
        <v>0</v>
      </c>
      <c r="S27" s="216">
        <f t="shared" ref="S27" si="20">+SUM(AF27,AI27,AL27,AO27,AR27,AU27,AX27,BA27)</f>
        <v>10</v>
      </c>
      <c r="T27" s="609" t="s">
        <v>44</v>
      </c>
      <c r="U27" s="46"/>
      <c r="V27" s="43"/>
      <c r="Y27" s="48"/>
      <c r="Z27" s="49"/>
      <c r="AA27" s="43"/>
      <c r="AD27" s="46"/>
      <c r="AE27" s="45">
        <f t="shared" si="11"/>
        <v>4</v>
      </c>
      <c r="AF27" s="211">
        <v>0</v>
      </c>
      <c r="AG27" s="796">
        <v>0</v>
      </c>
      <c r="AH27" s="796">
        <v>0</v>
      </c>
      <c r="AI27" s="211">
        <v>0</v>
      </c>
      <c r="AJ27" s="796">
        <v>0</v>
      </c>
      <c r="AK27" s="796">
        <v>0</v>
      </c>
      <c r="AL27" s="211">
        <v>0</v>
      </c>
      <c r="AM27" s="211">
        <v>0</v>
      </c>
      <c r="AN27" s="211">
        <v>0</v>
      </c>
      <c r="AO27" s="211">
        <v>0</v>
      </c>
      <c r="AP27" s="211">
        <v>0</v>
      </c>
      <c r="AQ27" s="796">
        <v>0</v>
      </c>
      <c r="AR27" s="211">
        <v>4</v>
      </c>
      <c r="AS27" s="796">
        <v>31.234999999999999</v>
      </c>
      <c r="AT27" s="796">
        <v>3.7625000000000002</v>
      </c>
      <c r="AU27" s="211">
        <v>4</v>
      </c>
      <c r="AV27" s="796">
        <v>37.36</v>
      </c>
      <c r="AW27" s="796">
        <v>5.85</v>
      </c>
      <c r="AX27" s="211">
        <v>2</v>
      </c>
      <c r="AY27" s="211">
        <v>61.195000000000007</v>
      </c>
      <c r="AZ27" s="211">
        <v>6.3450000000000006</v>
      </c>
      <c r="BA27" s="211">
        <v>0</v>
      </c>
      <c r="BB27" s="211">
        <v>0</v>
      </c>
      <c r="BC27" s="211">
        <v>0</v>
      </c>
      <c r="BD27" s="211">
        <v>0</v>
      </c>
      <c r="BE27" s="211">
        <v>0</v>
      </c>
    </row>
    <row r="28" spans="2:57" x14ac:dyDescent="0.25">
      <c r="B28" s="45">
        <f t="shared" si="16"/>
        <v>3</v>
      </c>
      <c r="C28" s="966">
        <v>2.4</v>
      </c>
      <c r="D28" s="1218"/>
      <c r="E28" s="969">
        <f t="shared" si="0"/>
        <v>613.05000000000007</v>
      </c>
      <c r="F28" s="210">
        <v>0</v>
      </c>
      <c r="G28" s="210">
        <v>0</v>
      </c>
      <c r="H28" s="976">
        <v>0</v>
      </c>
      <c r="I28" s="210">
        <v>0</v>
      </c>
      <c r="J28" s="277">
        <f t="shared" si="1"/>
        <v>613.05000000000007</v>
      </c>
      <c r="K28" s="216">
        <f>+AF28*SUM(AG28,AH28)+AI28*SUM(AJ28,AK28)+AL28*SUM(AM28,AN28)+AO28*SUM(AP28,AQ28)+AR28*SUM(AS28,AT28)+AU28*SUM(AV28,AW28)+AX28*SUM(AY28,AZ28)+BA28*SUM(BB28,BC28)+BD28+BE28</f>
        <v>500.1400000000001</v>
      </c>
      <c r="L28" s="47">
        <f t="shared" ref="L28:L31" si="21">+IFERROR(K28/J28,0)</f>
        <v>0.81582252671070887</v>
      </c>
      <c r="M28" s="212">
        <v>112.91</v>
      </c>
      <c r="N28" s="212">
        <v>0</v>
      </c>
      <c r="O28" s="212">
        <v>0</v>
      </c>
      <c r="P28" s="212">
        <v>0</v>
      </c>
      <c r="Q28" s="212">
        <v>0</v>
      </c>
      <c r="R28" s="212">
        <v>0</v>
      </c>
      <c r="S28" s="216">
        <f t="shared" si="19"/>
        <v>11</v>
      </c>
      <c r="T28" s="609" t="s">
        <v>44</v>
      </c>
      <c r="U28" s="46"/>
      <c r="V28" s="43"/>
      <c r="Y28" s="48"/>
      <c r="Z28" s="49"/>
      <c r="AA28" s="43"/>
      <c r="AD28" s="46"/>
      <c r="AE28" s="45">
        <f t="shared" si="11"/>
        <v>3</v>
      </c>
      <c r="AF28" s="211">
        <v>0</v>
      </c>
      <c r="AG28" s="796">
        <v>0</v>
      </c>
      <c r="AH28" s="796">
        <v>0</v>
      </c>
      <c r="AI28" s="211">
        <v>0</v>
      </c>
      <c r="AJ28" s="796">
        <v>0</v>
      </c>
      <c r="AK28" s="796">
        <v>0</v>
      </c>
      <c r="AL28" s="211">
        <v>0</v>
      </c>
      <c r="AM28" s="211">
        <v>0</v>
      </c>
      <c r="AN28" s="211">
        <v>0</v>
      </c>
      <c r="AO28" s="211">
        <v>0</v>
      </c>
      <c r="AP28" s="211">
        <v>0</v>
      </c>
      <c r="AQ28" s="796">
        <v>0</v>
      </c>
      <c r="AR28" s="211">
        <v>4</v>
      </c>
      <c r="AS28" s="796">
        <v>31.012499999999999</v>
      </c>
      <c r="AT28" s="796">
        <v>3.7625000000000002</v>
      </c>
      <c r="AU28" s="211">
        <v>5</v>
      </c>
      <c r="AV28" s="796">
        <v>38.958000000000006</v>
      </c>
      <c r="AW28" s="796">
        <v>6.234</v>
      </c>
      <c r="AX28" s="211">
        <v>2</v>
      </c>
      <c r="AY28" s="211">
        <v>61.195000000000007</v>
      </c>
      <c r="AZ28" s="211">
        <v>6.3450000000000006</v>
      </c>
      <c r="BA28" s="211">
        <v>0</v>
      </c>
      <c r="BB28" s="211">
        <v>0</v>
      </c>
      <c r="BC28" s="211">
        <v>0</v>
      </c>
      <c r="BD28" s="211">
        <v>0</v>
      </c>
      <c r="BE28" s="211">
        <v>0</v>
      </c>
    </row>
    <row r="29" spans="2:57" x14ac:dyDescent="0.25">
      <c r="B29" s="45">
        <f>+B30+1</f>
        <v>2</v>
      </c>
      <c r="C29" s="966">
        <v>2.75</v>
      </c>
      <c r="D29" s="1218"/>
      <c r="E29" s="969">
        <f t="shared" si="0"/>
        <v>1113.9499999999998</v>
      </c>
      <c r="F29" s="210">
        <v>0</v>
      </c>
      <c r="G29" s="210">
        <v>0</v>
      </c>
      <c r="H29" s="976">
        <v>0</v>
      </c>
      <c r="I29" s="210">
        <v>0</v>
      </c>
      <c r="J29" s="277">
        <f t="shared" si="1"/>
        <v>837.62999999999988</v>
      </c>
      <c r="K29" s="216">
        <f>+AF29*SUM(AG29,AH29)+AI29*SUM(AJ29,AK29)+AL29*SUM(AM29,AN29)+AO29*SUM(AP29,AQ29)+AR29*SUM(AS29,AT29)+AU29*SUM(AV29,AW29)+AX29*SUM(AY29,AZ29)+BA29*SUM(BB29,BC29)+BD29+BE29</f>
        <v>651.08999999999992</v>
      </c>
      <c r="L29" s="47">
        <f t="shared" si="21"/>
        <v>0.7773002399627521</v>
      </c>
      <c r="M29" s="212">
        <v>129.47999999999999</v>
      </c>
      <c r="N29" s="212">
        <v>0</v>
      </c>
      <c r="O29" s="212">
        <v>0</v>
      </c>
      <c r="P29" s="212">
        <v>57.06</v>
      </c>
      <c r="Q29" s="212">
        <v>276.32</v>
      </c>
      <c r="R29" s="212">
        <v>0</v>
      </c>
      <c r="S29" s="216">
        <f t="shared" si="19"/>
        <v>4</v>
      </c>
      <c r="T29" s="609" t="s">
        <v>649</v>
      </c>
      <c r="U29" s="46"/>
      <c r="V29" s="43"/>
      <c r="Y29" s="48"/>
      <c r="Z29" s="49"/>
      <c r="AA29" s="43"/>
      <c r="AD29" s="46"/>
      <c r="AE29" s="45">
        <f>+AE30+1</f>
        <v>2</v>
      </c>
      <c r="AF29" s="211">
        <v>0</v>
      </c>
      <c r="AG29" s="796">
        <v>0</v>
      </c>
      <c r="AH29" s="796">
        <v>0</v>
      </c>
      <c r="AI29" s="211">
        <v>0</v>
      </c>
      <c r="AJ29" s="796">
        <v>0</v>
      </c>
      <c r="AK29" s="796">
        <v>0</v>
      </c>
      <c r="AL29" s="211">
        <v>0</v>
      </c>
      <c r="AM29" s="211">
        <v>0</v>
      </c>
      <c r="AN29" s="211">
        <v>0</v>
      </c>
      <c r="AO29" s="211">
        <v>0</v>
      </c>
      <c r="AP29" s="211">
        <v>0</v>
      </c>
      <c r="AQ29" s="796">
        <v>0</v>
      </c>
      <c r="AR29" s="211">
        <v>3</v>
      </c>
      <c r="AS29" s="796">
        <v>31.27</v>
      </c>
      <c r="AT29" s="796">
        <v>32.653333333333336</v>
      </c>
      <c r="AU29" s="211">
        <v>1</v>
      </c>
      <c r="AV29" s="796">
        <v>37.99</v>
      </c>
      <c r="AW29" s="796">
        <v>39.93</v>
      </c>
      <c r="AX29" s="211">
        <v>0</v>
      </c>
      <c r="AY29" s="211">
        <v>0</v>
      </c>
      <c r="AZ29" s="211">
        <v>0</v>
      </c>
      <c r="BA29" s="211">
        <v>0</v>
      </c>
      <c r="BB29" s="211">
        <v>0</v>
      </c>
      <c r="BC29" s="211">
        <v>0</v>
      </c>
      <c r="BD29" s="211">
        <v>0</v>
      </c>
      <c r="BE29" s="211">
        <v>381.4</v>
      </c>
    </row>
    <row r="30" spans="2:57" x14ac:dyDescent="0.25">
      <c r="B30" s="907">
        <v>1</v>
      </c>
      <c r="C30" s="967">
        <v>3.45</v>
      </c>
      <c r="D30" s="1219"/>
      <c r="E30" s="970">
        <f t="shared" si="0"/>
        <v>1230.71</v>
      </c>
      <c r="F30" s="900">
        <v>67.25</v>
      </c>
      <c r="G30" s="218">
        <v>0</v>
      </c>
      <c r="H30" s="982">
        <v>0</v>
      </c>
      <c r="I30" s="983">
        <v>0</v>
      </c>
      <c r="J30" s="278">
        <f t="shared" si="1"/>
        <v>1127.98</v>
      </c>
      <c r="K30" s="217">
        <f>+AF30*SUM(AG30,AH30)+AI30*SUM(AJ30,AK30)+AL30*SUM(AM30,AN30)+AO30*SUM(AP30,AQ30)+AR30*SUM(AS30,AT30)+AU30*SUM(AV30,AW30)+AX30*SUM(AY30,AZ30)+BA30*SUM(BB30,BC30)+BD30+BE30</f>
        <v>590.82000000000005</v>
      </c>
      <c r="L30" s="908">
        <f t="shared" si="21"/>
        <v>0.5237858827284172</v>
      </c>
      <c r="M30" s="218">
        <v>189.81</v>
      </c>
      <c r="N30" s="218">
        <v>20.329999999999998</v>
      </c>
      <c r="O30" s="218">
        <v>101.69</v>
      </c>
      <c r="P30" s="218">
        <v>225.32999999999998</v>
      </c>
      <c r="Q30" s="218">
        <v>102.73</v>
      </c>
      <c r="R30" s="218">
        <v>46.19</v>
      </c>
      <c r="S30" s="217">
        <f>+SUM(AF30,AI30,AL30,AO30,AR30,AU30,AX30,BA30)</f>
        <v>0</v>
      </c>
      <c r="T30" s="870" t="s">
        <v>13</v>
      </c>
      <c r="U30" s="46"/>
      <c r="V30" s="29"/>
      <c r="W30" s="29"/>
      <c r="X30" s="909"/>
      <c r="Y30" s="48"/>
      <c r="Z30" s="49"/>
      <c r="AA30" s="910"/>
      <c r="AB30" s="29"/>
      <c r="AC30" s="29"/>
      <c r="AD30" s="46"/>
      <c r="AE30" s="907">
        <v>1</v>
      </c>
      <c r="AF30" s="824">
        <v>0</v>
      </c>
      <c r="AG30" s="911">
        <v>0</v>
      </c>
      <c r="AH30" s="911">
        <v>0</v>
      </c>
      <c r="AI30" s="824">
        <v>0</v>
      </c>
      <c r="AJ30" s="911">
        <v>0</v>
      </c>
      <c r="AK30" s="911">
        <v>0</v>
      </c>
      <c r="AL30" s="824">
        <v>0</v>
      </c>
      <c r="AM30" s="824">
        <v>0</v>
      </c>
      <c r="AN30" s="824">
        <v>0</v>
      </c>
      <c r="AO30" s="824">
        <v>0</v>
      </c>
      <c r="AP30" s="824">
        <v>0</v>
      </c>
      <c r="AQ30" s="911">
        <v>0</v>
      </c>
      <c r="AR30" s="824">
        <v>0</v>
      </c>
      <c r="AS30" s="911">
        <v>0</v>
      </c>
      <c r="AT30" s="911">
        <v>0</v>
      </c>
      <c r="AU30" s="824">
        <v>0</v>
      </c>
      <c r="AV30" s="911">
        <v>0</v>
      </c>
      <c r="AW30" s="911">
        <v>0</v>
      </c>
      <c r="AX30" s="824">
        <v>0</v>
      </c>
      <c r="AY30" s="824">
        <v>0</v>
      </c>
      <c r="AZ30" s="824">
        <v>0</v>
      </c>
      <c r="BA30" s="824">
        <v>0</v>
      </c>
      <c r="BB30" s="824">
        <v>0</v>
      </c>
      <c r="BC30" s="824">
        <v>0</v>
      </c>
      <c r="BD30" s="824">
        <v>0</v>
      </c>
      <c r="BE30" s="824">
        <v>590.82000000000005</v>
      </c>
    </row>
    <row r="31" spans="2:57" ht="13.5" customHeight="1" x14ac:dyDescent="0.25">
      <c r="B31" s="986">
        <v>-1</v>
      </c>
      <c r="C31" s="966">
        <v>3.05</v>
      </c>
      <c r="D31" s="1217">
        <f>+SUM(C31:C34)</f>
        <v>10.849999999999998</v>
      </c>
      <c r="E31" s="987">
        <f>+SUM(F31,J31,Q31,R31,H31)</f>
        <v>1211.8499999999999</v>
      </c>
      <c r="F31" s="988">
        <v>830.58</v>
      </c>
      <c r="G31" s="212">
        <v>14</v>
      </c>
      <c r="H31" s="988">
        <v>36.85</v>
      </c>
      <c r="I31" s="210">
        <v>0</v>
      </c>
      <c r="J31" s="277">
        <f t="shared" si="1"/>
        <v>344.41999999999996</v>
      </c>
      <c r="K31" s="216">
        <f>+AF31*SUM(AG31,AH31)+AI31*SUM(AJ31,AK31)+AL31*SUM(AM31,AN31)+AO31*SUM(AP31,AQ31)+AR31*SUM(AS31,AT31)+AU31*SUM(AV31,AW31)+AX31*SUM(AY31,AZ31)+BA31*SUM(BB31,BC31)+BD31+BE31</f>
        <v>0</v>
      </c>
      <c r="L31" s="989">
        <f t="shared" si="21"/>
        <v>0</v>
      </c>
      <c r="M31" s="212">
        <v>83.21</v>
      </c>
      <c r="N31" s="212">
        <v>261.20999999999998</v>
      </c>
      <c r="O31" s="212">
        <v>0</v>
      </c>
      <c r="P31" s="212">
        <v>0</v>
      </c>
      <c r="Q31" s="212">
        <v>0</v>
      </c>
      <c r="R31" s="212">
        <v>0</v>
      </c>
      <c r="S31" s="216">
        <v>0</v>
      </c>
      <c r="T31" s="609" t="s">
        <v>61</v>
      </c>
      <c r="U31" s="46"/>
      <c r="V31" s="822"/>
      <c r="W31" s="53"/>
      <c r="X31" s="53"/>
      <c r="Y31" s="53"/>
      <c r="Z31" s="53"/>
      <c r="AA31" s="53"/>
      <c r="AB31" s="53"/>
      <c r="AC31" s="823"/>
      <c r="AD31" s="46"/>
      <c r="AE31" s="986">
        <f>-AE30</f>
        <v>-1</v>
      </c>
      <c r="AF31" s="211">
        <v>0</v>
      </c>
      <c r="AG31" s="796">
        <v>0</v>
      </c>
      <c r="AH31" s="796">
        <v>0</v>
      </c>
      <c r="AI31" s="211">
        <v>0</v>
      </c>
      <c r="AJ31" s="796">
        <v>0</v>
      </c>
      <c r="AK31" s="796">
        <v>0</v>
      </c>
      <c r="AL31" s="211">
        <v>0</v>
      </c>
      <c r="AM31" s="211">
        <v>0</v>
      </c>
      <c r="AN31" s="211">
        <v>0</v>
      </c>
      <c r="AO31" s="211">
        <v>0</v>
      </c>
      <c r="AP31" s="211">
        <v>0</v>
      </c>
      <c r="AQ31" s="796">
        <v>0</v>
      </c>
      <c r="AR31" s="211">
        <v>0</v>
      </c>
      <c r="AS31" s="211">
        <v>0</v>
      </c>
      <c r="AT31" s="211">
        <v>0</v>
      </c>
      <c r="AU31" s="211">
        <v>0</v>
      </c>
      <c r="AV31" s="211">
        <v>0</v>
      </c>
      <c r="AW31" s="211">
        <v>0</v>
      </c>
      <c r="AX31" s="211">
        <v>0</v>
      </c>
      <c r="AY31" s="211">
        <v>0</v>
      </c>
      <c r="AZ31" s="211">
        <v>0</v>
      </c>
      <c r="BA31" s="211">
        <v>0</v>
      </c>
      <c r="BB31" s="211">
        <v>0</v>
      </c>
      <c r="BC31" s="211">
        <v>0</v>
      </c>
      <c r="BD31" s="211">
        <v>0</v>
      </c>
      <c r="BE31" s="211">
        <v>0</v>
      </c>
    </row>
    <row r="32" spans="2:57" ht="13.5" customHeight="1" x14ac:dyDescent="0.25">
      <c r="B32" s="45">
        <f>+B31-1</f>
        <v>-2</v>
      </c>
      <c r="C32" s="966">
        <v>2.5499999999999998</v>
      </c>
      <c r="D32" s="1218"/>
      <c r="E32" s="987">
        <f>+SUM(F32,J32,Q32,R32,H32)</f>
        <v>1211.8499999999999</v>
      </c>
      <c r="F32" s="988">
        <v>1077.5299999999997</v>
      </c>
      <c r="G32" s="212">
        <v>29</v>
      </c>
      <c r="H32" s="988">
        <v>94.889999999999986</v>
      </c>
      <c r="I32" s="210">
        <v>0</v>
      </c>
      <c r="J32" s="277">
        <f t="shared" si="1"/>
        <v>39.43</v>
      </c>
      <c r="K32" s="216">
        <f t="shared" ref="K32:K34" si="22">+AF32*SUM(AG32,AH32)+AI32*SUM(AJ32,AK32)+AL32*SUM(AM32,AN32)+AO32*SUM(AP32,AQ32)+AR32*SUM(AS32,AT32)+AU32*SUM(AV32,AW32)+AX32*SUM(AY32,AZ32)+BA32*SUM(BB32,BC32)+BD32+BE32</f>
        <v>0</v>
      </c>
      <c r="L32" s="989">
        <f t="shared" ref="L32:L34" si="23">+IFERROR(K32/J32,0)</f>
        <v>0</v>
      </c>
      <c r="M32" s="212">
        <v>39.43</v>
      </c>
      <c r="N32" s="212">
        <v>0</v>
      </c>
      <c r="O32" s="212">
        <v>0</v>
      </c>
      <c r="P32" s="212">
        <v>0</v>
      </c>
      <c r="Q32" s="212">
        <v>0</v>
      </c>
      <c r="R32" s="212">
        <v>0</v>
      </c>
      <c r="S32" s="216">
        <v>0</v>
      </c>
      <c r="T32" s="609" t="s">
        <v>61</v>
      </c>
      <c r="U32" s="46"/>
      <c r="V32" s="822"/>
      <c r="W32" s="53"/>
      <c r="X32" s="53"/>
      <c r="Y32" s="53"/>
      <c r="Z32" s="53"/>
      <c r="AA32" s="53"/>
      <c r="AB32" s="53"/>
      <c r="AC32" s="823"/>
      <c r="AD32" s="46"/>
      <c r="AE32" s="45">
        <f>+AE31-1</f>
        <v>-2</v>
      </c>
      <c r="AF32" s="211">
        <v>0</v>
      </c>
      <c r="AG32" s="796">
        <v>0</v>
      </c>
      <c r="AH32" s="796">
        <v>0</v>
      </c>
      <c r="AI32" s="211">
        <v>0</v>
      </c>
      <c r="AJ32" s="796">
        <v>0</v>
      </c>
      <c r="AK32" s="796">
        <v>0</v>
      </c>
      <c r="AL32" s="211">
        <v>0</v>
      </c>
      <c r="AM32" s="211">
        <v>0</v>
      </c>
      <c r="AN32" s="211">
        <v>0</v>
      </c>
      <c r="AO32" s="211">
        <v>0</v>
      </c>
      <c r="AP32" s="211">
        <v>0</v>
      </c>
      <c r="AQ32" s="796">
        <v>0</v>
      </c>
      <c r="AR32" s="211">
        <v>0</v>
      </c>
      <c r="AS32" s="211">
        <v>0</v>
      </c>
      <c r="AT32" s="211">
        <v>0</v>
      </c>
      <c r="AU32" s="211">
        <v>0</v>
      </c>
      <c r="AV32" s="211">
        <v>0</v>
      </c>
      <c r="AW32" s="211">
        <v>0</v>
      </c>
      <c r="AX32" s="211">
        <v>0</v>
      </c>
      <c r="AY32" s="211">
        <v>0</v>
      </c>
      <c r="AZ32" s="211">
        <v>0</v>
      </c>
      <c r="BA32" s="211">
        <v>0</v>
      </c>
      <c r="BB32" s="211">
        <v>0</v>
      </c>
      <c r="BC32" s="211">
        <v>0</v>
      </c>
      <c r="BD32" s="211">
        <v>0</v>
      </c>
      <c r="BE32" s="211">
        <v>0</v>
      </c>
    </row>
    <row r="33" spans="2:57" ht="13.5" customHeight="1" x14ac:dyDescent="0.25">
      <c r="B33" s="45">
        <f>+B32-1</f>
        <v>-3</v>
      </c>
      <c r="C33" s="966">
        <v>2.5499999999999998</v>
      </c>
      <c r="D33" s="1218"/>
      <c r="E33" s="987">
        <f>+SUM(F33,J33,Q33,R33,H33)</f>
        <v>1211.8499999999999</v>
      </c>
      <c r="F33" s="988">
        <v>1089.3399999999999</v>
      </c>
      <c r="G33" s="212">
        <v>30</v>
      </c>
      <c r="H33" s="988">
        <v>83.079999999999984</v>
      </c>
      <c r="I33" s="210">
        <v>0</v>
      </c>
      <c r="J33" s="277">
        <f t="shared" si="1"/>
        <v>39.43</v>
      </c>
      <c r="K33" s="216">
        <f t="shared" si="22"/>
        <v>0</v>
      </c>
      <c r="L33" s="989">
        <f t="shared" si="23"/>
        <v>0</v>
      </c>
      <c r="M33" s="212">
        <v>39.43</v>
      </c>
      <c r="N33" s="212">
        <v>0</v>
      </c>
      <c r="O33" s="212">
        <v>0</v>
      </c>
      <c r="P33" s="212">
        <v>0</v>
      </c>
      <c r="Q33" s="212">
        <v>0</v>
      </c>
      <c r="R33" s="212">
        <v>0</v>
      </c>
      <c r="S33" s="216">
        <v>0</v>
      </c>
      <c r="T33" s="609" t="s">
        <v>61</v>
      </c>
      <c r="U33" s="46"/>
      <c r="V33" s="822"/>
      <c r="W33" s="53"/>
      <c r="X33" s="53"/>
      <c r="Y33" s="53"/>
      <c r="Z33" s="53"/>
      <c r="AA33" s="53"/>
      <c r="AB33" s="53"/>
      <c r="AC33" s="823"/>
      <c r="AD33" s="46"/>
      <c r="AE33" s="45">
        <f t="shared" ref="AE33:AE34" si="24">+AE32-1</f>
        <v>-3</v>
      </c>
      <c r="AF33" s="211">
        <v>0</v>
      </c>
      <c r="AG33" s="796">
        <v>0</v>
      </c>
      <c r="AH33" s="796">
        <v>0</v>
      </c>
      <c r="AI33" s="211">
        <v>0</v>
      </c>
      <c r="AJ33" s="796">
        <v>0</v>
      </c>
      <c r="AK33" s="796">
        <v>0</v>
      </c>
      <c r="AL33" s="211">
        <v>0</v>
      </c>
      <c r="AM33" s="211">
        <v>0</v>
      </c>
      <c r="AN33" s="211">
        <v>0</v>
      </c>
      <c r="AO33" s="211">
        <v>0</v>
      </c>
      <c r="AP33" s="211">
        <v>0</v>
      </c>
      <c r="AQ33" s="796">
        <v>0</v>
      </c>
      <c r="AR33" s="211">
        <v>0</v>
      </c>
      <c r="AS33" s="211">
        <v>0</v>
      </c>
      <c r="AT33" s="211">
        <v>0</v>
      </c>
      <c r="AU33" s="211">
        <v>0</v>
      </c>
      <c r="AV33" s="211">
        <v>0</v>
      </c>
      <c r="AW33" s="211">
        <v>0</v>
      </c>
      <c r="AX33" s="211">
        <v>0</v>
      </c>
      <c r="AY33" s="211">
        <v>0</v>
      </c>
      <c r="AZ33" s="211">
        <v>0</v>
      </c>
      <c r="BA33" s="211">
        <v>0</v>
      </c>
      <c r="BB33" s="211">
        <v>0</v>
      </c>
      <c r="BC33" s="211">
        <v>0</v>
      </c>
      <c r="BD33" s="211">
        <v>0</v>
      </c>
      <c r="BE33" s="211">
        <v>0</v>
      </c>
    </row>
    <row r="34" spans="2:57" ht="13.5" customHeight="1" x14ac:dyDescent="0.25">
      <c r="B34" s="991">
        <f>+B33-1</f>
        <v>-4</v>
      </c>
      <c r="C34" s="984">
        <v>2.7</v>
      </c>
      <c r="D34" s="1219"/>
      <c r="E34" s="985">
        <f>+SUM(F34,J34,Q34,R34,H34)</f>
        <v>1170.52</v>
      </c>
      <c r="F34" s="900">
        <v>1112.7099999999998</v>
      </c>
      <c r="G34" s="218">
        <v>30</v>
      </c>
      <c r="H34" s="900">
        <v>18.38</v>
      </c>
      <c r="I34" s="821">
        <v>0</v>
      </c>
      <c r="J34" s="278">
        <f t="shared" si="1"/>
        <v>39.43</v>
      </c>
      <c r="K34" s="217">
        <f t="shared" si="22"/>
        <v>0</v>
      </c>
      <c r="L34" s="990">
        <f t="shared" si="23"/>
        <v>0</v>
      </c>
      <c r="M34" s="218">
        <v>39.43</v>
      </c>
      <c r="N34" s="218">
        <v>0</v>
      </c>
      <c r="O34" s="218">
        <v>0</v>
      </c>
      <c r="P34" s="218">
        <v>0</v>
      </c>
      <c r="Q34" s="218">
        <v>0</v>
      </c>
      <c r="R34" s="218">
        <v>0</v>
      </c>
      <c r="S34" s="217">
        <v>0</v>
      </c>
      <c r="T34" s="870" t="s">
        <v>61</v>
      </c>
      <c r="U34" s="51"/>
      <c r="V34" s="822"/>
      <c r="W34" s="53"/>
      <c r="X34" s="53"/>
      <c r="Y34" s="53"/>
      <c r="Z34" s="53"/>
      <c r="AA34" s="53"/>
      <c r="AB34" s="53"/>
      <c r="AC34" s="823"/>
      <c r="AD34" s="51"/>
      <c r="AE34" s="991">
        <f t="shared" si="24"/>
        <v>-4</v>
      </c>
      <c r="AF34" s="824">
        <v>0</v>
      </c>
      <c r="AG34" s="824">
        <v>0</v>
      </c>
      <c r="AH34" s="824">
        <v>0</v>
      </c>
      <c r="AI34" s="824">
        <v>0</v>
      </c>
      <c r="AJ34" s="824">
        <v>0</v>
      </c>
      <c r="AK34" s="824">
        <v>0</v>
      </c>
      <c r="AL34" s="824">
        <v>0</v>
      </c>
      <c r="AM34" s="824">
        <v>0</v>
      </c>
      <c r="AN34" s="824">
        <v>0</v>
      </c>
      <c r="AO34" s="824">
        <v>0</v>
      </c>
      <c r="AP34" s="824">
        <v>0</v>
      </c>
      <c r="AQ34" s="824">
        <v>0</v>
      </c>
      <c r="AR34" s="824">
        <v>0</v>
      </c>
      <c r="AS34" s="824">
        <v>0</v>
      </c>
      <c r="AT34" s="824">
        <v>0</v>
      </c>
      <c r="AU34" s="824">
        <v>0</v>
      </c>
      <c r="AV34" s="824">
        <v>0</v>
      </c>
      <c r="AW34" s="824">
        <v>0</v>
      </c>
      <c r="AX34" s="824">
        <v>0</v>
      </c>
      <c r="AY34" s="824">
        <v>0</v>
      </c>
      <c r="AZ34" s="824">
        <v>0</v>
      </c>
      <c r="BA34" s="824">
        <v>0</v>
      </c>
      <c r="BB34" s="824">
        <v>0</v>
      </c>
      <c r="BC34" s="824">
        <v>0</v>
      </c>
      <c r="BD34" s="824">
        <v>0</v>
      </c>
      <c r="BE34" s="824">
        <v>0</v>
      </c>
    </row>
    <row r="35" spans="2:57" x14ac:dyDescent="0.25">
      <c r="B35" s="55"/>
      <c r="C35" s="46"/>
      <c r="D35" s="56"/>
      <c r="E35" s="692"/>
      <c r="F35" s="46"/>
      <c r="G35" s="46"/>
      <c r="H35" s="46"/>
      <c r="I35" s="46"/>
      <c r="J35" s="777"/>
      <c r="K35" s="777"/>
      <c r="L35" s="47"/>
      <c r="M35" s="973"/>
      <c r="N35" s="973"/>
      <c r="P35" s="46"/>
      <c r="Q35" s="46"/>
      <c r="R35" s="46"/>
      <c r="S35" s="46"/>
      <c r="T35" s="46"/>
      <c r="U35" s="51"/>
      <c r="AD35" s="51"/>
      <c r="AE35" s="51"/>
    </row>
    <row r="36" spans="2:57" x14ac:dyDescent="0.25">
      <c r="B36" s="46"/>
      <c r="C36" s="46"/>
      <c r="D36" s="11"/>
      <c r="E36" s="655"/>
      <c r="F36" s="44"/>
      <c r="G36" s="46"/>
      <c r="H36" s="46"/>
      <c r="I36" s="46"/>
      <c r="J36" s="777"/>
      <c r="K36" s="777"/>
      <c r="L36" s="50"/>
      <c r="M36" s="973"/>
      <c r="N36" s="973"/>
      <c r="P36" s="44"/>
      <c r="Q36" s="46"/>
      <c r="R36" s="46"/>
      <c r="S36" s="46"/>
      <c r="T36" s="46"/>
      <c r="U36" s="46"/>
      <c r="V36" s="46"/>
      <c r="W36" s="46"/>
      <c r="X36" s="46"/>
      <c r="Y36" s="46"/>
      <c r="Z36" s="46"/>
      <c r="AA36" s="46"/>
      <c r="AB36" s="46"/>
      <c r="AC36" s="46"/>
      <c r="AD36" s="46"/>
      <c r="AE36" s="46"/>
    </row>
    <row r="37" spans="2:57" x14ac:dyDescent="0.25">
      <c r="B37" s="28" t="s">
        <v>1</v>
      </c>
      <c r="C37" s="52"/>
      <c r="D37" s="962">
        <f>+SUM(D13)</f>
        <v>42.199999999999996</v>
      </c>
      <c r="E37" s="971">
        <f t="shared" ref="E37:K37" si="25">+SUM(E13:E30)</f>
        <v>10106.43</v>
      </c>
      <c r="F37" s="361">
        <f t="shared" si="25"/>
        <v>67.25</v>
      </c>
      <c r="G37" s="361">
        <f t="shared" si="25"/>
        <v>0</v>
      </c>
      <c r="H37" s="979">
        <f t="shared" si="25"/>
        <v>0</v>
      </c>
      <c r="I37" s="963">
        <f t="shared" si="25"/>
        <v>0</v>
      </c>
      <c r="J37" s="972">
        <f t="shared" si="25"/>
        <v>9591.4200000000019</v>
      </c>
      <c r="K37" s="972">
        <f t="shared" si="25"/>
        <v>7295.3899999999994</v>
      </c>
      <c r="L37" s="57">
        <f>+IFERROR(K37/J37,0)</f>
        <v>0.76061625911491704</v>
      </c>
      <c r="M37" s="361">
        <f>+SUM(M13:M30)</f>
        <v>1889.8499999999997</v>
      </c>
      <c r="N37" s="361"/>
      <c r="O37" s="361">
        <f>+SUM(O13:O30)</f>
        <v>101.69</v>
      </c>
      <c r="P37" s="361">
        <f>+SUM(P13:P34)</f>
        <v>284.15999999999997</v>
      </c>
      <c r="Q37" s="361">
        <f>+SUM(Q13:Q34)</f>
        <v>515.01</v>
      </c>
      <c r="R37" s="361">
        <f>+SUM(R13:R30)</f>
        <v>46.19</v>
      </c>
      <c r="S37" s="361">
        <f>+SUM(S13:S30)</f>
        <v>134</v>
      </c>
      <c r="T37" s="54"/>
      <c r="AE37" s="28" t="s">
        <v>205</v>
      </c>
      <c r="AF37" s="282">
        <f>+SUM(AF13:AF30)</f>
        <v>0</v>
      </c>
      <c r="AG37" s="401">
        <f>+IFERROR(AF37/$S$37,0)</f>
        <v>0</v>
      </c>
      <c r="AH37" s="283"/>
      <c r="AI37" s="400">
        <f>+SUM(AI13:AI30)</f>
        <v>0</v>
      </c>
      <c r="AJ37" s="370">
        <f>+IFERROR(AI37/$S$37,0)</f>
        <v>0</v>
      </c>
      <c r="AK37" s="369"/>
      <c r="AL37" s="400">
        <f>+SUM(AL13:AL30)</f>
        <v>0</v>
      </c>
      <c r="AM37" s="370">
        <f>+IFERROR(AL37/$S$37,0)</f>
        <v>0</v>
      </c>
      <c r="AN37" s="369"/>
      <c r="AO37" s="400">
        <f>+SUM(AO13:AO30)</f>
        <v>0</v>
      </c>
      <c r="AP37" s="370">
        <f>+IFERROR(AO37/$S$37,0)</f>
        <v>0</v>
      </c>
      <c r="AQ37" s="369"/>
      <c r="AR37" s="400">
        <f>+SUM(AR13:AR30)</f>
        <v>45</v>
      </c>
      <c r="AS37" s="370">
        <f>+IFERROR(AR37/$S$37,0)</f>
        <v>0.33582089552238809</v>
      </c>
      <c r="AT37" s="369"/>
      <c r="AU37" s="400">
        <f>+SUM(AU13:AU30)</f>
        <v>65</v>
      </c>
      <c r="AV37" s="370">
        <f>+IFERROR(AU37/$S$37,0)</f>
        <v>0.48507462686567165</v>
      </c>
      <c r="AW37" s="369"/>
      <c r="AX37" s="400">
        <f>+SUM(AX13:AX30)</f>
        <v>24</v>
      </c>
      <c r="AY37" s="370">
        <f>+IFERROR(AX37/$S$37,0)</f>
        <v>0.17910447761194029</v>
      </c>
      <c r="AZ37" s="369"/>
      <c r="BA37" s="400">
        <f>+SUM(BA13:BA30)</f>
        <v>0</v>
      </c>
      <c r="BB37" s="370">
        <f>+IFERROR(BA37/$S$37,0)</f>
        <v>0</v>
      </c>
      <c r="BC37" s="369"/>
      <c r="BD37" s="1233">
        <f>+SUM(BD13:BD34)</f>
        <v>0</v>
      </c>
      <c r="BE37" s="1233">
        <f>+SUM(BE13:BE34)</f>
        <v>972.22</v>
      </c>
    </row>
    <row r="38" spans="2:57" x14ac:dyDescent="0.25">
      <c r="C38" s="52"/>
      <c r="D38" s="962">
        <f>+SUM(D31)</f>
        <v>10.849999999999998</v>
      </c>
      <c r="E38" s="971">
        <f t="shared" ref="E38:K38" si="26">+SUM(E31:E34)</f>
        <v>4806.07</v>
      </c>
      <c r="F38" s="361">
        <f>+SUM(F31:F34)</f>
        <v>4110.16</v>
      </c>
      <c r="G38" s="361">
        <f>+SUM(G31:G34)</f>
        <v>103</v>
      </c>
      <c r="H38" s="979">
        <f>+SUM(H31:H34)</f>
        <v>233.19999999999996</v>
      </c>
      <c r="I38" s="963">
        <f t="shared" si="26"/>
        <v>0</v>
      </c>
      <c r="J38" s="972">
        <f>+SUM(J31:J34)</f>
        <v>462.71</v>
      </c>
      <c r="K38" s="972">
        <f t="shared" si="26"/>
        <v>0</v>
      </c>
      <c r="L38" s="57"/>
      <c r="M38" s="361">
        <f>+SUM(M31:M34)</f>
        <v>201.5</v>
      </c>
      <c r="N38" s="361"/>
      <c r="O38" s="359">
        <f>+SUM(O31:O34)</f>
        <v>0</v>
      </c>
      <c r="P38" s="1223">
        <f>+IFERROR(SUM(P37)/S37,0)</f>
        <v>2.120597014925373</v>
      </c>
      <c r="Q38" s="1223"/>
      <c r="R38" s="361">
        <f>+SUM(R31:R34)</f>
        <v>0</v>
      </c>
      <c r="S38" s="361"/>
      <c r="T38" s="54"/>
      <c r="AE38" s="28" t="s">
        <v>206</v>
      </c>
      <c r="AF38" s="214"/>
      <c r="AG38" s="368">
        <f>+IFERROR(SUMPRODUCT(AF13:AF30,AG13:AG30)/AF37,0)</f>
        <v>0</v>
      </c>
      <c r="AH38" s="369">
        <f>+IFERROR(SUMPRODUCT(AF13:AF30,AH13:AH30)/AF37,0)</f>
        <v>0</v>
      </c>
      <c r="AI38" s="362"/>
      <c r="AJ38" s="217">
        <f>+IFERROR(SUMPRODUCT(AI13:AI30,AJ13:AJ30)/AI37,0)</f>
        <v>0</v>
      </c>
      <c r="AK38" s="369">
        <f>+IFERROR(SUMPRODUCT(AI13:AI30,AK13:AK30)/AI37,0)</f>
        <v>0</v>
      </c>
      <c r="AL38" s="214"/>
      <c r="AM38" s="217">
        <f>+IFERROR(SUMPRODUCT(AL13:AL30,AM13:AM30)/AL37,0)</f>
        <v>0</v>
      </c>
      <c r="AN38" s="369">
        <f>+IFERROR(SUMPRODUCT(AL13:AL30,AN13:AN30)/AL37,0)</f>
        <v>0</v>
      </c>
      <c r="AO38" s="214"/>
      <c r="AP38" s="217">
        <f>+IFERROR(SUMPRODUCT(AO13:AO30,AP13:AP30)/AO37,0)</f>
        <v>0</v>
      </c>
      <c r="AQ38" s="369">
        <f>+IFERROR(SUMPRODUCT(AO13:AO30,AQ13:AQ30)/AO37,0)</f>
        <v>0</v>
      </c>
      <c r="AR38" s="214"/>
      <c r="AS38" s="217">
        <f>+IFERROR(SUMPRODUCT(AR13:AR30,AS13:AS30)/AR37,0)</f>
        <v>31.332888888888888</v>
      </c>
      <c r="AT38" s="369">
        <f>+IFERROR(SUMPRODUCT(AR13:AR30,AT13:AT30)/AR37,0)</f>
        <v>5.9226666666666663</v>
      </c>
      <c r="AU38" s="214"/>
      <c r="AV38" s="217">
        <f>+IFERROR(SUMPRODUCT(AU13:AU30,AV13:AV30)/AU37,0)</f>
        <v>37.525384615384617</v>
      </c>
      <c r="AW38" s="872">
        <f>+IFERROR(SUMPRODUCT(AU13:AU30,AW13:AW30)/AU37,0)</f>
        <v>9.0239999999999974</v>
      </c>
      <c r="AX38" s="214"/>
      <c r="AY38" s="217">
        <f>+IFERROR(SUMPRODUCT(AX13:AX30,AY13:AY30)/AX37,0)</f>
        <v>61.195000000000014</v>
      </c>
      <c r="AZ38" s="872">
        <f>+IFERROR(SUMPRODUCT(AX13:AX30,AZ13:AZ30)/AX37,0)</f>
        <v>6.3449999999999998</v>
      </c>
      <c r="BA38" s="214"/>
      <c r="BB38" s="217">
        <f>+IFERROR(SUMPRODUCT(BA13:BA30,BB13:BB30)/BA37,0)</f>
        <v>0</v>
      </c>
      <c r="BC38" s="369">
        <f>+IFERROR(SUMPRODUCT(BA13:BA30,BC13:BC30)/BA37,0)</f>
        <v>0</v>
      </c>
      <c r="BD38" s="1234"/>
      <c r="BE38" s="1234"/>
    </row>
    <row r="39" spans="2:57" x14ac:dyDescent="0.25">
      <c r="B39" s="58"/>
      <c r="C39" s="52"/>
      <c r="D39" s="962">
        <f>+SUM(D37:D38)</f>
        <v>53.05</v>
      </c>
      <c r="E39" s="971">
        <f>+SUM(E37:E38)</f>
        <v>14912.5</v>
      </c>
      <c r="F39" s="1222">
        <f>+IFERROR(F38/G38,0)</f>
        <v>39.904466019417477</v>
      </c>
      <c r="G39" s="1222"/>
      <c r="H39" s="979">
        <f>+SUM(H37:H38)</f>
        <v>233.19999999999996</v>
      </c>
      <c r="I39" s="963">
        <f>+SUM(I37:I38)</f>
        <v>0</v>
      </c>
      <c r="J39" s="972">
        <f>+SUM(J37:J38)</f>
        <v>10054.130000000001</v>
      </c>
      <c r="K39" s="972">
        <f>+SUM(K37:K38)</f>
        <v>7295.3899999999994</v>
      </c>
      <c r="L39" s="57"/>
      <c r="M39" s="361">
        <f>+SUM(M37:M38)</f>
        <v>2091.3499999999995</v>
      </c>
      <c r="N39" s="361"/>
      <c r="O39" s="359">
        <f t="shared" ref="O39" si="27">+SUM(O37:O38)</f>
        <v>101.69</v>
      </c>
      <c r="P39" s="1223">
        <f>+IFERROR(SUM(P37,Q37)/S37,0)</f>
        <v>5.9639552238805971</v>
      </c>
      <c r="Q39" s="1223"/>
      <c r="R39" s="361">
        <f t="shared" ref="R39" si="28">+SUM(R37:R38)</f>
        <v>46.19</v>
      </c>
      <c r="S39" s="361"/>
      <c r="T39" s="54"/>
      <c r="AE39" s="28" t="s">
        <v>1</v>
      </c>
      <c r="AF39" s="214"/>
      <c r="AG39" s="368"/>
      <c r="AH39" s="369">
        <f>+SUM(AG38:AH38)</f>
        <v>0</v>
      </c>
      <c r="AI39" s="362"/>
      <c r="AJ39" s="217"/>
      <c r="AK39" s="369">
        <f>+SUM(AJ38:AK38)</f>
        <v>0</v>
      </c>
      <c r="AL39" s="214"/>
      <c r="AM39" s="217"/>
      <c r="AN39" s="369">
        <f>+SUM(AM38:AN38)</f>
        <v>0</v>
      </c>
      <c r="AO39" s="214"/>
      <c r="AP39" s="217"/>
      <c r="AQ39" s="369">
        <f>+SUM(AP38:AQ38)</f>
        <v>0</v>
      </c>
      <c r="AR39" s="214"/>
      <c r="AS39" s="217"/>
      <c r="AT39" s="872">
        <f>+SUM(AS38:AT38)</f>
        <v>37.255555555555553</v>
      </c>
      <c r="AU39" s="214"/>
      <c r="AV39" s="217"/>
      <c r="AW39" s="872">
        <f>+SUM(AV38:AW38)</f>
        <v>46.549384615384611</v>
      </c>
      <c r="AX39" s="214"/>
      <c r="AY39" s="217"/>
      <c r="AZ39" s="872">
        <f>+SUM(AY38:AZ38)</f>
        <v>67.54000000000002</v>
      </c>
      <c r="BA39" s="214"/>
      <c r="BB39" s="217"/>
      <c r="BC39" s="369">
        <f>+SUM(BB38:BC38)</f>
        <v>0</v>
      </c>
      <c r="BD39" s="1235"/>
      <c r="BE39" s="1235"/>
    </row>
    <row r="40" spans="2:57" x14ac:dyDescent="0.25">
      <c r="B40" s="58"/>
      <c r="AF40" s="213"/>
      <c r="AG40" s="213"/>
      <c r="AH40" s="213"/>
      <c r="AI40" s="213"/>
      <c r="AJ40" s="213"/>
      <c r="AK40" s="213"/>
      <c r="AL40" s="213"/>
      <c r="AM40" s="213"/>
      <c r="AN40" s="213"/>
      <c r="AO40" s="213"/>
      <c r="AP40" s="213"/>
      <c r="AQ40" s="213"/>
      <c r="AR40" s="213"/>
      <c r="AS40" s="213"/>
      <c r="AT40" s="213"/>
      <c r="AU40" s="213"/>
      <c r="AV40" s="213"/>
      <c r="AW40" s="213"/>
      <c r="AX40" s="213"/>
      <c r="AY40" s="213"/>
      <c r="AZ40" s="213"/>
      <c r="BA40" s="213"/>
      <c r="BB40" s="213"/>
      <c r="BC40" s="213"/>
      <c r="BD40" s="213"/>
      <c r="BE40" s="213"/>
    </row>
    <row r="41" spans="2:57" x14ac:dyDescent="0.25">
      <c r="S41" s="794"/>
      <c r="T41" s="794"/>
      <c r="AE41" s="28" t="s">
        <v>80</v>
      </c>
      <c r="AF41" s="216">
        <f>+AF37*AG38+AI37*AJ38+AL37*AM38+AO37*AP38+AR37*AS38+AU37*AV38+AX37*AY38+BA37*BB38</f>
        <v>5317.81</v>
      </c>
      <c r="AH41" s="213"/>
      <c r="AI41" s="213"/>
      <c r="AJ41" s="213"/>
      <c r="AK41" s="213"/>
      <c r="AL41" s="213"/>
      <c r="AM41" s="213"/>
      <c r="AN41" s="213"/>
      <c r="AO41" s="213"/>
      <c r="AP41" s="213"/>
      <c r="AQ41" s="213"/>
      <c r="AR41" s="213"/>
      <c r="AS41" s="213"/>
      <c r="AT41" s="794"/>
      <c r="AU41" s="213"/>
      <c r="AV41" s="213"/>
      <c r="AW41" s="213"/>
      <c r="AX41" s="213"/>
      <c r="AY41" s="213"/>
      <c r="AZ41" s="213"/>
      <c r="BA41" s="213"/>
      <c r="BB41" s="213"/>
      <c r="BC41" s="213"/>
      <c r="BD41" s="213"/>
    </row>
    <row r="42" spans="2:57" x14ac:dyDescent="0.25">
      <c r="B42" s="374" t="s">
        <v>208</v>
      </c>
      <c r="AE42" s="28" t="s">
        <v>81</v>
      </c>
      <c r="AF42" s="216">
        <f>+AF37*AH38+AI37*AK38+AL37*AN38+AO37*AQ38+AR37*AT38+AU37*AW38+AX37*AZ38+BA37*BC38</f>
        <v>1005.3599999999998</v>
      </c>
      <c r="AH42" s="402"/>
      <c r="AI42" s="213"/>
      <c r="AJ42" s="402"/>
      <c r="AK42" s="402"/>
      <c r="AL42" s="402"/>
      <c r="AM42" s="402"/>
      <c r="AN42" s="402"/>
      <c r="AO42" s="402"/>
      <c r="AP42" s="402"/>
      <c r="AQ42" s="402"/>
      <c r="AR42" s="402"/>
      <c r="AS42" s="402"/>
      <c r="AT42" s="629"/>
      <c r="AU42" s="213"/>
      <c r="AV42" s="213"/>
      <c r="AW42" s="213"/>
      <c r="AX42" s="402"/>
      <c r="AY42" s="402"/>
      <c r="AZ42" s="402"/>
      <c r="BA42" s="402"/>
      <c r="BB42" s="402"/>
      <c r="BC42" s="402"/>
      <c r="BD42" s="402"/>
      <c r="BE42" s="363"/>
    </row>
    <row r="43" spans="2:57" x14ac:dyDescent="0.25">
      <c r="B43" s="378" t="s">
        <v>85</v>
      </c>
      <c r="C43" s="29"/>
      <c r="D43" s="29"/>
      <c r="E43" s="29"/>
      <c r="F43" s="29"/>
      <c r="G43" s="29"/>
      <c r="H43" s="29"/>
      <c r="I43" s="29"/>
      <c r="J43" s="29"/>
      <c r="K43" s="29"/>
      <c r="L43" s="29"/>
      <c r="M43" s="29"/>
      <c r="N43" s="29"/>
      <c r="O43" s="29"/>
      <c r="P43" s="29"/>
      <c r="Q43" s="29"/>
      <c r="R43" s="29" t="s">
        <v>164</v>
      </c>
      <c r="S43" s="29" t="s">
        <v>163</v>
      </c>
      <c r="T43" s="28" t="s">
        <v>101</v>
      </c>
      <c r="AB43" s="2"/>
      <c r="AE43" s="28" t="s">
        <v>602</v>
      </c>
      <c r="AF43" s="631">
        <v>144.53</v>
      </c>
      <c r="AG43" s="213"/>
      <c r="AI43" s="877"/>
      <c r="AJ43" s="795"/>
      <c r="AK43" s="213"/>
      <c r="AL43" s="213"/>
      <c r="AM43" s="213"/>
      <c r="AN43" s="213"/>
      <c r="AO43" s="213"/>
      <c r="AP43" s="213"/>
      <c r="AQ43" s="213"/>
      <c r="AR43" s="213"/>
      <c r="AS43" s="213"/>
      <c r="AU43" s="213"/>
      <c r="AV43" s="213"/>
      <c r="AW43" s="213"/>
      <c r="AX43" s="795"/>
      <c r="AY43" s="213"/>
      <c r="AZ43" s="213"/>
      <c r="BA43" s="213"/>
      <c r="BB43" s="213"/>
      <c r="BC43" s="213"/>
      <c r="BD43" s="213"/>
      <c r="BE43" s="213"/>
    </row>
    <row r="44" spans="2:57" x14ac:dyDescent="0.25">
      <c r="B44" s="379" t="s">
        <v>44</v>
      </c>
      <c r="F44" s="59"/>
      <c r="O44" s="59"/>
      <c r="R44" s="216">
        <f>+S44+SUM(M13:Q30)</f>
        <v>9134.2099999999991</v>
      </c>
      <c r="S44" s="216">
        <f>+AF41+AF42</f>
        <v>6323.17</v>
      </c>
      <c r="T44" s="219">
        <f>+IFERROR(R44/$R$48,0)</f>
        <v>0.61252036881810568</v>
      </c>
      <c r="AI44" s="875"/>
      <c r="AJ44" s="629"/>
      <c r="AU44" s="213"/>
      <c r="AV44" s="213"/>
      <c r="AW44" s="213"/>
    </row>
    <row r="45" spans="2:57" x14ac:dyDescent="0.25">
      <c r="B45" s="379" t="s">
        <v>13</v>
      </c>
      <c r="F45" s="59"/>
      <c r="J45" s="975"/>
      <c r="O45" s="59"/>
      <c r="R45" s="216">
        <f>+S45</f>
        <v>972.22</v>
      </c>
      <c r="S45" s="216">
        <f>+BE37</f>
        <v>972.22</v>
      </c>
      <c r="T45" s="363">
        <f>+IFERROR(R45/$R$48,0)</f>
        <v>6.519497066219615E-2</v>
      </c>
      <c r="AI45" s="875"/>
      <c r="AJ45" s="629"/>
      <c r="AU45" s="213"/>
      <c r="AV45" s="213"/>
      <c r="AW45" s="213"/>
    </row>
    <row r="46" spans="2:57" x14ac:dyDescent="0.25">
      <c r="B46" s="380" t="s">
        <v>460</v>
      </c>
      <c r="C46" s="29"/>
      <c r="D46" s="29"/>
      <c r="E46" s="29"/>
      <c r="F46" s="50"/>
      <c r="G46" s="29"/>
      <c r="H46" s="29"/>
      <c r="I46" s="29"/>
      <c r="J46" s="29"/>
      <c r="K46" s="29"/>
      <c r="L46" s="29"/>
      <c r="M46" s="29"/>
      <c r="N46" s="29"/>
      <c r="O46" s="50"/>
      <c r="P46" s="29"/>
      <c r="Q46" s="29"/>
      <c r="R46" s="217">
        <f>+S46</f>
        <v>0</v>
      </c>
      <c r="S46" s="217">
        <f>+BD37</f>
        <v>0</v>
      </c>
      <c r="T46" s="220">
        <f>+IFERROR(R46/$R$48,0)</f>
        <v>0</v>
      </c>
      <c r="AU46" s="213"/>
      <c r="AV46" s="213"/>
      <c r="AW46" s="213"/>
    </row>
    <row r="47" spans="2:57" x14ac:dyDescent="0.25">
      <c r="B47" s="381" t="s">
        <v>61</v>
      </c>
      <c r="C47" s="207"/>
      <c r="D47" s="207"/>
      <c r="E47" s="207"/>
      <c r="F47" s="207"/>
      <c r="G47" s="207"/>
      <c r="H47" s="207"/>
      <c r="I47" s="207"/>
      <c r="J47" s="207"/>
      <c r="K47" s="207"/>
      <c r="L47" s="207"/>
      <c r="M47" s="207"/>
      <c r="N47" s="207"/>
      <c r="O47" s="207"/>
      <c r="P47" s="207"/>
      <c r="Q47" s="207"/>
      <c r="R47" s="368">
        <f>+SUM(E38,-K38)</f>
        <v>4806.07</v>
      </c>
      <c r="S47" s="207"/>
      <c r="T47" s="362">
        <f>+IFERROR(R47/$R$48,0)</f>
        <v>0.32228466051969828</v>
      </c>
      <c r="AF47" s="875"/>
      <c r="AG47" s="876"/>
      <c r="AH47" s="876"/>
      <c r="AL47" s="629"/>
      <c r="AV47" s="794"/>
      <c r="AW47" s="629"/>
      <c r="AX47" s="629"/>
    </row>
    <row r="48" spans="2:57" x14ac:dyDescent="0.25">
      <c r="B48" s="372" t="s">
        <v>1</v>
      </c>
      <c r="R48" s="216">
        <f>+SUM(R44:R47)</f>
        <v>14912.499999999998</v>
      </c>
      <c r="S48" s="216">
        <f>+SUM(S44:S47)</f>
        <v>7295.39</v>
      </c>
      <c r="T48" s="363">
        <f>+IFERROR(R48/$R$48,0)</f>
        <v>1</v>
      </c>
      <c r="AM48" s="794"/>
      <c r="AV48" s="794"/>
      <c r="AW48" s="629"/>
    </row>
    <row r="49" spans="2:50" x14ac:dyDescent="0.25">
      <c r="AK49" s="794"/>
      <c r="AV49" s="794"/>
      <c r="AW49" s="629"/>
    </row>
    <row r="50" spans="2:50" x14ac:dyDescent="0.25">
      <c r="B50" s="374" t="s">
        <v>470</v>
      </c>
      <c r="AK50" s="794"/>
      <c r="AV50" s="794"/>
      <c r="AW50" s="629"/>
      <c r="AX50" s="629"/>
    </row>
    <row r="51" spans="2:50" x14ac:dyDescent="0.25">
      <c r="B51" s="378" t="s">
        <v>85</v>
      </c>
      <c r="C51" s="29"/>
      <c r="D51" s="29"/>
      <c r="E51" s="29"/>
      <c r="F51" s="29"/>
      <c r="G51" s="29"/>
      <c r="H51" s="29"/>
      <c r="I51" s="29"/>
      <c r="J51" s="29"/>
      <c r="K51" s="29"/>
      <c r="L51" s="29"/>
      <c r="M51" s="29"/>
      <c r="N51" s="29"/>
      <c r="O51" s="29"/>
      <c r="P51" s="29"/>
      <c r="Q51" s="29"/>
      <c r="R51" s="29" t="s">
        <v>164</v>
      </c>
      <c r="S51" s="29" t="s">
        <v>163</v>
      </c>
      <c r="T51" s="28" t="s">
        <v>101</v>
      </c>
      <c r="AK51" s="794"/>
      <c r="AV51" s="794"/>
      <c r="AW51" s="629"/>
      <c r="AX51" s="629"/>
    </row>
    <row r="52" spans="2:50" x14ac:dyDescent="0.25">
      <c r="B52" s="379" t="s">
        <v>44</v>
      </c>
      <c r="F52" s="59"/>
      <c r="O52" s="59"/>
      <c r="R52" s="216">
        <f>+S52+SUM(M13:Q30)</f>
        <v>8631.5300000000007</v>
      </c>
      <c r="S52" s="216">
        <f>+AF41+AF42/2</f>
        <v>5820.4900000000007</v>
      </c>
      <c r="T52" s="219">
        <f>+IFERROR(R52/$R$56,0)</f>
        <v>0.5990033185702528</v>
      </c>
      <c r="AK52" s="794"/>
      <c r="AV52" s="794"/>
      <c r="AW52" s="629"/>
      <c r="AX52" s="629"/>
    </row>
    <row r="53" spans="2:50" x14ac:dyDescent="0.25">
      <c r="B53" s="379" t="s">
        <v>13</v>
      </c>
      <c r="F53" s="47"/>
      <c r="O53" s="47"/>
      <c r="R53" s="216">
        <f>+S53</f>
        <v>972.22</v>
      </c>
      <c r="S53" s="216">
        <f>+$BE$37</f>
        <v>972.22</v>
      </c>
      <c r="T53" s="363">
        <f>+IFERROR(R53/$R$56,0)</f>
        <v>6.7469267485645204E-2</v>
      </c>
      <c r="AK53" s="794"/>
      <c r="AV53" s="794"/>
      <c r="AW53" s="629"/>
      <c r="AX53" s="629"/>
    </row>
    <row r="54" spans="2:50" x14ac:dyDescent="0.25">
      <c r="B54" s="380" t="s">
        <v>460</v>
      </c>
      <c r="C54" s="29"/>
      <c r="D54" s="29"/>
      <c r="E54" s="29"/>
      <c r="F54" s="50"/>
      <c r="G54" s="29"/>
      <c r="H54" s="29"/>
      <c r="I54" s="29"/>
      <c r="J54" s="29"/>
      <c r="K54" s="29"/>
      <c r="L54" s="29"/>
      <c r="M54" s="29"/>
      <c r="N54" s="29"/>
      <c r="O54" s="50"/>
      <c r="P54" s="29"/>
      <c r="Q54" s="29"/>
      <c r="R54" s="217">
        <f>+S54</f>
        <v>0</v>
      </c>
      <c r="S54" s="217">
        <f>+BD37</f>
        <v>0</v>
      </c>
      <c r="T54" s="363">
        <f>+IFERROR(R54/$R$56,0)</f>
        <v>0</v>
      </c>
      <c r="AK54" s="794"/>
      <c r="AV54" s="794"/>
      <c r="AW54" s="629"/>
    </row>
    <row r="55" spans="2:50" x14ac:dyDescent="0.25">
      <c r="B55" s="381" t="s">
        <v>61</v>
      </c>
      <c r="C55" s="207"/>
      <c r="D55" s="207"/>
      <c r="E55" s="207"/>
      <c r="F55" s="207"/>
      <c r="G55" s="207"/>
      <c r="H55" s="207"/>
      <c r="I55" s="207"/>
      <c r="J55" s="207"/>
      <c r="K55" s="207"/>
      <c r="L55" s="207"/>
      <c r="M55" s="207"/>
      <c r="N55" s="207"/>
      <c r="O55" s="207"/>
      <c r="P55" s="207"/>
      <c r="Q55" s="207"/>
      <c r="R55" s="368">
        <f>+SUM(E38,-K38)</f>
        <v>4806.07</v>
      </c>
      <c r="S55" s="207"/>
      <c r="T55" s="362">
        <f>+IFERROR(R55/$R$56,0)</f>
        <v>0.33352741394410201</v>
      </c>
      <c r="AK55" s="794"/>
      <c r="AU55" s="629"/>
      <c r="AV55" s="629"/>
      <c r="AW55" s="629"/>
    </row>
    <row r="56" spans="2:50" x14ac:dyDescent="0.25">
      <c r="B56" s="372" t="s">
        <v>1</v>
      </c>
      <c r="R56" s="216">
        <f>+SUM(R52:R55)</f>
        <v>14409.82</v>
      </c>
      <c r="S56" s="216">
        <f>+SUM(S52:S55)</f>
        <v>6792.7100000000009</v>
      </c>
      <c r="T56" s="363"/>
      <c r="AK56" s="794"/>
      <c r="AV56" s="794"/>
      <c r="AW56" s="629"/>
      <c r="AX56" s="629"/>
    </row>
    <row r="57" spans="2:50" x14ac:dyDescent="0.25">
      <c r="AV57" s="629"/>
      <c r="AX57" s="794"/>
    </row>
    <row r="58" spans="2:50" x14ac:dyDescent="0.25">
      <c r="B58" s="374" t="s">
        <v>413</v>
      </c>
      <c r="M58" s="59"/>
      <c r="N58" s="59"/>
      <c r="AV58" s="629"/>
    </row>
    <row r="59" spans="2:50" x14ac:dyDescent="0.25">
      <c r="B59" s="375" t="s">
        <v>85</v>
      </c>
      <c r="C59" s="29"/>
      <c r="D59" s="29"/>
      <c r="E59" s="29"/>
      <c r="F59" s="29"/>
      <c r="G59" s="29"/>
      <c r="H59" s="29"/>
      <c r="I59" s="29"/>
      <c r="J59" s="29"/>
      <c r="K59" s="29"/>
      <c r="L59" s="29"/>
      <c r="M59" s="29"/>
      <c r="N59" s="29"/>
      <c r="O59" s="29"/>
      <c r="P59" s="29"/>
      <c r="Q59" s="29"/>
      <c r="R59" s="29" t="s">
        <v>0</v>
      </c>
      <c r="S59" s="29"/>
      <c r="T59" s="29" t="s">
        <v>101</v>
      </c>
      <c r="AV59" s="629"/>
    </row>
    <row r="60" spans="2:50" x14ac:dyDescent="0.25">
      <c r="B60" s="376" t="s">
        <v>220</v>
      </c>
      <c r="R60" s="216">
        <f>+SUM(AF37,AI37,AL37,AO37)</f>
        <v>0</v>
      </c>
      <c r="S60" s="59"/>
      <c r="T60" s="363">
        <f>+IFERROR(R60/$R$62,0)</f>
        <v>0</v>
      </c>
      <c r="AV60" s="629"/>
    </row>
    <row r="61" spans="2:50" x14ac:dyDescent="0.25">
      <c r="B61" s="377" t="s">
        <v>412</v>
      </c>
      <c r="C61" s="29"/>
      <c r="D61" s="29"/>
      <c r="E61" s="29"/>
      <c r="F61" s="29"/>
      <c r="G61" s="29"/>
      <c r="H61" s="29"/>
      <c r="I61" s="29"/>
      <c r="J61" s="29"/>
      <c r="K61" s="29"/>
      <c r="L61" s="29"/>
      <c r="M61" s="29"/>
      <c r="N61" s="29"/>
      <c r="O61" s="29"/>
      <c r="P61" s="29"/>
      <c r="Q61" s="29"/>
      <c r="R61" s="217">
        <f>+SUM(AR37,AU37,AX37,BA37)</f>
        <v>134</v>
      </c>
      <c r="S61" s="50"/>
      <c r="T61" s="220">
        <f>+IFERROR(R61/$R$62,0)</f>
        <v>1</v>
      </c>
      <c r="AV61" s="629"/>
    </row>
    <row r="62" spans="2:50" x14ac:dyDescent="0.25">
      <c r="B62" s="372" t="s">
        <v>1</v>
      </c>
      <c r="R62" s="216">
        <f>+SUM(R60:R61)</f>
        <v>134</v>
      </c>
      <c r="T62" s="363">
        <f>+SUM(T60:T61)</f>
        <v>1</v>
      </c>
      <c r="AV62" s="629"/>
    </row>
    <row r="63" spans="2:50" x14ac:dyDescent="0.25">
      <c r="AV63" s="629"/>
    </row>
    <row r="64" spans="2:50" x14ac:dyDescent="0.25">
      <c r="AV64" s="629"/>
    </row>
    <row r="65" spans="48:48" x14ac:dyDescent="0.25">
      <c r="AV65" s="629"/>
    </row>
    <row r="66" spans="48:48" x14ac:dyDescent="0.25">
      <c r="AV66" s="629"/>
    </row>
    <row r="67" spans="48:48" x14ac:dyDescent="0.25">
      <c r="AV67" s="629"/>
    </row>
    <row r="68" spans="48:48" x14ac:dyDescent="0.25">
      <c r="AV68" s="629"/>
    </row>
    <row r="69" spans="48:48" x14ac:dyDescent="0.25">
      <c r="AV69" s="629"/>
    </row>
    <row r="70" spans="48:48" x14ac:dyDescent="0.25">
      <c r="AV70" s="629"/>
    </row>
    <row r="71" spans="48:48" x14ac:dyDescent="0.25">
      <c r="AV71" s="629"/>
    </row>
    <row r="72" spans="48:48" x14ac:dyDescent="0.25">
      <c r="AV72" s="629"/>
    </row>
    <row r="73" spans="48:48" x14ac:dyDescent="0.25">
      <c r="AV73" s="629"/>
    </row>
    <row r="74" spans="48:48" x14ac:dyDescent="0.25">
      <c r="AV74" s="629"/>
    </row>
    <row r="75" spans="48:48" x14ac:dyDescent="0.25"/>
    <row r="76" spans="48:48" x14ac:dyDescent="0.25"/>
    <row r="77" spans="48:48" x14ac:dyDescent="0.25"/>
    <row r="78" spans="48:48" x14ac:dyDescent="0.25"/>
    <row r="79" spans="48:48" x14ac:dyDescent="0.25"/>
    <row r="80" spans="48:48" x14ac:dyDescent="0.25"/>
    <row r="81" spans="47:48" x14ac:dyDescent="0.25">
      <c r="AU81" s="629"/>
      <c r="AV81" s="629"/>
    </row>
    <row r="82" spans="47:48" x14ac:dyDescent="0.25"/>
    <row r="83" spans="47:48" x14ac:dyDescent="0.25"/>
    <row r="84" spans="47:48" x14ac:dyDescent="0.25">
      <c r="AV84" s="629"/>
    </row>
    <row r="85" spans="47:48" x14ac:dyDescent="0.25">
      <c r="AV85" s="629"/>
    </row>
    <row r="86" spans="47:48" x14ac:dyDescent="0.25">
      <c r="AV86" s="629"/>
    </row>
    <row r="87" spans="47:48" x14ac:dyDescent="0.25">
      <c r="AV87" s="629"/>
    </row>
    <row r="88" spans="47:48" x14ac:dyDescent="0.25">
      <c r="AV88" s="629"/>
    </row>
    <row r="89" spans="47:48" x14ac:dyDescent="0.25">
      <c r="AV89" s="629"/>
    </row>
    <row r="90" spans="47:48" x14ac:dyDescent="0.25">
      <c r="AV90" s="629"/>
    </row>
    <row r="91" spans="47:48" x14ac:dyDescent="0.25">
      <c r="AV91" s="629"/>
    </row>
    <row r="92" spans="47:48" x14ac:dyDescent="0.25">
      <c r="AV92" s="629"/>
    </row>
    <row r="93" spans="47:48" x14ac:dyDescent="0.25">
      <c r="AV93" s="629"/>
    </row>
    <row r="94" spans="47:48" x14ac:dyDescent="0.25">
      <c r="AV94" s="629"/>
    </row>
    <row r="95" spans="47:48" x14ac:dyDescent="0.25">
      <c r="AV95" s="629"/>
    </row>
    <row r="96" spans="47:48"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row r="158" x14ac:dyDescent="0.25"/>
    <row r="159" x14ac:dyDescent="0.25"/>
    <row r="160" x14ac:dyDescent="0.25"/>
    <row r="161" x14ac:dyDescent="0.25"/>
    <row r="162" x14ac:dyDescent="0.25"/>
    <row r="163" x14ac:dyDescent="0.25"/>
    <row r="164" x14ac:dyDescent="0.25"/>
    <row r="165" x14ac:dyDescent="0.25"/>
    <row r="166" x14ac:dyDescent="0.25"/>
    <row r="167" x14ac:dyDescent="0.25"/>
    <row r="168" x14ac:dyDescent="0.25"/>
    <row r="169" x14ac:dyDescent="0.25"/>
    <row r="170" x14ac:dyDescent="0.25"/>
    <row r="171" x14ac:dyDescent="0.25"/>
    <row r="172" x14ac:dyDescent="0.25"/>
    <row r="173" x14ac:dyDescent="0.25"/>
    <row r="174" x14ac:dyDescent="0.25"/>
    <row r="175" x14ac:dyDescent="0.25"/>
    <row r="176" x14ac:dyDescent="0.25"/>
    <row r="177" x14ac:dyDescent="0.25"/>
    <row r="178" x14ac:dyDescent="0.25"/>
    <row r="179" x14ac:dyDescent="0.25"/>
    <row r="180" x14ac:dyDescent="0.25"/>
    <row r="181" x14ac:dyDescent="0.25"/>
    <row r="182" x14ac:dyDescent="0.25"/>
    <row r="183" x14ac:dyDescent="0.25"/>
    <row r="184" x14ac:dyDescent="0.25"/>
    <row r="185" x14ac:dyDescent="0.25"/>
    <row r="186" x14ac:dyDescent="0.25"/>
    <row r="187" x14ac:dyDescent="0.25"/>
    <row r="188" x14ac:dyDescent="0.25"/>
    <row r="189" x14ac:dyDescent="0.25"/>
    <row r="190" x14ac:dyDescent="0.25"/>
    <row r="191" x14ac:dyDescent="0.25"/>
  </sheetData>
  <mergeCells count="33">
    <mergeCell ref="B9:B10"/>
    <mergeCell ref="C9:C10"/>
    <mergeCell ref="AE9:AE10"/>
    <mergeCell ref="D9:D10"/>
    <mergeCell ref="E9:E10"/>
    <mergeCell ref="H9:I9"/>
    <mergeCell ref="O9:Q9"/>
    <mergeCell ref="J9:J10"/>
    <mergeCell ref="M9:M10"/>
    <mergeCell ref="R9:R10"/>
    <mergeCell ref="S9:S10"/>
    <mergeCell ref="BE37:BE39"/>
    <mergeCell ref="K9:L9"/>
    <mergeCell ref="F9:G9"/>
    <mergeCell ref="AF9:AH9"/>
    <mergeCell ref="AR9:AT9"/>
    <mergeCell ref="BD37:BD39"/>
    <mergeCell ref="AI9:AK9"/>
    <mergeCell ref="AL9:AN9"/>
    <mergeCell ref="AO9:AQ9"/>
    <mergeCell ref="AF7:BE7"/>
    <mergeCell ref="T9:T10"/>
    <mergeCell ref="BA9:BC9"/>
    <mergeCell ref="AF8:AQ8"/>
    <mergeCell ref="AR8:BC8"/>
    <mergeCell ref="AU9:AW9"/>
    <mergeCell ref="AX9:AZ9"/>
    <mergeCell ref="D13:D30"/>
    <mergeCell ref="D31:D34"/>
    <mergeCell ref="N9:N10"/>
    <mergeCell ref="F39:G39"/>
    <mergeCell ref="P39:Q39"/>
    <mergeCell ref="P38:Q38"/>
  </mergeCells>
  <conditionalFormatting sqref="BA13:BE22 F13:T34 AF13:AZ34 BA23:BC29 BA28:BA30 BB29:BE29 BA30:BE34 AT31:BA33">
    <cfRule type="cellIs" dxfId="10" priority="397" operator="greaterThan">
      <formula>0</formula>
    </cfRule>
  </conditionalFormatting>
  <conditionalFormatting sqref="BD23:BE28">
    <cfRule type="cellIs" dxfId="9" priority="3" operator="greaterThan">
      <formula>0</formula>
    </cfRule>
  </conditionalFormatting>
  <pageMargins left="0.7" right="0.7" top="0.75" bottom="0.75" header="0.3" footer="0.3"/>
  <pageSetup orientation="portrait"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E7C2F-A695-4F41-8CAB-0C908933BD31}">
  <sheetPr>
    <tabColor theme="7" tint="0.79998168889431442"/>
  </sheetPr>
  <dimension ref="A1:RW22"/>
  <sheetViews>
    <sheetView showGridLines="0" zoomScale="80" zoomScaleNormal="80" zoomScaleSheetLayoutView="85" zoomScalePageLayoutView="85" workbookViewId="0">
      <pane xSplit="5" ySplit="10" topLeftCell="EV11" activePane="bottomRight" state="frozen"/>
      <selection pane="topRight" activeCell="L1" sqref="L1"/>
      <selection pane="bottomLeft" activeCell="A11" sqref="A11"/>
      <selection pane="bottomRight" activeCell="FC24" sqref="FC24"/>
    </sheetView>
  </sheetViews>
  <sheetFormatPr baseColWidth="10" defaultColWidth="0" defaultRowHeight="10.8" x14ac:dyDescent="0.25"/>
  <cols>
    <col min="1" max="1" width="1.88671875" style="3" bestFit="1" customWidth="1"/>
    <col min="2" max="2" width="49.109375" style="265" customWidth="1"/>
    <col min="3" max="3" width="10.6640625" style="265" customWidth="1"/>
    <col min="4" max="4" width="16.6640625" style="265" customWidth="1"/>
    <col min="5" max="5" width="20" style="265" bestFit="1" customWidth="1"/>
    <col min="6" max="6" width="16.6640625" style="265" customWidth="1"/>
    <col min="7" max="7" width="20" style="265" bestFit="1" customWidth="1"/>
    <col min="8" max="10" width="16.6640625" style="265" customWidth="1"/>
    <col min="11" max="11" width="20" style="265" bestFit="1" customWidth="1"/>
    <col min="12" max="14" width="16.6640625" style="265" customWidth="1"/>
    <col min="15" max="15" width="20" style="265" bestFit="1" customWidth="1"/>
    <col min="16" max="18" width="16.6640625" style="265" customWidth="1"/>
    <col min="19" max="19" width="20" style="265" bestFit="1" customWidth="1"/>
    <col min="20" max="22" width="16.6640625" style="265" customWidth="1"/>
    <col min="23" max="23" width="20" style="265" bestFit="1" customWidth="1"/>
    <col min="24" max="26" width="16.6640625" style="265" customWidth="1"/>
    <col min="27" max="27" width="20" style="265" bestFit="1" customWidth="1"/>
    <col min="28" max="30" width="16.6640625" style="265" customWidth="1"/>
    <col min="31" max="31" width="20" style="265" bestFit="1" customWidth="1"/>
    <col min="32" max="34" width="16.6640625" style="265" customWidth="1"/>
    <col min="35" max="35" width="20" style="265" bestFit="1" customWidth="1"/>
    <col min="36" max="38" width="16.6640625" style="265" customWidth="1"/>
    <col min="39" max="39" width="20" style="265" bestFit="1" customWidth="1"/>
    <col min="40" max="161" width="16.6640625" style="265" customWidth="1"/>
    <col min="162" max="162" width="15.109375" style="265" customWidth="1"/>
    <col min="163" max="491" width="0" style="265" hidden="1" customWidth="1"/>
    <col min="492" max="16384" width="10.6640625" style="265" hidden="1"/>
  </cols>
  <sheetData>
    <row r="1" spans="1:161" s="2" customFormat="1" ht="12.75" customHeight="1" x14ac:dyDescent="0.25">
      <c r="A1" s="3"/>
      <c r="B1" s="303"/>
    </row>
    <row r="2" spans="1:161" s="3" customFormat="1" ht="33.9" customHeight="1" x14ac:dyDescent="0.3">
      <c r="B2" s="344" t="s">
        <v>608</v>
      </c>
      <c r="C2" s="191"/>
      <c r="D2" s="191"/>
      <c r="E2" s="304"/>
      <c r="F2" s="304"/>
      <c r="G2" s="304"/>
      <c r="H2" s="304"/>
      <c r="I2" s="304"/>
      <c r="J2" s="304"/>
      <c r="K2" s="304"/>
      <c r="L2" s="304"/>
      <c r="M2" s="304"/>
      <c r="N2" s="304"/>
      <c r="O2" s="304"/>
      <c r="P2" s="304"/>
      <c r="Q2" s="304"/>
      <c r="R2" s="304"/>
      <c r="S2" s="304"/>
      <c r="T2" s="304"/>
      <c r="U2" s="304"/>
      <c r="V2" s="304"/>
      <c r="W2" s="304"/>
      <c r="X2" s="304"/>
      <c r="Y2" s="304"/>
      <c r="Z2" s="304"/>
      <c r="AA2" s="304"/>
      <c r="AB2" s="304"/>
      <c r="AC2" s="304"/>
      <c r="AD2" s="304"/>
      <c r="AE2" s="304"/>
      <c r="AF2" s="304"/>
      <c r="AG2" s="304"/>
      <c r="AH2" s="304"/>
      <c r="AI2" s="304"/>
      <c r="AJ2" s="304"/>
      <c r="AK2" s="304"/>
      <c r="AL2" s="304"/>
      <c r="AM2" s="304"/>
      <c r="AN2" s="304"/>
      <c r="AO2" s="304"/>
      <c r="AP2" s="304"/>
      <c r="AQ2" s="304"/>
      <c r="AR2" s="304"/>
      <c r="AS2" s="304"/>
      <c r="AT2" s="304"/>
      <c r="AU2" s="304"/>
      <c r="AV2" s="304"/>
      <c r="AW2" s="304"/>
      <c r="AX2" s="304"/>
      <c r="AY2" s="304"/>
      <c r="AZ2" s="304"/>
      <c r="BA2" s="304"/>
      <c r="BB2" s="304"/>
      <c r="BC2" s="304"/>
      <c r="BD2" s="304"/>
      <c r="BE2" s="304"/>
      <c r="BF2" s="304"/>
      <c r="BG2" s="304"/>
      <c r="BH2" s="304"/>
      <c r="BI2" s="304"/>
      <c r="BJ2" s="304"/>
      <c r="BK2" s="304"/>
      <c r="BL2" s="304"/>
      <c r="BM2" s="304"/>
      <c r="BN2" s="304"/>
      <c r="BO2" s="304"/>
      <c r="BP2" s="304"/>
      <c r="BQ2" s="304"/>
      <c r="BR2" s="304"/>
      <c r="BS2" s="304"/>
      <c r="BT2" s="304"/>
      <c r="BU2" s="304"/>
      <c r="BV2" s="304"/>
      <c r="BW2" s="304"/>
      <c r="BX2" s="304"/>
      <c r="BY2" s="304"/>
      <c r="BZ2" s="304"/>
      <c r="CA2" s="304"/>
      <c r="CB2" s="304"/>
      <c r="CC2" s="304"/>
      <c r="CD2" s="304"/>
      <c r="CE2" s="304"/>
      <c r="CF2" s="304"/>
      <c r="CG2" s="304"/>
      <c r="CH2" s="304"/>
      <c r="CI2" s="304"/>
      <c r="CJ2" s="304"/>
      <c r="CK2" s="304"/>
      <c r="CL2" s="304"/>
      <c r="CM2" s="304"/>
      <c r="CN2" s="304"/>
      <c r="CO2" s="304"/>
      <c r="CP2" s="304"/>
      <c r="CQ2" s="304"/>
      <c r="CR2" s="304"/>
      <c r="CS2" s="304"/>
      <c r="CT2" s="304"/>
      <c r="CU2" s="304"/>
      <c r="CV2" s="304"/>
      <c r="CW2" s="304"/>
      <c r="CX2" s="304"/>
      <c r="CY2" s="304"/>
      <c r="CZ2" s="304"/>
      <c r="DA2" s="304"/>
      <c r="DB2" s="304"/>
      <c r="DC2" s="304"/>
      <c r="DD2" s="304"/>
      <c r="DE2" s="304"/>
      <c r="DF2" s="304"/>
      <c r="DG2" s="304"/>
      <c r="DH2" s="304"/>
      <c r="DI2" s="304"/>
      <c r="DJ2" s="304"/>
      <c r="DK2" s="304"/>
      <c r="DL2" s="304"/>
      <c r="DM2" s="304"/>
      <c r="DN2" s="304"/>
      <c r="DO2" s="304"/>
      <c r="DP2" s="304"/>
      <c r="DQ2" s="304"/>
      <c r="DR2" s="304"/>
      <c r="DS2" s="304"/>
      <c r="DT2" s="304"/>
      <c r="DU2" s="304"/>
      <c r="DV2" s="304"/>
      <c r="DW2" s="304"/>
      <c r="DX2" s="304"/>
      <c r="DY2" s="304"/>
      <c r="DZ2" s="304"/>
      <c r="EA2" s="304"/>
      <c r="EB2" s="304"/>
      <c r="EC2" s="304"/>
      <c r="ED2" s="304"/>
      <c r="EE2" s="304"/>
      <c r="EF2" s="304"/>
      <c r="EG2" s="304"/>
      <c r="EH2" s="304"/>
      <c r="EI2" s="304"/>
      <c r="EJ2" s="304"/>
      <c r="EK2" s="304"/>
      <c r="EL2" s="304"/>
      <c r="EM2" s="304"/>
      <c r="EN2" s="304"/>
      <c r="EO2" s="304"/>
      <c r="EP2" s="304"/>
      <c r="EQ2" s="304"/>
      <c r="ER2" s="304"/>
      <c r="ES2" s="304"/>
      <c r="ET2" s="304"/>
      <c r="EU2" s="304"/>
      <c r="EV2" s="304"/>
      <c r="EW2" s="304"/>
      <c r="EX2" s="304"/>
      <c r="EY2" s="304"/>
      <c r="EZ2" s="304"/>
      <c r="FA2" s="304"/>
      <c r="FB2" s="304"/>
      <c r="FC2" s="304"/>
      <c r="FD2" s="304"/>
      <c r="FE2" s="304"/>
    </row>
    <row r="3" spans="1:161" s="3" customFormat="1" ht="23.1" customHeight="1" x14ac:dyDescent="0.3">
      <c r="B3" s="345" t="s">
        <v>456</v>
      </c>
      <c r="C3" s="191"/>
      <c r="D3" s="191"/>
      <c r="E3" s="304"/>
      <c r="F3" s="304"/>
      <c r="G3" s="304"/>
      <c r="H3" s="304"/>
      <c r="I3" s="304"/>
      <c r="J3" s="304"/>
      <c r="K3" s="304"/>
      <c r="L3" s="304"/>
      <c r="M3" s="304"/>
      <c r="N3" s="304"/>
      <c r="O3" s="304"/>
      <c r="P3" s="304"/>
      <c r="Q3" s="304"/>
      <c r="R3" s="304"/>
      <c r="S3" s="304"/>
      <c r="T3" s="304"/>
      <c r="U3" s="304"/>
      <c r="V3" s="304"/>
      <c r="W3" s="304"/>
      <c r="X3" s="304"/>
      <c r="Y3" s="304"/>
      <c r="Z3" s="304"/>
      <c r="AA3" s="304"/>
      <c r="AB3" s="304"/>
      <c r="AC3" s="304"/>
      <c r="AD3" s="304"/>
      <c r="AE3" s="304"/>
      <c r="AF3" s="304"/>
      <c r="AG3" s="304"/>
      <c r="AH3" s="304"/>
      <c r="AI3" s="304"/>
      <c r="AJ3" s="304"/>
      <c r="AK3" s="304"/>
      <c r="AL3" s="304"/>
      <c r="AM3" s="304"/>
      <c r="AN3" s="304"/>
      <c r="AO3" s="304"/>
      <c r="AP3" s="304"/>
      <c r="AQ3" s="304"/>
      <c r="AR3" s="304"/>
      <c r="AS3" s="304"/>
      <c r="AT3" s="304"/>
      <c r="AU3" s="304"/>
      <c r="AV3" s="304"/>
      <c r="AW3" s="304"/>
      <c r="AX3" s="304"/>
      <c r="AY3" s="304"/>
      <c r="AZ3" s="304"/>
      <c r="BA3" s="304"/>
      <c r="BB3" s="304"/>
      <c r="BC3" s="304"/>
      <c r="BD3" s="304"/>
      <c r="BE3" s="304"/>
      <c r="BF3" s="304"/>
      <c r="BG3" s="304"/>
      <c r="BH3" s="304"/>
      <c r="BI3" s="304"/>
      <c r="BJ3" s="304"/>
      <c r="BK3" s="304"/>
      <c r="BL3" s="304"/>
      <c r="BM3" s="304"/>
      <c r="BN3" s="304"/>
      <c r="BO3" s="304"/>
      <c r="BP3" s="304"/>
      <c r="BQ3" s="304"/>
      <c r="BR3" s="304"/>
      <c r="BS3" s="304"/>
      <c r="BT3" s="304"/>
      <c r="BU3" s="304"/>
      <c r="BV3" s="304"/>
      <c r="BW3" s="304"/>
      <c r="BX3" s="304"/>
      <c r="BY3" s="304"/>
      <c r="BZ3" s="304"/>
      <c r="CA3" s="304"/>
      <c r="CB3" s="304"/>
      <c r="CC3" s="304"/>
      <c r="CD3" s="304"/>
      <c r="CE3" s="304"/>
      <c r="CF3" s="304"/>
      <c r="CG3" s="304"/>
      <c r="CH3" s="304"/>
      <c r="CI3" s="304"/>
      <c r="CJ3" s="304"/>
      <c r="CK3" s="304"/>
      <c r="CL3" s="304"/>
      <c r="CM3" s="304"/>
      <c r="CN3" s="304"/>
      <c r="CO3" s="304"/>
      <c r="CP3" s="304"/>
      <c r="CQ3" s="304"/>
      <c r="CR3" s="304"/>
      <c r="CS3" s="304"/>
      <c r="CT3" s="304"/>
      <c r="CU3" s="304"/>
      <c r="CV3" s="304"/>
      <c r="CW3" s="304"/>
      <c r="CX3" s="304"/>
      <c r="CY3" s="304"/>
      <c r="CZ3" s="304"/>
      <c r="DA3" s="304"/>
      <c r="DB3" s="304"/>
      <c r="DC3" s="304"/>
      <c r="DD3" s="304"/>
      <c r="DE3" s="304"/>
      <c r="DF3" s="304"/>
      <c r="DG3" s="304"/>
      <c r="DH3" s="304"/>
      <c r="DI3" s="304"/>
      <c r="DJ3" s="304"/>
      <c r="DK3" s="304"/>
      <c r="DL3" s="304"/>
      <c r="DM3" s="304"/>
      <c r="DN3" s="304"/>
      <c r="DO3" s="304"/>
      <c r="DP3" s="304"/>
      <c r="DQ3" s="304"/>
      <c r="DR3" s="304"/>
      <c r="DS3" s="304"/>
      <c r="DT3" s="304"/>
      <c r="DU3" s="304"/>
      <c r="DV3" s="304"/>
      <c r="DW3" s="304"/>
      <c r="DX3" s="304"/>
      <c r="DY3" s="304"/>
      <c r="DZ3" s="304"/>
      <c r="EA3" s="304"/>
      <c r="EB3" s="304"/>
      <c r="EC3" s="304"/>
      <c r="ED3" s="304"/>
      <c r="EE3" s="304"/>
      <c r="EF3" s="304"/>
      <c r="EG3" s="304"/>
      <c r="EH3" s="304"/>
      <c r="EI3" s="304"/>
      <c r="EJ3" s="304"/>
      <c r="EK3" s="304"/>
      <c r="EL3" s="304"/>
      <c r="EM3" s="304"/>
      <c r="EN3" s="304"/>
      <c r="EO3" s="304"/>
      <c r="EP3" s="304"/>
      <c r="EQ3" s="304"/>
      <c r="ER3" s="304"/>
      <c r="ES3" s="304"/>
      <c r="ET3" s="304"/>
      <c r="EU3" s="304"/>
      <c r="EV3" s="304"/>
      <c r="EW3" s="304"/>
      <c r="EX3" s="304"/>
      <c r="EY3" s="304"/>
      <c r="EZ3" s="304"/>
      <c r="FA3" s="304"/>
      <c r="FB3" s="304"/>
      <c r="FC3" s="304"/>
      <c r="FD3" s="304"/>
      <c r="FE3" s="304"/>
    </row>
    <row r="4" spans="1:161" s="305" customFormat="1" ht="5.25" customHeight="1" x14ac:dyDescent="0.3">
      <c r="B4" s="306"/>
      <c r="C4" s="307"/>
      <c r="D4" s="307"/>
      <c r="E4" s="307"/>
      <c r="F4" s="307"/>
      <c r="G4" s="307"/>
      <c r="H4" s="307"/>
      <c r="I4" s="307"/>
      <c r="J4" s="307"/>
      <c r="K4" s="307"/>
      <c r="L4" s="307"/>
      <c r="M4" s="307"/>
      <c r="N4" s="307"/>
      <c r="O4" s="307"/>
      <c r="P4" s="307"/>
      <c r="Q4" s="307"/>
      <c r="R4" s="307"/>
      <c r="S4" s="307"/>
      <c r="T4" s="307"/>
      <c r="U4" s="307"/>
      <c r="V4" s="307"/>
      <c r="W4" s="307"/>
      <c r="X4" s="307"/>
      <c r="Y4" s="307"/>
      <c r="Z4" s="307"/>
      <c r="AA4" s="307"/>
      <c r="AB4" s="307"/>
      <c r="AC4" s="307"/>
      <c r="AD4" s="307"/>
      <c r="AE4" s="307"/>
      <c r="AF4" s="307"/>
      <c r="AG4" s="307"/>
      <c r="AH4" s="307"/>
      <c r="AI4" s="307"/>
      <c r="AJ4" s="307"/>
      <c r="AK4" s="307"/>
      <c r="AL4" s="307"/>
      <c r="AM4" s="307"/>
      <c r="AN4" s="307"/>
      <c r="AO4" s="307"/>
      <c r="AP4" s="307"/>
      <c r="AQ4" s="307"/>
      <c r="AR4" s="307"/>
      <c r="AS4" s="307"/>
      <c r="AT4" s="307"/>
      <c r="AU4" s="307"/>
      <c r="AV4" s="307"/>
      <c r="AW4" s="307"/>
      <c r="AX4" s="307"/>
      <c r="AY4" s="307"/>
      <c r="AZ4" s="307"/>
      <c r="BA4" s="307"/>
      <c r="BB4" s="307"/>
      <c r="BC4" s="307"/>
      <c r="BD4" s="307"/>
      <c r="BE4" s="307"/>
      <c r="BF4" s="307"/>
      <c r="BG4" s="307"/>
      <c r="BH4" s="307"/>
      <c r="BI4" s="307"/>
      <c r="BJ4" s="307"/>
      <c r="BK4" s="307"/>
      <c r="BL4" s="307"/>
      <c r="BM4" s="307"/>
      <c r="BN4" s="307"/>
      <c r="BO4" s="307"/>
      <c r="BP4" s="307"/>
      <c r="BQ4" s="307"/>
      <c r="BR4" s="307"/>
      <c r="BS4" s="307"/>
      <c r="BT4" s="307"/>
      <c r="BU4" s="307"/>
      <c r="BV4" s="307"/>
      <c r="BW4" s="307"/>
      <c r="BX4" s="307"/>
      <c r="BY4" s="307"/>
      <c r="BZ4" s="307"/>
      <c r="CA4" s="307"/>
      <c r="CB4" s="307"/>
      <c r="CC4" s="307"/>
      <c r="CD4" s="307"/>
      <c r="CE4" s="307"/>
      <c r="CF4" s="307"/>
      <c r="CG4" s="307"/>
      <c r="CH4" s="307"/>
      <c r="CI4" s="307"/>
      <c r="CJ4" s="307"/>
      <c r="CK4" s="307"/>
      <c r="CL4" s="307"/>
      <c r="CM4" s="307"/>
      <c r="CN4" s="307"/>
      <c r="CO4" s="307"/>
      <c r="CP4" s="307"/>
      <c r="CQ4" s="307"/>
      <c r="CR4" s="307"/>
      <c r="CS4" s="307"/>
      <c r="CT4" s="307"/>
      <c r="CU4" s="307"/>
      <c r="CV4" s="307"/>
      <c r="CW4" s="307"/>
      <c r="CX4" s="307"/>
      <c r="CY4" s="307"/>
      <c r="CZ4" s="307"/>
      <c r="DA4" s="307"/>
      <c r="DB4" s="307"/>
      <c r="DC4" s="307"/>
      <c r="DD4" s="307"/>
      <c r="DE4" s="307"/>
      <c r="DF4" s="307"/>
      <c r="DG4" s="307"/>
      <c r="DH4" s="307"/>
      <c r="DI4" s="307"/>
      <c r="DJ4" s="307"/>
      <c r="DK4" s="307"/>
      <c r="DL4" s="307"/>
      <c r="DM4" s="307"/>
      <c r="DN4" s="307"/>
      <c r="DO4" s="307"/>
      <c r="DP4" s="307"/>
      <c r="DQ4" s="307"/>
      <c r="DR4" s="307"/>
      <c r="DS4" s="307"/>
      <c r="DT4" s="307"/>
      <c r="DU4" s="307"/>
      <c r="DV4" s="307"/>
      <c r="DW4" s="307"/>
      <c r="DX4" s="307"/>
      <c r="DY4" s="307"/>
      <c r="DZ4" s="307"/>
      <c r="EA4" s="307"/>
      <c r="EB4" s="307"/>
      <c r="EC4" s="307"/>
      <c r="ED4" s="307"/>
      <c r="EE4" s="307"/>
      <c r="EF4" s="307"/>
      <c r="EG4" s="307"/>
      <c r="EH4" s="307"/>
      <c r="EI4" s="307"/>
      <c r="EJ4" s="307"/>
      <c r="EK4" s="307"/>
      <c r="EL4" s="307"/>
      <c r="EM4" s="307"/>
      <c r="EN4" s="307"/>
      <c r="EO4" s="307"/>
      <c r="EP4" s="307"/>
      <c r="EQ4" s="307"/>
      <c r="ER4" s="307"/>
      <c r="ES4" s="307"/>
      <c r="ET4" s="307"/>
      <c r="EU4" s="307"/>
      <c r="EV4" s="307"/>
      <c r="EW4" s="307"/>
      <c r="EX4" s="307"/>
      <c r="EY4" s="307"/>
      <c r="EZ4" s="307"/>
      <c r="FA4" s="307"/>
      <c r="FB4" s="307"/>
      <c r="FC4" s="307"/>
      <c r="FD4" s="307"/>
      <c r="FE4" s="307"/>
    </row>
    <row r="5" spans="1:161" s="2" customFormat="1" ht="12.75" customHeight="1" x14ac:dyDescent="0.25">
      <c r="A5" s="3"/>
      <c r="B5" s="303"/>
    </row>
    <row r="6" spans="1:161" ht="12" customHeight="1" x14ac:dyDescent="0.25">
      <c r="B6" s="1033"/>
      <c r="C6" s="1034"/>
      <c r="D6" s="1253" t="s">
        <v>626</v>
      </c>
      <c r="E6" s="1254"/>
      <c r="F6" s="1241">
        <v>43891</v>
      </c>
      <c r="G6" s="1242"/>
      <c r="H6" s="1242"/>
      <c r="I6" s="1243"/>
      <c r="J6" s="1241">
        <f>+F7+1</f>
        <v>43922</v>
      </c>
      <c r="K6" s="1242"/>
      <c r="L6" s="1242"/>
      <c r="M6" s="1243"/>
      <c r="N6" s="1241">
        <f>+J7+1</f>
        <v>43952</v>
      </c>
      <c r="O6" s="1242"/>
      <c r="P6" s="1242"/>
      <c r="Q6" s="1243"/>
      <c r="R6" s="1241">
        <f>+N7+1</f>
        <v>43983</v>
      </c>
      <c r="S6" s="1242"/>
      <c r="T6" s="1242"/>
      <c r="U6" s="1243"/>
      <c r="V6" s="1241">
        <f>+R7+1</f>
        <v>44013</v>
      </c>
      <c r="W6" s="1242"/>
      <c r="X6" s="1242"/>
      <c r="Y6" s="1243"/>
      <c r="Z6" s="1241">
        <f>+V7+1</f>
        <v>44044</v>
      </c>
      <c r="AA6" s="1242"/>
      <c r="AB6" s="1242"/>
      <c r="AC6" s="1243"/>
      <c r="AD6" s="1241">
        <f>+Z7+1</f>
        <v>44075</v>
      </c>
      <c r="AE6" s="1242"/>
      <c r="AF6" s="1242"/>
      <c r="AG6" s="1243"/>
      <c r="AH6" s="1241">
        <f>+AD7+1</f>
        <v>44105</v>
      </c>
      <c r="AI6" s="1242"/>
      <c r="AJ6" s="1242"/>
      <c r="AK6" s="1243"/>
      <c r="AL6" s="1241">
        <f>+AH7+1</f>
        <v>44136</v>
      </c>
      <c r="AM6" s="1242"/>
      <c r="AN6" s="1242"/>
      <c r="AO6" s="1243"/>
      <c r="AP6" s="1241">
        <f>+AL7+1</f>
        <v>44166</v>
      </c>
      <c r="AQ6" s="1242"/>
      <c r="AR6" s="1242"/>
      <c r="AS6" s="1243"/>
      <c r="AT6" s="1241">
        <f>+AP7+1</f>
        <v>44197</v>
      </c>
      <c r="AU6" s="1242"/>
      <c r="AV6" s="1242"/>
      <c r="AW6" s="1243"/>
      <c r="AX6" s="1241">
        <f>+AT7+1</f>
        <v>44228</v>
      </c>
      <c r="AY6" s="1242"/>
      <c r="AZ6" s="1242"/>
      <c r="BA6" s="1243"/>
      <c r="BB6" s="1241">
        <f>+AX7+1</f>
        <v>44256</v>
      </c>
      <c r="BC6" s="1242"/>
      <c r="BD6" s="1242"/>
      <c r="BE6" s="1243"/>
      <c r="BF6" s="1241">
        <f>+BB7+1</f>
        <v>44287</v>
      </c>
      <c r="BG6" s="1242"/>
      <c r="BH6" s="1242"/>
      <c r="BI6" s="1243"/>
      <c r="BJ6" s="1241">
        <f>+BF7+1</f>
        <v>44317</v>
      </c>
      <c r="BK6" s="1242"/>
      <c r="BL6" s="1242"/>
      <c r="BM6" s="1243"/>
      <c r="BN6" s="1241">
        <f>+BJ7+1</f>
        <v>44348</v>
      </c>
      <c r="BO6" s="1242"/>
      <c r="BP6" s="1242"/>
      <c r="BQ6" s="1243"/>
      <c r="BR6" s="1241">
        <f>+BN7+1</f>
        <v>44378</v>
      </c>
      <c r="BS6" s="1242"/>
      <c r="BT6" s="1242"/>
      <c r="BU6" s="1243"/>
      <c r="BV6" s="1241">
        <f>+BR7+1</f>
        <v>44409</v>
      </c>
      <c r="BW6" s="1242"/>
      <c r="BX6" s="1242"/>
      <c r="BY6" s="1243"/>
      <c r="BZ6" s="1241">
        <f>+BV7+1</f>
        <v>44440</v>
      </c>
      <c r="CA6" s="1242"/>
      <c r="CB6" s="1242"/>
      <c r="CC6" s="1243"/>
      <c r="CD6" s="1241">
        <f>+BZ7+1</f>
        <v>44470</v>
      </c>
      <c r="CE6" s="1242"/>
      <c r="CF6" s="1242"/>
      <c r="CG6" s="1243"/>
      <c r="CH6" s="1241">
        <f>+CD7+1</f>
        <v>44501</v>
      </c>
      <c r="CI6" s="1242"/>
      <c r="CJ6" s="1242"/>
      <c r="CK6" s="1243"/>
      <c r="CL6" s="1241">
        <f>+CH7+1</f>
        <v>44531</v>
      </c>
      <c r="CM6" s="1242"/>
      <c r="CN6" s="1242"/>
      <c r="CO6" s="1243"/>
      <c r="CP6" s="1241">
        <f>+CL7+1</f>
        <v>44562</v>
      </c>
      <c r="CQ6" s="1242"/>
      <c r="CR6" s="1242"/>
      <c r="CS6" s="1243"/>
      <c r="CT6" s="1241">
        <f>+CP7+1</f>
        <v>44593</v>
      </c>
      <c r="CU6" s="1242"/>
      <c r="CV6" s="1242"/>
      <c r="CW6" s="1243"/>
      <c r="CX6" s="1241">
        <f>+CT7+1</f>
        <v>44621</v>
      </c>
      <c r="CY6" s="1242"/>
      <c r="CZ6" s="1242"/>
      <c r="DA6" s="1243"/>
      <c r="DB6" s="1241">
        <f>+CX7+1</f>
        <v>44652</v>
      </c>
      <c r="DC6" s="1242"/>
      <c r="DD6" s="1242"/>
      <c r="DE6" s="1243"/>
      <c r="DF6" s="1241">
        <f>+DB7+1</f>
        <v>44682</v>
      </c>
      <c r="DG6" s="1242"/>
      <c r="DH6" s="1242"/>
      <c r="DI6" s="1243"/>
      <c r="DJ6" s="1241">
        <f>+DF7+1</f>
        <v>44713</v>
      </c>
      <c r="DK6" s="1242"/>
      <c r="DL6" s="1242"/>
      <c r="DM6" s="1243"/>
      <c r="DN6" s="1241">
        <f>+DJ7+1</f>
        <v>44743</v>
      </c>
      <c r="DO6" s="1242"/>
      <c r="DP6" s="1242"/>
      <c r="DQ6" s="1243"/>
      <c r="DR6" s="1241">
        <f>+DN7+1</f>
        <v>44774</v>
      </c>
      <c r="DS6" s="1242"/>
      <c r="DT6" s="1242"/>
      <c r="DU6" s="1243"/>
      <c r="DV6" s="1241">
        <f>+DR7+1</f>
        <v>44805</v>
      </c>
      <c r="DW6" s="1242"/>
      <c r="DX6" s="1242"/>
      <c r="DY6" s="1243"/>
      <c r="DZ6" s="1241">
        <f>+DV7+1</f>
        <v>44835</v>
      </c>
      <c r="EA6" s="1242"/>
      <c r="EB6" s="1242"/>
      <c r="EC6" s="1243"/>
      <c r="ED6" s="1241">
        <f>+DZ7+1</f>
        <v>44866</v>
      </c>
      <c r="EE6" s="1242"/>
      <c r="EF6" s="1242"/>
      <c r="EG6" s="1243"/>
      <c r="EH6" s="1241">
        <f>+ED7+1</f>
        <v>44896</v>
      </c>
      <c r="EI6" s="1242"/>
      <c r="EJ6" s="1242"/>
      <c r="EK6" s="1243"/>
      <c r="EL6" s="1241">
        <f>+EH7+1</f>
        <v>44927</v>
      </c>
      <c r="EM6" s="1242"/>
      <c r="EN6" s="1242"/>
      <c r="EO6" s="1243"/>
      <c r="EP6" s="1241">
        <f>+EL7+1</f>
        <v>44958</v>
      </c>
      <c r="EQ6" s="1242"/>
      <c r="ER6" s="1242"/>
      <c r="ES6" s="1243"/>
      <c r="ET6" s="1241">
        <f>+EP7+1</f>
        <v>44986</v>
      </c>
      <c r="EU6" s="1242"/>
      <c r="EV6" s="1242"/>
      <c r="EW6" s="1243"/>
      <c r="EX6" s="1241">
        <f>+ET7+1</f>
        <v>45017</v>
      </c>
      <c r="EY6" s="1242"/>
      <c r="EZ6" s="1242"/>
      <c r="FA6" s="1243"/>
      <c r="FB6" s="1241">
        <f>+EX7+1</f>
        <v>45047</v>
      </c>
      <c r="FC6" s="1242"/>
      <c r="FD6" s="1242"/>
      <c r="FE6" s="1243"/>
    </row>
    <row r="7" spans="1:161" ht="12" customHeight="1" x14ac:dyDescent="0.25">
      <c r="B7" s="1035"/>
      <c r="C7" s="1036"/>
      <c r="D7" s="1255"/>
      <c r="E7" s="1256"/>
      <c r="F7" s="1244">
        <f>+EOMONTH(F6,0)</f>
        <v>43921</v>
      </c>
      <c r="G7" s="1245"/>
      <c r="H7" s="1245"/>
      <c r="I7" s="1246"/>
      <c r="J7" s="1244">
        <f>+EOMONTH(J6,0)</f>
        <v>43951</v>
      </c>
      <c r="K7" s="1245"/>
      <c r="L7" s="1245"/>
      <c r="M7" s="1246"/>
      <c r="N7" s="1244">
        <f>+EOMONTH(N6,0)</f>
        <v>43982</v>
      </c>
      <c r="O7" s="1245"/>
      <c r="P7" s="1245"/>
      <c r="Q7" s="1246"/>
      <c r="R7" s="1244">
        <f>+EOMONTH(R6,0)</f>
        <v>44012</v>
      </c>
      <c r="S7" s="1245"/>
      <c r="T7" s="1245"/>
      <c r="U7" s="1246"/>
      <c r="V7" s="1244">
        <f>+EOMONTH(V6,0)</f>
        <v>44043</v>
      </c>
      <c r="W7" s="1245"/>
      <c r="X7" s="1245"/>
      <c r="Y7" s="1246"/>
      <c r="Z7" s="1244">
        <f>+EOMONTH(Z6,0)</f>
        <v>44074</v>
      </c>
      <c r="AA7" s="1245"/>
      <c r="AB7" s="1245"/>
      <c r="AC7" s="1246"/>
      <c r="AD7" s="1244">
        <f>+EOMONTH(AD6,0)</f>
        <v>44104</v>
      </c>
      <c r="AE7" s="1245"/>
      <c r="AF7" s="1245"/>
      <c r="AG7" s="1246"/>
      <c r="AH7" s="1244">
        <f>+EOMONTH(AH6,0)</f>
        <v>44135</v>
      </c>
      <c r="AI7" s="1245"/>
      <c r="AJ7" s="1245"/>
      <c r="AK7" s="1246"/>
      <c r="AL7" s="1244">
        <f>+EOMONTH(AL6,0)</f>
        <v>44165</v>
      </c>
      <c r="AM7" s="1245"/>
      <c r="AN7" s="1245"/>
      <c r="AO7" s="1246"/>
      <c r="AP7" s="1244">
        <f>+EOMONTH(AP6,0)</f>
        <v>44196</v>
      </c>
      <c r="AQ7" s="1245"/>
      <c r="AR7" s="1245"/>
      <c r="AS7" s="1246"/>
      <c r="AT7" s="1244">
        <f>+EOMONTH(AT6,0)</f>
        <v>44227</v>
      </c>
      <c r="AU7" s="1245"/>
      <c r="AV7" s="1245"/>
      <c r="AW7" s="1246"/>
      <c r="AX7" s="1244">
        <f>+EOMONTH(AX6,0)</f>
        <v>44255</v>
      </c>
      <c r="AY7" s="1245"/>
      <c r="AZ7" s="1245"/>
      <c r="BA7" s="1246"/>
      <c r="BB7" s="1244">
        <f>+EOMONTH(BB6,0)</f>
        <v>44286</v>
      </c>
      <c r="BC7" s="1245"/>
      <c r="BD7" s="1245"/>
      <c r="BE7" s="1246"/>
      <c r="BF7" s="1244">
        <f>+EOMONTH(BF6,0)</f>
        <v>44316</v>
      </c>
      <c r="BG7" s="1245"/>
      <c r="BH7" s="1245"/>
      <c r="BI7" s="1246"/>
      <c r="BJ7" s="1244">
        <f>+EOMONTH(BJ6,0)</f>
        <v>44347</v>
      </c>
      <c r="BK7" s="1245"/>
      <c r="BL7" s="1245"/>
      <c r="BM7" s="1246"/>
      <c r="BN7" s="1244">
        <f>+EOMONTH(BN6,0)</f>
        <v>44377</v>
      </c>
      <c r="BO7" s="1245"/>
      <c r="BP7" s="1245"/>
      <c r="BQ7" s="1246"/>
      <c r="BR7" s="1244">
        <f>+EOMONTH(BR6,0)</f>
        <v>44408</v>
      </c>
      <c r="BS7" s="1245"/>
      <c r="BT7" s="1245"/>
      <c r="BU7" s="1246"/>
      <c r="BV7" s="1244">
        <f>+EOMONTH(BV6,0)</f>
        <v>44439</v>
      </c>
      <c r="BW7" s="1245"/>
      <c r="BX7" s="1245"/>
      <c r="BY7" s="1246"/>
      <c r="BZ7" s="1244">
        <f>+EOMONTH(BZ6,0)</f>
        <v>44469</v>
      </c>
      <c r="CA7" s="1245"/>
      <c r="CB7" s="1245"/>
      <c r="CC7" s="1246"/>
      <c r="CD7" s="1244">
        <f>+EOMONTH(CD6,0)</f>
        <v>44500</v>
      </c>
      <c r="CE7" s="1245"/>
      <c r="CF7" s="1245"/>
      <c r="CG7" s="1246"/>
      <c r="CH7" s="1244">
        <f>+EOMONTH(CH6,0)</f>
        <v>44530</v>
      </c>
      <c r="CI7" s="1245"/>
      <c r="CJ7" s="1245"/>
      <c r="CK7" s="1246"/>
      <c r="CL7" s="1244">
        <f>+EOMONTH(CL6,0)</f>
        <v>44561</v>
      </c>
      <c r="CM7" s="1245"/>
      <c r="CN7" s="1245"/>
      <c r="CO7" s="1246"/>
      <c r="CP7" s="1244">
        <f>+EOMONTH(CP6,0)</f>
        <v>44592</v>
      </c>
      <c r="CQ7" s="1245"/>
      <c r="CR7" s="1245"/>
      <c r="CS7" s="1246"/>
      <c r="CT7" s="1244">
        <f>+EOMONTH(CT6,0)</f>
        <v>44620</v>
      </c>
      <c r="CU7" s="1245"/>
      <c r="CV7" s="1245"/>
      <c r="CW7" s="1246"/>
      <c r="CX7" s="1244">
        <f>+EOMONTH(CX6,0)</f>
        <v>44651</v>
      </c>
      <c r="CY7" s="1245"/>
      <c r="CZ7" s="1245"/>
      <c r="DA7" s="1246"/>
      <c r="DB7" s="1244">
        <f>+EOMONTH(DB6,0)</f>
        <v>44681</v>
      </c>
      <c r="DC7" s="1245"/>
      <c r="DD7" s="1245"/>
      <c r="DE7" s="1246"/>
      <c r="DF7" s="1244">
        <f>+EOMONTH(DF6,0)</f>
        <v>44712</v>
      </c>
      <c r="DG7" s="1245"/>
      <c r="DH7" s="1245"/>
      <c r="DI7" s="1246"/>
      <c r="DJ7" s="1244">
        <f>+EOMONTH(DJ6,0)</f>
        <v>44742</v>
      </c>
      <c r="DK7" s="1245"/>
      <c r="DL7" s="1245"/>
      <c r="DM7" s="1246"/>
      <c r="DN7" s="1244">
        <f>+EOMONTH(DN6,0)</f>
        <v>44773</v>
      </c>
      <c r="DO7" s="1245"/>
      <c r="DP7" s="1245"/>
      <c r="DQ7" s="1246"/>
      <c r="DR7" s="1244">
        <f>+EOMONTH(DR6,0)</f>
        <v>44804</v>
      </c>
      <c r="DS7" s="1245"/>
      <c r="DT7" s="1245"/>
      <c r="DU7" s="1246"/>
      <c r="DV7" s="1244">
        <f>+EOMONTH(DV6,0)</f>
        <v>44834</v>
      </c>
      <c r="DW7" s="1245"/>
      <c r="DX7" s="1245"/>
      <c r="DY7" s="1246"/>
      <c r="DZ7" s="1244">
        <f>+EOMONTH(DZ6,0)</f>
        <v>44865</v>
      </c>
      <c r="EA7" s="1245"/>
      <c r="EB7" s="1245"/>
      <c r="EC7" s="1246"/>
      <c r="ED7" s="1244">
        <f>+EOMONTH(ED6,0)</f>
        <v>44895</v>
      </c>
      <c r="EE7" s="1245"/>
      <c r="EF7" s="1245"/>
      <c r="EG7" s="1246"/>
      <c r="EH7" s="1244">
        <f>+EOMONTH(EH6,0)</f>
        <v>44926</v>
      </c>
      <c r="EI7" s="1245"/>
      <c r="EJ7" s="1245"/>
      <c r="EK7" s="1246"/>
      <c r="EL7" s="1244">
        <f>+EOMONTH(EL6,0)</f>
        <v>44957</v>
      </c>
      <c r="EM7" s="1245"/>
      <c r="EN7" s="1245"/>
      <c r="EO7" s="1246"/>
      <c r="EP7" s="1244">
        <f>+EOMONTH(EP6,0)</f>
        <v>44985</v>
      </c>
      <c r="EQ7" s="1245"/>
      <c r="ER7" s="1245"/>
      <c r="ES7" s="1246"/>
      <c r="ET7" s="1244">
        <f>+EOMONTH(ET6,0)</f>
        <v>45016</v>
      </c>
      <c r="EU7" s="1245"/>
      <c r="EV7" s="1245"/>
      <c r="EW7" s="1246"/>
      <c r="EX7" s="1244">
        <f>+EOMONTH(EX6,0)</f>
        <v>45046</v>
      </c>
      <c r="EY7" s="1245"/>
      <c r="EZ7" s="1245"/>
      <c r="FA7" s="1246"/>
      <c r="FB7" s="1244">
        <f>+EOMONTH(FB6,0)</f>
        <v>45077</v>
      </c>
      <c r="FC7" s="1245"/>
      <c r="FD7" s="1245"/>
      <c r="FE7" s="1246"/>
    </row>
    <row r="8" spans="1:161" ht="12" customHeight="1" x14ac:dyDescent="0.25">
      <c r="B8" s="1035"/>
      <c r="C8" s="1036"/>
      <c r="D8" s="1255"/>
      <c r="E8" s="1256"/>
      <c r="F8" s="1247">
        <v>43</v>
      </c>
      <c r="G8" s="1248"/>
      <c r="H8" s="1248"/>
      <c r="I8" s="1249"/>
      <c r="J8" s="1247">
        <f>+F8+1</f>
        <v>44</v>
      </c>
      <c r="K8" s="1248"/>
      <c r="L8" s="1248"/>
      <c r="M8" s="1249"/>
      <c r="N8" s="1247">
        <f>+J8+1</f>
        <v>45</v>
      </c>
      <c r="O8" s="1248"/>
      <c r="P8" s="1248"/>
      <c r="Q8" s="1249"/>
      <c r="R8" s="1247">
        <f>+N8+1</f>
        <v>46</v>
      </c>
      <c r="S8" s="1248"/>
      <c r="T8" s="1248"/>
      <c r="U8" s="1249"/>
      <c r="V8" s="1247">
        <f>+R8+1</f>
        <v>47</v>
      </c>
      <c r="W8" s="1248"/>
      <c r="X8" s="1248"/>
      <c r="Y8" s="1249"/>
      <c r="Z8" s="1247">
        <f>+V8+1</f>
        <v>48</v>
      </c>
      <c r="AA8" s="1248"/>
      <c r="AB8" s="1248"/>
      <c r="AC8" s="1249"/>
      <c r="AD8" s="1247">
        <f>+Z8+1</f>
        <v>49</v>
      </c>
      <c r="AE8" s="1248"/>
      <c r="AF8" s="1248"/>
      <c r="AG8" s="1249"/>
      <c r="AH8" s="1247">
        <f>+AD8+1</f>
        <v>50</v>
      </c>
      <c r="AI8" s="1248"/>
      <c r="AJ8" s="1248"/>
      <c r="AK8" s="1249"/>
      <c r="AL8" s="1247">
        <f>+AH8+1</f>
        <v>51</v>
      </c>
      <c r="AM8" s="1248"/>
      <c r="AN8" s="1248"/>
      <c r="AO8" s="1249"/>
      <c r="AP8" s="1247">
        <f>+AL8+1</f>
        <v>52</v>
      </c>
      <c r="AQ8" s="1248"/>
      <c r="AR8" s="1248"/>
      <c r="AS8" s="1249"/>
      <c r="AT8" s="1247">
        <f>+AP8+1</f>
        <v>53</v>
      </c>
      <c r="AU8" s="1248"/>
      <c r="AV8" s="1248"/>
      <c r="AW8" s="1249"/>
      <c r="AX8" s="1247">
        <f>+AT8+1</f>
        <v>54</v>
      </c>
      <c r="AY8" s="1248"/>
      <c r="AZ8" s="1248"/>
      <c r="BA8" s="1249"/>
      <c r="BB8" s="1247">
        <f>+AX8+1</f>
        <v>55</v>
      </c>
      <c r="BC8" s="1248"/>
      <c r="BD8" s="1248"/>
      <c r="BE8" s="1249"/>
      <c r="BF8" s="1247">
        <f>+BB8+1</f>
        <v>56</v>
      </c>
      <c r="BG8" s="1248"/>
      <c r="BH8" s="1248"/>
      <c r="BI8" s="1249"/>
      <c r="BJ8" s="1247">
        <f>+BF8+1</f>
        <v>57</v>
      </c>
      <c r="BK8" s="1248"/>
      <c r="BL8" s="1248"/>
      <c r="BM8" s="1249"/>
      <c r="BN8" s="1247">
        <f>+BJ8+1</f>
        <v>58</v>
      </c>
      <c r="BO8" s="1248"/>
      <c r="BP8" s="1248"/>
      <c r="BQ8" s="1249"/>
      <c r="BR8" s="1247">
        <f>+BN8+1</f>
        <v>59</v>
      </c>
      <c r="BS8" s="1248"/>
      <c r="BT8" s="1248"/>
      <c r="BU8" s="1249"/>
      <c r="BV8" s="1247">
        <f>+BR8+1</f>
        <v>60</v>
      </c>
      <c r="BW8" s="1248"/>
      <c r="BX8" s="1248"/>
      <c r="BY8" s="1249"/>
      <c r="BZ8" s="1247">
        <f>+BV8+1</f>
        <v>61</v>
      </c>
      <c r="CA8" s="1248"/>
      <c r="CB8" s="1248"/>
      <c r="CC8" s="1249"/>
      <c r="CD8" s="1247">
        <f>+BZ8+1</f>
        <v>62</v>
      </c>
      <c r="CE8" s="1248"/>
      <c r="CF8" s="1248"/>
      <c r="CG8" s="1249"/>
      <c r="CH8" s="1247">
        <f>+CD8+1</f>
        <v>63</v>
      </c>
      <c r="CI8" s="1248"/>
      <c r="CJ8" s="1248"/>
      <c r="CK8" s="1249"/>
      <c r="CL8" s="1247">
        <f>+CH8+1</f>
        <v>64</v>
      </c>
      <c r="CM8" s="1248"/>
      <c r="CN8" s="1248"/>
      <c r="CO8" s="1249"/>
      <c r="CP8" s="1247">
        <f>+CL8+1</f>
        <v>65</v>
      </c>
      <c r="CQ8" s="1248"/>
      <c r="CR8" s="1248"/>
      <c r="CS8" s="1249"/>
      <c r="CT8" s="1247">
        <f>+CP8+1</f>
        <v>66</v>
      </c>
      <c r="CU8" s="1248"/>
      <c r="CV8" s="1248"/>
      <c r="CW8" s="1249"/>
      <c r="CX8" s="1247">
        <f>+CT8+1</f>
        <v>67</v>
      </c>
      <c r="CY8" s="1248"/>
      <c r="CZ8" s="1248"/>
      <c r="DA8" s="1249"/>
      <c r="DB8" s="1247">
        <f>+CX8+1</f>
        <v>68</v>
      </c>
      <c r="DC8" s="1248"/>
      <c r="DD8" s="1248"/>
      <c r="DE8" s="1249"/>
      <c r="DF8" s="1247">
        <f>+DB8+1</f>
        <v>69</v>
      </c>
      <c r="DG8" s="1248"/>
      <c r="DH8" s="1248"/>
      <c r="DI8" s="1249"/>
      <c r="DJ8" s="1247">
        <f>+DF8+1</f>
        <v>70</v>
      </c>
      <c r="DK8" s="1248"/>
      <c r="DL8" s="1248"/>
      <c r="DM8" s="1249"/>
      <c r="DN8" s="1247">
        <f>+DJ8+1</f>
        <v>71</v>
      </c>
      <c r="DO8" s="1248"/>
      <c r="DP8" s="1248"/>
      <c r="DQ8" s="1249"/>
      <c r="DR8" s="1247">
        <f>+DN8+1</f>
        <v>72</v>
      </c>
      <c r="DS8" s="1248"/>
      <c r="DT8" s="1248"/>
      <c r="DU8" s="1249"/>
      <c r="DV8" s="1247">
        <f>+DR8+1</f>
        <v>73</v>
      </c>
      <c r="DW8" s="1248"/>
      <c r="DX8" s="1248"/>
      <c r="DY8" s="1249"/>
      <c r="DZ8" s="1247">
        <f>+DV8+1</f>
        <v>74</v>
      </c>
      <c r="EA8" s="1248"/>
      <c r="EB8" s="1248"/>
      <c r="EC8" s="1249"/>
      <c r="ED8" s="1247">
        <f>+DZ8+1</f>
        <v>75</v>
      </c>
      <c r="EE8" s="1248"/>
      <c r="EF8" s="1248"/>
      <c r="EG8" s="1249"/>
      <c r="EH8" s="1247">
        <f>+ED8+1</f>
        <v>76</v>
      </c>
      <c r="EI8" s="1248"/>
      <c r="EJ8" s="1248"/>
      <c r="EK8" s="1249"/>
      <c r="EL8" s="1247">
        <f>+EH8+1</f>
        <v>77</v>
      </c>
      <c r="EM8" s="1248"/>
      <c r="EN8" s="1248"/>
      <c r="EO8" s="1249"/>
      <c r="EP8" s="1247">
        <f>+EL8+1</f>
        <v>78</v>
      </c>
      <c r="EQ8" s="1248"/>
      <c r="ER8" s="1248"/>
      <c r="ES8" s="1249"/>
      <c r="ET8" s="1247">
        <f>+EP8+1</f>
        <v>79</v>
      </c>
      <c r="EU8" s="1248"/>
      <c r="EV8" s="1248"/>
      <c r="EW8" s="1249"/>
      <c r="EX8" s="1247">
        <f>+ET8+1</f>
        <v>80</v>
      </c>
      <c r="EY8" s="1248"/>
      <c r="EZ8" s="1248"/>
      <c r="FA8" s="1249"/>
      <c r="FB8" s="1247">
        <f>+EX8+1</f>
        <v>81</v>
      </c>
      <c r="FC8" s="1248"/>
      <c r="FD8" s="1248"/>
      <c r="FE8" s="1249"/>
    </row>
    <row r="9" spans="1:161" ht="12" customHeight="1" x14ac:dyDescent="0.25">
      <c r="B9" s="1037"/>
      <c r="C9" s="1038"/>
      <c r="D9" s="1257"/>
      <c r="E9" s="1258"/>
      <c r="F9" s="1250">
        <f>+ROUNDUP(F8/12,0)</f>
        <v>4</v>
      </c>
      <c r="G9" s="1251"/>
      <c r="H9" s="1251"/>
      <c r="I9" s="1252"/>
      <c r="J9" s="1250">
        <f>+ROUNDUP(J8/12,0)</f>
        <v>4</v>
      </c>
      <c r="K9" s="1251"/>
      <c r="L9" s="1251"/>
      <c r="M9" s="1252"/>
      <c r="N9" s="1250">
        <f>+ROUNDUP(N8/12,0)</f>
        <v>4</v>
      </c>
      <c r="O9" s="1251"/>
      <c r="P9" s="1251"/>
      <c r="Q9" s="1252"/>
      <c r="R9" s="1250">
        <f>+ROUNDUP(R8/12,0)</f>
        <v>4</v>
      </c>
      <c r="S9" s="1251"/>
      <c r="T9" s="1251"/>
      <c r="U9" s="1252"/>
      <c r="V9" s="1250">
        <f>+ROUNDUP(V8/12,0)</f>
        <v>4</v>
      </c>
      <c r="W9" s="1251"/>
      <c r="X9" s="1251"/>
      <c r="Y9" s="1252"/>
      <c r="Z9" s="1250">
        <f>+ROUNDUP(Z8/12,0)</f>
        <v>4</v>
      </c>
      <c r="AA9" s="1251"/>
      <c r="AB9" s="1251"/>
      <c r="AC9" s="1252"/>
      <c r="AD9" s="1250">
        <f>+ROUNDUP(AD8/12,0)</f>
        <v>5</v>
      </c>
      <c r="AE9" s="1251"/>
      <c r="AF9" s="1251"/>
      <c r="AG9" s="1252"/>
      <c r="AH9" s="1250">
        <f>+ROUNDUP(AH8/12,0)</f>
        <v>5</v>
      </c>
      <c r="AI9" s="1251"/>
      <c r="AJ9" s="1251"/>
      <c r="AK9" s="1252"/>
      <c r="AL9" s="1250">
        <f>+ROUNDUP(AL8/12,0)</f>
        <v>5</v>
      </c>
      <c r="AM9" s="1251"/>
      <c r="AN9" s="1251"/>
      <c r="AO9" s="1252"/>
      <c r="AP9" s="1250">
        <f>+ROUNDUP(AP8/12,0)</f>
        <v>5</v>
      </c>
      <c r="AQ9" s="1251"/>
      <c r="AR9" s="1251"/>
      <c r="AS9" s="1252"/>
      <c r="AT9" s="1250">
        <f>+ROUNDUP(AT8/12,0)</f>
        <v>5</v>
      </c>
      <c r="AU9" s="1251"/>
      <c r="AV9" s="1251"/>
      <c r="AW9" s="1252"/>
      <c r="AX9" s="1250">
        <f>+ROUNDUP(AX8/12,0)</f>
        <v>5</v>
      </c>
      <c r="AY9" s="1251"/>
      <c r="AZ9" s="1251"/>
      <c r="BA9" s="1252"/>
      <c r="BB9" s="1250">
        <f>+ROUNDUP(BB8/12,0)</f>
        <v>5</v>
      </c>
      <c r="BC9" s="1251"/>
      <c r="BD9" s="1251"/>
      <c r="BE9" s="1252"/>
      <c r="BF9" s="1250">
        <f>+ROUNDUP(BF8/12,0)</f>
        <v>5</v>
      </c>
      <c r="BG9" s="1251"/>
      <c r="BH9" s="1251"/>
      <c r="BI9" s="1252"/>
      <c r="BJ9" s="1250">
        <f>+ROUNDUP(BJ8/12,0)</f>
        <v>5</v>
      </c>
      <c r="BK9" s="1251"/>
      <c r="BL9" s="1251"/>
      <c r="BM9" s="1252"/>
      <c r="BN9" s="1250">
        <f>+ROUNDUP(BN8/12,0)</f>
        <v>5</v>
      </c>
      <c r="BO9" s="1251"/>
      <c r="BP9" s="1251"/>
      <c r="BQ9" s="1252"/>
      <c r="BR9" s="1250">
        <f>+ROUNDUP(BR8/12,0)</f>
        <v>5</v>
      </c>
      <c r="BS9" s="1251"/>
      <c r="BT9" s="1251"/>
      <c r="BU9" s="1252"/>
      <c r="BV9" s="1250">
        <f>+ROUNDUP(BV8/12,0)</f>
        <v>5</v>
      </c>
      <c r="BW9" s="1251"/>
      <c r="BX9" s="1251"/>
      <c r="BY9" s="1252"/>
      <c r="BZ9" s="1250">
        <f>+ROUNDUP(BZ8/12,0)</f>
        <v>6</v>
      </c>
      <c r="CA9" s="1251"/>
      <c r="CB9" s="1251"/>
      <c r="CC9" s="1252"/>
      <c r="CD9" s="1250">
        <f>+ROUNDUP(CD8/12,0)</f>
        <v>6</v>
      </c>
      <c r="CE9" s="1251"/>
      <c r="CF9" s="1251"/>
      <c r="CG9" s="1252"/>
      <c r="CH9" s="1250">
        <f>+ROUNDUP(CH8/12,0)</f>
        <v>6</v>
      </c>
      <c r="CI9" s="1251"/>
      <c r="CJ9" s="1251"/>
      <c r="CK9" s="1252"/>
      <c r="CL9" s="1250">
        <f>+ROUNDUP(CL8/12,0)</f>
        <v>6</v>
      </c>
      <c r="CM9" s="1251"/>
      <c r="CN9" s="1251"/>
      <c r="CO9" s="1252"/>
      <c r="CP9" s="1250">
        <f>+ROUNDUP(CP8/12,0)</f>
        <v>6</v>
      </c>
      <c r="CQ9" s="1251"/>
      <c r="CR9" s="1251"/>
      <c r="CS9" s="1252"/>
      <c r="CT9" s="1250">
        <f>+ROUNDUP(CT8/12,0)</f>
        <v>6</v>
      </c>
      <c r="CU9" s="1251"/>
      <c r="CV9" s="1251"/>
      <c r="CW9" s="1252"/>
      <c r="CX9" s="1250">
        <f>+ROUNDUP(CX8/12,0)</f>
        <v>6</v>
      </c>
      <c r="CY9" s="1251"/>
      <c r="CZ9" s="1251"/>
      <c r="DA9" s="1252"/>
      <c r="DB9" s="1250">
        <f>+ROUNDUP(DB8/12,0)</f>
        <v>6</v>
      </c>
      <c r="DC9" s="1251"/>
      <c r="DD9" s="1251"/>
      <c r="DE9" s="1252"/>
      <c r="DF9" s="1250">
        <f>+ROUNDUP(DF8/12,0)</f>
        <v>6</v>
      </c>
      <c r="DG9" s="1251"/>
      <c r="DH9" s="1251"/>
      <c r="DI9" s="1252"/>
      <c r="DJ9" s="1250">
        <f>+ROUNDUP(DJ8/12,0)</f>
        <v>6</v>
      </c>
      <c r="DK9" s="1251"/>
      <c r="DL9" s="1251"/>
      <c r="DM9" s="1252"/>
      <c r="DN9" s="1250">
        <f>+ROUNDUP(DN8/12,0)</f>
        <v>6</v>
      </c>
      <c r="DO9" s="1251"/>
      <c r="DP9" s="1251"/>
      <c r="DQ9" s="1252"/>
      <c r="DR9" s="1250">
        <f>+ROUNDUP(DR8/12,0)</f>
        <v>6</v>
      </c>
      <c r="DS9" s="1251"/>
      <c r="DT9" s="1251"/>
      <c r="DU9" s="1252"/>
      <c r="DV9" s="1250">
        <f>+ROUNDUP(DV8/12,0)</f>
        <v>7</v>
      </c>
      <c r="DW9" s="1251"/>
      <c r="DX9" s="1251"/>
      <c r="DY9" s="1252"/>
      <c r="DZ9" s="1250">
        <f>+ROUNDUP(DZ8/12,0)</f>
        <v>7</v>
      </c>
      <c r="EA9" s="1251"/>
      <c r="EB9" s="1251"/>
      <c r="EC9" s="1252"/>
      <c r="ED9" s="1250">
        <f>+ROUNDUP(ED8/12,0)</f>
        <v>7</v>
      </c>
      <c r="EE9" s="1251"/>
      <c r="EF9" s="1251"/>
      <c r="EG9" s="1252"/>
      <c r="EH9" s="1250">
        <f>+ROUNDUP(EH8/12,0)</f>
        <v>7</v>
      </c>
      <c r="EI9" s="1251"/>
      <c r="EJ9" s="1251"/>
      <c r="EK9" s="1252"/>
      <c r="EL9" s="1250">
        <f>+ROUNDUP(EL8/12,0)</f>
        <v>7</v>
      </c>
      <c r="EM9" s="1251"/>
      <c r="EN9" s="1251"/>
      <c r="EO9" s="1252"/>
      <c r="EP9" s="1250">
        <f>+ROUNDUP(EP8/12,0)</f>
        <v>7</v>
      </c>
      <c r="EQ9" s="1251"/>
      <c r="ER9" s="1251"/>
      <c r="ES9" s="1252"/>
      <c r="ET9" s="1250">
        <f>+ROUNDUP(ET8/12,0)</f>
        <v>7</v>
      </c>
      <c r="EU9" s="1251"/>
      <c r="EV9" s="1251"/>
      <c r="EW9" s="1252"/>
      <c r="EX9" s="1250">
        <f>+ROUNDUP(EX8/12,0)</f>
        <v>7</v>
      </c>
      <c r="EY9" s="1251"/>
      <c r="EZ9" s="1251"/>
      <c r="FA9" s="1252"/>
      <c r="FB9" s="1250">
        <f>+ROUNDUP(FB8/12,0)</f>
        <v>7</v>
      </c>
      <c r="FC9" s="1251"/>
      <c r="FD9" s="1251"/>
      <c r="FE9" s="1252"/>
    </row>
    <row r="10" spans="1:161" ht="12" customHeight="1" x14ac:dyDescent="0.25">
      <c r="E10" s="276"/>
      <c r="F10" s="276"/>
      <c r="G10" s="276"/>
      <c r="H10" s="276"/>
      <c r="I10" s="276"/>
      <c r="J10" s="276"/>
      <c r="K10" s="276"/>
      <c r="L10" s="276"/>
      <c r="M10" s="276"/>
      <c r="N10" s="276"/>
      <c r="O10" s="276"/>
      <c r="P10" s="276"/>
      <c r="Q10" s="276"/>
      <c r="R10" s="276"/>
      <c r="S10" s="276"/>
      <c r="T10" s="276"/>
      <c r="U10" s="276"/>
      <c r="V10" s="276"/>
      <c r="W10" s="276"/>
      <c r="X10" s="276"/>
      <c r="Y10" s="276"/>
      <c r="Z10" s="276"/>
      <c r="AA10" s="276"/>
      <c r="AB10" s="276"/>
      <c r="AC10" s="276"/>
      <c r="AD10" s="276"/>
      <c r="AE10" s="276"/>
      <c r="AF10" s="276"/>
      <c r="AG10" s="276"/>
      <c r="AH10" s="276"/>
      <c r="AI10" s="276"/>
      <c r="AJ10" s="276"/>
      <c r="AK10" s="276"/>
      <c r="AL10" s="276"/>
      <c r="AM10" s="276"/>
      <c r="AN10" s="276"/>
      <c r="AO10" s="276"/>
      <c r="AP10" s="276"/>
      <c r="AQ10" s="276"/>
      <c r="AR10" s="276"/>
      <c r="AS10" s="276"/>
      <c r="AT10" s="276"/>
      <c r="AU10" s="276"/>
      <c r="AV10" s="276"/>
      <c r="AW10" s="276"/>
      <c r="AX10" s="276"/>
      <c r="AY10" s="276"/>
      <c r="AZ10" s="276"/>
      <c r="BA10" s="276"/>
      <c r="BB10" s="276"/>
      <c r="BC10" s="276"/>
      <c r="BD10" s="276"/>
      <c r="BE10" s="276"/>
      <c r="BF10" s="276"/>
      <c r="BG10" s="276"/>
      <c r="BH10" s="276"/>
      <c r="BI10" s="276"/>
      <c r="BJ10" s="276"/>
      <c r="BK10" s="276"/>
      <c r="BL10" s="276"/>
      <c r="BM10" s="276"/>
      <c r="BN10" s="276"/>
      <c r="BO10" s="276"/>
      <c r="BP10" s="276"/>
      <c r="BQ10" s="276"/>
      <c r="BR10" s="276"/>
      <c r="BS10" s="276"/>
      <c r="BT10" s="276"/>
      <c r="BU10" s="276"/>
      <c r="BV10" s="276"/>
      <c r="BW10" s="276"/>
      <c r="BX10" s="276"/>
      <c r="BY10" s="276"/>
      <c r="BZ10" s="276"/>
      <c r="CA10" s="276"/>
      <c r="CB10" s="276"/>
      <c r="CC10" s="276"/>
      <c r="CD10" s="276"/>
      <c r="CE10" s="276"/>
      <c r="CF10" s="276"/>
      <c r="CG10" s="276"/>
      <c r="CH10" s="276"/>
      <c r="CI10" s="276"/>
      <c r="CJ10" s="276"/>
      <c r="CK10" s="276"/>
      <c r="CL10" s="276"/>
      <c r="CM10" s="276"/>
      <c r="CN10" s="276"/>
      <c r="CO10" s="276"/>
      <c r="CP10" s="276"/>
      <c r="CQ10" s="276"/>
      <c r="CR10" s="276"/>
      <c r="CS10" s="276"/>
      <c r="CT10" s="276"/>
      <c r="CU10" s="276"/>
      <c r="CV10" s="276"/>
      <c r="CW10" s="276"/>
      <c r="CX10" s="276"/>
      <c r="CY10" s="276"/>
      <c r="CZ10" s="276"/>
      <c r="DA10" s="276"/>
      <c r="DB10" s="276"/>
      <c r="DC10" s="276"/>
      <c r="DD10" s="276"/>
      <c r="DE10" s="276"/>
      <c r="DF10" s="276"/>
      <c r="DG10" s="276"/>
      <c r="DH10" s="276"/>
      <c r="DI10" s="276"/>
      <c r="DJ10" s="276"/>
      <c r="DK10" s="276"/>
      <c r="DL10" s="276"/>
      <c r="DM10" s="276"/>
      <c r="DN10" s="276"/>
      <c r="DO10" s="276"/>
      <c r="DP10" s="276"/>
      <c r="DQ10" s="276"/>
      <c r="DR10" s="276"/>
      <c r="DS10" s="276"/>
      <c r="DT10" s="276"/>
      <c r="DU10" s="276"/>
      <c r="DV10" s="276"/>
      <c r="DW10" s="276"/>
      <c r="DX10" s="276"/>
      <c r="DY10" s="276"/>
      <c r="DZ10" s="276"/>
      <c r="EA10" s="276"/>
      <c r="EB10" s="276"/>
      <c r="EC10" s="276"/>
      <c r="ED10" s="276"/>
      <c r="EE10" s="276"/>
      <c r="EF10" s="276"/>
      <c r="EG10" s="276"/>
      <c r="EH10" s="276"/>
      <c r="EI10" s="276"/>
      <c r="EJ10" s="276"/>
      <c r="EK10" s="276"/>
      <c r="EL10" s="276"/>
      <c r="EM10" s="276"/>
      <c r="EN10" s="276"/>
      <c r="EO10" s="276"/>
      <c r="EP10" s="276"/>
      <c r="EQ10" s="276"/>
      <c r="ER10" s="276"/>
      <c r="ES10" s="276"/>
      <c r="ET10" s="276"/>
      <c r="EU10" s="276"/>
      <c r="EV10" s="276"/>
      <c r="EW10" s="276"/>
      <c r="EX10" s="276"/>
      <c r="EY10" s="276"/>
      <c r="EZ10" s="276"/>
      <c r="FA10" s="276"/>
      <c r="FB10" s="276"/>
      <c r="FC10" s="276"/>
      <c r="FD10" s="276"/>
      <c r="FE10" s="276"/>
    </row>
    <row r="11" spans="1:161" ht="12" customHeight="1" x14ac:dyDescent="0.25">
      <c r="E11" s="276"/>
      <c r="F11" s="276"/>
      <c r="G11" s="276"/>
      <c r="H11" s="276"/>
      <c r="I11" s="276"/>
      <c r="J11" s="276"/>
      <c r="K11" s="276"/>
      <c r="L11" s="276"/>
      <c r="M11" s="276"/>
      <c r="N11" s="276"/>
      <c r="O11" s="276"/>
      <c r="P11" s="276"/>
      <c r="Q11" s="276"/>
      <c r="R11" s="276"/>
      <c r="S11" s="276"/>
      <c r="T11" s="276"/>
      <c r="U11" s="276"/>
      <c r="V11" s="276"/>
      <c r="W11" s="276"/>
      <c r="X11" s="276"/>
      <c r="Y11" s="276"/>
      <c r="Z11" s="276"/>
      <c r="AA11" s="276"/>
      <c r="AB11" s="276"/>
      <c r="AC11" s="276"/>
      <c r="AD11" s="276"/>
      <c r="AE11" s="276"/>
      <c r="AF11" s="276"/>
      <c r="AG11" s="276"/>
      <c r="AH11" s="276"/>
      <c r="AI11" s="276"/>
      <c r="AJ11" s="276"/>
      <c r="AK11" s="276"/>
      <c r="AL11" s="276"/>
      <c r="AM11" s="276"/>
      <c r="AN11" s="276"/>
      <c r="AO11" s="276"/>
      <c r="AP11" s="276"/>
      <c r="AQ11" s="276"/>
      <c r="AR11" s="276"/>
      <c r="AS11" s="276"/>
      <c r="AT11" s="276"/>
      <c r="AU11" s="276"/>
      <c r="AV11" s="276"/>
      <c r="AW11" s="276"/>
      <c r="AX11" s="276"/>
      <c r="AY11" s="276"/>
      <c r="AZ11" s="276"/>
      <c r="BA11" s="276"/>
      <c r="BB11" s="276"/>
      <c r="BC11" s="276"/>
      <c r="BD11" s="276"/>
      <c r="BE11" s="276"/>
      <c r="BF11" s="276"/>
      <c r="BG11" s="276"/>
      <c r="BH11" s="276"/>
      <c r="BI11" s="276"/>
      <c r="BJ11" s="276"/>
      <c r="BK11" s="276"/>
      <c r="BL11" s="276"/>
      <c r="BM11" s="276"/>
      <c r="BN11" s="276"/>
      <c r="BO11" s="276"/>
      <c r="BP11" s="276"/>
      <c r="BQ11" s="276"/>
      <c r="BR11" s="276"/>
      <c r="BS11" s="276"/>
      <c r="BT11" s="276"/>
      <c r="BU11" s="276"/>
      <c r="BV11" s="276"/>
      <c r="BW11" s="276"/>
      <c r="BX11" s="276"/>
      <c r="BY11" s="276"/>
      <c r="BZ11" s="276"/>
      <c r="CA11" s="276"/>
      <c r="CB11" s="276"/>
      <c r="CC11" s="276"/>
      <c r="CD11" s="276"/>
      <c r="CE11" s="276"/>
      <c r="CF11" s="276"/>
      <c r="CG11" s="276"/>
      <c r="CH11" s="276"/>
      <c r="CI11" s="276"/>
      <c r="CJ11" s="276"/>
      <c r="CK11" s="276"/>
      <c r="CL11" s="276"/>
      <c r="CM11" s="276"/>
      <c r="CN11" s="276"/>
      <c r="CO11" s="276"/>
      <c r="CP11" s="276"/>
      <c r="CQ11" s="276"/>
      <c r="CR11" s="276"/>
      <c r="CS11" s="276"/>
      <c r="CT11" s="276"/>
      <c r="CU11" s="276"/>
      <c r="CV11" s="276"/>
      <c r="CW11" s="276"/>
      <c r="CX11" s="276"/>
      <c r="CY11" s="276"/>
      <c r="CZ11" s="276"/>
      <c r="DA11" s="276"/>
      <c r="DB11" s="276"/>
      <c r="DC11" s="276"/>
      <c r="DD11" s="276"/>
      <c r="DE11" s="276"/>
      <c r="DF11" s="276"/>
      <c r="DG11" s="276"/>
      <c r="DH11" s="276"/>
      <c r="DI11" s="276"/>
      <c r="DJ11" s="276"/>
      <c r="DK11" s="276"/>
      <c r="DL11" s="276"/>
      <c r="DM11" s="276"/>
      <c r="DN11" s="276"/>
      <c r="DO11" s="276"/>
      <c r="DP11" s="276"/>
      <c r="DQ11" s="276"/>
      <c r="DR11" s="276"/>
      <c r="DS11" s="276"/>
      <c r="DT11" s="276"/>
      <c r="DU11" s="276"/>
      <c r="DV11" s="276"/>
      <c r="DW11" s="276"/>
      <c r="DX11" s="276"/>
      <c r="DY11" s="276"/>
      <c r="DZ11" s="276"/>
      <c r="EA11" s="276"/>
      <c r="EB11" s="276"/>
      <c r="EC11" s="276"/>
      <c r="ED11" s="276"/>
      <c r="EE11" s="276"/>
      <c r="EF11" s="276"/>
      <c r="EG11" s="276"/>
      <c r="EH11" s="276"/>
      <c r="EI11" s="276"/>
      <c r="EJ11" s="276"/>
      <c r="EK11" s="276"/>
      <c r="EL11" s="276"/>
      <c r="EM11" s="276"/>
      <c r="EN11" s="276"/>
      <c r="EO11" s="276"/>
      <c r="EP11" s="276"/>
      <c r="EQ11" s="276"/>
      <c r="ER11" s="276"/>
      <c r="ES11" s="276"/>
      <c r="ET11" s="276"/>
      <c r="EU11" s="276"/>
      <c r="EV11" s="276"/>
      <c r="EW11" s="276"/>
      <c r="EX11" s="276"/>
      <c r="EY11" s="276"/>
      <c r="EZ11" s="276"/>
      <c r="FA11" s="276"/>
      <c r="FB11" s="276"/>
      <c r="FC11" s="276"/>
      <c r="FD11" s="276"/>
      <c r="FE11" s="276"/>
    </row>
    <row r="12" spans="1:161" x14ac:dyDescent="0.25">
      <c r="B12" s="313" t="s">
        <v>627</v>
      </c>
      <c r="C12" s="313"/>
      <c r="D12" s="313"/>
      <c r="E12" s="313"/>
      <c r="F12" s="313"/>
      <c r="G12" s="313"/>
      <c r="H12" s="313"/>
      <c r="I12" s="313"/>
      <c r="J12" s="313"/>
      <c r="K12" s="313"/>
      <c r="L12" s="313"/>
      <c r="M12" s="313"/>
      <c r="N12" s="313"/>
      <c r="O12" s="313"/>
      <c r="P12" s="313"/>
      <c r="Q12" s="313"/>
      <c r="R12" s="313"/>
      <c r="S12" s="313"/>
      <c r="T12" s="313"/>
      <c r="U12" s="313"/>
      <c r="V12" s="313"/>
      <c r="W12" s="313"/>
      <c r="X12" s="313"/>
      <c r="Y12" s="313"/>
      <c r="Z12" s="313"/>
      <c r="AA12" s="313"/>
      <c r="AB12" s="313"/>
      <c r="AC12" s="313"/>
      <c r="AD12" s="313"/>
      <c r="AE12" s="313"/>
      <c r="AF12" s="313"/>
      <c r="AG12" s="313"/>
      <c r="AH12" s="313"/>
      <c r="AI12" s="313"/>
      <c r="AJ12" s="313"/>
      <c r="AK12" s="313"/>
      <c r="AL12" s="313"/>
      <c r="AM12" s="313"/>
      <c r="AN12" s="313"/>
      <c r="AO12" s="313"/>
      <c r="AP12" s="313"/>
      <c r="AQ12" s="313"/>
      <c r="AR12" s="313"/>
      <c r="AS12" s="313"/>
      <c r="AT12" s="313"/>
      <c r="AU12" s="313"/>
      <c r="AV12" s="313"/>
      <c r="AW12" s="313"/>
      <c r="AX12" s="313"/>
      <c r="AY12" s="313"/>
      <c r="AZ12" s="313"/>
      <c r="BA12" s="313"/>
      <c r="BB12" s="313"/>
      <c r="BC12" s="313"/>
      <c r="BD12" s="313"/>
      <c r="BE12" s="313"/>
      <c r="BF12" s="313"/>
      <c r="BG12" s="313"/>
      <c r="BH12" s="313"/>
      <c r="BI12" s="313"/>
      <c r="BJ12" s="313"/>
      <c r="BK12" s="313"/>
      <c r="BL12" s="313"/>
      <c r="BM12" s="313"/>
      <c r="BN12" s="313"/>
      <c r="BO12" s="313"/>
      <c r="BP12" s="313"/>
      <c r="BQ12" s="313"/>
      <c r="BR12" s="313"/>
      <c r="BS12" s="313"/>
      <c r="BT12" s="313"/>
      <c r="BU12" s="313"/>
      <c r="BV12" s="313"/>
      <c r="BW12" s="313"/>
      <c r="BX12" s="313"/>
      <c r="BY12" s="313"/>
      <c r="BZ12" s="313"/>
      <c r="CA12" s="313"/>
      <c r="CB12" s="313"/>
      <c r="CC12" s="313"/>
      <c r="CD12" s="313"/>
      <c r="CE12" s="313"/>
      <c r="CF12" s="313"/>
      <c r="CG12" s="313"/>
      <c r="CH12" s="313"/>
      <c r="CI12" s="313"/>
      <c r="CJ12" s="313"/>
      <c r="CK12" s="313"/>
      <c r="CL12" s="313"/>
      <c r="CM12" s="313"/>
      <c r="CN12" s="313"/>
      <c r="CO12" s="313"/>
      <c r="CP12" s="313"/>
      <c r="CQ12" s="313"/>
      <c r="CR12" s="313"/>
      <c r="CS12" s="313"/>
      <c r="CT12" s="313"/>
      <c r="CU12" s="313"/>
      <c r="CV12" s="313"/>
      <c r="CW12" s="313"/>
      <c r="CX12" s="313"/>
      <c r="CY12" s="313"/>
      <c r="CZ12" s="313"/>
      <c r="DA12" s="313"/>
      <c r="DB12" s="313"/>
      <c r="DC12" s="313"/>
      <c r="DD12" s="313"/>
      <c r="DE12" s="313"/>
      <c r="DF12" s="313"/>
      <c r="DG12" s="313"/>
      <c r="DH12" s="313"/>
      <c r="DI12" s="313"/>
      <c r="DJ12" s="313"/>
      <c r="DK12" s="313"/>
      <c r="DL12" s="313"/>
      <c r="DM12" s="313"/>
      <c r="DN12" s="313"/>
      <c r="DO12" s="313"/>
      <c r="DP12" s="313"/>
      <c r="DQ12" s="313"/>
      <c r="DR12" s="313"/>
      <c r="DS12" s="313"/>
      <c r="DT12" s="313"/>
      <c r="DU12" s="313"/>
      <c r="DV12" s="313"/>
      <c r="DW12" s="313"/>
      <c r="DX12" s="313"/>
      <c r="DY12" s="313"/>
      <c r="DZ12" s="313"/>
      <c r="EA12" s="313"/>
      <c r="EB12" s="313"/>
      <c r="EC12" s="313"/>
      <c r="ED12" s="313"/>
      <c r="EE12" s="313"/>
      <c r="EF12" s="313"/>
      <c r="EG12" s="313"/>
      <c r="EH12" s="313"/>
      <c r="EI12" s="313"/>
      <c r="EJ12" s="313"/>
      <c r="EK12" s="313"/>
      <c r="EL12" s="313"/>
      <c r="EM12" s="313"/>
      <c r="EN12" s="313"/>
      <c r="EO12" s="313"/>
      <c r="EP12" s="313"/>
      <c r="EQ12" s="313"/>
      <c r="ER12" s="313"/>
      <c r="ES12" s="313"/>
      <c r="ET12" s="313"/>
      <c r="EU12" s="313"/>
      <c r="EV12" s="313"/>
      <c r="EW12" s="313"/>
      <c r="EX12" s="313"/>
      <c r="EY12" s="313"/>
      <c r="EZ12" s="313"/>
      <c r="FA12" s="313"/>
      <c r="FB12" s="313"/>
      <c r="FC12" s="313"/>
      <c r="FD12" s="313"/>
      <c r="FE12" s="313"/>
    </row>
    <row r="13" spans="1:161" x14ac:dyDescent="0.25">
      <c r="I13" s="1039"/>
      <c r="M13" s="1039"/>
      <c r="Q13" s="1039"/>
      <c r="U13" s="1039"/>
      <c r="Y13" s="1039"/>
      <c r="AC13" s="1039"/>
      <c r="AG13" s="1039"/>
      <c r="AK13" s="1039"/>
      <c r="AO13" s="1039"/>
      <c r="AS13" s="1039"/>
      <c r="AW13" s="1039"/>
      <c r="BA13" s="1039"/>
      <c r="BE13" s="1039"/>
      <c r="BI13" s="1039"/>
      <c r="BM13" s="1039"/>
      <c r="BQ13" s="1039"/>
    </row>
    <row r="14" spans="1:161" x14ac:dyDescent="0.25">
      <c r="D14" s="1040" t="s">
        <v>2</v>
      </c>
      <c r="E14" s="1040" t="s">
        <v>436</v>
      </c>
      <c r="F14" s="1040" t="s">
        <v>2</v>
      </c>
      <c r="G14" s="1040" t="s">
        <v>436</v>
      </c>
      <c r="H14" s="1040" t="s">
        <v>628</v>
      </c>
      <c r="I14" s="1041" t="s">
        <v>629</v>
      </c>
      <c r="J14" s="1040" t="s">
        <v>2</v>
      </c>
      <c r="K14" s="1040" t="s">
        <v>436</v>
      </c>
      <c r="L14" s="1040" t="s">
        <v>628</v>
      </c>
      <c r="M14" s="1041" t="s">
        <v>629</v>
      </c>
      <c r="N14" s="1040" t="s">
        <v>2</v>
      </c>
      <c r="O14" s="1040" t="s">
        <v>436</v>
      </c>
      <c r="P14" s="1040" t="s">
        <v>628</v>
      </c>
      <c r="Q14" s="1041" t="s">
        <v>629</v>
      </c>
      <c r="R14" s="1040" t="s">
        <v>2</v>
      </c>
      <c r="S14" s="1040" t="s">
        <v>436</v>
      </c>
      <c r="T14" s="1040" t="s">
        <v>628</v>
      </c>
      <c r="U14" s="1041" t="s">
        <v>629</v>
      </c>
      <c r="V14" s="1040" t="s">
        <v>2</v>
      </c>
      <c r="W14" s="1040" t="s">
        <v>436</v>
      </c>
      <c r="X14" s="1040" t="s">
        <v>628</v>
      </c>
      <c r="Y14" s="1041" t="s">
        <v>629</v>
      </c>
      <c r="Z14" s="1040" t="s">
        <v>2</v>
      </c>
      <c r="AA14" s="1040" t="s">
        <v>436</v>
      </c>
      <c r="AB14" s="1040" t="s">
        <v>628</v>
      </c>
      <c r="AC14" s="1041" t="s">
        <v>629</v>
      </c>
      <c r="AD14" s="1040" t="s">
        <v>2</v>
      </c>
      <c r="AE14" s="1040" t="s">
        <v>436</v>
      </c>
      <c r="AF14" s="1040" t="s">
        <v>628</v>
      </c>
      <c r="AG14" s="1041" t="s">
        <v>629</v>
      </c>
      <c r="AH14" s="1040" t="s">
        <v>2</v>
      </c>
      <c r="AI14" s="1040" t="s">
        <v>436</v>
      </c>
      <c r="AJ14" s="1040" t="s">
        <v>628</v>
      </c>
      <c r="AK14" s="1041" t="s">
        <v>629</v>
      </c>
      <c r="AL14" s="1040" t="s">
        <v>2</v>
      </c>
      <c r="AM14" s="1040" t="s">
        <v>436</v>
      </c>
      <c r="AN14" s="1040" t="s">
        <v>628</v>
      </c>
      <c r="AO14" s="1041" t="s">
        <v>629</v>
      </c>
      <c r="AP14" s="1040" t="s">
        <v>2</v>
      </c>
      <c r="AQ14" s="1040" t="s">
        <v>436</v>
      </c>
      <c r="AR14" s="1040" t="s">
        <v>628</v>
      </c>
      <c r="AS14" s="1041" t="s">
        <v>629</v>
      </c>
      <c r="AT14" s="1040" t="s">
        <v>2</v>
      </c>
      <c r="AU14" s="1040" t="s">
        <v>436</v>
      </c>
      <c r="AV14" s="1040" t="s">
        <v>628</v>
      </c>
      <c r="AW14" s="1041" t="s">
        <v>629</v>
      </c>
      <c r="AX14" s="1040" t="s">
        <v>2</v>
      </c>
      <c r="AY14" s="1040" t="s">
        <v>436</v>
      </c>
      <c r="AZ14" s="1040" t="s">
        <v>628</v>
      </c>
      <c r="BA14" s="1041" t="s">
        <v>629</v>
      </c>
      <c r="BB14" s="1040" t="s">
        <v>2</v>
      </c>
      <c r="BC14" s="1040" t="s">
        <v>436</v>
      </c>
      <c r="BD14" s="1040" t="s">
        <v>628</v>
      </c>
      <c r="BE14" s="1041" t="s">
        <v>629</v>
      </c>
      <c r="BF14" s="1040" t="s">
        <v>2</v>
      </c>
      <c r="BG14" s="1040" t="s">
        <v>436</v>
      </c>
      <c r="BH14" s="1040" t="s">
        <v>628</v>
      </c>
      <c r="BI14" s="1041" t="s">
        <v>629</v>
      </c>
      <c r="BJ14" s="1040" t="s">
        <v>2</v>
      </c>
      <c r="BK14" s="1040" t="s">
        <v>436</v>
      </c>
      <c r="BL14" s="1040" t="s">
        <v>628</v>
      </c>
      <c r="BM14" s="1041" t="s">
        <v>629</v>
      </c>
      <c r="BN14" s="1040" t="s">
        <v>2</v>
      </c>
      <c r="BO14" s="1040" t="s">
        <v>436</v>
      </c>
      <c r="BP14" s="1040" t="s">
        <v>628</v>
      </c>
      <c r="BQ14" s="1041" t="s">
        <v>629</v>
      </c>
      <c r="BR14" s="1040"/>
      <c r="BS14" s="1040"/>
      <c r="BT14" s="1040" t="s">
        <v>628</v>
      </c>
      <c r="BU14" s="1041" t="s">
        <v>629</v>
      </c>
      <c r="BV14" s="1040"/>
      <c r="BW14" s="1040"/>
      <c r="BX14" s="1040" t="s">
        <v>628</v>
      </c>
      <c r="BY14" s="1041" t="s">
        <v>629</v>
      </c>
      <c r="BZ14" s="1040"/>
      <c r="CA14" s="1040"/>
      <c r="CB14" s="1040" t="s">
        <v>628</v>
      </c>
      <c r="CC14" s="1041" t="s">
        <v>629</v>
      </c>
      <c r="CD14" s="1040"/>
      <c r="CE14" s="1040"/>
      <c r="CF14" s="1040" t="s">
        <v>628</v>
      </c>
      <c r="CG14" s="1041" t="s">
        <v>629</v>
      </c>
      <c r="CH14" s="1040"/>
      <c r="CI14" s="1040"/>
      <c r="CJ14" s="1040" t="s">
        <v>628</v>
      </c>
      <c r="CK14" s="1041" t="s">
        <v>629</v>
      </c>
      <c r="CL14" s="1040"/>
      <c r="CM14" s="1040"/>
      <c r="CN14" s="1040" t="s">
        <v>628</v>
      </c>
      <c r="CO14" s="1041" t="s">
        <v>629</v>
      </c>
      <c r="CP14" s="1040"/>
      <c r="CQ14" s="1040"/>
      <c r="CR14" s="1040" t="s">
        <v>628</v>
      </c>
      <c r="CS14" s="1041" t="s">
        <v>629</v>
      </c>
      <c r="CT14" s="1040"/>
      <c r="CU14" s="1040"/>
      <c r="CV14" s="1040" t="s">
        <v>628</v>
      </c>
      <c r="CW14" s="1041" t="s">
        <v>629</v>
      </c>
      <c r="CX14" s="1040"/>
      <c r="CY14" s="1040"/>
      <c r="CZ14" s="1040" t="s">
        <v>628</v>
      </c>
      <c r="DA14" s="1041" t="s">
        <v>629</v>
      </c>
      <c r="DB14" s="1040"/>
      <c r="DC14" s="1040"/>
      <c r="DD14" s="1040" t="s">
        <v>628</v>
      </c>
      <c r="DE14" s="1041" t="s">
        <v>629</v>
      </c>
      <c r="DF14" s="1040"/>
      <c r="DG14" s="1040"/>
      <c r="DH14" s="1040" t="s">
        <v>628</v>
      </c>
      <c r="DI14" s="1041" t="s">
        <v>629</v>
      </c>
      <c r="DJ14" s="1040"/>
      <c r="DK14" s="1040"/>
      <c r="DL14" s="1040" t="s">
        <v>628</v>
      </c>
      <c r="DM14" s="1041" t="s">
        <v>629</v>
      </c>
      <c r="DN14" s="1040"/>
      <c r="DO14" s="1040"/>
      <c r="DP14" s="1040" t="s">
        <v>628</v>
      </c>
      <c r="DQ14" s="1041" t="s">
        <v>629</v>
      </c>
      <c r="DR14" s="1040"/>
      <c r="DS14" s="1040"/>
      <c r="DT14" s="1040" t="s">
        <v>628</v>
      </c>
      <c r="DU14" s="1041" t="s">
        <v>629</v>
      </c>
      <c r="DV14" s="1040"/>
      <c r="DW14" s="1040"/>
      <c r="DX14" s="1040" t="s">
        <v>628</v>
      </c>
      <c r="DY14" s="1041" t="s">
        <v>629</v>
      </c>
      <c r="DZ14" s="1040"/>
      <c r="EA14" s="1040"/>
      <c r="EB14" s="1040" t="s">
        <v>628</v>
      </c>
      <c r="EC14" s="1041" t="s">
        <v>629</v>
      </c>
      <c r="ED14" s="1040"/>
      <c r="EE14" s="1040"/>
      <c r="EF14" s="1040" t="s">
        <v>628</v>
      </c>
      <c r="EG14" s="1041" t="s">
        <v>629</v>
      </c>
      <c r="EH14" s="1040"/>
      <c r="EI14" s="1040"/>
      <c r="EJ14" s="1040" t="s">
        <v>628</v>
      </c>
      <c r="EK14" s="1041" t="s">
        <v>629</v>
      </c>
      <c r="EL14" s="1040"/>
      <c r="EM14" s="1040"/>
      <c r="EN14" s="1040" t="s">
        <v>628</v>
      </c>
      <c r="EO14" s="1041" t="s">
        <v>629</v>
      </c>
      <c r="EP14" s="1040"/>
      <c r="EQ14" s="1040"/>
      <c r="ER14" s="1040" t="s">
        <v>628</v>
      </c>
      <c r="ES14" s="1041" t="s">
        <v>629</v>
      </c>
      <c r="ET14" s="1040"/>
      <c r="EU14" s="1040"/>
      <c r="EV14" s="1040" t="s">
        <v>628</v>
      </c>
      <c r="EW14" s="1041" t="s">
        <v>629</v>
      </c>
      <c r="EX14" s="1040"/>
      <c r="EY14" s="1040"/>
      <c r="EZ14" s="1040" t="s">
        <v>628</v>
      </c>
      <c r="FA14" s="1041" t="s">
        <v>629</v>
      </c>
      <c r="FB14" s="1040"/>
      <c r="FC14" s="1040"/>
      <c r="FD14" s="1040" t="s">
        <v>628</v>
      </c>
      <c r="FE14" s="1041" t="s">
        <v>629</v>
      </c>
    </row>
    <row r="15" spans="1:161" x14ac:dyDescent="0.25">
      <c r="B15" s="1042" t="s">
        <v>67</v>
      </c>
      <c r="I15" s="1039"/>
      <c r="M15" s="1039"/>
      <c r="Q15" s="1039"/>
      <c r="U15" s="1039"/>
      <c r="Y15" s="1039"/>
      <c r="AC15" s="1039"/>
      <c r="AG15" s="1039"/>
      <c r="AK15" s="1039"/>
      <c r="AO15" s="1039"/>
      <c r="AS15" s="1039"/>
      <c r="AW15" s="1039"/>
      <c r="BA15" s="1039"/>
      <c r="BE15" s="1039"/>
      <c r="BI15" s="1039"/>
      <c r="BM15" s="1039"/>
      <c r="BQ15" s="1039"/>
      <c r="BU15" s="1039"/>
      <c r="BY15" s="1039"/>
      <c r="CC15" s="1039"/>
      <c r="CG15" s="1039"/>
      <c r="CK15" s="1039"/>
      <c r="CO15" s="1039"/>
      <c r="CS15" s="1039"/>
      <c r="CW15" s="1039"/>
      <c r="DA15" s="1039"/>
      <c r="DE15" s="1039"/>
      <c r="DI15" s="1039"/>
      <c r="DM15" s="1039"/>
      <c r="DQ15" s="1039"/>
      <c r="DU15" s="1039"/>
      <c r="DY15" s="1039"/>
      <c r="EC15" s="1039"/>
      <c r="EG15" s="1039"/>
      <c r="EK15" s="1039"/>
      <c r="EO15" s="1039"/>
      <c r="ES15" s="1039"/>
      <c r="EW15" s="1039"/>
      <c r="FA15" s="1039"/>
      <c r="FE15" s="1039"/>
    </row>
    <row r="16" spans="1:161" x14ac:dyDescent="0.25">
      <c r="B16" s="1043" t="s">
        <v>3</v>
      </c>
      <c r="D16" s="1044">
        <v>0.102758151292801</v>
      </c>
      <c r="E16" s="1044">
        <v>0.16980937123298601</v>
      </c>
      <c r="F16" s="1045">
        <v>0.1</v>
      </c>
      <c r="G16" s="1044">
        <v>0.1623</v>
      </c>
      <c r="H16" s="1046">
        <v>10.631203651428333</v>
      </c>
      <c r="I16" s="1047">
        <f>+(G16-$E$16)*10000</f>
        <v>-75.093712329860068</v>
      </c>
      <c r="J16" s="1048">
        <v>0.100420206785202</v>
      </c>
      <c r="K16" s="1044">
        <v>0.16186079382896426</v>
      </c>
      <c r="L16" s="1047">
        <f>+(K16-G16)*10000</f>
        <v>-4.3920617103573871</v>
      </c>
      <c r="M16" s="1049">
        <f>+(K16-$E$16)*10000</f>
        <v>-79.48577404021745</v>
      </c>
      <c r="N16" s="1048">
        <v>9.7363394498825057E-2</v>
      </c>
      <c r="O16" s="1044">
        <v>0.16214609742164615</v>
      </c>
      <c r="P16" s="1047">
        <f>+(O16-K16)*10000</f>
        <v>2.8530359268189032</v>
      </c>
      <c r="Q16" s="1049">
        <f>+(O16-$E$16)*10000</f>
        <v>-76.632738113398545</v>
      </c>
      <c r="R16" s="1048">
        <v>9.8259752988815313E-2</v>
      </c>
      <c r="S16" s="1044">
        <v>0.16683759093284609</v>
      </c>
      <c r="T16" s="1047">
        <f>+(S16-O16)*10000</f>
        <v>46.914935111999348</v>
      </c>
      <c r="U16" s="1049">
        <f>+(S16-$E$16)*10000</f>
        <v>-29.717803001399201</v>
      </c>
      <c r="V16" s="1048">
        <v>9.6298998594284063E-2</v>
      </c>
      <c r="W16" s="1044">
        <v>0.16260505318641669</v>
      </c>
      <c r="X16" s="1047">
        <f>+(W16-S16)*10000</f>
        <v>-42.325377464293993</v>
      </c>
      <c r="Y16" s="1049">
        <f>+(W16-$E$16)*10000</f>
        <v>-72.043180465693197</v>
      </c>
      <c r="Z16" s="1048">
        <v>9.5644852519035303E-2</v>
      </c>
      <c r="AA16" s="1044">
        <v>0.16088517308235173</v>
      </c>
      <c r="AB16" s="1047">
        <f>+(AA16-W16)*10000</f>
        <v>-17.198801040649581</v>
      </c>
      <c r="AC16" s="1049">
        <f>+(AA16-$E$16)*10000</f>
        <v>-89.241981506342768</v>
      </c>
      <c r="AD16" s="1048">
        <v>9.2893782258033755E-2</v>
      </c>
      <c r="AE16" s="1044">
        <v>0.15461665987968451</v>
      </c>
      <c r="AF16" s="1047">
        <f>+(AE16-AA16)*10000</f>
        <v>-62.6851320266722</v>
      </c>
      <c r="AG16" s="1049">
        <f>+(AE16-$E$16)*10000</f>
        <v>-151.92711353301496</v>
      </c>
      <c r="AH16" s="1048">
        <v>9.5658096671104406E-2</v>
      </c>
      <c r="AI16" s="1044">
        <v>0.15919778943061835</v>
      </c>
      <c r="AJ16" s="1047">
        <f>+(AI16-AE16)*10000</f>
        <v>45.811295509338436</v>
      </c>
      <c r="AK16" s="1049">
        <f>+(AI16-$E$16)*10000</f>
        <v>-106.11581802367654</v>
      </c>
      <c r="AL16" s="1048">
        <v>9.4892117381095875E-2</v>
      </c>
      <c r="AM16" s="1044">
        <v>0.157911533117294</v>
      </c>
      <c r="AN16" s="1047">
        <f>+(AM16-AI16)*10000</f>
        <v>-12.862563133243521</v>
      </c>
      <c r="AO16" s="1049">
        <f>+(AM16-$E$16)*10000</f>
        <v>-118.97838115692005</v>
      </c>
      <c r="AP16" s="1048">
        <v>9.5463845133781408E-2</v>
      </c>
      <c r="AQ16" s="1044">
        <v>0.15914856791496285</v>
      </c>
      <c r="AR16" s="1047">
        <f>+(AQ16-AM16)*10000</f>
        <v>12.370347976688457</v>
      </c>
      <c r="AS16" s="1049">
        <f>+(AQ16-$E$16)*10000</f>
        <v>-106.6080331802316</v>
      </c>
      <c r="AT16" s="1048">
        <v>9.5212814211845395E-2</v>
      </c>
      <c r="AU16" s="1044">
        <v>0.15882546305656436</v>
      </c>
      <c r="AV16" s="1047">
        <f>+(AU16-AQ16)*10000</f>
        <v>-3.2310485839848191</v>
      </c>
      <c r="AW16" s="1049">
        <f>+(AU16-$E$16)*10000</f>
        <v>-109.83908176421642</v>
      </c>
      <c r="AX16" s="1048">
        <v>9.5413896441459603E-2</v>
      </c>
      <c r="AY16" s="1044">
        <v>0.15912261605262765</v>
      </c>
      <c r="AZ16" s="1047">
        <f>+(AY16-AU16)*10000</f>
        <v>2.9715299606328238</v>
      </c>
      <c r="BA16" s="1049">
        <f>+(AY16-$E$16)*10000</f>
        <v>-106.86755180358359</v>
      </c>
      <c r="BB16" s="1048">
        <v>9.5416387915611245E-2</v>
      </c>
      <c r="BC16" s="1044">
        <v>0.15805680155754093</v>
      </c>
      <c r="BD16" s="1047">
        <f>+(BC16-AY16)*10000</f>
        <v>-10.658144950867198</v>
      </c>
      <c r="BE16" s="1049">
        <f>+(BC16-$E$16)*10000</f>
        <v>-117.52569675445079</v>
      </c>
      <c r="BF16" s="1048">
        <v>9.5526728034019473E-2</v>
      </c>
      <c r="BG16" s="1044">
        <v>0.15820799469947816</v>
      </c>
      <c r="BH16" s="1047">
        <f>+(BG16-BC16)*10000</f>
        <v>1.5119314193723365</v>
      </c>
      <c r="BI16" s="1049">
        <f>+(BG16-$E$16)*10000</f>
        <v>-116.01376533507846</v>
      </c>
      <c r="BJ16" s="1048">
        <v>8.7348034977912908E-2</v>
      </c>
      <c r="BK16" s="1044">
        <v>0.14202271103858952</v>
      </c>
      <c r="BL16" s="1047">
        <f>+(BK16-BG16)*10000</f>
        <v>-161.85283660888643</v>
      </c>
      <c r="BM16" s="1049">
        <f>+(BK16-$E$16)*10000</f>
        <v>-277.86660194396489</v>
      </c>
      <c r="BN16" s="1048">
        <v>8.7321367859840404E-2</v>
      </c>
      <c r="BO16" s="1044">
        <v>0.14194527268409732</v>
      </c>
      <c r="BP16" s="1047">
        <f>+(BO16-BK16)*10000</f>
        <v>-0.77438354492198602</v>
      </c>
      <c r="BQ16" s="1049">
        <f>+(BO16-$E$16)*10000</f>
        <v>-278.64098548888688</v>
      </c>
      <c r="BR16" s="1048">
        <v>8.7401041388511652E-2</v>
      </c>
      <c r="BS16" s="1044">
        <v>0.14235727190971373</v>
      </c>
      <c r="BT16" s="1047">
        <f>+(BS16-BO16)*10000</f>
        <v>4.1199922561641067</v>
      </c>
      <c r="BU16" s="1049">
        <f>+(BS16-$E$16)*10000</f>
        <v>-274.52099323272279</v>
      </c>
      <c r="BV16" s="1048">
        <v>8.7661626935005219E-2</v>
      </c>
      <c r="BW16" s="1044">
        <v>0.1447552502155304</v>
      </c>
      <c r="BX16" s="1047">
        <f>+(BW16-BS16)*10000</f>
        <v>23.979783058166724</v>
      </c>
      <c r="BY16" s="1049">
        <f>+(BW16-$E$16)*10000</f>
        <v>-250.54121017455606</v>
      </c>
      <c r="BZ16" s="1048">
        <v>8.7740358710289013E-2</v>
      </c>
      <c r="CA16" s="1044">
        <v>0.14569247364997864</v>
      </c>
      <c r="CB16" s="1047">
        <f>+(CA16-BW16)*10000</f>
        <v>9.3722343444824219</v>
      </c>
      <c r="CC16" s="1049">
        <f>+(CA16-$E$16)*10000</f>
        <v>-241.16897583007363</v>
      </c>
      <c r="CD16" s="1048">
        <v>8.9276954531669631E-2</v>
      </c>
      <c r="CE16" s="1044">
        <v>0.14556044936180115</v>
      </c>
      <c r="CF16" s="1047">
        <f>+(CE16-CA16)*10000</f>
        <v>-1.3202428817749023</v>
      </c>
      <c r="CG16" s="1049">
        <f>+(CE16-$E$16)*10000</f>
        <v>-242.48921871184854</v>
      </c>
      <c r="CH16" s="1048">
        <v>8.9080139994621291E-2</v>
      </c>
      <c r="CI16" s="1044">
        <v>0.14527500271797181</v>
      </c>
      <c r="CJ16" s="1047">
        <f>+(CI16-CE16)*10000</f>
        <v>-2.854466438293457</v>
      </c>
      <c r="CK16" s="1049">
        <f>+(CI16-$E$16)*10000</f>
        <v>-245.34368515014199</v>
      </c>
      <c r="CL16" s="1048">
        <v>8.6533781886100794E-2</v>
      </c>
      <c r="CM16" s="1044">
        <v>0.14104576706886293</v>
      </c>
      <c r="CN16" s="1047">
        <f>+(CM16-CI16)*10000</f>
        <v>-42.292356491088754</v>
      </c>
      <c r="CO16" s="1049">
        <f>+(CM16-$E$16)*10000</f>
        <v>-287.63604164123075</v>
      </c>
      <c r="CP16" s="1048">
        <v>8.6394277215003965E-2</v>
      </c>
      <c r="CQ16" s="1044">
        <v>0.14097915291786198</v>
      </c>
      <c r="CR16" s="1047">
        <f>+(CQ16-CM16)*10000</f>
        <v>-0.66614151000954358</v>
      </c>
      <c r="CS16" s="1049">
        <f>+(CQ16-$E$16)*10000</f>
        <v>-288.30218315124029</v>
      </c>
      <c r="CT16" s="1048">
        <v>8.632636368274689E-2</v>
      </c>
      <c r="CU16" s="1044">
        <v>0.14093452095985401</v>
      </c>
      <c r="CV16" s="1047">
        <f>+(CU16-CQ16)*10000</f>
        <v>-0.44631958007967931</v>
      </c>
      <c r="CW16" s="1049">
        <f>+(CU16-$E$16)*10000</f>
        <v>-288.74850273131995</v>
      </c>
      <c r="CX16" s="1048">
        <v>8.652800619602205E-2</v>
      </c>
      <c r="CY16" s="1044">
        <v>0.1410455048084259</v>
      </c>
      <c r="CZ16" s="1047">
        <f>+(CY16-CU16)*10000</f>
        <v>1.1098384857188837</v>
      </c>
      <c r="DA16" s="1049">
        <f>+(CY16-$E$16)*10000</f>
        <v>-287.63866424560109</v>
      </c>
      <c r="DB16" s="1048">
        <v>8.6191049218177801E-2</v>
      </c>
      <c r="DC16" s="1044">
        <v>0.14048398137092591</v>
      </c>
      <c r="DD16" s="1047">
        <f>+(DC16-CY16)*10000</f>
        <v>-5.615234374999889</v>
      </c>
      <c r="DE16" s="1049">
        <f>+(DC16-$E$16)*10000</f>
        <v>-293.25389862060098</v>
      </c>
      <c r="DF16" s="1048">
        <v>8.507949411869048E-2</v>
      </c>
      <c r="DG16" s="1044">
        <v>0.13892304301261904</v>
      </c>
      <c r="DH16" s="1047">
        <f>+(DG16-DC16)*10000</f>
        <v>-15.609383583068681</v>
      </c>
      <c r="DI16" s="1049">
        <f>+(DG16-$E$16)*10000</f>
        <v>-308.86328220366966</v>
      </c>
      <c r="DJ16" s="1048">
        <v>8.4279564023017881E-2</v>
      </c>
      <c r="DK16" s="1044">
        <v>0.13764407038688656</v>
      </c>
      <c r="DL16" s="1047">
        <f>+(DK16-DG16)*10000</f>
        <v>-12.78972625732483</v>
      </c>
      <c r="DM16" s="1049">
        <f>+(DK16-$E$16)*10000</f>
        <v>-321.6530084609945</v>
      </c>
      <c r="DN16" s="1048">
        <v>8.2498762011528018E-2</v>
      </c>
      <c r="DO16" s="1044">
        <v>0.13563316464424133</v>
      </c>
      <c r="DP16" s="1047">
        <f>+(DO16-DK16)*10000</f>
        <v>-20.109057426452303</v>
      </c>
      <c r="DQ16" s="1049">
        <f>+(DO16-$E$16)*10000</f>
        <v>-341.76206588744679</v>
      </c>
      <c r="DR16" s="1048">
        <v>8.2282897830009485E-2</v>
      </c>
      <c r="DS16" s="1044">
        <v>0.13608674407005314</v>
      </c>
      <c r="DT16" s="1047">
        <f>+(DS16-DO16)*10000</f>
        <v>4.5357942581181199</v>
      </c>
      <c r="DU16" s="1049">
        <f>+(DS16-$E$16)*10000</f>
        <v>-337.22627162932866</v>
      </c>
      <c r="DV16" s="1048">
        <v>8.1818225979804995E-2</v>
      </c>
      <c r="DW16" s="1044">
        <v>0.13430686593055727</v>
      </c>
      <c r="DX16" s="1047">
        <f>+(DW16-DS16)*10000</f>
        <v>-17.798781394958716</v>
      </c>
      <c r="DY16" s="1049">
        <f>+(DW16-$E$16)*10000</f>
        <v>-355.02505302428739</v>
      </c>
      <c r="DZ16" s="1048">
        <v>8.1326636672019961E-2</v>
      </c>
      <c r="EA16" s="1044">
        <v>0.13370491862297063</v>
      </c>
      <c r="EB16" s="1047">
        <f>+(EA16-DW16)*10000</f>
        <v>-6.0194730758664221</v>
      </c>
      <c r="EC16" s="1049">
        <f>+(EA16-$E$16)*10000</f>
        <v>-361.0445261001538</v>
      </c>
      <c r="ED16" s="1048">
        <v>8.1673189997673049E-2</v>
      </c>
      <c r="EE16" s="1044">
        <v>0.13379483819007873</v>
      </c>
      <c r="EF16" s="1047">
        <f>+(EE16-EA16)*10000</f>
        <v>0.89919567108104337</v>
      </c>
      <c r="EG16" s="1049">
        <f>+(EE16-$E$16)*10000</f>
        <v>-360.14533042907277</v>
      </c>
      <c r="EH16" s="1048">
        <v>8.1391206383705172E-2</v>
      </c>
      <c r="EI16" s="1044">
        <v>0.13253069519996641</v>
      </c>
      <c r="EJ16" s="1047">
        <f>+(EI16-EE16)*10000</f>
        <v>-12.641429901123214</v>
      </c>
      <c r="EK16" s="1049">
        <f>+(EI16-$E$16)*10000</f>
        <v>-372.78676033019599</v>
      </c>
      <c r="EL16" s="1048">
        <v>8.1391206383705172E-2</v>
      </c>
      <c r="EM16" s="1044">
        <v>0.13253069519996641</v>
      </c>
      <c r="EN16" s="1047">
        <f>+(EM16-EI16)*10000</f>
        <v>0</v>
      </c>
      <c r="EO16" s="1049">
        <f>+(EM16-$E$16)*10000</f>
        <v>-372.78676033019599</v>
      </c>
      <c r="EP16" s="1048">
        <v>8.0641278624534629E-2</v>
      </c>
      <c r="EQ16" s="1044">
        <v>0.12967675328254699</v>
      </c>
      <c r="ER16" s="1047">
        <f>+(EQ16-EM16)*10000</f>
        <v>-28.539419174194169</v>
      </c>
      <c r="ES16" s="1049">
        <f>+(EQ16-$E$16)*10000</f>
        <v>-401.32617950439015</v>
      </c>
      <c r="ET16" s="1048">
        <v>8.4791299700737024E-2</v>
      </c>
      <c r="EU16" s="1044">
        <v>0.12722017168998714</v>
      </c>
      <c r="EV16" s="1047">
        <f>+(EU16-EQ16)*10000</f>
        <v>-24.565815925598478</v>
      </c>
      <c r="EW16" s="1049">
        <f>+(EU16-$E$16)*10000</f>
        <v>-425.89199542998864</v>
      </c>
      <c r="EX16" s="1048">
        <v>8.4201022982597337E-2</v>
      </c>
      <c r="EY16" s="1044">
        <v>0.12596887946128846</v>
      </c>
      <c r="EZ16" s="1047">
        <f>+(EY16-EU16)*10000</f>
        <v>-12.512922286986861</v>
      </c>
      <c r="FA16" s="1049">
        <f>+(EY16-$E$16)*10000</f>
        <v>-438.40491771697549</v>
      </c>
      <c r="FB16" s="1048">
        <v>8.3803448081016557E-2</v>
      </c>
      <c r="FC16" s="1044">
        <v>0.12530249953269956</v>
      </c>
      <c r="FD16" s="1047">
        <f>+(FC16-EY16)*10000</f>
        <v>-6.663799285888949</v>
      </c>
      <c r="FE16" s="1049">
        <f>+(FC16-$E$16)*10000</f>
        <v>-445.06871700286445</v>
      </c>
    </row>
    <row r="17" spans="2:161" x14ac:dyDescent="0.25">
      <c r="B17" s="1043" t="s">
        <v>4</v>
      </c>
      <c r="D17" s="1050">
        <v>1.546077342602433</v>
      </c>
      <c r="E17" s="1050">
        <v>2.0861107244238215</v>
      </c>
      <c r="F17" s="1050">
        <v>1.46</v>
      </c>
      <c r="G17" s="1050">
        <v>2.11</v>
      </c>
      <c r="H17" s="1051">
        <v>9.7166272371240793E-3</v>
      </c>
      <c r="I17" s="1052">
        <f>+G17-$E$17</f>
        <v>2.388927557617837E-2</v>
      </c>
      <c r="J17" s="1053">
        <v>1.46476251760459</v>
      </c>
      <c r="K17" s="1050">
        <v>2.106099549701419</v>
      </c>
      <c r="L17" s="1052">
        <f>+K17-G17</f>
        <v>-3.900450298580882E-3</v>
      </c>
      <c r="M17" s="1054">
        <f>+K17-$E$17</f>
        <v>1.9988825277597488E-2</v>
      </c>
      <c r="N17" s="1053">
        <v>1.446385289858533</v>
      </c>
      <c r="O17" s="1050">
        <v>2.1903799866660174</v>
      </c>
      <c r="P17" s="1052">
        <f>+O17-K17</f>
        <v>8.4280436964598415E-2</v>
      </c>
      <c r="Q17" s="1054">
        <f>+O17-$E$17</f>
        <v>0.1042692622421959</v>
      </c>
      <c r="R17" s="1053">
        <v>1.4576496221962778</v>
      </c>
      <c r="S17" s="1050">
        <v>2.2015032807002237</v>
      </c>
      <c r="T17" s="1052">
        <f>+S17-O17</f>
        <v>1.112329403420631E-2</v>
      </c>
      <c r="U17" s="1054">
        <f>+S17-$E$17</f>
        <v>0.11539255627640221</v>
      </c>
      <c r="V17" s="1053">
        <v>1.446849842026795</v>
      </c>
      <c r="W17" s="1050">
        <v>2.1757305343968367</v>
      </c>
      <c r="X17" s="1052">
        <f>+W17-S17</f>
        <v>-2.5772746303386995E-2</v>
      </c>
      <c r="Y17" s="1054">
        <f>+W17-$E$17</f>
        <v>8.9619809973015219E-2</v>
      </c>
      <c r="Z17" s="1053">
        <v>1.4415524420116337</v>
      </c>
      <c r="AA17" s="1050">
        <v>2.1662013675127643</v>
      </c>
      <c r="AB17" s="1052">
        <f>+AA17-W17</f>
        <v>-9.5291668840724597E-3</v>
      </c>
      <c r="AC17" s="1054">
        <f>+AA17-$E$17</f>
        <v>8.0090643088942759E-2</v>
      </c>
      <c r="AD17" s="1053">
        <v>1.4256155139903122</v>
      </c>
      <c r="AE17" s="1050">
        <v>2.133165831627382</v>
      </c>
      <c r="AF17" s="1052">
        <f>+AE17-AA17</f>
        <v>-3.3035535885382217E-2</v>
      </c>
      <c r="AG17" s="1054">
        <f>+AE17-$E$17</f>
        <v>4.7055107203560542E-2</v>
      </c>
      <c r="AH17" s="1053">
        <v>1.4403806783379198</v>
      </c>
      <c r="AI17" s="1050">
        <v>2.1747226106895798</v>
      </c>
      <c r="AJ17" s="1052">
        <f>+AI17-AE17</f>
        <v>4.1556779062197791E-2</v>
      </c>
      <c r="AK17" s="1054">
        <f>+AI17-$E$17</f>
        <v>8.8611886265758333E-2</v>
      </c>
      <c r="AL17" s="1053">
        <v>1.4343454792666446</v>
      </c>
      <c r="AM17" s="1050">
        <v>2.1631104557427201</v>
      </c>
      <c r="AN17" s="1052">
        <f>+AM17-AI17</f>
        <v>-1.1612154946859743E-2</v>
      </c>
      <c r="AO17" s="1054">
        <f>+AM17-$E$17</f>
        <v>7.699973131889859E-2</v>
      </c>
      <c r="AP17" s="1053">
        <v>1.4374130799544669</v>
      </c>
      <c r="AQ17" s="1050">
        <v>2.1695115639434324</v>
      </c>
      <c r="AR17" s="1052">
        <f>+AQ17-AM17</f>
        <v>6.4011082007122688E-3</v>
      </c>
      <c r="AS17" s="1054">
        <f>+AQ17-$E$17</f>
        <v>8.3400839519610859E-2</v>
      </c>
      <c r="AT17" s="1053">
        <v>1.4365983579972381</v>
      </c>
      <c r="AU17" s="1050">
        <v>2.168048054955193</v>
      </c>
      <c r="AV17" s="1052">
        <f>+AU17-AQ17</f>
        <v>-1.463508988239326E-3</v>
      </c>
      <c r="AW17" s="1054">
        <f>+AU17-$E$17</f>
        <v>8.1937330531371533E-2</v>
      </c>
      <c r="AX17" s="1053">
        <v>1.4365769425932589</v>
      </c>
      <c r="AY17" s="1050">
        <v>2.1692915398597927</v>
      </c>
      <c r="AZ17" s="1052">
        <f>+AY17-AU17</f>
        <v>1.2434849045996899E-3</v>
      </c>
      <c r="BA17" s="1054">
        <f>+AY17-$E$17</f>
        <v>8.3180815435971223E-2</v>
      </c>
      <c r="BB17" s="1053">
        <v>1.4362413040996307</v>
      </c>
      <c r="BC17" s="1050">
        <v>2.1674079948420322</v>
      </c>
      <c r="BD17" s="1055">
        <f>+BC17-AY17</f>
        <v>-1.8835450177605573E-3</v>
      </c>
      <c r="BE17" s="1054">
        <f>+BC17-$E$17</f>
        <v>8.1297270418210665E-2</v>
      </c>
      <c r="BF17" s="1053">
        <v>1.4367362124460459</v>
      </c>
      <c r="BG17" s="1050">
        <v>2.167582537350218</v>
      </c>
      <c r="BH17" s="1055">
        <f>+BG17-BC17</f>
        <v>1.7454250818582651E-4</v>
      </c>
      <c r="BI17" s="1054">
        <f>+BG17-$E$17</f>
        <v>8.1471812926396492E-2</v>
      </c>
      <c r="BJ17" s="1053">
        <v>1.4054577990329884</v>
      </c>
      <c r="BK17" s="1050">
        <v>2.0469105985576577</v>
      </c>
      <c r="BL17" s="1055">
        <f>+BK17-BG17</f>
        <v>-0.12067193879256033</v>
      </c>
      <c r="BM17" s="1054">
        <f>+BK17-$E$17</f>
        <v>-3.9200125866163837E-2</v>
      </c>
      <c r="BN17" s="1053">
        <v>1.4049846722927288</v>
      </c>
      <c r="BO17" s="1050">
        <v>2.0462369786445267</v>
      </c>
      <c r="BP17" s="1055">
        <f>+BO17-BK17</f>
        <v>-6.7361991313097391E-4</v>
      </c>
      <c r="BQ17" s="1054">
        <f>+BO17-$E$17</f>
        <v>-3.9873745779294811E-2</v>
      </c>
      <c r="BR17" s="1053">
        <v>1.4049846722927288</v>
      </c>
      <c r="BS17" s="1050">
        <v>2.0468135272932608</v>
      </c>
      <c r="BT17" s="1055">
        <f>+BS17-BO17</f>
        <v>5.7654864873413203E-4</v>
      </c>
      <c r="BU17" s="1054">
        <f>+BS17-$E$17</f>
        <v>-3.9297197130560679E-2</v>
      </c>
      <c r="BV17" s="1053">
        <v>1.4224113409144237</v>
      </c>
      <c r="BW17" s="1050">
        <v>2.0378701440915994</v>
      </c>
      <c r="BX17" s="1055">
        <f>+BW17-BS17</f>
        <v>-8.9433832016614367E-3</v>
      </c>
      <c r="BY17" s="1054">
        <f>+BW17-$E$17</f>
        <v>-4.8240580332222116E-2</v>
      </c>
      <c r="BZ17" s="1053">
        <v>1.4221927092394133</v>
      </c>
      <c r="CA17" s="1050">
        <v>2.0444844070148269</v>
      </c>
      <c r="CB17" s="1055">
        <f>+CA17-BW17</f>
        <v>6.6142629232275318E-3</v>
      </c>
      <c r="CC17" s="1054">
        <f>+CA17-$E$17</f>
        <v>-4.1626317408994584E-2</v>
      </c>
      <c r="CD17" s="1053">
        <v>1.4303323132335457</v>
      </c>
      <c r="CE17" s="1050">
        <v>2.0470693479531494</v>
      </c>
      <c r="CF17" s="1055">
        <f>+CE17-CA17</f>
        <v>2.5849409383225108E-3</v>
      </c>
      <c r="CG17" s="1054">
        <f>+CE17-$E$17</f>
        <v>-3.9041376470672073E-2</v>
      </c>
      <c r="CH17" s="1053">
        <v>1.4283601862688038</v>
      </c>
      <c r="CI17" s="1050">
        <v>2.0444174712373</v>
      </c>
      <c r="CJ17" s="1055">
        <f>+CI17-CE17</f>
        <v>-2.6518767158494327E-3</v>
      </c>
      <c r="CK17" s="1054">
        <f>+CI17-$E$17</f>
        <v>-4.1693253186521506E-2</v>
      </c>
      <c r="CL17" s="1053">
        <v>1.4144890792266993</v>
      </c>
      <c r="CM17" s="1050">
        <v>2.0068394882430933</v>
      </c>
      <c r="CN17" s="1055">
        <f>+CM17-CI17</f>
        <v>-3.7577982994206671E-2</v>
      </c>
      <c r="CO17" s="1054">
        <f>+CM17-$E$17</f>
        <v>-7.9271236180728177E-2</v>
      </c>
      <c r="CP17" s="1053">
        <v>1.4151348959137184</v>
      </c>
      <c r="CQ17" s="1050">
        <v>2.0053440590221752</v>
      </c>
      <c r="CR17" s="1055">
        <f>+CQ17-CM17</f>
        <v>-1.4954292209181652E-3</v>
      </c>
      <c r="CS17" s="1054">
        <f>+CQ17-$E$17</f>
        <v>-8.0766665401646343E-2</v>
      </c>
      <c r="CT17" s="1053">
        <v>1.4159443437721342</v>
      </c>
      <c r="CU17" s="1050">
        <v>2.0039831432219177</v>
      </c>
      <c r="CV17" s="1055">
        <f>+CU17-CQ17</f>
        <v>-1.360915800257434E-3</v>
      </c>
      <c r="CW17" s="1054">
        <f>+CU17-$E$17</f>
        <v>-8.2127581201903777E-2</v>
      </c>
      <c r="CX17" s="1053">
        <v>1.4160793988471903</v>
      </c>
      <c r="CY17" s="1050">
        <v>2.0052476415832339</v>
      </c>
      <c r="CZ17" s="1055">
        <f>+CY17-CU17</f>
        <v>1.2644983613161465E-3</v>
      </c>
      <c r="DA17" s="1054">
        <f>+CY17-$E$17</f>
        <v>-8.086308284058763E-2</v>
      </c>
      <c r="DB17" s="1053">
        <v>1.4140031906768762</v>
      </c>
      <c r="DC17" s="1050">
        <v>2.000776379018018</v>
      </c>
      <c r="DD17" s="1055">
        <f>+DC17-CY17</f>
        <v>-4.4712625652159055E-3</v>
      </c>
      <c r="DE17" s="1054">
        <f>+DC17-$E$17</f>
        <v>-8.5334345405803536E-2</v>
      </c>
      <c r="DF17" s="1053">
        <v>1.4083304189414687</v>
      </c>
      <c r="DG17" s="1050">
        <v>1.9880222306881796</v>
      </c>
      <c r="DH17" s="1055">
        <f>+DG17-DC17</f>
        <v>-1.2754148329838344E-2</v>
      </c>
      <c r="DI17" s="1054">
        <f>+DG17-$E$17</f>
        <v>-9.808849373564188E-2</v>
      </c>
      <c r="DJ17" s="1053">
        <v>1.4043219009267347</v>
      </c>
      <c r="DK17" s="1050">
        <v>1.977499687933103</v>
      </c>
      <c r="DL17" s="1055">
        <f>+DK17-DG17</f>
        <v>-1.052254275507658E-2</v>
      </c>
      <c r="DM17" s="1054">
        <f>+DK17-$E$17</f>
        <v>-0.10861103649071846</v>
      </c>
      <c r="DN17" s="1053">
        <v>1.4124828481720173</v>
      </c>
      <c r="DO17" s="1050">
        <v>1.9988532642335159</v>
      </c>
      <c r="DP17" s="1055">
        <f>+DO17-DK17</f>
        <v>2.1353576300412902E-2</v>
      </c>
      <c r="DQ17" s="1054">
        <f>+DO17-$E$17</f>
        <v>-8.7257460190305558E-2</v>
      </c>
      <c r="DR17" s="1053">
        <v>1.4113611222225293</v>
      </c>
      <c r="DS17" s="1050">
        <v>2.0027628760412246</v>
      </c>
      <c r="DT17" s="1055">
        <f>+DS17-DO17</f>
        <v>3.9096118077086572E-3</v>
      </c>
      <c r="DU17" s="1054">
        <f>+DS17-$E$17</f>
        <v>-8.3347848382596901E-2</v>
      </c>
      <c r="DV17" s="1053">
        <v>1.4098585808699033</v>
      </c>
      <c r="DW17" s="1050">
        <v>1.9914592028935516</v>
      </c>
      <c r="DX17" s="1055">
        <f>+DW17-DS17</f>
        <v>-1.1303673147672999E-2</v>
      </c>
      <c r="DY17" s="1054">
        <f>+DW17-$E$17</f>
        <v>-9.46515215302699E-2</v>
      </c>
      <c r="DZ17" s="1053">
        <v>1.4072561457767716</v>
      </c>
      <c r="EA17" s="1050">
        <v>1.986233122952906</v>
      </c>
      <c r="EB17" s="1055">
        <f>+EA17-DW17</f>
        <v>-5.2260799406456115E-3</v>
      </c>
      <c r="EC17" s="1054">
        <f>+EA17-$E$17</f>
        <v>-9.9877601470915511E-2</v>
      </c>
      <c r="ED17" s="1053">
        <v>1.4094042454237783</v>
      </c>
      <c r="EE17" s="1050">
        <v>1.9882849507397624</v>
      </c>
      <c r="EF17" s="1055">
        <f>+EE17-EA17</f>
        <v>2.0518277868564194E-3</v>
      </c>
      <c r="EG17" s="1054">
        <f>+EE17-$E$17</f>
        <v>-9.7825773684059092E-2</v>
      </c>
      <c r="EH17" s="1053">
        <v>1.4081820336216202</v>
      </c>
      <c r="EI17" s="1050">
        <v>1.9782741032840065</v>
      </c>
      <c r="EJ17" s="1055">
        <f>+EI17-EE17</f>
        <v>-1.0010847455755867E-2</v>
      </c>
      <c r="EK17" s="1054">
        <f>+EI17-$E$17</f>
        <v>-0.10783662113981496</v>
      </c>
      <c r="EL17" s="1053">
        <v>1.4081820336216202</v>
      </c>
      <c r="EM17" s="1050">
        <v>1.9782741032840065</v>
      </c>
      <c r="EN17" s="1055">
        <f>+EM17-EI17</f>
        <v>0</v>
      </c>
      <c r="EO17" s="1054">
        <f>+EM17-$E$17</f>
        <v>-0.10783662113981496</v>
      </c>
      <c r="EP17" s="1053">
        <v>1.4041022971999038</v>
      </c>
      <c r="EQ17" s="1050">
        <v>1.95299790395509</v>
      </c>
      <c r="ER17" s="1055">
        <f>+EQ17-EM17</f>
        <v>-2.527619932891656E-2</v>
      </c>
      <c r="ES17" s="1054">
        <f>+EQ17-$E$17</f>
        <v>-0.13311282046873152</v>
      </c>
      <c r="ET17" s="1053">
        <v>1.4298793753871235</v>
      </c>
      <c r="EU17" s="1050">
        <v>1.9378058115310468</v>
      </c>
      <c r="EV17" s="1055">
        <f>+EU17-EQ17</f>
        <v>-1.519209242404318E-2</v>
      </c>
      <c r="EW17" s="1054">
        <f>+EU17-$E$17</f>
        <v>-0.1483049128927747</v>
      </c>
      <c r="EX17" s="1053">
        <v>1.4266236040156204</v>
      </c>
      <c r="EY17" s="1050">
        <v>1.926657592316479</v>
      </c>
      <c r="EZ17" s="1055">
        <f>+EY17-EU17</f>
        <v>-1.1148219214567767E-2</v>
      </c>
      <c r="FA17" s="1054">
        <f>+EY17-$E$17</f>
        <v>-0.15945313210734247</v>
      </c>
      <c r="FB17" s="1053">
        <v>1.4244248927150702</v>
      </c>
      <c r="FC17" s="1050">
        <v>1.9206875951818447</v>
      </c>
      <c r="FD17" s="1055">
        <f>+FC17-EY17</f>
        <v>-5.9699971346343084E-3</v>
      </c>
      <c r="FE17" s="1054">
        <f>+FC17-$E$17</f>
        <v>-0.16542312924197677</v>
      </c>
    </row>
    <row r="18" spans="2:161" x14ac:dyDescent="0.25">
      <c r="B18" s="1043" t="s">
        <v>5</v>
      </c>
      <c r="D18" s="812">
        <v>315953.93172226031</v>
      </c>
      <c r="E18" s="812">
        <v>242211.90210150764</v>
      </c>
      <c r="F18" s="812">
        <v>282323</v>
      </c>
      <c r="G18" s="812">
        <v>247766</v>
      </c>
      <c r="H18" s="328">
        <v>4.7337464243535398E-3</v>
      </c>
      <c r="I18" s="700">
        <f>+G18-$E$18</f>
        <v>5554.0978984923568</v>
      </c>
      <c r="J18" s="1056">
        <v>283014.98858426599</v>
      </c>
      <c r="K18" s="812">
        <v>248863.92706228886</v>
      </c>
      <c r="L18" s="700">
        <f>+K18-G18</f>
        <v>1097.927062288858</v>
      </c>
      <c r="M18" s="723">
        <f>+K18-$E$18</f>
        <v>6652.0249607812148</v>
      </c>
      <c r="N18" s="1056">
        <v>274439.88656064519</v>
      </c>
      <c r="O18" s="812">
        <v>247902.48269394526</v>
      </c>
      <c r="P18" s="1057">
        <f>+(O18-K18)/K18</f>
        <v>-3.8633335883305978E-3</v>
      </c>
      <c r="Q18" s="723">
        <f>+O18-$E$18</f>
        <v>5690.5805924376182</v>
      </c>
      <c r="R18" s="1056">
        <v>273833.88656064554</v>
      </c>
      <c r="S18" s="812">
        <v>250218.96334525195</v>
      </c>
      <c r="T18" s="1057">
        <f>+(S18-O18)/O18</f>
        <v>9.3443221146218246E-3</v>
      </c>
      <c r="U18" s="723">
        <f>+S18-$E$18</f>
        <v>8007.0612437443051</v>
      </c>
      <c r="V18" s="1056">
        <v>267492.60627414973</v>
      </c>
      <c r="W18" s="812">
        <v>247175.74466199981</v>
      </c>
      <c r="X18" s="1057">
        <f>+(W18-S18)/S18</f>
        <v>-1.2162222409390726E-2</v>
      </c>
      <c r="Y18" s="723">
        <f>+W18-$E$18</f>
        <v>4963.8425604921649</v>
      </c>
      <c r="Z18" s="1056">
        <v>264321.49608258775</v>
      </c>
      <c r="AA18" s="812">
        <v>245172.41239183189</v>
      </c>
      <c r="AB18" s="1057">
        <f>+(AA18-W18)/W18</f>
        <v>-8.1048901982974427E-3</v>
      </c>
      <c r="AC18" s="723">
        <f>+AA18-$E$18</f>
        <v>2960.5102903242514</v>
      </c>
      <c r="AD18" s="1056">
        <v>254776.2853146448</v>
      </c>
      <c r="AE18" s="812">
        <v>238227.29789162311</v>
      </c>
      <c r="AF18" s="1057">
        <f>+(AE18-AA18)/AA18</f>
        <v>-2.832747140044933E-2</v>
      </c>
      <c r="AG18" s="723">
        <f>+AE18-$E$18</f>
        <v>-3984.6042098845355</v>
      </c>
      <c r="AH18" s="1056">
        <v>263581.60311082623</v>
      </c>
      <c r="AI18" s="812">
        <v>246963.84721984353</v>
      </c>
      <c r="AJ18" s="1057">
        <f>+(AI18-AE18)/AE18</f>
        <v>3.6673166364817475E-2</v>
      </c>
      <c r="AK18" s="723">
        <f>+AI18-$E$18</f>
        <v>4751.9451183358906</v>
      </c>
      <c r="AL18" s="1056">
        <v>260871.40215458046</v>
      </c>
      <c r="AM18" s="812">
        <v>244522.60497755301</v>
      </c>
      <c r="AN18" s="1057">
        <f>+(AM18-AI18)/AI18</f>
        <v>-9.8850186769133246E-3</v>
      </c>
      <c r="AO18" s="723">
        <f>+AM18-$E$18</f>
        <v>2310.7028760453686</v>
      </c>
      <c r="AP18" s="1056">
        <v>262097.96364472475</v>
      </c>
      <c r="AQ18" s="812">
        <v>245868.32037737005</v>
      </c>
      <c r="AR18" s="1057">
        <f>+(AQ18-AM18)/AM18</f>
        <v>5.5034396510726495E-3</v>
      </c>
      <c r="AS18" s="723">
        <f>+AQ18-$E$18</f>
        <v>3656.4182758624083</v>
      </c>
      <c r="AT18" s="1056">
        <v>261757.96364472498</v>
      </c>
      <c r="AU18" s="812">
        <v>245560.64449977345</v>
      </c>
      <c r="AV18" s="1057">
        <f>+(AU18-AQ18)/AQ18</f>
        <v>-1.2513847946102441E-3</v>
      </c>
      <c r="AW18" s="723">
        <f>+AU18-$E$18</f>
        <v>3348.7423982658074</v>
      </c>
      <c r="AX18" s="1056">
        <v>261742.96364472486</v>
      </c>
      <c r="AY18" s="812">
        <v>245822.06435600622</v>
      </c>
      <c r="AZ18" s="1057">
        <f>+(AY18-AU18)/AU18</f>
        <v>1.0645836867112751E-3</v>
      </c>
      <c r="BA18" s="723">
        <f>+AY18-$E$18</f>
        <v>3610.162254498573</v>
      </c>
      <c r="BB18" s="1056">
        <v>261604.50103432359</v>
      </c>
      <c r="BC18" s="812">
        <v>245426.08361998815</v>
      </c>
      <c r="BD18" s="1057">
        <f>+(BC18-AY18)/AY18</f>
        <v>-1.6108429365583761E-3</v>
      </c>
      <c r="BE18" s="723">
        <f>+BC18-$E$18</f>
        <v>3214.1815184805018</v>
      </c>
      <c r="BF18" s="1056">
        <v>261713.69010456791</v>
      </c>
      <c r="BG18" s="812">
        <v>245462.77797568776</v>
      </c>
      <c r="BH18" s="1057">
        <f>+(BG18-BC18)/BC18</f>
        <v>1.4951286007736943E-4</v>
      </c>
      <c r="BI18" s="723">
        <f>+BG18-$E$18</f>
        <v>3250.8758741801139</v>
      </c>
      <c r="BJ18" s="1056">
        <v>243275.77868363721</v>
      </c>
      <c r="BK18" s="812">
        <v>220093.71979590671</v>
      </c>
      <c r="BL18" s="1057">
        <f>+(BK18-BG18)/BG18</f>
        <v>-0.10335195579956226</v>
      </c>
      <c r="BM18" s="723">
        <f>+BK18-$E$18</f>
        <v>-22118.182305600931</v>
      </c>
      <c r="BN18" s="1056">
        <v>243125.78258233186</v>
      </c>
      <c r="BO18" s="812">
        <v>219952.10358472893</v>
      </c>
      <c r="BP18" s="1057">
        <f>+(BO18-BK18)/BK18</f>
        <v>-6.4343594769129342E-4</v>
      </c>
      <c r="BQ18" s="723">
        <f>+BO18-$E$18</f>
        <v>-22259.798516778712</v>
      </c>
      <c r="BR18" s="1056">
        <v>243125.78258233186</v>
      </c>
      <c r="BS18" s="812">
        <v>220073.31234593363</v>
      </c>
      <c r="BT18" s="1057">
        <f>+(BS18-BO18)/BO18</f>
        <v>5.510688883137324E-4</v>
      </c>
      <c r="BU18" s="723">
        <f>+BS18-$E$18</f>
        <v>-22138.589755574008</v>
      </c>
      <c r="BV18" s="1056">
        <v>240564.621209857</v>
      </c>
      <c r="BW18" s="812">
        <v>218193.13033313729</v>
      </c>
      <c r="BX18" s="1057">
        <f>+(BW18-BS18)/BS18</f>
        <v>-8.5434348797408122E-3</v>
      </c>
      <c r="BY18" s="723">
        <f>+BW18-$E$18</f>
        <v>-24018.771768370352</v>
      </c>
      <c r="BZ18" s="1056">
        <v>240482.34484943975</v>
      </c>
      <c r="CA18" s="812">
        <v>219583.65759734387</v>
      </c>
      <c r="CB18" s="1057">
        <f>+(CA18-BW18)/BW18</f>
        <v>6.3729195418917445E-3</v>
      </c>
      <c r="CC18" s="723">
        <f>+CA18-$E$18</f>
        <v>-22628.244504163769</v>
      </c>
      <c r="CD18" s="1056">
        <v>245174.6218112362</v>
      </c>
      <c r="CE18" s="812">
        <v>220127.09393980904</v>
      </c>
      <c r="CF18" s="1057">
        <f>+(CE18-CA18)/CA18</f>
        <v>2.4748487588346869E-3</v>
      </c>
      <c r="CG18" s="723">
        <f>+CE18-$E$18</f>
        <v>-22084.808161698602</v>
      </c>
      <c r="CH18" s="1056">
        <v>244406.90669127175</v>
      </c>
      <c r="CI18" s="812">
        <v>219569.58557984442</v>
      </c>
      <c r="CJ18" s="1057">
        <f>+(CI18-CE18)/CE18</f>
        <v>-2.5326657885969294E-3</v>
      </c>
      <c r="CK18" s="723">
        <f>+CI18-$E$18</f>
        <v>-22642.316521663219</v>
      </c>
      <c r="CL18" s="1056">
        <v>236779.86113900965</v>
      </c>
      <c r="CM18" s="812">
        <v>211669.50502758246</v>
      </c>
      <c r="CN18" s="1057">
        <f>+(CM18-CI18)/CI18</f>
        <v>-3.5979849082463988E-2</v>
      </c>
      <c r="CO18" s="723">
        <f>+CM18-$E$18</f>
        <v>-30542.397073925182</v>
      </c>
      <c r="CP18" s="1056">
        <v>236265.22879062023</v>
      </c>
      <c r="CQ18" s="812">
        <v>211355.11850749486</v>
      </c>
      <c r="CR18" s="1057">
        <f>+(CQ18-CM18)/CM18</f>
        <v>-1.485270729227789E-3</v>
      </c>
      <c r="CS18" s="723">
        <f>+CQ18-$E$18</f>
        <v>-30856.783594012784</v>
      </c>
      <c r="CT18" s="1056">
        <v>235940.82536657003</v>
      </c>
      <c r="CU18" s="812">
        <v>211069.01096285792</v>
      </c>
      <c r="CV18" s="1057">
        <f>+(CU18-CQ18)/CQ18</f>
        <v>-1.3536816456460234E-3</v>
      </c>
      <c r="CW18" s="723">
        <f>+CU18-$E$18</f>
        <v>-31142.89113864972</v>
      </c>
      <c r="CX18" s="1056">
        <v>236554.40468395315</v>
      </c>
      <c r="CY18" s="812">
        <v>211334.84851231184</v>
      </c>
      <c r="CZ18" s="1057">
        <f>+(CY18-CU18)/CU18</f>
        <v>1.2594816654572809E-3</v>
      </c>
      <c r="DA18" s="723">
        <f>+CY18-$E$18</f>
        <v>-30877.053589195799</v>
      </c>
      <c r="DB18" s="1056">
        <v>235614.40387441084</v>
      </c>
      <c r="DC18" s="812">
        <v>210394.84770276968</v>
      </c>
      <c r="DD18" s="1057">
        <f>+(DC18-CY18)/CY18</f>
        <v>-4.4479214675633739E-3</v>
      </c>
      <c r="DE18" s="723">
        <f>+DC18-$E$18</f>
        <v>-31817.054398737964</v>
      </c>
      <c r="DF18" s="1056">
        <v>232463.99500543467</v>
      </c>
      <c r="DG18" s="812">
        <v>207713.52233209298</v>
      </c>
      <c r="DH18" s="1057">
        <f>+(DG18-DC18)/DC18</f>
        <v>-1.2744253958465171E-2</v>
      </c>
      <c r="DI18" s="723">
        <f>+DG18-$E$18</f>
        <v>-34498.379769414663</v>
      </c>
      <c r="DJ18" s="1056">
        <v>230181.93109706376</v>
      </c>
      <c r="DK18" s="812">
        <v>205501.35103507206</v>
      </c>
      <c r="DL18" s="1057">
        <f>+(DK18-DG18)/DG18</f>
        <v>-1.0650107283261477E-2</v>
      </c>
      <c r="DM18" s="723">
        <f>+DK18-$E$18</f>
        <v>-36710.551066435582</v>
      </c>
      <c r="DN18" s="1056">
        <v>235457.31021225103</v>
      </c>
      <c r="DO18" s="812">
        <v>209990.54815025895</v>
      </c>
      <c r="DP18" s="1057">
        <f>+(DO18-DK18)/DK18</f>
        <v>2.184509781846028E-2</v>
      </c>
      <c r="DQ18" s="723">
        <f>+DO18-$E$18</f>
        <v>-32221.35395124869</v>
      </c>
      <c r="DR18" s="1056">
        <v>234816.99613366043</v>
      </c>
      <c r="DS18" s="812">
        <v>210812.47220652705</v>
      </c>
      <c r="DT18" s="1057">
        <f>+(DS18-DO18)/DO18</f>
        <v>3.9141002464547344E-3</v>
      </c>
      <c r="DU18" s="723">
        <f>+DS18-$E$18</f>
        <v>-31399.429894980596</v>
      </c>
      <c r="DV18" s="1056">
        <v>233959.30145146977</v>
      </c>
      <c r="DW18" s="812">
        <v>208436.08259517342</v>
      </c>
      <c r="DX18" s="1057">
        <f>+(DW18-DS18)/DS18</f>
        <v>-1.1272528548621878E-2</v>
      </c>
      <c r="DY18" s="723">
        <f>+DW18-$E$18</f>
        <v>-33775.819506334228</v>
      </c>
      <c r="DZ18" s="1056">
        <v>232473.75515603879</v>
      </c>
      <c r="EA18" s="812">
        <v>207337.39529974232</v>
      </c>
      <c r="EB18" s="1057">
        <f>+(EA18-DW18)/DW18</f>
        <v>-5.2710993305558219E-3</v>
      </c>
      <c r="EC18" s="723">
        <f>+EA18-$E$18</f>
        <v>-34874.506801765325</v>
      </c>
      <c r="ED18" s="1056">
        <v>233699.95345057041</v>
      </c>
      <c r="EE18" s="812">
        <v>207768.75439631846</v>
      </c>
      <c r="EF18" s="1057">
        <f>+(EE18-EA18)/EA18</f>
        <v>2.080469352634313E-3</v>
      </c>
      <c r="EG18" s="723">
        <f>+EE18-$E$18</f>
        <v>-34443.147705189185</v>
      </c>
      <c r="EH18" s="1056">
        <v>233002.27909945219</v>
      </c>
      <c r="EI18" s="812">
        <v>205664.15763525572</v>
      </c>
      <c r="EJ18" s="1057">
        <f>+(EI18-EE18)/EE18</f>
        <v>-1.0129515225606192E-2</v>
      </c>
      <c r="EK18" s="723">
        <f>+EI18-$E$18</f>
        <v>-36547.744466251926</v>
      </c>
      <c r="EL18" s="1056">
        <v>233002.27909945219</v>
      </c>
      <c r="EM18" s="812">
        <v>205664.15763525572</v>
      </c>
      <c r="EN18" s="1057">
        <f>+(EM18-EI18)/EI18</f>
        <v>0</v>
      </c>
      <c r="EO18" s="723">
        <f>+EM18-$E$18</f>
        <v>-36547.744466251926</v>
      </c>
      <c r="EP18" s="1056">
        <v>230672.21581758338</v>
      </c>
      <c r="EQ18" s="812">
        <v>200350.301093666</v>
      </c>
      <c r="ER18" s="1057">
        <f>+(EQ18-EM18)/EM18</f>
        <v>-2.5837543122189593E-2</v>
      </c>
      <c r="ES18" s="723">
        <f>+EQ18-$E$18</f>
        <v>-41861.601007841644</v>
      </c>
      <c r="ET18" s="1056">
        <v>245386.44977257529</v>
      </c>
      <c r="EU18" s="812">
        <v>197156.44276641594</v>
      </c>
      <c r="EV18" s="1057">
        <f>+(EU18-EQ18)/EQ18</f>
        <v>-1.594137023910381E-2</v>
      </c>
      <c r="EW18" s="723">
        <f>+EU18-$E$18</f>
        <v>-45055.459335091698</v>
      </c>
      <c r="EX18" s="1056">
        <v>243527.96987363882</v>
      </c>
      <c r="EY18" s="812">
        <v>194812.7344885412</v>
      </c>
      <c r="EZ18" s="1057">
        <f>+(EY18-EU18)/EU18</f>
        <v>-1.1887556120352031E-2</v>
      </c>
      <c r="FA18" s="723">
        <f>+EY18-$E$18</f>
        <v>-47399.167612966441</v>
      </c>
      <c r="FB18" s="1056">
        <v>242272.88765521182</v>
      </c>
      <c r="FC18" s="812">
        <v>193557.65227011411</v>
      </c>
      <c r="FD18" s="1057">
        <f>+(FC18-EY18)/EY18</f>
        <v>-6.4425060390542284E-3</v>
      </c>
      <c r="FE18" s="723">
        <f>+FC18-$E$18</f>
        <v>-48654.249831393536</v>
      </c>
    </row>
    <row r="19" spans="2:161" x14ac:dyDescent="0.25">
      <c r="B19" s="1043" t="s">
        <v>6</v>
      </c>
      <c r="D19" s="812">
        <v>578588.2457904648</v>
      </c>
      <c r="E19" s="812">
        <v>223008.48030940889</v>
      </c>
      <c r="F19" s="812">
        <v>609946</v>
      </c>
      <c r="G19" s="812">
        <v>222727</v>
      </c>
      <c r="H19" s="328">
        <v>-3.9768208094125299E-3</v>
      </c>
      <c r="I19" s="700">
        <f>+G19-$E$19</f>
        <v>-281.48030940888566</v>
      </c>
      <c r="J19" s="1056">
        <v>608945.38148846896</v>
      </c>
      <c r="K19" s="812">
        <v>224992.34099631198</v>
      </c>
      <c r="L19" s="700">
        <f>+K19-G19</f>
        <v>2265.3409963119775</v>
      </c>
      <c r="M19" s="723">
        <f>+K19-$E$19</f>
        <v>1983.8606869030918</v>
      </c>
      <c r="N19" s="1056">
        <v>614439.73870732018</v>
      </c>
      <c r="O19" s="812">
        <v>208254.91479259793</v>
      </c>
      <c r="P19" s="1057">
        <f>+(O19-K19)/K19</f>
        <v>-7.4391093179426937E-2</v>
      </c>
      <c r="Q19" s="723">
        <f>+O19-$E$19</f>
        <v>-14753.565516810952</v>
      </c>
      <c r="R19" s="1056">
        <v>615045.71570731979</v>
      </c>
      <c r="S19" s="812">
        <v>208254.91479259793</v>
      </c>
      <c r="T19" s="1057">
        <f>+(S19-O19)/O19</f>
        <v>0</v>
      </c>
      <c r="U19" s="723">
        <f>+S19-$E$19</f>
        <v>-14753.565516810952</v>
      </c>
      <c r="V19" s="1056">
        <v>615315.94099696493</v>
      </c>
      <c r="W19" s="812">
        <v>210231.62827765109</v>
      </c>
      <c r="X19" s="1057">
        <f>+(W19-S19)/S19</f>
        <v>9.4917975262277816E-3</v>
      </c>
      <c r="Y19" s="723">
        <f>+W19-$E$19</f>
        <v>-12776.852031757793</v>
      </c>
      <c r="Z19" s="1056">
        <v>615315.96759696479</v>
      </c>
      <c r="AA19" s="812">
        <v>210231.62827765109</v>
      </c>
      <c r="AB19" s="1057">
        <f>+(AA19-W19)/W19</f>
        <v>0</v>
      </c>
      <c r="AC19" s="723">
        <f>+AA19-$E$19</f>
        <v>-12776.852031757793</v>
      </c>
      <c r="AD19" s="1056">
        <v>615316.01159696467</v>
      </c>
      <c r="AE19" s="812">
        <v>210231.62827765109</v>
      </c>
      <c r="AF19" s="1057">
        <f>+(AE19-AA19)/AA19</f>
        <v>0</v>
      </c>
      <c r="AG19" s="723">
        <f>+AE19-$E$19</f>
        <v>-12776.852031757793</v>
      </c>
      <c r="AH19" s="1056">
        <v>615315.64459696482</v>
      </c>
      <c r="AI19" s="812">
        <v>210231.62827765109</v>
      </c>
      <c r="AJ19" s="1057">
        <f>+(AI19-AE19)/AE19</f>
        <v>0</v>
      </c>
      <c r="AK19" s="723">
        <f>+AI19-$E$19</f>
        <v>-12776.852031757793</v>
      </c>
      <c r="AL19" s="1056">
        <v>617393.0775969649</v>
      </c>
      <c r="AM19" s="812">
        <v>210231.62827765101</v>
      </c>
      <c r="AN19" s="1057">
        <f>+(AM19-AI19)/AI19</f>
        <v>-4.1531092198405836E-16</v>
      </c>
      <c r="AO19" s="723">
        <f>+AM19-$E$19</f>
        <v>-12776.85203175788</v>
      </c>
      <c r="AP19" s="1056">
        <v>615985.285596965</v>
      </c>
      <c r="AQ19" s="812">
        <v>210231.62827765109</v>
      </c>
      <c r="AR19" s="1057">
        <f>+(AQ19-AM19)/AM19</f>
        <v>4.1531092198405851E-16</v>
      </c>
      <c r="AS19" s="723">
        <f>+AQ19-$E$19</f>
        <v>-12776.852031757793</v>
      </c>
      <c r="AT19" s="1056">
        <v>616324.68559696479</v>
      </c>
      <c r="AU19" s="812">
        <v>210231.62827765109</v>
      </c>
      <c r="AV19" s="1057">
        <f>+(AU19-AQ19)/AQ19</f>
        <v>0</v>
      </c>
      <c r="AW19" s="723">
        <f>+AU19-$E$19</f>
        <v>-12776.852031757793</v>
      </c>
      <c r="AX19" s="1056">
        <v>616319.73659696477</v>
      </c>
      <c r="AY19" s="812">
        <v>210231.62827765109</v>
      </c>
      <c r="AZ19" s="1057">
        <f>+(AY19-AU19)/AU19</f>
        <v>0</v>
      </c>
      <c r="BA19" s="723">
        <f>+AY19-$E$19</f>
        <v>-12776.852031757793</v>
      </c>
      <c r="BB19" s="1056">
        <v>616463.59596678917</v>
      </c>
      <c r="BC19" s="812">
        <v>210231.62827765109</v>
      </c>
      <c r="BD19" s="1057">
        <f>+(BC19-AY19)/AY19</f>
        <v>0</v>
      </c>
      <c r="BE19" s="723">
        <f>+BC19-$E$19</f>
        <v>-12776.852031757793</v>
      </c>
      <c r="BF19" s="1056">
        <v>616034.06920353253</v>
      </c>
      <c r="BG19" s="812">
        <v>210231.62827765109</v>
      </c>
      <c r="BH19" s="1057">
        <f>+(BG19-BC19)/BC19</f>
        <v>0</v>
      </c>
      <c r="BI19" s="723">
        <f>+BG19-$E$19</f>
        <v>-12776.852031757793</v>
      </c>
      <c r="BJ19" s="1056">
        <v>600002.71116709767</v>
      </c>
      <c r="BK19" s="812">
        <v>210231.62827765109</v>
      </c>
      <c r="BL19" s="1057">
        <f>+(BK19-BG19)/BG19</f>
        <v>0</v>
      </c>
      <c r="BM19" s="723">
        <f>+BK19-$E$19</f>
        <v>-12776.852031757793</v>
      </c>
      <c r="BN19" s="1056">
        <v>600333.2946057698</v>
      </c>
      <c r="BO19" s="812">
        <v>210231.62827765109</v>
      </c>
      <c r="BP19" s="1057">
        <f>+(BO19-BK19)/BK19</f>
        <v>0</v>
      </c>
      <c r="BQ19" s="723">
        <f>+BO19-$E$19</f>
        <v>-12776.852031757793</v>
      </c>
      <c r="BR19" s="1056">
        <v>600333.2946057698</v>
      </c>
      <c r="BS19" s="812">
        <v>210231.62827765109</v>
      </c>
      <c r="BT19" s="1057">
        <f>+(BS19-BO19)/BO19</f>
        <v>0</v>
      </c>
      <c r="BU19" s="723">
        <f>+BS19-$E$19</f>
        <v>-12776.852031757793</v>
      </c>
      <c r="BV19" s="1056">
        <v>569503.22566882265</v>
      </c>
      <c r="BW19" s="812">
        <v>210231.62827765109</v>
      </c>
      <c r="BX19" s="1057">
        <f>+(BW19-BS19)/BS19</f>
        <v>0</v>
      </c>
      <c r="BY19" s="723">
        <f>+BW19-$E$19</f>
        <v>-12776.852031757793</v>
      </c>
      <c r="BZ19" s="1056">
        <v>569603.26312283415</v>
      </c>
      <c r="CA19" s="812">
        <v>210231.62827765109</v>
      </c>
      <c r="CB19" s="1057">
        <f>+(CA19-BW19)/BW19</f>
        <v>0</v>
      </c>
      <c r="CC19" s="723">
        <f>+CA19-$E$19</f>
        <v>-12776.852031757793</v>
      </c>
      <c r="CD19" s="1056">
        <v>569733.23701624386</v>
      </c>
      <c r="CE19" s="812">
        <v>210231.62827765109</v>
      </c>
      <c r="CF19" s="1057">
        <f>+(CE19-CA19)/CA19</f>
        <v>0</v>
      </c>
      <c r="CG19" s="723">
        <f>+CE19-$E$19</f>
        <v>-12776.852031757793</v>
      </c>
      <c r="CH19" s="1056">
        <v>570564.01254317781</v>
      </c>
      <c r="CI19" s="812">
        <v>210231.62827765109</v>
      </c>
      <c r="CJ19" s="1057">
        <f>+(CI19-CE19)/CE19</f>
        <v>0</v>
      </c>
      <c r="CK19" s="723">
        <f>+CI19-$E$19</f>
        <v>-12776.852031757793</v>
      </c>
      <c r="CL19" s="1056">
        <v>571257.1766203423</v>
      </c>
      <c r="CM19" s="812">
        <v>210231.62827765109</v>
      </c>
      <c r="CN19" s="1057">
        <f>+(CM19-CI19)/CI19</f>
        <v>0</v>
      </c>
      <c r="CO19" s="723">
        <f>+CM19-$E$19</f>
        <v>-12776.852031757793</v>
      </c>
      <c r="CP19" s="1056">
        <v>569128.80877093412</v>
      </c>
      <c r="CQ19" s="812">
        <v>210231.62827765109</v>
      </c>
      <c r="CR19" s="1057">
        <f>+(CQ19-CM19)/CM19</f>
        <v>0</v>
      </c>
      <c r="CS19" s="723">
        <f>+CQ19-$E$19</f>
        <v>-12776.852031757793</v>
      </c>
      <c r="CT19" s="1056">
        <v>567241.33624912309</v>
      </c>
      <c r="CU19" s="812">
        <v>210231.62827765109</v>
      </c>
      <c r="CV19" s="1057">
        <f>+(CU19-CQ19)/CQ19</f>
        <v>0</v>
      </c>
      <c r="CW19" s="723">
        <f>+CU19-$E$19</f>
        <v>-12776.852031757793</v>
      </c>
      <c r="CX19" s="1056">
        <v>568531.88439360925</v>
      </c>
      <c r="CY19" s="812">
        <v>210231.62827765109</v>
      </c>
      <c r="CZ19" s="1057">
        <f>+(CY19-CU19)/CU19</f>
        <v>0</v>
      </c>
      <c r="DA19" s="723">
        <f>+CY19-$E$19</f>
        <v>-12776.852031757793</v>
      </c>
      <c r="DB19" s="1056">
        <v>569112.53144979884</v>
      </c>
      <c r="DC19" s="812">
        <v>210231.62827765109</v>
      </c>
      <c r="DD19" s="1057">
        <f>+(DC19-CY19)/CY19</f>
        <v>0</v>
      </c>
      <c r="DE19" s="723">
        <f>+DC19-$E$19</f>
        <v>-12776.852031757793</v>
      </c>
      <c r="DF19" s="1056">
        <v>569303.64288817963</v>
      </c>
      <c r="DG19" s="812">
        <v>210231.62827765109</v>
      </c>
      <c r="DH19" s="1057">
        <f>+(DG19-DC19)/DC19</f>
        <v>0</v>
      </c>
      <c r="DI19" s="723">
        <f>+DG19-$E$19</f>
        <v>-12776.852031757793</v>
      </c>
      <c r="DJ19" s="1056">
        <v>569303.64288817963</v>
      </c>
      <c r="DK19" s="812">
        <v>210231.62827765109</v>
      </c>
      <c r="DL19" s="1057">
        <f>+(DK19-DG19)/DG19</f>
        <v>0</v>
      </c>
      <c r="DM19" s="723">
        <f>+DK19-$E$19</f>
        <v>-12776.852031757793</v>
      </c>
      <c r="DN19" s="1056">
        <v>570829.33570624143</v>
      </c>
      <c r="DO19" s="812">
        <v>210231.62827765109</v>
      </c>
      <c r="DP19" s="1057">
        <f>+(DO19-DK19)/DK19</f>
        <v>0</v>
      </c>
      <c r="DQ19" s="723">
        <f>+DO19-$E$19</f>
        <v>-12776.852031757793</v>
      </c>
      <c r="DR19" s="1056">
        <v>570829.33570624143</v>
      </c>
      <c r="DS19" s="812">
        <v>210231.62827765109</v>
      </c>
      <c r="DT19" s="1057">
        <f>+(DS19-DO19)/DO19</f>
        <v>0</v>
      </c>
      <c r="DU19" s="723">
        <f>+DS19-$E$19</f>
        <v>-12776.852031757793</v>
      </c>
      <c r="DV19" s="1056">
        <v>570829.33570624143</v>
      </c>
      <c r="DW19" s="812">
        <v>210231.62827765109</v>
      </c>
      <c r="DX19" s="1057">
        <f>+(DW19-DS19)/DS19</f>
        <v>0</v>
      </c>
      <c r="DY19" s="723">
        <f>+DW19-$E$19</f>
        <v>-12776.852031757793</v>
      </c>
      <c r="DZ19" s="1056">
        <v>570829.33570624143</v>
      </c>
      <c r="EA19" s="812">
        <v>210231.62827765109</v>
      </c>
      <c r="EB19" s="1057">
        <f>+(EA19-DW19)/DW19</f>
        <v>0</v>
      </c>
      <c r="EC19" s="723">
        <f>+EA19-$E$19</f>
        <v>-12776.852031757793</v>
      </c>
      <c r="ED19" s="1056">
        <v>570829.33570624143</v>
      </c>
      <c r="EE19" s="812">
        <v>210231.62827765109</v>
      </c>
      <c r="EF19" s="1057">
        <f>+(EE19-EA19)/EA19</f>
        <v>0</v>
      </c>
      <c r="EG19" s="723">
        <f>+EE19-$E$19</f>
        <v>-12776.852031757793</v>
      </c>
      <c r="EH19" s="1056">
        <v>570829.33570624143</v>
      </c>
      <c r="EI19" s="812">
        <v>210231.62827765109</v>
      </c>
      <c r="EJ19" s="1057">
        <f>+(EI19-EE19)/EE19</f>
        <v>0</v>
      </c>
      <c r="EK19" s="723">
        <f>+EI19-$E$19</f>
        <v>-12776.852031757793</v>
      </c>
      <c r="EL19" s="1056">
        <v>570829.33570624143</v>
      </c>
      <c r="EM19" s="812">
        <v>210231.62827765109</v>
      </c>
      <c r="EN19" s="1057">
        <f>+(EM19-EI19)/EI19</f>
        <v>0</v>
      </c>
      <c r="EO19" s="723">
        <f>+EM19-$E$19</f>
        <v>-12776.852031757793</v>
      </c>
      <c r="EP19" s="1056">
        <v>570826.29179777461</v>
      </c>
      <c r="EQ19" s="812">
        <v>210231.62827765101</v>
      </c>
      <c r="ER19" s="1057">
        <f>+(EQ19-EM19)/EM19</f>
        <v>-4.1531092198405836E-16</v>
      </c>
      <c r="ES19" s="723">
        <f>+EQ19-$E$19</f>
        <v>-12776.85203175788</v>
      </c>
      <c r="ET19" s="1056">
        <v>570826.29179777461</v>
      </c>
      <c r="EU19" s="812">
        <v>210231.62827765109</v>
      </c>
      <c r="EV19" s="1057">
        <f>+(EU19-EQ19)/EQ19</f>
        <v>4.1531092198405851E-16</v>
      </c>
      <c r="EW19" s="723">
        <f>+EU19-$E$19</f>
        <v>-12776.852031757793</v>
      </c>
      <c r="EX19" s="1056">
        <v>570826.29179777461</v>
      </c>
      <c r="EY19" s="812">
        <v>210231.62827765109</v>
      </c>
      <c r="EZ19" s="1057">
        <f>+(EY19-EU19)/EU19</f>
        <v>0</v>
      </c>
      <c r="FA19" s="723">
        <f>+EY19-$E$19</f>
        <v>-12776.852031757793</v>
      </c>
      <c r="FB19" s="1056">
        <v>570826.29179777461</v>
      </c>
      <c r="FC19" s="812">
        <v>210231.62827765109</v>
      </c>
      <c r="FD19" s="1057">
        <f>+(FC19-EY19)/EY19</f>
        <v>0</v>
      </c>
      <c r="FE19" s="723">
        <f>+FC19-$E$19</f>
        <v>-12776.852031757793</v>
      </c>
    </row>
    <row r="20" spans="2:161" x14ac:dyDescent="0.25">
      <c r="B20" s="1043" t="s">
        <v>630</v>
      </c>
      <c r="D20" s="812"/>
      <c r="E20" s="812"/>
      <c r="F20" s="1058">
        <v>6.5109552042834307E-2</v>
      </c>
      <c r="G20" s="1058">
        <v>6.4000000000000001E-2</v>
      </c>
      <c r="H20" s="1046">
        <v>1.6549596441947645E-4</v>
      </c>
      <c r="I20" s="1059">
        <f>+G20-$E$20</f>
        <v>6.4000000000000001E-2</v>
      </c>
      <c r="J20" s="1060">
        <v>6.5109553187817207E-2</v>
      </c>
      <c r="K20" s="1058">
        <v>6.3818182089431449E-2</v>
      </c>
      <c r="L20" s="1061">
        <f>+K20-G20</f>
        <v>-1.818179105685519E-4</v>
      </c>
      <c r="M20" s="1062">
        <f>+K20-$E$20</f>
        <v>6.3818182089431449E-2</v>
      </c>
      <c r="N20" s="1060">
        <v>6.4941000152526088E-2</v>
      </c>
      <c r="O20" s="1058">
        <v>6.4544295236020552E-2</v>
      </c>
      <c r="P20" s="1061">
        <f>+O20-K20</f>
        <v>7.2611314658910242E-4</v>
      </c>
      <c r="Q20" s="1062">
        <f>+O20-$E$20</f>
        <v>6.4544295236020552E-2</v>
      </c>
      <c r="R20" s="1060">
        <v>6.4869362961225238E-2</v>
      </c>
      <c r="S20" s="1058">
        <v>6.4504089026316935E-2</v>
      </c>
      <c r="T20" s="1061">
        <f>+S20-O20</f>
        <v>-4.0206209703616547E-5</v>
      </c>
      <c r="U20" s="1062">
        <f>+S20-$E$20</f>
        <v>6.4504089026316935E-2</v>
      </c>
      <c r="V20" s="1060">
        <v>6.4867591767818381E-2</v>
      </c>
      <c r="W20" s="1058">
        <v>6.4506378908669129E-2</v>
      </c>
      <c r="X20" s="1061">
        <f>+W20-S20</f>
        <v>2.2898823521938505E-6</v>
      </c>
      <c r="Y20" s="1062">
        <f>+W20-$E$20</f>
        <v>6.4506378908669129E-2</v>
      </c>
      <c r="Z20" s="1060">
        <v>6.4867591767818381E-2</v>
      </c>
      <c r="AA20" s="1058">
        <v>6.4134075990116404E-2</v>
      </c>
      <c r="AB20" s="1061">
        <f>+AA20-W20</f>
        <v>-3.723029185527249E-4</v>
      </c>
      <c r="AC20" s="1062">
        <f>+AA20-$E$20</f>
        <v>6.4134075990116404E-2</v>
      </c>
      <c r="AD20" s="1060">
        <v>6.4867591767818381E-2</v>
      </c>
      <c r="AE20" s="1058">
        <v>6.4320190350238018E-2</v>
      </c>
      <c r="AF20" s="1061">
        <f>+AE20-AA20</f>
        <v>1.861143601216142E-4</v>
      </c>
      <c r="AG20" s="1062">
        <f>+AE20-$E$20</f>
        <v>6.4320190350238018E-2</v>
      </c>
      <c r="AH20" s="1060">
        <v>6.4689518037378019E-2</v>
      </c>
      <c r="AI20" s="1058">
        <v>6.4165871891859461E-2</v>
      </c>
      <c r="AJ20" s="1061">
        <f>+AI20-AE20</f>
        <v>-1.5431845837855784E-4</v>
      </c>
      <c r="AK20" s="1062">
        <f>+AI20-$E$20</f>
        <v>6.4165871891859461E-2</v>
      </c>
      <c r="AL20" s="1060">
        <v>6.4367683884155688E-2</v>
      </c>
      <c r="AM20" s="1058">
        <v>6.3861022258779404E-2</v>
      </c>
      <c r="AN20" s="1061">
        <f>+AM20-AI20</f>
        <v>-3.0484963308005653E-4</v>
      </c>
      <c r="AO20" s="1062">
        <f>+AM20-$E$20</f>
        <v>6.3861022258779404E-2</v>
      </c>
      <c r="AP20" s="1060">
        <v>6.4509733540087016E-2</v>
      </c>
      <c r="AQ20" s="1058">
        <v>6.403003103566704E-2</v>
      </c>
      <c r="AR20" s="1061">
        <f>+AQ20-AM20</f>
        <v>1.6900877688763583E-4</v>
      </c>
      <c r="AS20" s="1062">
        <f>+AQ20-$E$20</f>
        <v>6.403003103566704E-2</v>
      </c>
      <c r="AT20" s="1060">
        <v>6.4469955278948873E-2</v>
      </c>
      <c r="AU20" s="1058">
        <v>6.4043466583957542E-2</v>
      </c>
      <c r="AV20" s="1061">
        <f>+AU20-AQ20</f>
        <v>1.3435548290502419E-5</v>
      </c>
      <c r="AW20" s="1062">
        <f>+AU20-$E$20</f>
        <v>6.4043466583957542E-2</v>
      </c>
      <c r="AX20" s="1060">
        <v>6.4468201485501697E-2</v>
      </c>
      <c r="AY20" s="1058">
        <v>6.4030208321880555E-2</v>
      </c>
      <c r="AZ20" s="1061">
        <f>+AY20-AU20</f>
        <v>-1.3258262076987215E-5</v>
      </c>
      <c r="BA20" s="1062">
        <f>+AY20-$E$20</f>
        <v>6.4030208321880555E-2</v>
      </c>
      <c r="BB20" s="1060">
        <v>6.4452126069127313E-2</v>
      </c>
      <c r="BC20" s="1058">
        <v>6.4016814859655366E-2</v>
      </c>
      <c r="BD20" s="1061">
        <f>+BC20-AY20</f>
        <v>-1.3393462225189112E-5</v>
      </c>
      <c r="BE20" s="1062">
        <f>+BC20-$E$20</f>
        <v>6.4016814859655366E-2</v>
      </c>
      <c r="BF20" s="1060">
        <v>6.4464778709235962E-2</v>
      </c>
      <c r="BG20" s="1058">
        <v>6.4042892697584008E-2</v>
      </c>
      <c r="BH20" s="1061">
        <f>+BG20-BC20</f>
        <v>2.6077837928642489E-5</v>
      </c>
      <c r="BI20" s="1062">
        <f>+BG20-$E$20</f>
        <v>6.4042892697584008E-2</v>
      </c>
      <c r="BJ20" s="1060">
        <v>6.4466316493421258E-2</v>
      </c>
      <c r="BK20" s="1058">
        <v>6.3314803358712243E-2</v>
      </c>
      <c r="BL20" s="1061">
        <f>+BK20-BG20</f>
        <v>-7.2808933887176519E-4</v>
      </c>
      <c r="BM20" s="1062">
        <f>+BK20-$E$20</f>
        <v>6.3314803358712243E-2</v>
      </c>
      <c r="BN20" s="1060">
        <v>6.4448800958614882E-2</v>
      </c>
      <c r="BO20" s="1058">
        <v>6.3301632839107017E-2</v>
      </c>
      <c r="BP20" s="1061">
        <f>+BO20-BK20</f>
        <v>-1.3170519605226749E-5</v>
      </c>
      <c r="BQ20" s="1062">
        <f>+BO20-$E$20</f>
        <v>6.3301632839107017E-2</v>
      </c>
      <c r="BR20" s="1060">
        <v>6.4448800958614882E-2</v>
      </c>
      <c r="BS20" s="1058">
        <v>6.3346920180035252E-2</v>
      </c>
      <c r="BT20" s="1061">
        <f>+BS20-BO20</f>
        <v>4.5287340928235054E-5</v>
      </c>
      <c r="BU20" s="1062">
        <f>+BS20-$E$20</f>
        <v>6.3346920180035252E-2</v>
      </c>
      <c r="BV20" s="1060">
        <v>6.4151184175143039E-2</v>
      </c>
      <c r="BW20" s="1058">
        <v>6.3135570130949725E-2</v>
      </c>
      <c r="BX20" s="1061">
        <f>+BW20-BS20</f>
        <v>-2.1135004908552635E-4</v>
      </c>
      <c r="BY20" s="1062">
        <f>+BW20-$E$20</f>
        <v>6.3135570130949725E-2</v>
      </c>
      <c r="BZ20" s="1060">
        <v>6.4141739373359472E-2</v>
      </c>
      <c r="CA20" s="1058">
        <v>6.3207555243789196E-2</v>
      </c>
      <c r="CB20" s="1061">
        <f>+CA20-BW20</f>
        <v>7.1985112839470511E-5</v>
      </c>
      <c r="CC20" s="1062">
        <f>+CA20-$E$20</f>
        <v>6.3207555243789196E-2</v>
      </c>
      <c r="CD20" s="1060">
        <v>6.4524370974190101E-2</v>
      </c>
      <c r="CE20" s="1058">
        <v>6.3363855780161071E-2</v>
      </c>
      <c r="CF20" s="1061">
        <f>+CE20-CA20</f>
        <v>1.5630053637187558E-4</v>
      </c>
      <c r="CG20" s="1062">
        <f>+CE20-$E$20</f>
        <v>6.3363855780161071E-2</v>
      </c>
      <c r="CH20" s="1060">
        <v>6.4435557524162024E-2</v>
      </c>
      <c r="CI20" s="1058">
        <v>6.3301703514536706E-2</v>
      </c>
      <c r="CJ20" s="1061">
        <f>+CI20-CE20</f>
        <v>-6.2152265624365599E-5</v>
      </c>
      <c r="CK20" s="1062">
        <f>+CI20-$E$20</f>
        <v>6.3301703514536706E-2</v>
      </c>
      <c r="CL20" s="1060">
        <v>6.45896594768436E-2</v>
      </c>
      <c r="CM20" s="1058">
        <v>6.3450244230548181E-2</v>
      </c>
      <c r="CN20" s="1061">
        <f>+CM20-CI20</f>
        <v>1.4854071601147489E-4</v>
      </c>
      <c r="CO20" s="1062">
        <f>+CM20-$E$20</f>
        <v>6.3450244230548181E-2</v>
      </c>
      <c r="CP20" s="1060">
        <v>6.4466439877552448E-2</v>
      </c>
      <c r="CQ20" s="1058">
        <v>6.3331271108793941E-2</v>
      </c>
      <c r="CR20" s="1061">
        <f>+CQ20-CM20</f>
        <v>-1.1897312175424002E-4</v>
      </c>
      <c r="CS20" s="1062">
        <f>+CQ20-$E$20</f>
        <v>6.3331271108793941E-2</v>
      </c>
      <c r="CT20" s="1060">
        <v>6.4796817739010304E-2</v>
      </c>
      <c r="CU20" s="1058">
        <v>6.365008760408418E-2</v>
      </c>
      <c r="CV20" s="1061">
        <f>+CU20-CQ20</f>
        <v>3.1881649529023892E-4</v>
      </c>
      <c r="CW20" s="1062">
        <f>+CU20-$E$20</f>
        <v>6.365008760408418E-2</v>
      </c>
      <c r="CX20" s="1060">
        <v>6.4796817739010304E-2</v>
      </c>
      <c r="CY20" s="1058">
        <v>6.365008760408418E-2</v>
      </c>
      <c r="CZ20" s="1061">
        <f>+CY20-CU20</f>
        <v>0</v>
      </c>
      <c r="DA20" s="1062">
        <f>+CY20-$E$20</f>
        <v>6.365008760408418E-2</v>
      </c>
      <c r="DB20" s="1060">
        <v>6.4648567061335024E-2</v>
      </c>
      <c r="DC20" s="1058">
        <v>6.3507093910175574E-2</v>
      </c>
      <c r="DD20" s="1061">
        <f>+DC20-CY20</f>
        <v>-1.4299369390860517E-4</v>
      </c>
      <c r="DE20" s="1062">
        <f>+DC20-$E$20</f>
        <v>6.3507093910175574E-2</v>
      </c>
      <c r="DF20" s="1060">
        <v>6.4648567061335024E-2</v>
      </c>
      <c r="DG20" s="1058">
        <v>6.3507093910175574E-2</v>
      </c>
      <c r="DH20" s="1061">
        <f>+DG20-DC20</f>
        <v>0</v>
      </c>
      <c r="DI20" s="1062">
        <f>+DG20-$E$20</f>
        <v>6.3507093910175574E-2</v>
      </c>
      <c r="DJ20" s="1060">
        <v>6.4648567061335024E-2</v>
      </c>
      <c r="DK20" s="1058">
        <v>6.3507093910175574E-2</v>
      </c>
      <c r="DL20" s="1061">
        <f>+DK20-DG20</f>
        <v>0</v>
      </c>
      <c r="DM20" s="1062">
        <f>+DK20-$E$20</f>
        <v>6.3507093910175574E-2</v>
      </c>
      <c r="DN20" s="1060">
        <v>6.5717870302418907E-2</v>
      </c>
      <c r="DO20" s="1058">
        <v>6.4557516903859885E-2</v>
      </c>
      <c r="DP20" s="1061">
        <f>+DO20-DK20</f>
        <v>1.0504229936843107E-3</v>
      </c>
      <c r="DQ20" s="1062">
        <f>+DO20-$E$20</f>
        <v>6.4557516903859885E-2</v>
      </c>
      <c r="DR20" s="1060">
        <v>6.5717870302418907E-2</v>
      </c>
      <c r="DS20" s="1058">
        <v>6.4557516903859885E-2</v>
      </c>
      <c r="DT20" s="1061">
        <f>+DS20-DO20</f>
        <v>0</v>
      </c>
      <c r="DU20" s="1062">
        <f>+DS20-$E$20</f>
        <v>6.4557516903859885E-2</v>
      </c>
      <c r="DV20" s="1060">
        <v>6.5717870302418907E-2</v>
      </c>
      <c r="DW20" s="1058">
        <v>6.4557516903859885E-2</v>
      </c>
      <c r="DX20" s="1061">
        <f>+DW20-DS20</f>
        <v>0</v>
      </c>
      <c r="DY20" s="1062">
        <f>+DW20-$E$20</f>
        <v>6.4557516903859885E-2</v>
      </c>
      <c r="DZ20" s="1060">
        <v>6.5717870302418907E-2</v>
      </c>
      <c r="EA20" s="1058">
        <v>6.4557516903859885E-2</v>
      </c>
      <c r="EB20" s="1061">
        <f>+EA20-DW20</f>
        <v>0</v>
      </c>
      <c r="EC20" s="1062">
        <f>+EA20-$E$20</f>
        <v>6.4557516903859885E-2</v>
      </c>
      <c r="ED20" s="1060">
        <v>6.5902334238744101E-2</v>
      </c>
      <c r="EE20" s="1058">
        <v>6.4738723836352763E-2</v>
      </c>
      <c r="EF20" s="1061">
        <f>+EE20-EA20</f>
        <v>1.8120693249287778E-4</v>
      </c>
      <c r="EG20" s="1062">
        <f>+EE20-$E$20</f>
        <v>6.4738723836352763E-2</v>
      </c>
      <c r="EH20" s="1060">
        <v>6.6250278254396736E-2</v>
      </c>
      <c r="EI20" s="1058">
        <v>6.5080524347670698E-2</v>
      </c>
      <c r="EJ20" s="1061">
        <f>+EI20-EE20</f>
        <v>3.4180051131793565E-4</v>
      </c>
      <c r="EK20" s="1062">
        <f>+EI20-$E$20</f>
        <v>6.5080524347670698E-2</v>
      </c>
      <c r="EL20" s="1060">
        <v>6.6250278254396736E-2</v>
      </c>
      <c r="EM20" s="1058">
        <v>6.5080524347670698E-2</v>
      </c>
      <c r="EN20" s="1061">
        <f>+EM20-EI20</f>
        <v>0</v>
      </c>
      <c r="EO20" s="1062">
        <f>+EM20-$E$20</f>
        <v>6.5080524347670698E-2</v>
      </c>
      <c r="EP20" s="1060">
        <v>6.6250278254396736E-2</v>
      </c>
      <c r="EQ20" s="1058">
        <v>6.5080524347670698E-2</v>
      </c>
      <c r="ER20" s="1061">
        <f>+EQ20-EM20</f>
        <v>0</v>
      </c>
      <c r="ES20" s="1062">
        <f>+EQ20-$E$20</f>
        <v>6.5080524347670698E-2</v>
      </c>
      <c r="ET20" s="1060">
        <v>6.8806389001100449E-2</v>
      </c>
      <c r="EU20" s="1058">
        <v>6.7591502898544237E-2</v>
      </c>
      <c r="EV20" s="1061">
        <f>+EU20-EQ20</f>
        <v>2.5109785508735383E-3</v>
      </c>
      <c r="EW20" s="1062">
        <f>+EU20-$E$20</f>
        <v>6.7591502898544237E-2</v>
      </c>
      <c r="EX20" s="1060">
        <v>6.8806389001100449E-2</v>
      </c>
      <c r="EY20" s="1058">
        <v>6.7591502898544237E-2</v>
      </c>
      <c r="EZ20" s="1061">
        <f>+EY20-EU20</f>
        <v>0</v>
      </c>
      <c r="FA20" s="1062">
        <f>+EY20-$E$20</f>
        <v>6.7591502898544237E-2</v>
      </c>
      <c r="FB20" s="1060">
        <v>6.8806389001100449E-2</v>
      </c>
      <c r="FC20" s="1058">
        <v>6.7591502898544237E-2</v>
      </c>
      <c r="FD20" s="1061">
        <f>+FC20-EY20</f>
        <v>0</v>
      </c>
      <c r="FE20" s="1062">
        <f>+FC20-$E$20</f>
        <v>6.7591502898544237E-2</v>
      </c>
    </row>
    <row r="21" spans="2:161" x14ac:dyDescent="0.25">
      <c r="B21" s="1043"/>
      <c r="D21" s="812"/>
      <c r="E21" s="812"/>
      <c r="F21" s="812"/>
      <c r="G21" s="812"/>
      <c r="I21" s="1039"/>
      <c r="J21" s="812"/>
      <c r="K21" s="812"/>
      <c r="M21" s="1039"/>
      <c r="N21" s="812"/>
      <c r="O21" s="812"/>
      <c r="Q21" s="1039"/>
      <c r="R21" s="812"/>
      <c r="S21" s="812"/>
      <c r="U21" s="1039"/>
      <c r="V21" s="812"/>
      <c r="W21" s="812"/>
      <c r="Y21" s="1039"/>
      <c r="Z21" s="812"/>
      <c r="AA21" s="812"/>
      <c r="AC21" s="1039"/>
      <c r="AD21" s="812"/>
      <c r="AE21" s="812"/>
      <c r="AG21" s="1039"/>
      <c r="AH21" s="812"/>
      <c r="AI21" s="812"/>
      <c r="AK21" s="1039"/>
      <c r="AL21" s="812"/>
      <c r="AM21" s="812"/>
      <c r="AO21" s="1039"/>
      <c r="AP21" s="812"/>
      <c r="AQ21" s="812"/>
      <c r="AS21" s="1039"/>
      <c r="AT21" s="812"/>
      <c r="AU21" s="812"/>
      <c r="AW21" s="1039"/>
      <c r="AX21" s="812"/>
      <c r="AY21" s="812"/>
      <c r="BA21" s="1039"/>
      <c r="BE21" s="1039"/>
      <c r="BI21" s="1039"/>
      <c r="BM21" s="1039"/>
      <c r="BQ21" s="1039"/>
      <c r="BU21" s="1039"/>
      <c r="BY21" s="1039"/>
      <c r="CC21" s="1039"/>
      <c r="CG21" s="1039"/>
      <c r="CK21" s="1039"/>
      <c r="CO21" s="1039"/>
      <c r="CS21" s="1039"/>
      <c r="CW21" s="1039"/>
      <c r="DA21" s="1039"/>
      <c r="DE21" s="1039"/>
    </row>
    <row r="22" spans="2:161" x14ac:dyDescent="0.25">
      <c r="B22" s="1063"/>
      <c r="D22" s="1064"/>
      <c r="E22" s="1064"/>
      <c r="F22" s="1064"/>
      <c r="G22" s="1064"/>
      <c r="I22" s="1039"/>
      <c r="J22" s="1064"/>
      <c r="K22" s="1064"/>
      <c r="M22" s="1039"/>
      <c r="N22" s="1064"/>
      <c r="O22" s="1064"/>
      <c r="Q22" s="1039"/>
      <c r="R22" s="1064"/>
      <c r="S22" s="1064"/>
      <c r="U22" s="1039"/>
      <c r="V22" s="1064"/>
      <c r="W22" s="1064"/>
      <c r="Y22" s="1039"/>
      <c r="Z22" s="1064"/>
      <c r="AA22" s="1064"/>
      <c r="AC22" s="1039"/>
      <c r="AD22" s="1064"/>
      <c r="AE22" s="1064"/>
      <c r="AG22" s="1039"/>
      <c r="AH22" s="1064"/>
      <c r="AI22" s="1064"/>
      <c r="AK22" s="1039"/>
      <c r="AL22" s="1064"/>
      <c r="AM22" s="1064"/>
      <c r="AO22" s="1039"/>
      <c r="AP22" s="1064"/>
      <c r="AQ22" s="1064"/>
      <c r="AS22" s="1039"/>
      <c r="AT22" s="1064"/>
      <c r="AU22" s="1064"/>
      <c r="AW22" s="1039"/>
      <c r="AX22" s="1064"/>
      <c r="AY22" s="1064"/>
      <c r="BA22" s="1039"/>
      <c r="BE22" s="1039"/>
      <c r="BI22" s="1039"/>
      <c r="BM22" s="1039"/>
      <c r="BQ22" s="1039"/>
      <c r="BU22" s="1039"/>
      <c r="BY22" s="1039"/>
      <c r="CC22" s="1039"/>
      <c r="CG22" s="1039"/>
      <c r="CK22" s="1039"/>
      <c r="CO22" s="1039"/>
      <c r="CS22" s="1039"/>
      <c r="CW22" s="1039"/>
      <c r="DA22" s="1039"/>
      <c r="DE22" s="1039"/>
    </row>
  </sheetData>
  <mergeCells count="157">
    <mergeCell ref="FB6:FE6"/>
    <mergeCell ref="FB7:FE7"/>
    <mergeCell ref="FB8:FE8"/>
    <mergeCell ref="FB9:FE9"/>
    <mergeCell ref="V7:Y7"/>
    <mergeCell ref="DZ6:EC6"/>
    <mergeCell ref="DZ7:EC7"/>
    <mergeCell ref="DZ8:EC8"/>
    <mergeCell ref="DZ9:EC9"/>
    <mergeCell ref="DV9:DY9"/>
    <mergeCell ref="Z6:AC6"/>
    <mergeCell ref="V6:Y6"/>
    <mergeCell ref="V8:Y8"/>
    <mergeCell ref="Z7:AC7"/>
    <mergeCell ref="Z8:AC8"/>
    <mergeCell ref="Z9:AC9"/>
    <mergeCell ref="AD9:AG9"/>
    <mergeCell ref="V9:Y9"/>
    <mergeCell ref="BZ9:CC9"/>
    <mergeCell ref="AH9:AK9"/>
    <mergeCell ref="AL9:AO9"/>
    <mergeCell ref="AP9:AS9"/>
    <mergeCell ref="AX9:BA9"/>
    <mergeCell ref="BR6:BU6"/>
    <mergeCell ref="BR7:BU7"/>
    <mergeCell ref="BR8:BU8"/>
    <mergeCell ref="BR9:BU9"/>
    <mergeCell ref="BN6:BQ6"/>
    <mergeCell ref="AD6:AG6"/>
    <mergeCell ref="AH6:AK6"/>
    <mergeCell ref="AL6:AO6"/>
    <mergeCell ref="AP6:AS6"/>
    <mergeCell ref="AP7:AS7"/>
    <mergeCell ref="AP8:AS8"/>
    <mergeCell ref="AH8:AK8"/>
    <mergeCell ref="AL8:AO8"/>
    <mergeCell ref="AH7:AK7"/>
    <mergeCell ref="AL7:AO7"/>
    <mergeCell ref="AD8:AG8"/>
    <mergeCell ref="AD7:AG7"/>
    <mergeCell ref="D6:E9"/>
    <mergeCell ref="F6:I6"/>
    <mergeCell ref="J6:M6"/>
    <mergeCell ref="N6:Q6"/>
    <mergeCell ref="R6:U6"/>
    <mergeCell ref="F9:I9"/>
    <mergeCell ref="J9:M9"/>
    <mergeCell ref="N9:Q9"/>
    <mergeCell ref="R9:U9"/>
    <mergeCell ref="F7:I7"/>
    <mergeCell ref="J7:M7"/>
    <mergeCell ref="N7:Q7"/>
    <mergeCell ref="F8:I8"/>
    <mergeCell ref="R8:U8"/>
    <mergeCell ref="J8:M8"/>
    <mergeCell ref="N8:Q8"/>
    <mergeCell ref="R7:U7"/>
    <mergeCell ref="BF9:BI9"/>
    <mergeCell ref="BF6:BI6"/>
    <mergeCell ref="AX6:BA6"/>
    <mergeCell ref="BB6:BE6"/>
    <mergeCell ref="AX8:BA8"/>
    <mergeCell ref="BF8:BI8"/>
    <mergeCell ref="BF7:BI7"/>
    <mergeCell ref="AT9:AW9"/>
    <mergeCell ref="AT8:AW8"/>
    <mergeCell ref="BB8:BE8"/>
    <mergeCell ref="AX7:BA7"/>
    <mergeCell ref="AT7:AW7"/>
    <mergeCell ref="AT6:AW6"/>
    <mergeCell ref="BN8:BQ8"/>
    <mergeCell ref="BN9:BQ9"/>
    <mergeCell ref="BN7:BQ7"/>
    <mergeCell ref="CD6:CG6"/>
    <mergeCell ref="CD7:CG7"/>
    <mergeCell ref="CD8:CG8"/>
    <mergeCell ref="CD9:CG9"/>
    <mergeCell ref="CH6:CK6"/>
    <mergeCell ref="BB7:BE7"/>
    <mergeCell ref="BJ6:BM6"/>
    <mergeCell ref="CH7:CK7"/>
    <mergeCell ref="CH8:CK8"/>
    <mergeCell ref="CH9:CK9"/>
    <mergeCell ref="BV6:BY6"/>
    <mergeCell ref="BV7:BY7"/>
    <mergeCell ref="BV8:BY8"/>
    <mergeCell ref="BV9:BY9"/>
    <mergeCell ref="BZ6:CC6"/>
    <mergeCell ref="BZ7:CC7"/>
    <mergeCell ref="BZ8:CC8"/>
    <mergeCell ref="BJ7:BM7"/>
    <mergeCell ref="BJ8:BM8"/>
    <mergeCell ref="BJ9:BM9"/>
    <mergeCell ref="BB9:BE9"/>
    <mergeCell ref="CX6:DA6"/>
    <mergeCell ref="CX7:DA7"/>
    <mergeCell ref="CX8:DA8"/>
    <mergeCell ref="CX9:DA9"/>
    <mergeCell ref="CP6:CS6"/>
    <mergeCell ref="CP7:CS7"/>
    <mergeCell ref="CP8:CS8"/>
    <mergeCell ref="CP9:CS9"/>
    <mergeCell ref="CL6:CO6"/>
    <mergeCell ref="CL7:CO7"/>
    <mergeCell ref="CL8:CO8"/>
    <mergeCell ref="CL9:CO9"/>
    <mergeCell ref="CT6:CW6"/>
    <mergeCell ref="CT7:CW7"/>
    <mergeCell ref="CT8:CW8"/>
    <mergeCell ref="CT9:CW9"/>
    <mergeCell ref="DF6:DI6"/>
    <mergeCell ref="DF7:DI7"/>
    <mergeCell ref="DF8:DI8"/>
    <mergeCell ref="DF9:DI9"/>
    <mergeCell ref="DJ6:DM6"/>
    <mergeCell ref="DJ7:DM7"/>
    <mergeCell ref="DJ8:DM8"/>
    <mergeCell ref="DJ9:DM9"/>
    <mergeCell ref="DB6:DE6"/>
    <mergeCell ref="DB7:DE7"/>
    <mergeCell ref="DB8:DE8"/>
    <mergeCell ref="DB9:DE9"/>
    <mergeCell ref="DN6:DQ6"/>
    <mergeCell ref="DN7:DQ7"/>
    <mergeCell ref="DN8:DQ8"/>
    <mergeCell ref="DN9:DQ9"/>
    <mergeCell ref="DR6:DU6"/>
    <mergeCell ref="DR7:DU7"/>
    <mergeCell ref="DR8:DU8"/>
    <mergeCell ref="DR9:DU9"/>
    <mergeCell ref="DV6:DY6"/>
    <mergeCell ref="DV7:DY7"/>
    <mergeCell ref="DV8:DY8"/>
    <mergeCell ref="ED6:EG6"/>
    <mergeCell ref="ED7:EG7"/>
    <mergeCell ref="ED8:EG8"/>
    <mergeCell ref="ED9:EG9"/>
    <mergeCell ref="EL6:EO6"/>
    <mergeCell ref="EL7:EO7"/>
    <mergeCell ref="EL8:EO8"/>
    <mergeCell ref="EL9:EO9"/>
    <mergeCell ref="EP6:ES6"/>
    <mergeCell ref="EP7:ES7"/>
    <mergeCell ref="EP8:ES8"/>
    <mergeCell ref="EP9:ES9"/>
    <mergeCell ref="EX6:FA6"/>
    <mergeCell ref="EX7:FA7"/>
    <mergeCell ref="EX8:FA8"/>
    <mergeCell ref="EX9:FA9"/>
    <mergeCell ref="ET6:EW6"/>
    <mergeCell ref="ET7:EW7"/>
    <mergeCell ref="ET8:EW8"/>
    <mergeCell ref="ET9:EW9"/>
    <mergeCell ref="EH6:EK6"/>
    <mergeCell ref="EH7:EK7"/>
    <mergeCell ref="EH8:EK8"/>
    <mergeCell ref="EH9:EK9"/>
  </mergeCells>
  <conditionalFormatting sqref="I16:BQ20">
    <cfRule type="expression" dxfId="8" priority="138">
      <formula>IF(I16&lt;0,1,0)</formula>
    </cfRule>
  </conditionalFormatting>
  <conditionalFormatting sqref="I16:FE20">
    <cfRule type="expression" dxfId="7" priority="1">
      <formula>IF(I16&gt;0,1,0)</formula>
    </cfRule>
  </conditionalFormatting>
  <conditionalFormatting sqref="L21:FE22">
    <cfRule type="expression" dxfId="6" priority="40">
      <formula>IF(L21&lt;0,1,0)</formula>
    </cfRule>
  </conditionalFormatting>
  <conditionalFormatting sqref="BM16:BM22">
    <cfRule type="expression" dxfId="5" priority="148">
      <formula>IF(BM16&lt;0,1,0)</formula>
    </cfRule>
  </conditionalFormatting>
  <conditionalFormatting sqref="BT16:CB22">
    <cfRule type="expression" dxfId="4" priority="109">
      <formula>IF(BT16&lt;0,1,0)</formula>
    </cfRule>
  </conditionalFormatting>
  <conditionalFormatting sqref="CC16:CC20">
    <cfRule type="expression" dxfId="3" priority="106">
      <formula>IF(CC16&lt;0,1,0)</formula>
    </cfRule>
  </conditionalFormatting>
  <conditionalFormatting sqref="DD16:DD22">
    <cfRule type="expression" dxfId="2" priority="36">
      <formula>IF(DD16&lt;0,1,0)</formula>
    </cfRule>
  </conditionalFormatting>
  <conditionalFormatting sqref="DE16:DE20 CF16:DA22">
    <cfRule type="expression" dxfId="1" priority="42">
      <formula>IF(CF16&lt;0,1,0)</formula>
    </cfRule>
  </conditionalFormatting>
  <conditionalFormatting sqref="DH16:FE20">
    <cfRule type="expression" dxfId="0" priority="2">
      <formula>IF(DH16&lt;0,1,0)</formula>
    </cfRule>
  </conditionalFormatting>
  <pageMargins left="0.25" right="0.25" top="0.75" bottom="0.75" header="0.3" footer="0.3"/>
  <pageSetup paperSize="17" scale="6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3</vt:i4>
      </vt:variant>
    </vt:vector>
  </HeadingPairs>
  <TitlesOfParts>
    <vt:vector size="12" baseType="lpstr">
      <vt:lpstr>Cover</vt:lpstr>
      <vt:lpstr>Inputs</vt:lpstr>
      <vt:lpstr>Monthly USD Model</vt:lpstr>
      <vt:lpstr>Monthly UF Model</vt:lpstr>
      <vt:lpstr>OpEx Budget</vt:lpstr>
      <vt:lpstr>CapEx Budget</vt:lpstr>
      <vt:lpstr>UnitMix</vt:lpstr>
      <vt:lpstr>Project Layout</vt:lpstr>
      <vt:lpstr>Performance</vt:lpstr>
      <vt:lpstr>Cover!Área_de_impresión</vt:lpstr>
      <vt:lpstr>Inputs!Área_de_impresión</vt:lpstr>
      <vt:lpstr>Inputs!Títulos_a_imprimir</vt:lpstr>
    </vt:vector>
  </TitlesOfParts>
  <Company>CIM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Nicolas Santoni</dc:creator>
  <cp:lastModifiedBy>Benjamin Salgado - Compass Group</cp:lastModifiedBy>
  <cp:lastPrinted>2020-04-08T19:36:49Z</cp:lastPrinted>
  <dcterms:created xsi:type="dcterms:W3CDTF">2015-05-17T04:03:58Z</dcterms:created>
  <dcterms:modified xsi:type="dcterms:W3CDTF">2023-06-23T22:35:50Z</dcterms:modified>
</cp:coreProperties>
</file>